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28"/>
  <workbookPr dateCompatibility="0" codeName="ThisWorkbook" hidePivotFieldList="1" defaultThemeVersion="166925"/>
  <mc:AlternateContent xmlns:mc="http://schemas.openxmlformats.org/markup-compatibility/2006">
    <mc:Choice Requires="x15">
      <x15ac:absPath xmlns:x15ac="http://schemas.microsoft.com/office/spreadsheetml/2010/11/ac" url="/Users/lex/Workspace/phd-research-ucc/repositories/tmm-analytics/src/data/raw/"/>
    </mc:Choice>
  </mc:AlternateContent>
  <xr:revisionPtr revIDLastSave="0" documentId="8_{AF6F48E3-34AF-F24D-95F3-EEA42E829D3F}" xr6:coauthVersionLast="47" xr6:coauthVersionMax="47" xr10:uidLastSave="{00000000-0000-0000-0000-000000000000}"/>
  <bookViews>
    <workbookView xWindow="0" yWindow="760" windowWidth="34560" windowHeight="20380" tabRatio="804" activeTab="6" xr2:uid="{00000000-000D-0000-FFFF-FFFF00000000}"/>
  </bookViews>
  <sheets>
    <sheet name="Tier 1 Pvts" sheetId="33" state="hidden" r:id="rId1"/>
    <sheet name="Tier 2 Pvts" sheetId="34" state="hidden" r:id="rId2"/>
    <sheet name="Tier 3 Pvts" sheetId="35" state="hidden" r:id="rId3"/>
    <sheet name="Core_Non Core Activity" sheetId="24" state="hidden" r:id="rId4"/>
    <sheet name="% Util # Cases" sheetId="20" state="hidden" r:id="rId5"/>
    <sheet name="Case_mins" sheetId="5" state="hidden" r:id="rId6"/>
    <sheet name="Data Entry" sheetId="6" r:id="rId7"/>
    <sheet name="Mng Theatres" sheetId="2" r:id="rId8"/>
    <sheet name="Ctrl Lists" sheetId="4" state="hidden" r:id="rId9"/>
  </sheets>
  <definedNames>
    <definedName name="Am_Close">'Mng Theatres'!$P$7:$P$9</definedName>
    <definedName name="Am_Open">'Mng Theatres'!$O$7:$O$9</definedName>
    <definedName name="AR">'Mng Theatres'!$E$6:$E$12</definedName>
    <definedName name="Bay_AmClose">#REF!</definedName>
    <definedName name="Bay_AmOpen">#REF!</definedName>
    <definedName name="Bay_Closed">#REF!</definedName>
    <definedName name="Bay_Open">#REF!</definedName>
    <definedName name="Bay_PmClose">#REF!</definedName>
    <definedName name="Bay_PmOpen">#REF!</definedName>
    <definedName name="BayID">#REF!</definedName>
    <definedName name="BayNo">#REF!</definedName>
    <definedName name="BDate">#REF!</definedName>
    <definedName name="BDay">#REF!</definedName>
    <definedName name="Bed_Status">'Ctrl Lists'!$I$5:$I$7</definedName>
    <definedName name="Cancelled">'Ctrl Lists'!$K$5:$K$7</definedName>
    <definedName name="Clean">'Mng Theatres'!$F$6:$F$12</definedName>
    <definedName name="Closed">'Mng Theatres'!$S$7:$S$9</definedName>
    <definedName name="Counter" localSheetId="6">'Data Entry'!#REF!</definedName>
    <definedName name="Date">'Mng Theatres'!$N$7:$N$9</definedName>
    <definedName name="Date_Period">#REF!</definedName>
    <definedName name="Day">'Mng Theatres'!$H$7:$H$13</definedName>
    <definedName name="EndDate">'Tier 3 Pvts'!$B$5</definedName>
    <definedName name="EndWeek">'Tier 3 Pvts'!$B$10</definedName>
    <definedName name="ExternalData_1" localSheetId="5" hidden="1">Case_mins!$A$1:$A$443</definedName>
    <definedName name="format_time">'Data Entry'!$D$2:$F$443,'Data Entry'!#REF!</definedName>
    <definedName name="Hosp_Name">'Mng Theatres'!$C$2</definedName>
    <definedName name="InCoreDays">'Tier 3 Pvts'!$B$12</definedName>
    <definedName name="NoOfDates">'Tier 3 Pvts'!$B$6</definedName>
    <definedName name="NoOfWeeks">'Tier 3 Pvts'!$B$7</definedName>
    <definedName name="PM_Close">'Mng Theatres'!$R$7:$R$9</definedName>
    <definedName name="PM_Open">'Mng Theatres'!$Q$7:$Q$9</definedName>
    <definedName name="Poss_Time">'Mng Theatres'!$K$7:$K$13</definedName>
    <definedName name="recov_time">#REF!,#REF!</definedName>
    <definedName name="Scheduled">'Mng Theatres'!$T$7:$T$9</definedName>
    <definedName name="Slicer_Specialty1">#N/A</definedName>
    <definedName name="Slicer_Surgery_Start_Date1">#N/A</definedName>
    <definedName name="Slicer_Theatre">#N/A</definedName>
    <definedName name="SpecDesc">'Ctrl Lists'!$D$5:$D$24</definedName>
    <definedName name="Specialty_ID">'Ctrl Lists'!$C$5:$C$24</definedName>
    <definedName name="StartDate">'Tier 3 Pvts'!$B$4</definedName>
    <definedName name="StartWeek">'Tier 3 Pvts'!$B$9</definedName>
    <definedName name="Sur_Grade">'Ctrl Lists'!$P$5:$P$8</definedName>
    <definedName name="Surgeon">'Ctrl Lists'!$G$5:$G$12</definedName>
    <definedName name="Surgeon_ID">'Ctrl Lists'!$F$5:$F$12</definedName>
    <definedName name="Th_Close">'Mng Theatres'!$J$7:$J$13</definedName>
    <definedName name="Th_Name">'Mng Theatres'!$D$6:$D$12</definedName>
    <definedName name="Th_No">'Mng Theatres'!#REF!</definedName>
    <definedName name="Th_Open">'Mng Theatres'!$I$7:$I$13</definedName>
    <definedName name="Th_Status_FullDay">'Ctrl Lists'!$M$5:$M$9</definedName>
    <definedName name="Theatre_No">'Mng Theatres'!#REF!</definedName>
    <definedName name="theatre_time">'Mng Theatres'!$O$7:$R$9,'Mng Theatres'!$I$7:$J$13</definedName>
    <definedName name="Util_Goal">#REF!</definedName>
    <definedName name="Weeks_Period">#REF!</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444" i="5" l="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K2" i="5"/>
  <c r="L2" i="5" s="1"/>
  <c r="K3" i="5"/>
  <c r="K4" i="5"/>
  <c r="K5" i="5"/>
  <c r="K6" i="5"/>
  <c r="K7" i="5"/>
  <c r="K8" i="5"/>
  <c r="M8" i="5" s="1"/>
  <c r="K9" i="5"/>
  <c r="K10" i="5"/>
  <c r="M10" i="5" s="1"/>
  <c r="K11" i="5"/>
  <c r="K12" i="5"/>
  <c r="L12" i="5" s="1"/>
  <c r="K13" i="5"/>
  <c r="K14" i="5"/>
  <c r="K15" i="5"/>
  <c r="K16" i="5"/>
  <c r="K17" i="5"/>
  <c r="K18" i="5"/>
  <c r="M18" i="5" s="1"/>
  <c r="K19" i="5"/>
  <c r="K20" i="5"/>
  <c r="M20" i="5" s="1"/>
  <c r="K21" i="5"/>
  <c r="K22" i="5"/>
  <c r="L22" i="5" s="1"/>
  <c r="K23" i="5"/>
  <c r="K24" i="5"/>
  <c r="K25" i="5"/>
  <c r="K26" i="5"/>
  <c r="K27" i="5"/>
  <c r="K28" i="5"/>
  <c r="M28" i="5" s="1"/>
  <c r="K29" i="5"/>
  <c r="K30" i="5"/>
  <c r="M30" i="5" s="1"/>
  <c r="K31" i="5"/>
  <c r="K32" i="5"/>
  <c r="L32" i="5" s="1"/>
  <c r="K33" i="5"/>
  <c r="K34" i="5"/>
  <c r="K35" i="5"/>
  <c r="K36" i="5"/>
  <c r="K37" i="5"/>
  <c r="K38" i="5"/>
  <c r="M38" i="5" s="1"/>
  <c r="K39" i="5"/>
  <c r="K40" i="5"/>
  <c r="M40" i="5" s="1"/>
  <c r="K41" i="5"/>
  <c r="K42" i="5"/>
  <c r="L42" i="5" s="1"/>
  <c r="K43" i="5"/>
  <c r="K44" i="5"/>
  <c r="K45" i="5"/>
  <c r="K46" i="5"/>
  <c r="K47" i="5"/>
  <c r="K48" i="5"/>
  <c r="M48" i="5" s="1"/>
  <c r="K49" i="5"/>
  <c r="K50" i="5"/>
  <c r="M50" i="5" s="1"/>
  <c r="K51" i="5"/>
  <c r="K52" i="5"/>
  <c r="L52" i="5" s="1"/>
  <c r="K53" i="5"/>
  <c r="K54" i="5"/>
  <c r="K55" i="5"/>
  <c r="K56" i="5"/>
  <c r="K57" i="5"/>
  <c r="K58" i="5"/>
  <c r="M58" i="5" s="1"/>
  <c r="K59" i="5"/>
  <c r="K60" i="5"/>
  <c r="M60" i="5" s="1"/>
  <c r="K61" i="5"/>
  <c r="K62" i="5"/>
  <c r="L62" i="5" s="1"/>
  <c r="K63" i="5"/>
  <c r="K64" i="5"/>
  <c r="K65" i="5"/>
  <c r="K66" i="5"/>
  <c r="K67" i="5"/>
  <c r="K68" i="5"/>
  <c r="L68" i="5" s="1"/>
  <c r="K69" i="5"/>
  <c r="K70" i="5"/>
  <c r="M70" i="5" s="1"/>
  <c r="K71" i="5"/>
  <c r="K72" i="5"/>
  <c r="L72" i="5" s="1"/>
  <c r="K73" i="5"/>
  <c r="K74" i="5"/>
  <c r="K75" i="5"/>
  <c r="K76" i="5"/>
  <c r="K77" i="5"/>
  <c r="K78" i="5"/>
  <c r="L78" i="5" s="1"/>
  <c r="K79" i="5"/>
  <c r="K80" i="5"/>
  <c r="M80" i="5" s="1"/>
  <c r="K81" i="5"/>
  <c r="K82" i="5"/>
  <c r="L82" i="5" s="1"/>
  <c r="K83" i="5"/>
  <c r="K84" i="5"/>
  <c r="K85" i="5"/>
  <c r="K86" i="5"/>
  <c r="K87" i="5"/>
  <c r="K88" i="5"/>
  <c r="M88" i="5" s="1"/>
  <c r="K89" i="5"/>
  <c r="K90" i="5"/>
  <c r="M90" i="5" s="1"/>
  <c r="K91" i="5"/>
  <c r="K92" i="5"/>
  <c r="L92" i="5" s="1"/>
  <c r="K93" i="5"/>
  <c r="K94" i="5"/>
  <c r="K95" i="5"/>
  <c r="K96" i="5"/>
  <c r="K97" i="5"/>
  <c r="K98" i="5"/>
  <c r="L98" i="5" s="1"/>
  <c r="K99" i="5"/>
  <c r="K100" i="5"/>
  <c r="M100" i="5" s="1"/>
  <c r="K101" i="5"/>
  <c r="K102" i="5"/>
  <c r="L102" i="5" s="1"/>
  <c r="K103" i="5"/>
  <c r="K104" i="5"/>
  <c r="K105" i="5"/>
  <c r="K106" i="5"/>
  <c r="K107" i="5"/>
  <c r="K108" i="5"/>
  <c r="M108" i="5" s="1"/>
  <c r="K109" i="5"/>
  <c r="K110" i="5"/>
  <c r="M110" i="5" s="1"/>
  <c r="K111" i="5"/>
  <c r="K112" i="5"/>
  <c r="L112" i="5" s="1"/>
  <c r="K113" i="5"/>
  <c r="K114" i="5"/>
  <c r="K115" i="5"/>
  <c r="K116" i="5"/>
  <c r="K117" i="5"/>
  <c r="K118" i="5"/>
  <c r="M118" i="5" s="1"/>
  <c r="K119" i="5"/>
  <c r="K120" i="5"/>
  <c r="M120" i="5" s="1"/>
  <c r="K121" i="5"/>
  <c r="K122" i="5"/>
  <c r="L122" i="5" s="1"/>
  <c r="K123" i="5"/>
  <c r="K124" i="5"/>
  <c r="K125" i="5"/>
  <c r="K126" i="5"/>
  <c r="K127" i="5"/>
  <c r="K128" i="5"/>
  <c r="M128" i="5" s="1"/>
  <c r="K129" i="5"/>
  <c r="K130" i="5"/>
  <c r="M130" i="5" s="1"/>
  <c r="K131" i="5"/>
  <c r="K132" i="5"/>
  <c r="L132" i="5" s="1"/>
  <c r="K133" i="5"/>
  <c r="K134" i="5"/>
  <c r="K135" i="5"/>
  <c r="K136" i="5"/>
  <c r="K137" i="5"/>
  <c r="K138" i="5"/>
  <c r="M138" i="5" s="1"/>
  <c r="K139" i="5"/>
  <c r="K140" i="5"/>
  <c r="M140" i="5" s="1"/>
  <c r="K141" i="5"/>
  <c r="K142" i="5"/>
  <c r="L142" i="5" s="1"/>
  <c r="K143" i="5"/>
  <c r="K144" i="5"/>
  <c r="K145" i="5"/>
  <c r="K146" i="5"/>
  <c r="K147" i="5"/>
  <c r="K148" i="5"/>
  <c r="M148" i="5" s="1"/>
  <c r="K149" i="5"/>
  <c r="K150" i="5"/>
  <c r="M150" i="5" s="1"/>
  <c r="K151" i="5"/>
  <c r="K152" i="5"/>
  <c r="L152" i="5" s="1"/>
  <c r="K153" i="5"/>
  <c r="K154" i="5"/>
  <c r="K155" i="5"/>
  <c r="K156" i="5"/>
  <c r="K157" i="5"/>
  <c r="K158" i="5"/>
  <c r="M158" i="5" s="1"/>
  <c r="K159" i="5"/>
  <c r="K160" i="5"/>
  <c r="M160" i="5" s="1"/>
  <c r="K161" i="5"/>
  <c r="K162" i="5"/>
  <c r="L162" i="5" s="1"/>
  <c r="K163" i="5"/>
  <c r="K164" i="5"/>
  <c r="K165" i="5"/>
  <c r="K166" i="5"/>
  <c r="K167" i="5"/>
  <c r="K168" i="5"/>
  <c r="L168" i="5" s="1"/>
  <c r="K169" i="5"/>
  <c r="K170" i="5"/>
  <c r="M170" i="5" s="1"/>
  <c r="K171" i="5"/>
  <c r="K172" i="5"/>
  <c r="L172" i="5" s="1"/>
  <c r="K173" i="5"/>
  <c r="K174" i="5"/>
  <c r="K175" i="5"/>
  <c r="K176" i="5"/>
  <c r="K177" i="5"/>
  <c r="K178" i="5"/>
  <c r="L178" i="5" s="1"/>
  <c r="K179" i="5"/>
  <c r="K180" i="5"/>
  <c r="M180" i="5" s="1"/>
  <c r="K181" i="5"/>
  <c r="K182" i="5"/>
  <c r="L182" i="5" s="1"/>
  <c r="K183" i="5"/>
  <c r="K184" i="5"/>
  <c r="K185" i="5"/>
  <c r="K186" i="5"/>
  <c r="K187" i="5"/>
  <c r="K188" i="5"/>
  <c r="M188" i="5" s="1"/>
  <c r="K189" i="5"/>
  <c r="K190" i="5"/>
  <c r="M190" i="5" s="1"/>
  <c r="K191" i="5"/>
  <c r="K192" i="5"/>
  <c r="L192" i="5" s="1"/>
  <c r="K193" i="5"/>
  <c r="K194" i="5"/>
  <c r="K195" i="5"/>
  <c r="K196" i="5"/>
  <c r="K197" i="5"/>
  <c r="K198" i="5"/>
  <c r="K199" i="5"/>
  <c r="K200" i="5"/>
  <c r="M200" i="5" s="1"/>
  <c r="K201" i="5"/>
  <c r="K202" i="5"/>
  <c r="L202" i="5" s="1"/>
  <c r="K203" i="5"/>
  <c r="K204" i="5"/>
  <c r="K205" i="5"/>
  <c r="K206" i="5"/>
  <c r="K207" i="5"/>
  <c r="K208" i="5"/>
  <c r="M208" i="5" s="1"/>
  <c r="K209" i="5"/>
  <c r="K210" i="5"/>
  <c r="M210" i="5" s="1"/>
  <c r="K211" i="5"/>
  <c r="K212" i="5"/>
  <c r="L212" i="5" s="1"/>
  <c r="K213" i="5"/>
  <c r="K214" i="5"/>
  <c r="K215" i="5"/>
  <c r="K216" i="5"/>
  <c r="K217" i="5"/>
  <c r="K218" i="5"/>
  <c r="M218" i="5" s="1"/>
  <c r="K219" i="5"/>
  <c r="K220" i="5"/>
  <c r="M220" i="5" s="1"/>
  <c r="K221" i="5"/>
  <c r="K222" i="5"/>
  <c r="L222" i="5" s="1"/>
  <c r="K223" i="5"/>
  <c r="K224" i="5"/>
  <c r="K225" i="5"/>
  <c r="K226" i="5"/>
  <c r="K227" i="5"/>
  <c r="K228" i="5"/>
  <c r="M228" i="5" s="1"/>
  <c r="K229" i="5"/>
  <c r="K230" i="5"/>
  <c r="M230" i="5" s="1"/>
  <c r="K231" i="5"/>
  <c r="K232" i="5"/>
  <c r="L232" i="5" s="1"/>
  <c r="K233" i="5"/>
  <c r="K234" i="5"/>
  <c r="K235" i="5"/>
  <c r="K236" i="5"/>
  <c r="K237" i="5"/>
  <c r="K238" i="5"/>
  <c r="M238" i="5" s="1"/>
  <c r="K239" i="5"/>
  <c r="K240" i="5"/>
  <c r="M240" i="5" s="1"/>
  <c r="K241" i="5"/>
  <c r="K242" i="5"/>
  <c r="L242" i="5" s="1"/>
  <c r="K243" i="5"/>
  <c r="K244" i="5"/>
  <c r="K245" i="5"/>
  <c r="K246" i="5"/>
  <c r="K247" i="5"/>
  <c r="K248" i="5"/>
  <c r="M248" i="5" s="1"/>
  <c r="K249" i="5"/>
  <c r="K250" i="5"/>
  <c r="M250" i="5" s="1"/>
  <c r="K251" i="5"/>
  <c r="K252" i="5"/>
  <c r="L252" i="5" s="1"/>
  <c r="K253" i="5"/>
  <c r="K254" i="5"/>
  <c r="K255" i="5"/>
  <c r="K256" i="5"/>
  <c r="K257" i="5"/>
  <c r="K258" i="5"/>
  <c r="M258" i="5" s="1"/>
  <c r="K259" i="5"/>
  <c r="K260" i="5"/>
  <c r="M260" i="5" s="1"/>
  <c r="K261" i="5"/>
  <c r="K262" i="5"/>
  <c r="L262" i="5" s="1"/>
  <c r="K263" i="5"/>
  <c r="K264" i="5"/>
  <c r="K265" i="5"/>
  <c r="K266" i="5"/>
  <c r="K267" i="5"/>
  <c r="K268" i="5"/>
  <c r="L268" i="5" s="1"/>
  <c r="K269" i="5"/>
  <c r="K270" i="5"/>
  <c r="M270" i="5" s="1"/>
  <c r="K271" i="5"/>
  <c r="K272" i="5"/>
  <c r="L272" i="5" s="1"/>
  <c r="K273" i="5"/>
  <c r="K274" i="5"/>
  <c r="K275" i="5"/>
  <c r="K276" i="5"/>
  <c r="K277" i="5"/>
  <c r="K278" i="5"/>
  <c r="L278" i="5" s="1"/>
  <c r="K279" i="5"/>
  <c r="K280" i="5"/>
  <c r="M280" i="5" s="1"/>
  <c r="K281" i="5"/>
  <c r="K282" i="5"/>
  <c r="L282" i="5" s="1"/>
  <c r="K283" i="5"/>
  <c r="K284" i="5"/>
  <c r="K285" i="5"/>
  <c r="K286" i="5"/>
  <c r="K287" i="5"/>
  <c r="K288" i="5"/>
  <c r="M288" i="5" s="1"/>
  <c r="K289" i="5"/>
  <c r="K290" i="5"/>
  <c r="M290" i="5" s="1"/>
  <c r="K291" i="5"/>
  <c r="K292" i="5"/>
  <c r="L292" i="5" s="1"/>
  <c r="K293" i="5"/>
  <c r="K294" i="5"/>
  <c r="K295" i="5"/>
  <c r="K296" i="5"/>
  <c r="K297" i="5"/>
  <c r="K298" i="5"/>
  <c r="L298" i="5" s="1"/>
  <c r="K299" i="5"/>
  <c r="K300" i="5"/>
  <c r="M300" i="5" s="1"/>
  <c r="K301" i="5"/>
  <c r="K302" i="5"/>
  <c r="L302" i="5" s="1"/>
  <c r="K303" i="5"/>
  <c r="K304" i="5"/>
  <c r="K305" i="5"/>
  <c r="K306" i="5"/>
  <c r="K307" i="5"/>
  <c r="K308" i="5"/>
  <c r="M308" i="5" s="1"/>
  <c r="K309" i="5"/>
  <c r="K310" i="5"/>
  <c r="M310" i="5" s="1"/>
  <c r="K311" i="5"/>
  <c r="K312" i="5"/>
  <c r="L312" i="5" s="1"/>
  <c r="K313" i="5"/>
  <c r="K314" i="5"/>
  <c r="K315" i="5"/>
  <c r="K316" i="5"/>
  <c r="K317" i="5"/>
  <c r="K318" i="5"/>
  <c r="M318" i="5" s="1"/>
  <c r="K319" i="5"/>
  <c r="K320" i="5"/>
  <c r="M320" i="5" s="1"/>
  <c r="K321" i="5"/>
  <c r="K322" i="5"/>
  <c r="L322" i="5" s="1"/>
  <c r="K323" i="5"/>
  <c r="K324" i="5"/>
  <c r="K325" i="5"/>
  <c r="K326" i="5"/>
  <c r="K327" i="5"/>
  <c r="K328" i="5"/>
  <c r="M328" i="5" s="1"/>
  <c r="K329" i="5"/>
  <c r="K330" i="5"/>
  <c r="M330" i="5" s="1"/>
  <c r="K331" i="5"/>
  <c r="K332" i="5"/>
  <c r="L332" i="5" s="1"/>
  <c r="K333" i="5"/>
  <c r="K334" i="5"/>
  <c r="K335" i="5"/>
  <c r="K336" i="5"/>
  <c r="K337" i="5"/>
  <c r="K338" i="5"/>
  <c r="M338" i="5" s="1"/>
  <c r="K339" i="5"/>
  <c r="K340" i="5"/>
  <c r="M340" i="5" s="1"/>
  <c r="K341" i="5"/>
  <c r="K342" i="5"/>
  <c r="L342" i="5" s="1"/>
  <c r="K343" i="5"/>
  <c r="K344" i="5"/>
  <c r="K345" i="5"/>
  <c r="K346" i="5"/>
  <c r="K347" i="5"/>
  <c r="K348" i="5"/>
  <c r="M348" i="5" s="1"/>
  <c r="K349" i="5"/>
  <c r="K350" i="5"/>
  <c r="M350" i="5" s="1"/>
  <c r="K351" i="5"/>
  <c r="K352" i="5"/>
  <c r="L352" i="5" s="1"/>
  <c r="K353" i="5"/>
  <c r="K354" i="5"/>
  <c r="K355" i="5"/>
  <c r="K356" i="5"/>
  <c r="K357" i="5"/>
  <c r="K358" i="5"/>
  <c r="M358" i="5" s="1"/>
  <c r="K359" i="5"/>
  <c r="K360" i="5"/>
  <c r="M360" i="5" s="1"/>
  <c r="K361" i="5"/>
  <c r="K362" i="5"/>
  <c r="L362" i="5" s="1"/>
  <c r="K363" i="5"/>
  <c r="K364" i="5"/>
  <c r="K365" i="5"/>
  <c r="K366" i="5"/>
  <c r="K367" i="5"/>
  <c r="K368" i="5"/>
  <c r="L368" i="5" s="1"/>
  <c r="K369" i="5"/>
  <c r="K370" i="5"/>
  <c r="M370" i="5" s="1"/>
  <c r="K371" i="5"/>
  <c r="K372" i="5"/>
  <c r="L372" i="5" s="1"/>
  <c r="K373" i="5"/>
  <c r="K374" i="5"/>
  <c r="K375" i="5"/>
  <c r="K376" i="5"/>
  <c r="K377" i="5"/>
  <c r="K378" i="5"/>
  <c r="L378" i="5" s="1"/>
  <c r="K379" i="5"/>
  <c r="K380" i="5"/>
  <c r="M380" i="5" s="1"/>
  <c r="K381" i="5"/>
  <c r="K382" i="5"/>
  <c r="L382" i="5" s="1"/>
  <c r="K383" i="5"/>
  <c r="K384" i="5"/>
  <c r="K385" i="5"/>
  <c r="K386" i="5"/>
  <c r="K387" i="5"/>
  <c r="K388" i="5"/>
  <c r="M388" i="5" s="1"/>
  <c r="K389" i="5"/>
  <c r="K390" i="5"/>
  <c r="M390" i="5" s="1"/>
  <c r="K391" i="5"/>
  <c r="K392" i="5"/>
  <c r="L392" i="5" s="1"/>
  <c r="K393" i="5"/>
  <c r="K394" i="5"/>
  <c r="K395" i="5"/>
  <c r="K396" i="5"/>
  <c r="K397" i="5"/>
  <c r="K398" i="5"/>
  <c r="L398" i="5" s="1"/>
  <c r="K399" i="5"/>
  <c r="K400" i="5"/>
  <c r="M400" i="5" s="1"/>
  <c r="K401" i="5"/>
  <c r="K402" i="5"/>
  <c r="L402" i="5" s="1"/>
  <c r="K403" i="5"/>
  <c r="K404" i="5"/>
  <c r="K405" i="5"/>
  <c r="K406" i="5"/>
  <c r="K407" i="5"/>
  <c r="K408" i="5"/>
  <c r="M408" i="5" s="1"/>
  <c r="K409" i="5"/>
  <c r="K410" i="5"/>
  <c r="M410" i="5" s="1"/>
  <c r="K411" i="5"/>
  <c r="K412" i="5"/>
  <c r="L412" i="5" s="1"/>
  <c r="K413" i="5"/>
  <c r="K414" i="5"/>
  <c r="K415" i="5"/>
  <c r="K416" i="5"/>
  <c r="K417" i="5"/>
  <c r="K418" i="5"/>
  <c r="M418" i="5" s="1"/>
  <c r="K419" i="5"/>
  <c r="K420" i="5"/>
  <c r="M420" i="5" s="1"/>
  <c r="K421" i="5"/>
  <c r="K422" i="5"/>
  <c r="L422" i="5" s="1"/>
  <c r="K423" i="5"/>
  <c r="K424" i="5"/>
  <c r="K425" i="5"/>
  <c r="K426" i="5"/>
  <c r="K427" i="5"/>
  <c r="K428" i="5"/>
  <c r="L428" i="5" s="1"/>
  <c r="K429" i="5"/>
  <c r="K430" i="5"/>
  <c r="L430" i="5" s="1"/>
  <c r="K431" i="5"/>
  <c r="K432" i="5"/>
  <c r="L432" i="5" s="1"/>
  <c r="K433" i="5"/>
  <c r="K434" i="5"/>
  <c r="K435" i="5"/>
  <c r="K436" i="5"/>
  <c r="K437" i="5"/>
  <c r="K438" i="5"/>
  <c r="L438" i="5" s="1"/>
  <c r="K439" i="5"/>
  <c r="K440" i="5"/>
  <c r="M440" i="5" s="1"/>
  <c r="K441" i="5"/>
  <c r="K442" i="5"/>
  <c r="L442" i="5" s="1"/>
  <c r="K443" i="5"/>
  <c r="L3" i="5"/>
  <c r="L4" i="5"/>
  <c r="L5" i="5"/>
  <c r="L6" i="5"/>
  <c r="L7" i="5"/>
  <c r="L9" i="5"/>
  <c r="L11" i="5"/>
  <c r="L13" i="5"/>
  <c r="L14" i="5"/>
  <c r="L15" i="5"/>
  <c r="L16" i="5"/>
  <c r="L17" i="5"/>
  <c r="L18" i="5"/>
  <c r="L19" i="5"/>
  <c r="L20" i="5"/>
  <c r="L21" i="5"/>
  <c r="L23" i="5"/>
  <c r="L24" i="5"/>
  <c r="L25" i="5"/>
  <c r="L26" i="5"/>
  <c r="L27" i="5"/>
  <c r="L29" i="5"/>
  <c r="L31" i="5"/>
  <c r="L33" i="5"/>
  <c r="L34" i="5"/>
  <c r="L35" i="5"/>
  <c r="L36" i="5"/>
  <c r="L37" i="5"/>
  <c r="L39" i="5"/>
  <c r="L40" i="5"/>
  <c r="L41" i="5"/>
  <c r="L43" i="5"/>
  <c r="L44" i="5"/>
  <c r="L45" i="5"/>
  <c r="L46" i="5"/>
  <c r="L47" i="5"/>
  <c r="L49" i="5"/>
  <c r="L51" i="5"/>
  <c r="L53" i="5"/>
  <c r="L54" i="5"/>
  <c r="L55" i="5"/>
  <c r="L56" i="5"/>
  <c r="L57" i="5"/>
  <c r="L59" i="5"/>
  <c r="L61" i="5"/>
  <c r="L63" i="5"/>
  <c r="L64" i="5"/>
  <c r="L65" i="5"/>
  <c r="L66" i="5"/>
  <c r="L67" i="5"/>
  <c r="L69" i="5"/>
  <c r="L71" i="5"/>
  <c r="L73" i="5"/>
  <c r="L74" i="5"/>
  <c r="L75" i="5"/>
  <c r="L76" i="5"/>
  <c r="L77" i="5"/>
  <c r="L79" i="5"/>
  <c r="L81" i="5"/>
  <c r="L83" i="5"/>
  <c r="L84" i="5"/>
  <c r="L85" i="5"/>
  <c r="L86" i="5"/>
  <c r="L87" i="5"/>
  <c r="L89" i="5"/>
  <c r="L91" i="5"/>
  <c r="L93" i="5"/>
  <c r="L94" i="5"/>
  <c r="L95" i="5"/>
  <c r="L96" i="5"/>
  <c r="L97" i="5"/>
  <c r="L99" i="5"/>
  <c r="L101" i="5"/>
  <c r="L103" i="5"/>
  <c r="L104" i="5"/>
  <c r="L105" i="5"/>
  <c r="L106" i="5"/>
  <c r="L107" i="5"/>
  <c r="L109" i="5"/>
  <c r="L111" i="5"/>
  <c r="L113" i="5"/>
  <c r="L114" i="5"/>
  <c r="L115" i="5"/>
  <c r="L116" i="5"/>
  <c r="L117" i="5"/>
  <c r="L118" i="5"/>
  <c r="L119" i="5"/>
  <c r="L120" i="5"/>
  <c r="L121" i="5"/>
  <c r="L123" i="5"/>
  <c r="L124" i="5"/>
  <c r="L125" i="5"/>
  <c r="L126" i="5"/>
  <c r="L127" i="5"/>
  <c r="L129" i="5"/>
  <c r="L131" i="5"/>
  <c r="L133" i="5"/>
  <c r="L134" i="5"/>
  <c r="L135" i="5"/>
  <c r="L136" i="5"/>
  <c r="L137" i="5"/>
  <c r="L139" i="5"/>
  <c r="L140" i="5"/>
  <c r="L141" i="5"/>
  <c r="L143" i="5"/>
  <c r="L144" i="5"/>
  <c r="L145" i="5"/>
  <c r="L146" i="5"/>
  <c r="L147" i="5"/>
  <c r="L149" i="5"/>
  <c r="L151" i="5"/>
  <c r="L153" i="5"/>
  <c r="L154" i="5"/>
  <c r="L155" i="5"/>
  <c r="L156" i="5"/>
  <c r="L157" i="5"/>
  <c r="L159" i="5"/>
  <c r="L161" i="5"/>
  <c r="L163" i="5"/>
  <c r="L164" i="5"/>
  <c r="L165" i="5"/>
  <c r="L166" i="5"/>
  <c r="L167" i="5"/>
  <c r="L169" i="5"/>
  <c r="L171" i="5"/>
  <c r="L173" i="5"/>
  <c r="L174" i="5"/>
  <c r="L175" i="5"/>
  <c r="L176" i="5"/>
  <c r="L177" i="5"/>
  <c r="L179" i="5"/>
  <c r="L181" i="5"/>
  <c r="L183" i="5"/>
  <c r="L184" i="5"/>
  <c r="L185" i="5"/>
  <c r="L186" i="5"/>
  <c r="L187" i="5"/>
  <c r="L189" i="5"/>
  <c r="L191" i="5"/>
  <c r="L193" i="5"/>
  <c r="L194" i="5"/>
  <c r="L195" i="5"/>
  <c r="L196" i="5"/>
  <c r="L197" i="5"/>
  <c r="L198" i="5"/>
  <c r="L199" i="5"/>
  <c r="L201" i="5"/>
  <c r="L203" i="5"/>
  <c r="L204" i="5"/>
  <c r="L205" i="5"/>
  <c r="L206" i="5"/>
  <c r="L207" i="5"/>
  <c r="L209" i="5"/>
  <c r="L211" i="5"/>
  <c r="L213" i="5"/>
  <c r="L214" i="5"/>
  <c r="L215" i="5"/>
  <c r="L216" i="5"/>
  <c r="L217" i="5"/>
  <c r="L219" i="5"/>
  <c r="L220" i="5"/>
  <c r="L221" i="5"/>
  <c r="L223" i="5"/>
  <c r="L224" i="5"/>
  <c r="L225" i="5"/>
  <c r="L226" i="5"/>
  <c r="L227" i="5"/>
  <c r="L229" i="5"/>
  <c r="L231" i="5"/>
  <c r="L233" i="5"/>
  <c r="L234" i="5"/>
  <c r="L235" i="5"/>
  <c r="L236" i="5"/>
  <c r="L237" i="5"/>
  <c r="L239" i="5"/>
  <c r="L240" i="5"/>
  <c r="L241" i="5"/>
  <c r="L243" i="5"/>
  <c r="L244" i="5"/>
  <c r="L245" i="5"/>
  <c r="L246" i="5"/>
  <c r="L247" i="5"/>
  <c r="L249" i="5"/>
  <c r="L251" i="5"/>
  <c r="L253" i="5"/>
  <c r="L254" i="5"/>
  <c r="L255" i="5"/>
  <c r="L256" i="5"/>
  <c r="L257" i="5"/>
  <c r="L259" i="5"/>
  <c r="L261" i="5"/>
  <c r="L263" i="5"/>
  <c r="L264" i="5"/>
  <c r="L265" i="5"/>
  <c r="L266" i="5"/>
  <c r="L267" i="5"/>
  <c r="L269" i="5"/>
  <c r="L271" i="5"/>
  <c r="L273" i="5"/>
  <c r="L274" i="5"/>
  <c r="L275" i="5"/>
  <c r="L276" i="5"/>
  <c r="L277" i="5"/>
  <c r="L279" i="5"/>
  <c r="L281" i="5"/>
  <c r="L283" i="5"/>
  <c r="L284" i="5"/>
  <c r="L285" i="5"/>
  <c r="L286" i="5"/>
  <c r="L287" i="5"/>
  <c r="L289" i="5"/>
  <c r="L291" i="5"/>
  <c r="L293" i="5"/>
  <c r="L294" i="5"/>
  <c r="L295" i="5"/>
  <c r="L296" i="5"/>
  <c r="L297" i="5"/>
  <c r="L299" i="5"/>
  <c r="L301" i="5"/>
  <c r="L303" i="5"/>
  <c r="L304" i="5"/>
  <c r="L305" i="5"/>
  <c r="L306" i="5"/>
  <c r="L307" i="5"/>
  <c r="L309" i="5"/>
  <c r="L311" i="5"/>
  <c r="L313" i="5"/>
  <c r="L314" i="5"/>
  <c r="L315" i="5"/>
  <c r="L316" i="5"/>
  <c r="L317" i="5"/>
  <c r="L318" i="5"/>
  <c r="L319" i="5"/>
  <c r="L320" i="5"/>
  <c r="L321" i="5"/>
  <c r="L323" i="5"/>
  <c r="L324" i="5"/>
  <c r="L325" i="5"/>
  <c r="L326" i="5"/>
  <c r="L327" i="5"/>
  <c r="L329" i="5"/>
  <c r="L331" i="5"/>
  <c r="L333" i="5"/>
  <c r="L334" i="5"/>
  <c r="L335" i="5"/>
  <c r="L336" i="5"/>
  <c r="L337" i="5"/>
  <c r="L339" i="5"/>
  <c r="L340" i="5"/>
  <c r="L341" i="5"/>
  <c r="L343" i="5"/>
  <c r="L344" i="5"/>
  <c r="L345" i="5"/>
  <c r="L346" i="5"/>
  <c r="L347" i="5"/>
  <c r="L349" i="5"/>
  <c r="L351" i="5"/>
  <c r="L353" i="5"/>
  <c r="L354" i="5"/>
  <c r="L355" i="5"/>
  <c r="L356" i="5"/>
  <c r="L357" i="5"/>
  <c r="L359" i="5"/>
  <c r="L361" i="5"/>
  <c r="L363" i="5"/>
  <c r="L364" i="5"/>
  <c r="L365" i="5"/>
  <c r="L366" i="5"/>
  <c r="L367" i="5"/>
  <c r="L369" i="5"/>
  <c r="L371" i="5"/>
  <c r="L373" i="5"/>
  <c r="L374" i="5"/>
  <c r="L375" i="5"/>
  <c r="L376" i="5"/>
  <c r="L377" i="5"/>
  <c r="L379" i="5"/>
  <c r="L381" i="5"/>
  <c r="L383" i="5"/>
  <c r="L384" i="5"/>
  <c r="L385" i="5"/>
  <c r="L386" i="5"/>
  <c r="L387" i="5"/>
  <c r="L389" i="5"/>
  <c r="L391" i="5"/>
  <c r="L393" i="5"/>
  <c r="L394" i="5"/>
  <c r="L395" i="5"/>
  <c r="L396" i="5"/>
  <c r="L397" i="5"/>
  <c r="L399" i="5"/>
  <c r="L401" i="5"/>
  <c r="L403" i="5"/>
  <c r="L404" i="5"/>
  <c r="L405" i="5"/>
  <c r="L406" i="5"/>
  <c r="L407" i="5"/>
  <c r="L409" i="5"/>
  <c r="L411" i="5"/>
  <c r="L413" i="5"/>
  <c r="L414" i="5"/>
  <c r="L415" i="5"/>
  <c r="L416" i="5"/>
  <c r="L417" i="5"/>
  <c r="L419" i="5"/>
  <c r="L420" i="5"/>
  <c r="L421" i="5"/>
  <c r="L423" i="5"/>
  <c r="L424" i="5"/>
  <c r="L425" i="5"/>
  <c r="L426" i="5"/>
  <c r="L427" i="5"/>
  <c r="L429" i="5"/>
  <c r="L431" i="5"/>
  <c r="L433" i="5"/>
  <c r="L434" i="5"/>
  <c r="L435" i="5"/>
  <c r="L436" i="5"/>
  <c r="L437" i="5"/>
  <c r="L439" i="5"/>
  <c r="L440" i="5"/>
  <c r="L441" i="5"/>
  <c r="L443" i="5"/>
  <c r="M2" i="5"/>
  <c r="M3" i="5"/>
  <c r="M4" i="5"/>
  <c r="M5" i="5"/>
  <c r="M6" i="5"/>
  <c r="M7" i="5"/>
  <c r="M9" i="5"/>
  <c r="M11" i="5"/>
  <c r="M12" i="5"/>
  <c r="M13" i="5"/>
  <c r="M14" i="5"/>
  <c r="M15" i="5"/>
  <c r="M16" i="5"/>
  <c r="M17" i="5"/>
  <c r="M19" i="5"/>
  <c r="M21" i="5"/>
  <c r="M23" i="5"/>
  <c r="M24" i="5"/>
  <c r="M25" i="5"/>
  <c r="M26" i="5"/>
  <c r="M27" i="5"/>
  <c r="M29" i="5"/>
  <c r="M31" i="5"/>
  <c r="M32" i="5"/>
  <c r="M33" i="5"/>
  <c r="M34" i="5"/>
  <c r="M35" i="5"/>
  <c r="M36" i="5"/>
  <c r="M37" i="5"/>
  <c r="M39" i="5"/>
  <c r="M41" i="5"/>
  <c r="M43" i="5"/>
  <c r="M44" i="5"/>
  <c r="M45" i="5"/>
  <c r="M46" i="5"/>
  <c r="M47" i="5"/>
  <c r="M49" i="5"/>
  <c r="M51" i="5"/>
  <c r="M52" i="5"/>
  <c r="M53" i="5"/>
  <c r="M54" i="5"/>
  <c r="M55" i="5"/>
  <c r="M56" i="5"/>
  <c r="M57" i="5"/>
  <c r="M59" i="5"/>
  <c r="M61" i="5"/>
  <c r="M62" i="5"/>
  <c r="M63" i="5"/>
  <c r="M64" i="5"/>
  <c r="M65" i="5"/>
  <c r="M66" i="5"/>
  <c r="M67" i="5"/>
  <c r="M68" i="5"/>
  <c r="M69" i="5"/>
  <c r="M71" i="5"/>
  <c r="M73" i="5"/>
  <c r="M74" i="5"/>
  <c r="M75" i="5"/>
  <c r="M76" i="5"/>
  <c r="M77" i="5"/>
  <c r="M79" i="5"/>
  <c r="M81" i="5"/>
  <c r="M83" i="5"/>
  <c r="M84" i="5"/>
  <c r="M85" i="5"/>
  <c r="M86" i="5"/>
  <c r="M87" i="5"/>
  <c r="M89" i="5"/>
  <c r="M91" i="5"/>
  <c r="M93" i="5"/>
  <c r="M94" i="5"/>
  <c r="M95" i="5"/>
  <c r="M96" i="5"/>
  <c r="M97" i="5"/>
  <c r="M98" i="5"/>
  <c r="M99" i="5"/>
  <c r="M101" i="5"/>
  <c r="M102" i="5"/>
  <c r="M103" i="5"/>
  <c r="M104" i="5"/>
  <c r="M105" i="5"/>
  <c r="M106" i="5"/>
  <c r="M107" i="5"/>
  <c r="M109" i="5"/>
  <c r="M111" i="5"/>
  <c r="M112" i="5"/>
  <c r="M113" i="5"/>
  <c r="M114" i="5"/>
  <c r="M115" i="5"/>
  <c r="M116" i="5"/>
  <c r="M117" i="5"/>
  <c r="M119" i="5"/>
  <c r="M121" i="5"/>
  <c r="M122" i="5"/>
  <c r="M123" i="5"/>
  <c r="M124" i="5"/>
  <c r="M125" i="5"/>
  <c r="M126" i="5"/>
  <c r="M127" i="5"/>
  <c r="M129" i="5"/>
  <c r="M131" i="5"/>
  <c r="M132" i="5"/>
  <c r="M133" i="5"/>
  <c r="M134" i="5"/>
  <c r="M135" i="5"/>
  <c r="M136" i="5"/>
  <c r="M137" i="5"/>
  <c r="M139" i="5"/>
  <c r="M141" i="5"/>
  <c r="M142" i="5"/>
  <c r="M143" i="5"/>
  <c r="M144" i="5"/>
  <c r="M145" i="5"/>
  <c r="M146" i="5"/>
  <c r="M147" i="5"/>
  <c r="M149" i="5"/>
  <c r="M151" i="5"/>
  <c r="M152" i="5"/>
  <c r="M153" i="5"/>
  <c r="M154" i="5"/>
  <c r="M155" i="5"/>
  <c r="M156" i="5"/>
  <c r="M157" i="5"/>
  <c r="M159" i="5"/>
  <c r="M161" i="5"/>
  <c r="M163" i="5"/>
  <c r="M164" i="5"/>
  <c r="M165" i="5"/>
  <c r="M166" i="5"/>
  <c r="M167" i="5"/>
  <c r="M168" i="5"/>
  <c r="M169" i="5"/>
  <c r="M171" i="5"/>
  <c r="M173" i="5"/>
  <c r="M174" i="5"/>
  <c r="M175" i="5"/>
  <c r="M176" i="5"/>
  <c r="M177" i="5"/>
  <c r="M179" i="5"/>
  <c r="M181" i="5"/>
  <c r="M183" i="5"/>
  <c r="M184" i="5"/>
  <c r="M185" i="5"/>
  <c r="M186" i="5"/>
  <c r="M187" i="5"/>
  <c r="M189" i="5"/>
  <c r="M191" i="5"/>
  <c r="M193" i="5"/>
  <c r="M194" i="5"/>
  <c r="M195" i="5"/>
  <c r="M196" i="5"/>
  <c r="M197" i="5"/>
  <c r="M198" i="5"/>
  <c r="M199" i="5"/>
  <c r="M201" i="5"/>
  <c r="M202" i="5"/>
  <c r="M203" i="5"/>
  <c r="M204" i="5"/>
  <c r="M205" i="5"/>
  <c r="M206" i="5"/>
  <c r="M207" i="5"/>
  <c r="M209" i="5"/>
  <c r="M211" i="5"/>
  <c r="M212" i="5"/>
  <c r="M213" i="5"/>
  <c r="M214" i="5"/>
  <c r="M215" i="5"/>
  <c r="M216" i="5"/>
  <c r="M217" i="5"/>
  <c r="M219" i="5"/>
  <c r="M221" i="5"/>
  <c r="M222" i="5"/>
  <c r="M223" i="5"/>
  <c r="M224" i="5"/>
  <c r="M225" i="5"/>
  <c r="M226" i="5"/>
  <c r="M227" i="5"/>
  <c r="M229" i="5"/>
  <c r="M231" i="5"/>
  <c r="M232" i="5"/>
  <c r="M233" i="5"/>
  <c r="M234" i="5"/>
  <c r="M235" i="5"/>
  <c r="M236" i="5"/>
  <c r="M237" i="5"/>
  <c r="M239" i="5"/>
  <c r="M241" i="5"/>
  <c r="M243" i="5"/>
  <c r="M244" i="5"/>
  <c r="M245" i="5"/>
  <c r="M246" i="5"/>
  <c r="M247" i="5"/>
  <c r="M249" i="5"/>
  <c r="M251" i="5"/>
  <c r="M252" i="5"/>
  <c r="M253" i="5"/>
  <c r="M254" i="5"/>
  <c r="M255" i="5"/>
  <c r="M256" i="5"/>
  <c r="M257" i="5"/>
  <c r="M259" i="5"/>
  <c r="M261" i="5"/>
  <c r="M263" i="5"/>
  <c r="M264" i="5"/>
  <c r="M265" i="5"/>
  <c r="M266" i="5"/>
  <c r="M267" i="5"/>
  <c r="M268" i="5"/>
  <c r="M269" i="5"/>
  <c r="M271" i="5"/>
  <c r="M273" i="5"/>
  <c r="M274" i="5"/>
  <c r="M275" i="5"/>
  <c r="M276" i="5"/>
  <c r="M277" i="5"/>
  <c r="M279" i="5"/>
  <c r="M281" i="5"/>
  <c r="M283" i="5"/>
  <c r="M284" i="5"/>
  <c r="M285" i="5"/>
  <c r="M286" i="5"/>
  <c r="M287" i="5"/>
  <c r="M289" i="5"/>
  <c r="M291" i="5"/>
  <c r="M293" i="5"/>
  <c r="M294" i="5"/>
  <c r="M295" i="5"/>
  <c r="M296" i="5"/>
  <c r="M297" i="5"/>
  <c r="M298" i="5"/>
  <c r="M299" i="5"/>
  <c r="M301" i="5"/>
  <c r="M302" i="5"/>
  <c r="M303" i="5"/>
  <c r="M304" i="5"/>
  <c r="M305" i="5"/>
  <c r="M306" i="5"/>
  <c r="M307" i="5"/>
  <c r="M309" i="5"/>
  <c r="M311" i="5"/>
  <c r="M312" i="5"/>
  <c r="M313" i="5"/>
  <c r="M314" i="5"/>
  <c r="M315" i="5"/>
  <c r="M316" i="5"/>
  <c r="M317" i="5"/>
  <c r="M319" i="5"/>
  <c r="M321" i="5"/>
  <c r="M322" i="5"/>
  <c r="M323" i="5"/>
  <c r="M324" i="5"/>
  <c r="M325" i="5"/>
  <c r="M326" i="5"/>
  <c r="M327" i="5"/>
  <c r="M329" i="5"/>
  <c r="M331" i="5"/>
  <c r="M332" i="5"/>
  <c r="M333" i="5"/>
  <c r="M334" i="5"/>
  <c r="M335" i="5"/>
  <c r="M336" i="5"/>
  <c r="M337" i="5"/>
  <c r="M339" i="5"/>
  <c r="M341" i="5"/>
  <c r="M343" i="5"/>
  <c r="M344" i="5"/>
  <c r="M345" i="5"/>
  <c r="M346" i="5"/>
  <c r="M347" i="5"/>
  <c r="M349" i="5"/>
  <c r="M351" i="5"/>
  <c r="M352" i="5"/>
  <c r="M353" i="5"/>
  <c r="M354" i="5"/>
  <c r="M355" i="5"/>
  <c r="M356" i="5"/>
  <c r="M357" i="5"/>
  <c r="M359" i="5"/>
  <c r="M361" i="5"/>
  <c r="M363" i="5"/>
  <c r="M364" i="5"/>
  <c r="M365" i="5"/>
  <c r="M366" i="5"/>
  <c r="M367" i="5"/>
  <c r="M368" i="5"/>
  <c r="M369" i="5"/>
  <c r="M371" i="5"/>
  <c r="M373" i="5"/>
  <c r="M374" i="5"/>
  <c r="M375" i="5"/>
  <c r="M376" i="5"/>
  <c r="M377" i="5"/>
  <c r="M379" i="5"/>
  <c r="M381" i="5"/>
  <c r="M383" i="5"/>
  <c r="M384" i="5"/>
  <c r="M385" i="5"/>
  <c r="M386" i="5"/>
  <c r="M387" i="5"/>
  <c r="M389" i="5"/>
  <c r="M391" i="5"/>
  <c r="M393" i="5"/>
  <c r="M394" i="5"/>
  <c r="M395" i="5"/>
  <c r="M396" i="5"/>
  <c r="M397" i="5"/>
  <c r="M398" i="5"/>
  <c r="M399" i="5"/>
  <c r="M401" i="5"/>
  <c r="M402" i="5"/>
  <c r="M403" i="5"/>
  <c r="M404" i="5"/>
  <c r="M405" i="5"/>
  <c r="M406" i="5"/>
  <c r="M407" i="5"/>
  <c r="M409" i="5"/>
  <c r="M411" i="5"/>
  <c r="M412" i="5"/>
  <c r="M413" i="5"/>
  <c r="M414" i="5"/>
  <c r="M415" i="5"/>
  <c r="M416" i="5"/>
  <c r="M417" i="5"/>
  <c r="M419" i="5"/>
  <c r="M421" i="5"/>
  <c r="M422" i="5"/>
  <c r="M423" i="5"/>
  <c r="M424" i="5"/>
  <c r="M425" i="5"/>
  <c r="M426" i="5"/>
  <c r="M427" i="5"/>
  <c r="M429" i="5"/>
  <c r="M431" i="5"/>
  <c r="M432" i="5"/>
  <c r="M433" i="5"/>
  <c r="M434" i="5"/>
  <c r="M435" i="5"/>
  <c r="M436" i="5"/>
  <c r="M437" i="5"/>
  <c r="M439" i="5"/>
  <c r="M441" i="5"/>
  <c r="M443" i="5"/>
  <c r="N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V2" i="5"/>
  <c r="W2" i="5" s="1"/>
  <c r="V22" i="5"/>
  <c r="W22" i="5" s="1"/>
  <c r="X2" i="5"/>
  <c r="O2" i="5" s="1"/>
  <c r="P2" i="5" s="1"/>
  <c r="Q2" i="5" s="1"/>
  <c r="R2" i="5" s="1"/>
  <c r="S2" i="5" s="1"/>
  <c r="T2" i="5" s="1"/>
  <c r="U2" i="5" s="1"/>
  <c r="X3" i="5"/>
  <c r="O3" i="5" s="1"/>
  <c r="P3" i="5" s="1"/>
  <c r="Q3" i="5" s="1"/>
  <c r="R3" i="5" s="1"/>
  <c r="S3" i="5" s="1"/>
  <c r="T3" i="5" s="1"/>
  <c r="U3" i="5" s="1"/>
  <c r="V3" i="5" s="1"/>
  <c r="W3" i="5" s="1"/>
  <c r="X4" i="5"/>
  <c r="O4" i="5" s="1"/>
  <c r="P4" i="5" s="1"/>
  <c r="Q4" i="5" s="1"/>
  <c r="R4" i="5" s="1"/>
  <c r="S4" i="5" s="1"/>
  <c r="T4" i="5" s="1"/>
  <c r="U4" i="5" s="1"/>
  <c r="V4" i="5" s="1"/>
  <c r="W4" i="5" s="1"/>
  <c r="X5" i="5"/>
  <c r="O5" i="5" s="1"/>
  <c r="P5" i="5" s="1"/>
  <c r="Q5" i="5" s="1"/>
  <c r="R5" i="5" s="1"/>
  <c r="S5" i="5" s="1"/>
  <c r="T5" i="5" s="1"/>
  <c r="U5" i="5" s="1"/>
  <c r="V5" i="5" s="1"/>
  <c r="W5" i="5" s="1"/>
  <c r="X6" i="5"/>
  <c r="O6" i="5" s="1"/>
  <c r="P6" i="5" s="1"/>
  <c r="Q6" i="5" s="1"/>
  <c r="R6" i="5" s="1"/>
  <c r="S6" i="5" s="1"/>
  <c r="T6" i="5" s="1"/>
  <c r="U6" i="5" s="1"/>
  <c r="V6" i="5" s="1"/>
  <c r="W6" i="5" s="1"/>
  <c r="X7" i="5"/>
  <c r="O7" i="5" s="1"/>
  <c r="P7" i="5" s="1"/>
  <c r="Q7" i="5" s="1"/>
  <c r="R7" i="5" s="1"/>
  <c r="S7" i="5" s="1"/>
  <c r="T7" i="5" s="1"/>
  <c r="U7" i="5" s="1"/>
  <c r="V7" i="5" s="1"/>
  <c r="W7" i="5" s="1"/>
  <c r="X8" i="5"/>
  <c r="O8" i="5" s="1"/>
  <c r="P8" i="5" s="1"/>
  <c r="Q8" i="5" s="1"/>
  <c r="R8" i="5" s="1"/>
  <c r="S8" i="5" s="1"/>
  <c r="T8" i="5" s="1"/>
  <c r="U8" i="5" s="1"/>
  <c r="V8" i="5" s="1"/>
  <c r="W8" i="5" s="1"/>
  <c r="X9" i="5"/>
  <c r="O9" i="5" s="1"/>
  <c r="P9" i="5" s="1"/>
  <c r="Q9" i="5" s="1"/>
  <c r="R9" i="5" s="1"/>
  <c r="S9" i="5" s="1"/>
  <c r="T9" i="5" s="1"/>
  <c r="U9" i="5" s="1"/>
  <c r="V9" i="5" s="1"/>
  <c r="W9" i="5" s="1"/>
  <c r="X10" i="5"/>
  <c r="X11" i="5"/>
  <c r="X12" i="5"/>
  <c r="O12" i="5" s="1"/>
  <c r="P12" i="5" s="1"/>
  <c r="Q12" i="5" s="1"/>
  <c r="R12" i="5" s="1"/>
  <c r="S12" i="5" s="1"/>
  <c r="T12" i="5" s="1"/>
  <c r="U12" i="5" s="1"/>
  <c r="V12" i="5" s="1"/>
  <c r="W12" i="5" s="1"/>
  <c r="X13" i="5"/>
  <c r="O13" i="5" s="1"/>
  <c r="P13" i="5" s="1"/>
  <c r="Q13" i="5" s="1"/>
  <c r="R13" i="5" s="1"/>
  <c r="S13" i="5" s="1"/>
  <c r="T13" i="5" s="1"/>
  <c r="U13" i="5" s="1"/>
  <c r="V13" i="5" s="1"/>
  <c r="W13" i="5" s="1"/>
  <c r="X14" i="5"/>
  <c r="O14" i="5" s="1"/>
  <c r="P14" i="5" s="1"/>
  <c r="Q14" i="5" s="1"/>
  <c r="R14" i="5" s="1"/>
  <c r="S14" i="5" s="1"/>
  <c r="T14" i="5" s="1"/>
  <c r="U14" i="5" s="1"/>
  <c r="V14" i="5" s="1"/>
  <c r="W14" i="5" s="1"/>
  <c r="X15" i="5"/>
  <c r="O15" i="5" s="1"/>
  <c r="P15" i="5" s="1"/>
  <c r="Q15" i="5" s="1"/>
  <c r="R15" i="5" s="1"/>
  <c r="S15" i="5" s="1"/>
  <c r="T15" i="5" s="1"/>
  <c r="U15" i="5" s="1"/>
  <c r="V15" i="5" s="1"/>
  <c r="W15" i="5" s="1"/>
  <c r="X16" i="5"/>
  <c r="O16" i="5" s="1"/>
  <c r="P16" i="5" s="1"/>
  <c r="Q16" i="5" s="1"/>
  <c r="R16" i="5" s="1"/>
  <c r="S16" i="5" s="1"/>
  <c r="T16" i="5" s="1"/>
  <c r="U16" i="5" s="1"/>
  <c r="V16" i="5" s="1"/>
  <c r="W16" i="5" s="1"/>
  <c r="X17" i="5"/>
  <c r="O17" i="5" s="1"/>
  <c r="P17" i="5" s="1"/>
  <c r="Q17" i="5" s="1"/>
  <c r="R17" i="5" s="1"/>
  <c r="S17" i="5" s="1"/>
  <c r="T17" i="5" s="1"/>
  <c r="U17" i="5" s="1"/>
  <c r="V17" i="5" s="1"/>
  <c r="W17" i="5" s="1"/>
  <c r="X18" i="5"/>
  <c r="O18" i="5" s="1"/>
  <c r="P18" i="5" s="1"/>
  <c r="Q18" i="5" s="1"/>
  <c r="R18" i="5" s="1"/>
  <c r="S18" i="5" s="1"/>
  <c r="T18" i="5" s="1"/>
  <c r="U18" i="5" s="1"/>
  <c r="V18" i="5" s="1"/>
  <c r="W18" i="5" s="1"/>
  <c r="X19" i="5"/>
  <c r="O19" i="5" s="1"/>
  <c r="P19" i="5" s="1"/>
  <c r="Q19" i="5" s="1"/>
  <c r="R19" i="5" s="1"/>
  <c r="S19" i="5" s="1"/>
  <c r="T19" i="5" s="1"/>
  <c r="U19" i="5" s="1"/>
  <c r="V19" i="5" s="1"/>
  <c r="W19" i="5" s="1"/>
  <c r="X20" i="5"/>
  <c r="O20" i="5" s="1"/>
  <c r="P20" i="5" s="1"/>
  <c r="Q20" i="5" s="1"/>
  <c r="R20" i="5" s="1"/>
  <c r="S20" i="5" s="1"/>
  <c r="T20" i="5" s="1"/>
  <c r="U20" i="5" s="1"/>
  <c r="V20" i="5" s="1"/>
  <c r="W20" i="5" s="1"/>
  <c r="X21" i="5"/>
  <c r="O21" i="5" s="1"/>
  <c r="P21" i="5" s="1"/>
  <c r="Q21" i="5" s="1"/>
  <c r="R21" i="5" s="1"/>
  <c r="S21" i="5" s="1"/>
  <c r="T21" i="5" s="1"/>
  <c r="U21" i="5" s="1"/>
  <c r="V21" i="5" s="1"/>
  <c r="W21" i="5" s="1"/>
  <c r="X22" i="5"/>
  <c r="O22" i="5" s="1"/>
  <c r="P22" i="5" s="1"/>
  <c r="Q22" i="5" s="1"/>
  <c r="R22" i="5" s="1"/>
  <c r="S22" i="5" s="1"/>
  <c r="T22" i="5" s="1"/>
  <c r="U22" i="5" s="1"/>
  <c r="X23" i="5"/>
  <c r="O23" i="5" s="1"/>
  <c r="P23" i="5" s="1"/>
  <c r="Q23" i="5" s="1"/>
  <c r="R23" i="5" s="1"/>
  <c r="S23" i="5" s="1"/>
  <c r="T23" i="5" s="1"/>
  <c r="U23" i="5" s="1"/>
  <c r="V23" i="5" s="1"/>
  <c r="W23" i="5" s="1"/>
  <c r="X24" i="5"/>
  <c r="O24" i="5" s="1"/>
  <c r="P24" i="5" s="1"/>
  <c r="Q24" i="5" s="1"/>
  <c r="R24" i="5" s="1"/>
  <c r="S24" i="5" s="1"/>
  <c r="T24" i="5" s="1"/>
  <c r="U24" i="5" s="1"/>
  <c r="V24" i="5" s="1"/>
  <c r="W24" i="5" s="1"/>
  <c r="X25" i="5"/>
  <c r="O25" i="5" s="1"/>
  <c r="P25" i="5" s="1"/>
  <c r="Q25" i="5" s="1"/>
  <c r="R25" i="5" s="1"/>
  <c r="S25" i="5" s="1"/>
  <c r="T25" i="5" s="1"/>
  <c r="U25" i="5" s="1"/>
  <c r="V25" i="5" s="1"/>
  <c r="W25" i="5" s="1"/>
  <c r="X26" i="5"/>
  <c r="O26" i="5" s="1"/>
  <c r="P26" i="5" s="1"/>
  <c r="Q26" i="5" s="1"/>
  <c r="R26" i="5" s="1"/>
  <c r="S26" i="5" s="1"/>
  <c r="T26" i="5" s="1"/>
  <c r="U26" i="5" s="1"/>
  <c r="V26" i="5" s="1"/>
  <c r="W26" i="5" s="1"/>
  <c r="X27" i="5"/>
  <c r="O27" i="5" s="1"/>
  <c r="P27" i="5" s="1"/>
  <c r="Q27" i="5" s="1"/>
  <c r="R27" i="5" s="1"/>
  <c r="S27" i="5" s="1"/>
  <c r="T27" i="5" s="1"/>
  <c r="U27" i="5" s="1"/>
  <c r="V27" i="5" s="1"/>
  <c r="W27" i="5" s="1"/>
  <c r="X28" i="5"/>
  <c r="O28" i="5" s="1"/>
  <c r="P28" i="5" s="1"/>
  <c r="Q28" i="5" s="1"/>
  <c r="R28" i="5" s="1"/>
  <c r="S28" i="5" s="1"/>
  <c r="T28" i="5" s="1"/>
  <c r="U28" i="5" s="1"/>
  <c r="V28" i="5" s="1"/>
  <c r="W28" i="5" s="1"/>
  <c r="X29" i="5"/>
  <c r="O29" i="5" s="1"/>
  <c r="P29" i="5" s="1"/>
  <c r="Q29" i="5" s="1"/>
  <c r="R29" i="5" s="1"/>
  <c r="S29" i="5" s="1"/>
  <c r="T29" i="5" s="1"/>
  <c r="U29" i="5" s="1"/>
  <c r="V29" i="5" s="1"/>
  <c r="W29" i="5" s="1"/>
  <c r="X30" i="5"/>
  <c r="X31" i="5"/>
  <c r="O31" i="5" s="1"/>
  <c r="P31" i="5" s="1"/>
  <c r="Q31" i="5" s="1"/>
  <c r="R31" i="5" s="1"/>
  <c r="S31" i="5" s="1"/>
  <c r="T31" i="5" s="1"/>
  <c r="U31" i="5" s="1"/>
  <c r="V31" i="5" s="1"/>
  <c r="W31" i="5" s="1"/>
  <c r="X32" i="5"/>
  <c r="O32" i="5" s="1"/>
  <c r="P32" i="5" s="1"/>
  <c r="Q32" i="5" s="1"/>
  <c r="R32" i="5" s="1"/>
  <c r="S32" i="5" s="1"/>
  <c r="T32" i="5" s="1"/>
  <c r="U32" i="5" s="1"/>
  <c r="V32" i="5" s="1"/>
  <c r="W32" i="5" s="1"/>
  <c r="X33" i="5"/>
  <c r="O33" i="5" s="1"/>
  <c r="P33" i="5" s="1"/>
  <c r="Q33" i="5" s="1"/>
  <c r="R33" i="5" s="1"/>
  <c r="S33" i="5" s="1"/>
  <c r="T33" i="5" s="1"/>
  <c r="U33" i="5" s="1"/>
  <c r="V33" i="5" s="1"/>
  <c r="W33" i="5" s="1"/>
  <c r="X34" i="5"/>
  <c r="O34" i="5" s="1"/>
  <c r="P34" i="5" s="1"/>
  <c r="Q34" i="5" s="1"/>
  <c r="R34" i="5" s="1"/>
  <c r="S34" i="5" s="1"/>
  <c r="T34" i="5" s="1"/>
  <c r="U34" i="5" s="1"/>
  <c r="V34" i="5" s="1"/>
  <c r="W34" i="5" s="1"/>
  <c r="X35" i="5"/>
  <c r="O35" i="5" s="1"/>
  <c r="P35" i="5" s="1"/>
  <c r="Q35" i="5" s="1"/>
  <c r="R35" i="5" s="1"/>
  <c r="S35" i="5" s="1"/>
  <c r="T35" i="5" s="1"/>
  <c r="U35" i="5" s="1"/>
  <c r="V35" i="5" s="1"/>
  <c r="W35" i="5" s="1"/>
  <c r="X36" i="5"/>
  <c r="O36" i="5" s="1"/>
  <c r="P36" i="5" s="1"/>
  <c r="Q36" i="5" s="1"/>
  <c r="R36" i="5" s="1"/>
  <c r="S36" i="5" s="1"/>
  <c r="T36" i="5" s="1"/>
  <c r="U36" i="5" s="1"/>
  <c r="V36" i="5" s="1"/>
  <c r="W36" i="5" s="1"/>
  <c r="X37" i="5"/>
  <c r="O37" i="5" s="1"/>
  <c r="P37" i="5" s="1"/>
  <c r="Q37" i="5" s="1"/>
  <c r="R37" i="5" s="1"/>
  <c r="S37" i="5" s="1"/>
  <c r="T37" i="5" s="1"/>
  <c r="U37" i="5" s="1"/>
  <c r="V37" i="5" s="1"/>
  <c r="W37" i="5" s="1"/>
  <c r="X38" i="5"/>
  <c r="O38" i="5" s="1"/>
  <c r="P38" i="5" s="1"/>
  <c r="Q38" i="5" s="1"/>
  <c r="R38" i="5" s="1"/>
  <c r="S38" i="5" s="1"/>
  <c r="T38" i="5" s="1"/>
  <c r="U38" i="5" s="1"/>
  <c r="V38" i="5" s="1"/>
  <c r="W38" i="5" s="1"/>
  <c r="X39" i="5"/>
  <c r="O39" i="5" s="1"/>
  <c r="P39" i="5" s="1"/>
  <c r="Q39" i="5" s="1"/>
  <c r="R39" i="5" s="1"/>
  <c r="S39" i="5" s="1"/>
  <c r="T39" i="5" s="1"/>
  <c r="U39" i="5" s="1"/>
  <c r="V39" i="5" s="1"/>
  <c r="W39" i="5" s="1"/>
  <c r="X40" i="5"/>
  <c r="X41" i="5"/>
  <c r="O41" i="5" s="1"/>
  <c r="P41" i="5" s="1"/>
  <c r="Q41" i="5" s="1"/>
  <c r="R41" i="5" s="1"/>
  <c r="S41" i="5" s="1"/>
  <c r="T41" i="5" s="1"/>
  <c r="U41" i="5" s="1"/>
  <c r="V41" i="5" s="1"/>
  <c r="W41" i="5" s="1"/>
  <c r="X42" i="5"/>
  <c r="O42" i="5" s="1"/>
  <c r="P42" i="5" s="1"/>
  <c r="Q42" i="5" s="1"/>
  <c r="R42" i="5" s="1"/>
  <c r="S42" i="5" s="1"/>
  <c r="T42" i="5" s="1"/>
  <c r="U42" i="5" s="1"/>
  <c r="V42" i="5" s="1"/>
  <c r="W42" i="5" s="1"/>
  <c r="X43" i="5"/>
  <c r="O43" i="5" s="1"/>
  <c r="P43" i="5" s="1"/>
  <c r="Q43" i="5" s="1"/>
  <c r="R43" i="5" s="1"/>
  <c r="S43" i="5" s="1"/>
  <c r="T43" i="5" s="1"/>
  <c r="U43" i="5" s="1"/>
  <c r="V43" i="5" s="1"/>
  <c r="W43" i="5" s="1"/>
  <c r="X44" i="5"/>
  <c r="O44" i="5" s="1"/>
  <c r="P44" i="5" s="1"/>
  <c r="Q44" i="5" s="1"/>
  <c r="R44" i="5" s="1"/>
  <c r="S44" i="5" s="1"/>
  <c r="T44" i="5" s="1"/>
  <c r="U44" i="5" s="1"/>
  <c r="V44" i="5" s="1"/>
  <c r="W44" i="5" s="1"/>
  <c r="X45" i="5"/>
  <c r="O45" i="5" s="1"/>
  <c r="P45" i="5" s="1"/>
  <c r="Q45" i="5" s="1"/>
  <c r="R45" i="5" s="1"/>
  <c r="S45" i="5" s="1"/>
  <c r="T45" i="5" s="1"/>
  <c r="U45" i="5" s="1"/>
  <c r="V45" i="5" s="1"/>
  <c r="W45" i="5" s="1"/>
  <c r="X46" i="5"/>
  <c r="O46" i="5" s="1"/>
  <c r="P46" i="5" s="1"/>
  <c r="Q46" i="5" s="1"/>
  <c r="R46" i="5" s="1"/>
  <c r="S46" i="5" s="1"/>
  <c r="T46" i="5" s="1"/>
  <c r="U46" i="5" s="1"/>
  <c r="V46" i="5" s="1"/>
  <c r="W46" i="5" s="1"/>
  <c r="X47" i="5"/>
  <c r="O47" i="5" s="1"/>
  <c r="P47" i="5" s="1"/>
  <c r="Q47" i="5" s="1"/>
  <c r="R47" i="5" s="1"/>
  <c r="S47" i="5" s="1"/>
  <c r="T47" i="5" s="1"/>
  <c r="U47" i="5" s="1"/>
  <c r="V47" i="5" s="1"/>
  <c r="W47" i="5" s="1"/>
  <c r="X48" i="5"/>
  <c r="O48" i="5" s="1"/>
  <c r="P48" i="5" s="1"/>
  <c r="Q48" i="5" s="1"/>
  <c r="R48" i="5" s="1"/>
  <c r="S48" i="5" s="1"/>
  <c r="T48" i="5" s="1"/>
  <c r="U48" i="5" s="1"/>
  <c r="V48" i="5" s="1"/>
  <c r="W48" i="5" s="1"/>
  <c r="X49" i="5"/>
  <c r="O49" i="5" s="1"/>
  <c r="P49" i="5" s="1"/>
  <c r="Q49" i="5" s="1"/>
  <c r="R49" i="5" s="1"/>
  <c r="S49" i="5" s="1"/>
  <c r="T49" i="5" s="1"/>
  <c r="U49" i="5" s="1"/>
  <c r="V49" i="5" s="1"/>
  <c r="W49" i="5" s="1"/>
  <c r="X50" i="5"/>
  <c r="O50" i="5" s="1"/>
  <c r="P50" i="5" s="1"/>
  <c r="Q50" i="5" s="1"/>
  <c r="R50" i="5" s="1"/>
  <c r="S50" i="5" s="1"/>
  <c r="T50" i="5" s="1"/>
  <c r="U50" i="5" s="1"/>
  <c r="V50" i="5" s="1"/>
  <c r="W50" i="5" s="1"/>
  <c r="X51" i="5"/>
  <c r="X52" i="5"/>
  <c r="O52" i="5" s="1"/>
  <c r="P52" i="5" s="1"/>
  <c r="Q52" i="5" s="1"/>
  <c r="R52" i="5" s="1"/>
  <c r="S52" i="5" s="1"/>
  <c r="T52" i="5" s="1"/>
  <c r="U52" i="5" s="1"/>
  <c r="V52" i="5" s="1"/>
  <c r="W52" i="5" s="1"/>
  <c r="X53" i="5"/>
  <c r="O53" i="5" s="1"/>
  <c r="P53" i="5" s="1"/>
  <c r="Q53" i="5" s="1"/>
  <c r="R53" i="5" s="1"/>
  <c r="S53" i="5" s="1"/>
  <c r="T53" i="5" s="1"/>
  <c r="U53" i="5" s="1"/>
  <c r="V53" i="5" s="1"/>
  <c r="W53" i="5" s="1"/>
  <c r="X54" i="5"/>
  <c r="O54" i="5" s="1"/>
  <c r="P54" i="5" s="1"/>
  <c r="Q54" i="5" s="1"/>
  <c r="R54" i="5" s="1"/>
  <c r="S54" i="5" s="1"/>
  <c r="T54" i="5" s="1"/>
  <c r="U54" i="5" s="1"/>
  <c r="V54" i="5" s="1"/>
  <c r="W54" i="5" s="1"/>
  <c r="X55" i="5"/>
  <c r="O55" i="5" s="1"/>
  <c r="P55" i="5" s="1"/>
  <c r="Q55" i="5" s="1"/>
  <c r="R55" i="5" s="1"/>
  <c r="S55" i="5" s="1"/>
  <c r="T55" i="5" s="1"/>
  <c r="U55" i="5" s="1"/>
  <c r="V55" i="5" s="1"/>
  <c r="W55" i="5" s="1"/>
  <c r="X56" i="5"/>
  <c r="O56" i="5" s="1"/>
  <c r="P56" i="5" s="1"/>
  <c r="Q56" i="5" s="1"/>
  <c r="R56" i="5" s="1"/>
  <c r="S56" i="5" s="1"/>
  <c r="T56" i="5" s="1"/>
  <c r="U56" i="5" s="1"/>
  <c r="V56" i="5" s="1"/>
  <c r="W56" i="5" s="1"/>
  <c r="X57" i="5"/>
  <c r="O57" i="5" s="1"/>
  <c r="P57" i="5" s="1"/>
  <c r="Q57" i="5" s="1"/>
  <c r="R57" i="5" s="1"/>
  <c r="S57" i="5" s="1"/>
  <c r="T57" i="5" s="1"/>
  <c r="U57" i="5" s="1"/>
  <c r="V57" i="5" s="1"/>
  <c r="W57" i="5" s="1"/>
  <c r="X58" i="5"/>
  <c r="O58" i="5" s="1"/>
  <c r="P58" i="5" s="1"/>
  <c r="Q58" i="5" s="1"/>
  <c r="R58" i="5" s="1"/>
  <c r="S58" i="5" s="1"/>
  <c r="T58" i="5" s="1"/>
  <c r="U58" i="5" s="1"/>
  <c r="V58" i="5" s="1"/>
  <c r="W58" i="5" s="1"/>
  <c r="X59" i="5"/>
  <c r="O59" i="5" s="1"/>
  <c r="P59" i="5" s="1"/>
  <c r="Q59" i="5" s="1"/>
  <c r="R59" i="5" s="1"/>
  <c r="S59" i="5" s="1"/>
  <c r="T59" i="5" s="1"/>
  <c r="U59" i="5" s="1"/>
  <c r="V59" i="5" s="1"/>
  <c r="W59" i="5" s="1"/>
  <c r="X60" i="5"/>
  <c r="X61" i="5"/>
  <c r="O61" i="5" s="1"/>
  <c r="P61" i="5" s="1"/>
  <c r="Q61" i="5" s="1"/>
  <c r="R61" i="5" s="1"/>
  <c r="S61" i="5" s="1"/>
  <c r="T61" i="5" s="1"/>
  <c r="U61" i="5" s="1"/>
  <c r="V61" i="5" s="1"/>
  <c r="W61" i="5" s="1"/>
  <c r="X62" i="5"/>
  <c r="O62" i="5" s="1"/>
  <c r="P62" i="5" s="1"/>
  <c r="Q62" i="5" s="1"/>
  <c r="R62" i="5" s="1"/>
  <c r="S62" i="5" s="1"/>
  <c r="T62" i="5" s="1"/>
  <c r="U62" i="5" s="1"/>
  <c r="V62" i="5" s="1"/>
  <c r="W62" i="5" s="1"/>
  <c r="X63" i="5"/>
  <c r="O63" i="5" s="1"/>
  <c r="P63" i="5" s="1"/>
  <c r="Q63" i="5" s="1"/>
  <c r="R63" i="5" s="1"/>
  <c r="S63" i="5" s="1"/>
  <c r="T63" i="5" s="1"/>
  <c r="U63" i="5" s="1"/>
  <c r="V63" i="5" s="1"/>
  <c r="W63" i="5" s="1"/>
  <c r="X64" i="5"/>
  <c r="O64" i="5" s="1"/>
  <c r="P64" i="5" s="1"/>
  <c r="Q64" i="5" s="1"/>
  <c r="R64" i="5" s="1"/>
  <c r="S64" i="5" s="1"/>
  <c r="T64" i="5" s="1"/>
  <c r="U64" i="5" s="1"/>
  <c r="V64" i="5" s="1"/>
  <c r="W64" i="5" s="1"/>
  <c r="X65" i="5"/>
  <c r="O65" i="5" s="1"/>
  <c r="P65" i="5" s="1"/>
  <c r="Q65" i="5" s="1"/>
  <c r="R65" i="5" s="1"/>
  <c r="S65" i="5" s="1"/>
  <c r="T65" i="5" s="1"/>
  <c r="U65" i="5" s="1"/>
  <c r="V65" i="5" s="1"/>
  <c r="W65" i="5" s="1"/>
  <c r="X66" i="5"/>
  <c r="O66" i="5" s="1"/>
  <c r="P66" i="5" s="1"/>
  <c r="Q66" i="5" s="1"/>
  <c r="R66" i="5" s="1"/>
  <c r="S66" i="5" s="1"/>
  <c r="T66" i="5" s="1"/>
  <c r="U66" i="5" s="1"/>
  <c r="V66" i="5" s="1"/>
  <c r="W66" i="5" s="1"/>
  <c r="X67" i="5"/>
  <c r="O67" i="5" s="1"/>
  <c r="P67" i="5" s="1"/>
  <c r="Q67" i="5" s="1"/>
  <c r="R67" i="5" s="1"/>
  <c r="S67" i="5" s="1"/>
  <c r="T67" i="5" s="1"/>
  <c r="U67" i="5" s="1"/>
  <c r="V67" i="5" s="1"/>
  <c r="W67" i="5" s="1"/>
  <c r="X68" i="5"/>
  <c r="O68" i="5" s="1"/>
  <c r="P68" i="5" s="1"/>
  <c r="Q68" i="5" s="1"/>
  <c r="R68" i="5" s="1"/>
  <c r="S68" i="5" s="1"/>
  <c r="T68" i="5" s="1"/>
  <c r="U68" i="5" s="1"/>
  <c r="V68" i="5" s="1"/>
  <c r="W68" i="5" s="1"/>
  <c r="X69" i="5"/>
  <c r="O69" i="5" s="1"/>
  <c r="P69" i="5" s="1"/>
  <c r="Q69" i="5" s="1"/>
  <c r="R69" i="5" s="1"/>
  <c r="S69" i="5" s="1"/>
  <c r="T69" i="5" s="1"/>
  <c r="U69" i="5" s="1"/>
  <c r="V69" i="5" s="1"/>
  <c r="W69" i="5" s="1"/>
  <c r="X70" i="5"/>
  <c r="X71" i="5"/>
  <c r="O71" i="5" s="1"/>
  <c r="P71" i="5" s="1"/>
  <c r="Q71" i="5" s="1"/>
  <c r="R71" i="5" s="1"/>
  <c r="S71" i="5" s="1"/>
  <c r="T71" i="5" s="1"/>
  <c r="U71" i="5" s="1"/>
  <c r="V71" i="5" s="1"/>
  <c r="W71" i="5" s="1"/>
  <c r="X72" i="5"/>
  <c r="O72" i="5" s="1"/>
  <c r="P72" i="5" s="1"/>
  <c r="Q72" i="5" s="1"/>
  <c r="R72" i="5" s="1"/>
  <c r="S72" i="5" s="1"/>
  <c r="T72" i="5" s="1"/>
  <c r="U72" i="5" s="1"/>
  <c r="V72" i="5" s="1"/>
  <c r="W72" i="5" s="1"/>
  <c r="X73" i="5"/>
  <c r="O73" i="5" s="1"/>
  <c r="P73" i="5" s="1"/>
  <c r="Q73" i="5" s="1"/>
  <c r="R73" i="5" s="1"/>
  <c r="S73" i="5" s="1"/>
  <c r="T73" i="5" s="1"/>
  <c r="U73" i="5" s="1"/>
  <c r="V73" i="5" s="1"/>
  <c r="W73" i="5" s="1"/>
  <c r="X74" i="5"/>
  <c r="O74" i="5" s="1"/>
  <c r="P74" i="5" s="1"/>
  <c r="Q74" i="5" s="1"/>
  <c r="R74" i="5" s="1"/>
  <c r="S74" i="5" s="1"/>
  <c r="T74" i="5" s="1"/>
  <c r="U74" i="5" s="1"/>
  <c r="V74" i="5" s="1"/>
  <c r="W74" i="5" s="1"/>
  <c r="X75" i="5"/>
  <c r="O75" i="5" s="1"/>
  <c r="P75" i="5" s="1"/>
  <c r="Q75" i="5" s="1"/>
  <c r="R75" i="5" s="1"/>
  <c r="S75" i="5" s="1"/>
  <c r="T75" i="5" s="1"/>
  <c r="U75" i="5" s="1"/>
  <c r="V75" i="5" s="1"/>
  <c r="W75" i="5" s="1"/>
  <c r="X76" i="5"/>
  <c r="O76" i="5" s="1"/>
  <c r="P76" i="5" s="1"/>
  <c r="Q76" i="5" s="1"/>
  <c r="R76" i="5" s="1"/>
  <c r="S76" i="5" s="1"/>
  <c r="T76" i="5" s="1"/>
  <c r="U76" i="5" s="1"/>
  <c r="V76" i="5" s="1"/>
  <c r="W76" i="5" s="1"/>
  <c r="X77" i="5"/>
  <c r="O77" i="5" s="1"/>
  <c r="P77" i="5" s="1"/>
  <c r="Q77" i="5" s="1"/>
  <c r="R77" i="5" s="1"/>
  <c r="S77" i="5" s="1"/>
  <c r="T77" i="5" s="1"/>
  <c r="U77" i="5" s="1"/>
  <c r="V77" i="5" s="1"/>
  <c r="W77" i="5" s="1"/>
  <c r="X78" i="5"/>
  <c r="O78" i="5" s="1"/>
  <c r="P78" i="5" s="1"/>
  <c r="Q78" i="5" s="1"/>
  <c r="R78" i="5" s="1"/>
  <c r="S78" i="5" s="1"/>
  <c r="T78" i="5" s="1"/>
  <c r="U78" i="5" s="1"/>
  <c r="V78" i="5" s="1"/>
  <c r="W78" i="5" s="1"/>
  <c r="X79" i="5"/>
  <c r="O79" i="5" s="1"/>
  <c r="P79" i="5" s="1"/>
  <c r="Q79" i="5" s="1"/>
  <c r="R79" i="5" s="1"/>
  <c r="S79" i="5" s="1"/>
  <c r="T79" i="5" s="1"/>
  <c r="U79" i="5" s="1"/>
  <c r="V79" i="5" s="1"/>
  <c r="W79" i="5" s="1"/>
  <c r="X80" i="5"/>
  <c r="X81" i="5"/>
  <c r="X82" i="5"/>
  <c r="O82" i="5" s="1"/>
  <c r="P82" i="5" s="1"/>
  <c r="Q82" i="5" s="1"/>
  <c r="R82" i="5" s="1"/>
  <c r="S82" i="5" s="1"/>
  <c r="T82" i="5" s="1"/>
  <c r="U82" i="5" s="1"/>
  <c r="V82" i="5" s="1"/>
  <c r="W82" i="5" s="1"/>
  <c r="X83" i="5"/>
  <c r="O83" i="5" s="1"/>
  <c r="P83" i="5" s="1"/>
  <c r="Q83" i="5" s="1"/>
  <c r="R83" i="5" s="1"/>
  <c r="S83" i="5" s="1"/>
  <c r="T83" i="5" s="1"/>
  <c r="U83" i="5" s="1"/>
  <c r="V83" i="5" s="1"/>
  <c r="W83" i="5" s="1"/>
  <c r="X84" i="5"/>
  <c r="O84" i="5" s="1"/>
  <c r="P84" i="5" s="1"/>
  <c r="Q84" i="5" s="1"/>
  <c r="R84" i="5" s="1"/>
  <c r="S84" i="5" s="1"/>
  <c r="T84" i="5" s="1"/>
  <c r="U84" i="5" s="1"/>
  <c r="V84" i="5" s="1"/>
  <c r="W84" i="5" s="1"/>
  <c r="X85" i="5"/>
  <c r="O85" i="5" s="1"/>
  <c r="P85" i="5" s="1"/>
  <c r="Q85" i="5" s="1"/>
  <c r="R85" i="5" s="1"/>
  <c r="S85" i="5" s="1"/>
  <c r="T85" i="5" s="1"/>
  <c r="U85" i="5" s="1"/>
  <c r="V85" i="5" s="1"/>
  <c r="W85" i="5" s="1"/>
  <c r="X86" i="5"/>
  <c r="O86" i="5" s="1"/>
  <c r="P86" i="5" s="1"/>
  <c r="Q86" i="5" s="1"/>
  <c r="R86" i="5" s="1"/>
  <c r="S86" i="5" s="1"/>
  <c r="T86" i="5" s="1"/>
  <c r="U86" i="5" s="1"/>
  <c r="V86" i="5" s="1"/>
  <c r="W86" i="5" s="1"/>
  <c r="X87" i="5"/>
  <c r="O87" i="5" s="1"/>
  <c r="P87" i="5" s="1"/>
  <c r="Q87" i="5" s="1"/>
  <c r="R87" i="5" s="1"/>
  <c r="S87" i="5" s="1"/>
  <c r="T87" i="5" s="1"/>
  <c r="U87" i="5" s="1"/>
  <c r="V87" i="5" s="1"/>
  <c r="W87" i="5" s="1"/>
  <c r="X88" i="5"/>
  <c r="O88" i="5" s="1"/>
  <c r="P88" i="5" s="1"/>
  <c r="Q88" i="5" s="1"/>
  <c r="R88" i="5" s="1"/>
  <c r="S88" i="5" s="1"/>
  <c r="T88" i="5" s="1"/>
  <c r="U88" i="5" s="1"/>
  <c r="V88" i="5" s="1"/>
  <c r="W88" i="5" s="1"/>
  <c r="X89" i="5"/>
  <c r="O89" i="5" s="1"/>
  <c r="P89" i="5" s="1"/>
  <c r="Q89" i="5" s="1"/>
  <c r="R89" i="5" s="1"/>
  <c r="S89" i="5" s="1"/>
  <c r="T89" i="5" s="1"/>
  <c r="U89" i="5" s="1"/>
  <c r="V89" i="5" s="1"/>
  <c r="W89" i="5" s="1"/>
  <c r="X90" i="5"/>
  <c r="X91" i="5"/>
  <c r="O91" i="5" s="1"/>
  <c r="P91" i="5" s="1"/>
  <c r="Q91" i="5" s="1"/>
  <c r="R91" i="5" s="1"/>
  <c r="S91" i="5" s="1"/>
  <c r="T91" i="5" s="1"/>
  <c r="U91" i="5" s="1"/>
  <c r="V91" i="5" s="1"/>
  <c r="W91" i="5" s="1"/>
  <c r="X92" i="5"/>
  <c r="O92" i="5" s="1"/>
  <c r="P92" i="5" s="1"/>
  <c r="Q92" i="5" s="1"/>
  <c r="R92" i="5" s="1"/>
  <c r="S92" i="5" s="1"/>
  <c r="T92" i="5" s="1"/>
  <c r="U92" i="5" s="1"/>
  <c r="V92" i="5" s="1"/>
  <c r="W92" i="5" s="1"/>
  <c r="X93" i="5"/>
  <c r="O93" i="5" s="1"/>
  <c r="P93" i="5" s="1"/>
  <c r="Q93" i="5" s="1"/>
  <c r="R93" i="5" s="1"/>
  <c r="S93" i="5" s="1"/>
  <c r="T93" i="5" s="1"/>
  <c r="U93" i="5" s="1"/>
  <c r="V93" i="5" s="1"/>
  <c r="W93" i="5" s="1"/>
  <c r="X94" i="5"/>
  <c r="O94" i="5" s="1"/>
  <c r="P94" i="5" s="1"/>
  <c r="Q94" i="5" s="1"/>
  <c r="R94" i="5" s="1"/>
  <c r="S94" i="5" s="1"/>
  <c r="T94" i="5" s="1"/>
  <c r="U94" i="5" s="1"/>
  <c r="V94" i="5" s="1"/>
  <c r="W94" i="5" s="1"/>
  <c r="X95" i="5"/>
  <c r="O95" i="5" s="1"/>
  <c r="P95" i="5" s="1"/>
  <c r="Q95" i="5" s="1"/>
  <c r="R95" i="5" s="1"/>
  <c r="S95" i="5" s="1"/>
  <c r="T95" i="5" s="1"/>
  <c r="U95" i="5" s="1"/>
  <c r="V95" i="5" s="1"/>
  <c r="W95" i="5" s="1"/>
  <c r="X96" i="5"/>
  <c r="O96" i="5" s="1"/>
  <c r="P96" i="5" s="1"/>
  <c r="Q96" i="5" s="1"/>
  <c r="R96" i="5" s="1"/>
  <c r="S96" i="5" s="1"/>
  <c r="T96" i="5" s="1"/>
  <c r="U96" i="5" s="1"/>
  <c r="V96" i="5" s="1"/>
  <c r="W96" i="5" s="1"/>
  <c r="X97" i="5"/>
  <c r="O97" i="5" s="1"/>
  <c r="P97" i="5" s="1"/>
  <c r="Q97" i="5" s="1"/>
  <c r="R97" i="5" s="1"/>
  <c r="S97" i="5" s="1"/>
  <c r="T97" i="5" s="1"/>
  <c r="U97" i="5" s="1"/>
  <c r="V97" i="5" s="1"/>
  <c r="W97" i="5" s="1"/>
  <c r="X98" i="5"/>
  <c r="O98" i="5" s="1"/>
  <c r="P98" i="5" s="1"/>
  <c r="Q98" i="5" s="1"/>
  <c r="R98" i="5" s="1"/>
  <c r="S98" i="5" s="1"/>
  <c r="T98" i="5" s="1"/>
  <c r="U98" i="5" s="1"/>
  <c r="V98" i="5" s="1"/>
  <c r="W98" i="5" s="1"/>
  <c r="X99" i="5"/>
  <c r="O99" i="5" s="1"/>
  <c r="P99" i="5" s="1"/>
  <c r="Q99" i="5" s="1"/>
  <c r="R99" i="5" s="1"/>
  <c r="S99" i="5" s="1"/>
  <c r="T99" i="5" s="1"/>
  <c r="U99" i="5" s="1"/>
  <c r="V99" i="5" s="1"/>
  <c r="W99" i="5" s="1"/>
  <c r="X100" i="5"/>
  <c r="X101" i="5"/>
  <c r="X102" i="5"/>
  <c r="O102" i="5" s="1"/>
  <c r="P102" i="5" s="1"/>
  <c r="Q102" i="5" s="1"/>
  <c r="R102" i="5" s="1"/>
  <c r="S102" i="5" s="1"/>
  <c r="T102" i="5" s="1"/>
  <c r="U102" i="5" s="1"/>
  <c r="V102" i="5" s="1"/>
  <c r="W102" i="5" s="1"/>
  <c r="X103" i="5"/>
  <c r="O103" i="5" s="1"/>
  <c r="P103" i="5" s="1"/>
  <c r="Q103" i="5" s="1"/>
  <c r="R103" i="5" s="1"/>
  <c r="S103" i="5" s="1"/>
  <c r="T103" i="5" s="1"/>
  <c r="U103" i="5" s="1"/>
  <c r="V103" i="5" s="1"/>
  <c r="W103" i="5" s="1"/>
  <c r="X104" i="5"/>
  <c r="O104" i="5" s="1"/>
  <c r="P104" i="5" s="1"/>
  <c r="Q104" i="5" s="1"/>
  <c r="R104" i="5" s="1"/>
  <c r="S104" i="5" s="1"/>
  <c r="T104" i="5" s="1"/>
  <c r="U104" i="5" s="1"/>
  <c r="V104" i="5" s="1"/>
  <c r="W104" i="5" s="1"/>
  <c r="X105" i="5"/>
  <c r="O105" i="5" s="1"/>
  <c r="P105" i="5" s="1"/>
  <c r="Q105" i="5" s="1"/>
  <c r="R105" i="5" s="1"/>
  <c r="S105" i="5" s="1"/>
  <c r="T105" i="5" s="1"/>
  <c r="U105" i="5" s="1"/>
  <c r="V105" i="5" s="1"/>
  <c r="W105" i="5" s="1"/>
  <c r="X106" i="5"/>
  <c r="O106" i="5" s="1"/>
  <c r="P106" i="5" s="1"/>
  <c r="Q106" i="5" s="1"/>
  <c r="R106" i="5" s="1"/>
  <c r="S106" i="5" s="1"/>
  <c r="T106" i="5" s="1"/>
  <c r="U106" i="5" s="1"/>
  <c r="V106" i="5" s="1"/>
  <c r="W106" i="5" s="1"/>
  <c r="X107" i="5"/>
  <c r="O107" i="5" s="1"/>
  <c r="P107" i="5" s="1"/>
  <c r="Q107" i="5" s="1"/>
  <c r="R107" i="5" s="1"/>
  <c r="S107" i="5" s="1"/>
  <c r="T107" i="5" s="1"/>
  <c r="U107" i="5" s="1"/>
  <c r="V107" i="5" s="1"/>
  <c r="W107" i="5" s="1"/>
  <c r="X108" i="5"/>
  <c r="O108" i="5" s="1"/>
  <c r="P108" i="5" s="1"/>
  <c r="Q108" i="5" s="1"/>
  <c r="R108" i="5" s="1"/>
  <c r="S108" i="5" s="1"/>
  <c r="T108" i="5" s="1"/>
  <c r="U108" i="5" s="1"/>
  <c r="V108" i="5" s="1"/>
  <c r="W108" i="5" s="1"/>
  <c r="X109" i="5"/>
  <c r="O109" i="5" s="1"/>
  <c r="P109" i="5" s="1"/>
  <c r="Q109" i="5" s="1"/>
  <c r="R109" i="5" s="1"/>
  <c r="S109" i="5" s="1"/>
  <c r="T109" i="5" s="1"/>
  <c r="U109" i="5" s="1"/>
  <c r="V109" i="5" s="1"/>
  <c r="W109" i="5" s="1"/>
  <c r="X110" i="5"/>
  <c r="X111" i="5"/>
  <c r="X112" i="5"/>
  <c r="O112" i="5" s="1"/>
  <c r="P112" i="5" s="1"/>
  <c r="Q112" i="5" s="1"/>
  <c r="R112" i="5" s="1"/>
  <c r="S112" i="5" s="1"/>
  <c r="T112" i="5" s="1"/>
  <c r="U112" i="5" s="1"/>
  <c r="V112" i="5" s="1"/>
  <c r="W112" i="5" s="1"/>
  <c r="X113" i="5"/>
  <c r="O113" i="5" s="1"/>
  <c r="P113" i="5" s="1"/>
  <c r="Q113" i="5" s="1"/>
  <c r="R113" i="5" s="1"/>
  <c r="S113" i="5" s="1"/>
  <c r="T113" i="5" s="1"/>
  <c r="U113" i="5" s="1"/>
  <c r="V113" i="5" s="1"/>
  <c r="W113" i="5" s="1"/>
  <c r="X114" i="5"/>
  <c r="O114" i="5" s="1"/>
  <c r="P114" i="5" s="1"/>
  <c r="Q114" i="5" s="1"/>
  <c r="R114" i="5" s="1"/>
  <c r="S114" i="5" s="1"/>
  <c r="T114" i="5" s="1"/>
  <c r="U114" i="5" s="1"/>
  <c r="V114" i="5" s="1"/>
  <c r="W114" i="5" s="1"/>
  <c r="X115" i="5"/>
  <c r="O115" i="5" s="1"/>
  <c r="P115" i="5" s="1"/>
  <c r="Q115" i="5" s="1"/>
  <c r="R115" i="5" s="1"/>
  <c r="S115" i="5" s="1"/>
  <c r="T115" i="5" s="1"/>
  <c r="U115" i="5" s="1"/>
  <c r="V115" i="5" s="1"/>
  <c r="W115" i="5" s="1"/>
  <c r="X116" i="5"/>
  <c r="O116" i="5" s="1"/>
  <c r="P116" i="5" s="1"/>
  <c r="Q116" i="5" s="1"/>
  <c r="R116" i="5" s="1"/>
  <c r="S116" i="5" s="1"/>
  <c r="T116" i="5" s="1"/>
  <c r="U116" i="5" s="1"/>
  <c r="V116" i="5" s="1"/>
  <c r="W116" i="5" s="1"/>
  <c r="X117" i="5"/>
  <c r="O117" i="5" s="1"/>
  <c r="P117" i="5" s="1"/>
  <c r="Q117" i="5" s="1"/>
  <c r="R117" i="5" s="1"/>
  <c r="S117" i="5" s="1"/>
  <c r="T117" i="5" s="1"/>
  <c r="U117" i="5" s="1"/>
  <c r="V117" i="5" s="1"/>
  <c r="W117" i="5" s="1"/>
  <c r="X118" i="5"/>
  <c r="O118" i="5" s="1"/>
  <c r="P118" i="5" s="1"/>
  <c r="Q118" i="5" s="1"/>
  <c r="R118" i="5" s="1"/>
  <c r="S118" i="5" s="1"/>
  <c r="T118" i="5" s="1"/>
  <c r="U118" i="5" s="1"/>
  <c r="V118" i="5" s="1"/>
  <c r="W118" i="5" s="1"/>
  <c r="X119" i="5"/>
  <c r="O119" i="5" s="1"/>
  <c r="P119" i="5" s="1"/>
  <c r="Q119" i="5" s="1"/>
  <c r="R119" i="5" s="1"/>
  <c r="S119" i="5" s="1"/>
  <c r="T119" i="5" s="1"/>
  <c r="U119" i="5" s="1"/>
  <c r="V119" i="5" s="1"/>
  <c r="W119" i="5" s="1"/>
  <c r="X120" i="5"/>
  <c r="O120" i="5" s="1"/>
  <c r="P120" i="5" s="1"/>
  <c r="Q120" i="5" s="1"/>
  <c r="R120" i="5" s="1"/>
  <c r="S120" i="5" s="1"/>
  <c r="T120" i="5" s="1"/>
  <c r="U120" i="5" s="1"/>
  <c r="V120" i="5" s="1"/>
  <c r="W120" i="5" s="1"/>
  <c r="X121" i="5"/>
  <c r="O121" i="5" s="1"/>
  <c r="P121" i="5" s="1"/>
  <c r="Q121" i="5" s="1"/>
  <c r="R121" i="5" s="1"/>
  <c r="S121" i="5" s="1"/>
  <c r="T121" i="5" s="1"/>
  <c r="U121" i="5" s="1"/>
  <c r="V121" i="5" s="1"/>
  <c r="W121" i="5" s="1"/>
  <c r="X122" i="5"/>
  <c r="O122" i="5" s="1"/>
  <c r="P122" i="5" s="1"/>
  <c r="Q122" i="5" s="1"/>
  <c r="R122" i="5" s="1"/>
  <c r="S122" i="5" s="1"/>
  <c r="T122" i="5" s="1"/>
  <c r="U122" i="5" s="1"/>
  <c r="V122" i="5" s="1"/>
  <c r="W122" i="5" s="1"/>
  <c r="X123" i="5"/>
  <c r="O123" i="5" s="1"/>
  <c r="P123" i="5" s="1"/>
  <c r="Q123" i="5" s="1"/>
  <c r="R123" i="5" s="1"/>
  <c r="S123" i="5" s="1"/>
  <c r="T123" i="5" s="1"/>
  <c r="U123" i="5" s="1"/>
  <c r="V123" i="5" s="1"/>
  <c r="W123" i="5" s="1"/>
  <c r="X124" i="5"/>
  <c r="O124" i="5" s="1"/>
  <c r="P124" i="5" s="1"/>
  <c r="Q124" i="5" s="1"/>
  <c r="R124" i="5" s="1"/>
  <c r="S124" i="5" s="1"/>
  <c r="T124" i="5" s="1"/>
  <c r="U124" i="5" s="1"/>
  <c r="V124" i="5" s="1"/>
  <c r="W124" i="5" s="1"/>
  <c r="X125" i="5"/>
  <c r="O125" i="5" s="1"/>
  <c r="P125" i="5" s="1"/>
  <c r="Q125" i="5" s="1"/>
  <c r="R125" i="5" s="1"/>
  <c r="S125" i="5" s="1"/>
  <c r="T125" i="5" s="1"/>
  <c r="U125" i="5" s="1"/>
  <c r="V125" i="5" s="1"/>
  <c r="W125" i="5" s="1"/>
  <c r="X126" i="5"/>
  <c r="O126" i="5" s="1"/>
  <c r="P126" i="5" s="1"/>
  <c r="Q126" i="5" s="1"/>
  <c r="R126" i="5" s="1"/>
  <c r="S126" i="5" s="1"/>
  <c r="T126" i="5" s="1"/>
  <c r="U126" i="5" s="1"/>
  <c r="V126" i="5" s="1"/>
  <c r="W126" i="5" s="1"/>
  <c r="X127" i="5"/>
  <c r="O127" i="5" s="1"/>
  <c r="P127" i="5" s="1"/>
  <c r="Q127" i="5" s="1"/>
  <c r="R127" i="5" s="1"/>
  <c r="S127" i="5" s="1"/>
  <c r="T127" i="5" s="1"/>
  <c r="U127" i="5" s="1"/>
  <c r="V127" i="5" s="1"/>
  <c r="W127" i="5" s="1"/>
  <c r="X128" i="5"/>
  <c r="O128" i="5" s="1"/>
  <c r="P128" i="5" s="1"/>
  <c r="Q128" i="5" s="1"/>
  <c r="R128" i="5" s="1"/>
  <c r="S128" i="5" s="1"/>
  <c r="T128" i="5" s="1"/>
  <c r="U128" i="5" s="1"/>
  <c r="V128" i="5" s="1"/>
  <c r="W128" i="5" s="1"/>
  <c r="X129" i="5"/>
  <c r="O129" i="5" s="1"/>
  <c r="P129" i="5" s="1"/>
  <c r="Q129" i="5" s="1"/>
  <c r="R129" i="5" s="1"/>
  <c r="S129" i="5" s="1"/>
  <c r="T129" i="5" s="1"/>
  <c r="U129" i="5" s="1"/>
  <c r="V129" i="5" s="1"/>
  <c r="W129" i="5" s="1"/>
  <c r="X130" i="5"/>
  <c r="O130" i="5" s="1"/>
  <c r="P130" i="5" s="1"/>
  <c r="Q130" i="5" s="1"/>
  <c r="R130" i="5" s="1"/>
  <c r="S130" i="5" s="1"/>
  <c r="T130" i="5" s="1"/>
  <c r="U130" i="5" s="1"/>
  <c r="V130" i="5" s="1"/>
  <c r="W130" i="5" s="1"/>
  <c r="X131" i="5"/>
  <c r="O131" i="5" s="1"/>
  <c r="P131" i="5" s="1"/>
  <c r="Q131" i="5" s="1"/>
  <c r="R131" i="5" s="1"/>
  <c r="S131" i="5" s="1"/>
  <c r="T131" i="5" s="1"/>
  <c r="U131" i="5" s="1"/>
  <c r="V131" i="5" s="1"/>
  <c r="W131" i="5" s="1"/>
  <c r="X132" i="5"/>
  <c r="O132" i="5" s="1"/>
  <c r="P132" i="5" s="1"/>
  <c r="Q132" i="5" s="1"/>
  <c r="R132" i="5" s="1"/>
  <c r="S132" i="5" s="1"/>
  <c r="T132" i="5" s="1"/>
  <c r="U132" i="5" s="1"/>
  <c r="V132" i="5" s="1"/>
  <c r="W132" i="5" s="1"/>
  <c r="X133" i="5"/>
  <c r="O133" i="5" s="1"/>
  <c r="P133" i="5" s="1"/>
  <c r="Q133" i="5" s="1"/>
  <c r="R133" i="5" s="1"/>
  <c r="S133" i="5" s="1"/>
  <c r="T133" i="5" s="1"/>
  <c r="U133" i="5" s="1"/>
  <c r="V133" i="5" s="1"/>
  <c r="W133" i="5" s="1"/>
  <c r="X134" i="5"/>
  <c r="O134" i="5" s="1"/>
  <c r="P134" i="5" s="1"/>
  <c r="Q134" i="5" s="1"/>
  <c r="R134" i="5" s="1"/>
  <c r="S134" i="5" s="1"/>
  <c r="T134" i="5" s="1"/>
  <c r="U134" i="5" s="1"/>
  <c r="V134" i="5" s="1"/>
  <c r="W134" i="5" s="1"/>
  <c r="X135" i="5"/>
  <c r="O135" i="5" s="1"/>
  <c r="P135" i="5" s="1"/>
  <c r="Q135" i="5" s="1"/>
  <c r="R135" i="5" s="1"/>
  <c r="S135" i="5" s="1"/>
  <c r="T135" i="5" s="1"/>
  <c r="U135" i="5" s="1"/>
  <c r="V135" i="5" s="1"/>
  <c r="W135" i="5" s="1"/>
  <c r="X136" i="5"/>
  <c r="O136" i="5" s="1"/>
  <c r="P136" i="5" s="1"/>
  <c r="Q136" i="5" s="1"/>
  <c r="R136" i="5" s="1"/>
  <c r="S136" i="5" s="1"/>
  <c r="T136" i="5" s="1"/>
  <c r="U136" i="5" s="1"/>
  <c r="V136" i="5" s="1"/>
  <c r="W136" i="5" s="1"/>
  <c r="X137" i="5"/>
  <c r="O137" i="5" s="1"/>
  <c r="P137" i="5" s="1"/>
  <c r="Q137" i="5" s="1"/>
  <c r="R137" i="5" s="1"/>
  <c r="S137" i="5" s="1"/>
  <c r="T137" i="5" s="1"/>
  <c r="U137" i="5" s="1"/>
  <c r="V137" i="5" s="1"/>
  <c r="W137" i="5" s="1"/>
  <c r="X138" i="5"/>
  <c r="O138" i="5" s="1"/>
  <c r="P138" i="5" s="1"/>
  <c r="Q138" i="5" s="1"/>
  <c r="R138" i="5" s="1"/>
  <c r="S138" i="5" s="1"/>
  <c r="T138" i="5" s="1"/>
  <c r="U138" i="5" s="1"/>
  <c r="V138" i="5" s="1"/>
  <c r="W138" i="5" s="1"/>
  <c r="X139" i="5"/>
  <c r="O139" i="5" s="1"/>
  <c r="P139" i="5" s="1"/>
  <c r="Q139" i="5" s="1"/>
  <c r="R139" i="5" s="1"/>
  <c r="S139" i="5" s="1"/>
  <c r="T139" i="5" s="1"/>
  <c r="U139" i="5" s="1"/>
  <c r="V139" i="5" s="1"/>
  <c r="W139" i="5" s="1"/>
  <c r="X140" i="5"/>
  <c r="O140" i="5" s="1"/>
  <c r="P140" i="5" s="1"/>
  <c r="Q140" i="5" s="1"/>
  <c r="R140" i="5" s="1"/>
  <c r="S140" i="5" s="1"/>
  <c r="T140" i="5" s="1"/>
  <c r="U140" i="5" s="1"/>
  <c r="V140" i="5" s="1"/>
  <c r="W140" i="5" s="1"/>
  <c r="X141" i="5"/>
  <c r="O141" i="5" s="1"/>
  <c r="P141" i="5" s="1"/>
  <c r="Q141" i="5" s="1"/>
  <c r="R141" i="5" s="1"/>
  <c r="S141" i="5" s="1"/>
  <c r="T141" i="5" s="1"/>
  <c r="U141" i="5" s="1"/>
  <c r="V141" i="5" s="1"/>
  <c r="W141" i="5" s="1"/>
  <c r="X142" i="5"/>
  <c r="O142" i="5" s="1"/>
  <c r="P142" i="5" s="1"/>
  <c r="Q142" i="5" s="1"/>
  <c r="R142" i="5" s="1"/>
  <c r="S142" i="5" s="1"/>
  <c r="T142" i="5" s="1"/>
  <c r="U142" i="5" s="1"/>
  <c r="V142" i="5" s="1"/>
  <c r="W142" i="5" s="1"/>
  <c r="X143" i="5"/>
  <c r="O143" i="5" s="1"/>
  <c r="P143" i="5" s="1"/>
  <c r="Q143" i="5" s="1"/>
  <c r="R143" i="5" s="1"/>
  <c r="S143" i="5" s="1"/>
  <c r="T143" i="5" s="1"/>
  <c r="U143" i="5" s="1"/>
  <c r="V143" i="5" s="1"/>
  <c r="W143" i="5" s="1"/>
  <c r="X144" i="5"/>
  <c r="O144" i="5" s="1"/>
  <c r="P144" i="5" s="1"/>
  <c r="Q144" i="5" s="1"/>
  <c r="R144" i="5" s="1"/>
  <c r="S144" i="5" s="1"/>
  <c r="T144" i="5" s="1"/>
  <c r="U144" i="5" s="1"/>
  <c r="V144" i="5" s="1"/>
  <c r="W144" i="5" s="1"/>
  <c r="X145" i="5"/>
  <c r="O145" i="5" s="1"/>
  <c r="P145" i="5" s="1"/>
  <c r="Q145" i="5" s="1"/>
  <c r="R145" i="5" s="1"/>
  <c r="S145" i="5" s="1"/>
  <c r="T145" i="5" s="1"/>
  <c r="U145" i="5" s="1"/>
  <c r="V145" i="5" s="1"/>
  <c r="W145" i="5" s="1"/>
  <c r="X146" i="5"/>
  <c r="O146" i="5" s="1"/>
  <c r="P146" i="5" s="1"/>
  <c r="Q146" i="5" s="1"/>
  <c r="R146" i="5" s="1"/>
  <c r="S146" i="5" s="1"/>
  <c r="T146" i="5" s="1"/>
  <c r="U146" i="5" s="1"/>
  <c r="V146" i="5" s="1"/>
  <c r="W146" i="5" s="1"/>
  <c r="X147" i="5"/>
  <c r="O147" i="5" s="1"/>
  <c r="P147" i="5" s="1"/>
  <c r="Q147" i="5" s="1"/>
  <c r="R147" i="5" s="1"/>
  <c r="S147" i="5" s="1"/>
  <c r="T147" i="5" s="1"/>
  <c r="U147" i="5" s="1"/>
  <c r="V147" i="5" s="1"/>
  <c r="W147" i="5" s="1"/>
  <c r="X148" i="5"/>
  <c r="O148" i="5" s="1"/>
  <c r="P148" i="5" s="1"/>
  <c r="Q148" i="5" s="1"/>
  <c r="R148" i="5" s="1"/>
  <c r="S148" i="5" s="1"/>
  <c r="T148" i="5" s="1"/>
  <c r="U148" i="5" s="1"/>
  <c r="V148" i="5" s="1"/>
  <c r="W148" i="5" s="1"/>
  <c r="X149" i="5"/>
  <c r="O149" i="5" s="1"/>
  <c r="P149" i="5" s="1"/>
  <c r="Q149" i="5" s="1"/>
  <c r="R149" i="5" s="1"/>
  <c r="S149" i="5" s="1"/>
  <c r="T149" i="5" s="1"/>
  <c r="U149" i="5" s="1"/>
  <c r="V149" i="5" s="1"/>
  <c r="W149" i="5" s="1"/>
  <c r="X150" i="5"/>
  <c r="O150" i="5" s="1"/>
  <c r="P150" i="5" s="1"/>
  <c r="Q150" i="5" s="1"/>
  <c r="R150" i="5" s="1"/>
  <c r="S150" i="5" s="1"/>
  <c r="T150" i="5" s="1"/>
  <c r="U150" i="5" s="1"/>
  <c r="V150" i="5" s="1"/>
  <c r="W150" i="5" s="1"/>
  <c r="X151" i="5"/>
  <c r="O151" i="5" s="1"/>
  <c r="P151" i="5" s="1"/>
  <c r="Q151" i="5" s="1"/>
  <c r="R151" i="5" s="1"/>
  <c r="S151" i="5" s="1"/>
  <c r="T151" i="5" s="1"/>
  <c r="U151" i="5" s="1"/>
  <c r="V151" i="5" s="1"/>
  <c r="W151" i="5" s="1"/>
  <c r="X152" i="5"/>
  <c r="O152" i="5" s="1"/>
  <c r="P152" i="5" s="1"/>
  <c r="Q152" i="5" s="1"/>
  <c r="R152" i="5" s="1"/>
  <c r="S152" i="5" s="1"/>
  <c r="T152" i="5" s="1"/>
  <c r="U152" i="5" s="1"/>
  <c r="V152" i="5" s="1"/>
  <c r="W152" i="5" s="1"/>
  <c r="X153" i="5"/>
  <c r="O153" i="5" s="1"/>
  <c r="P153" i="5" s="1"/>
  <c r="Q153" i="5" s="1"/>
  <c r="R153" i="5" s="1"/>
  <c r="S153" i="5" s="1"/>
  <c r="T153" i="5" s="1"/>
  <c r="U153" i="5" s="1"/>
  <c r="V153" i="5" s="1"/>
  <c r="W153" i="5" s="1"/>
  <c r="X154" i="5"/>
  <c r="O154" i="5" s="1"/>
  <c r="P154" i="5" s="1"/>
  <c r="Q154" i="5" s="1"/>
  <c r="R154" i="5" s="1"/>
  <c r="S154" i="5" s="1"/>
  <c r="T154" i="5" s="1"/>
  <c r="U154" i="5" s="1"/>
  <c r="V154" i="5" s="1"/>
  <c r="W154" i="5" s="1"/>
  <c r="X155" i="5"/>
  <c r="O155" i="5" s="1"/>
  <c r="P155" i="5" s="1"/>
  <c r="Q155" i="5" s="1"/>
  <c r="R155" i="5" s="1"/>
  <c r="S155" i="5" s="1"/>
  <c r="T155" i="5" s="1"/>
  <c r="U155" i="5" s="1"/>
  <c r="V155" i="5" s="1"/>
  <c r="W155" i="5" s="1"/>
  <c r="X156" i="5"/>
  <c r="O156" i="5" s="1"/>
  <c r="P156" i="5" s="1"/>
  <c r="Q156" i="5" s="1"/>
  <c r="R156" i="5" s="1"/>
  <c r="S156" i="5" s="1"/>
  <c r="T156" i="5" s="1"/>
  <c r="U156" i="5" s="1"/>
  <c r="V156" i="5" s="1"/>
  <c r="W156" i="5" s="1"/>
  <c r="X157" i="5"/>
  <c r="O157" i="5" s="1"/>
  <c r="P157" i="5" s="1"/>
  <c r="Q157" i="5" s="1"/>
  <c r="R157" i="5" s="1"/>
  <c r="S157" i="5" s="1"/>
  <c r="T157" i="5" s="1"/>
  <c r="U157" i="5" s="1"/>
  <c r="V157" i="5" s="1"/>
  <c r="W157" i="5" s="1"/>
  <c r="X158" i="5"/>
  <c r="O158" i="5" s="1"/>
  <c r="P158" i="5" s="1"/>
  <c r="Q158" i="5" s="1"/>
  <c r="R158" i="5" s="1"/>
  <c r="S158" i="5" s="1"/>
  <c r="T158" i="5" s="1"/>
  <c r="U158" i="5" s="1"/>
  <c r="V158" i="5" s="1"/>
  <c r="W158" i="5" s="1"/>
  <c r="X159" i="5"/>
  <c r="O159" i="5" s="1"/>
  <c r="P159" i="5" s="1"/>
  <c r="Q159" i="5" s="1"/>
  <c r="R159" i="5" s="1"/>
  <c r="S159" i="5" s="1"/>
  <c r="T159" i="5" s="1"/>
  <c r="U159" i="5" s="1"/>
  <c r="V159" i="5" s="1"/>
  <c r="W159" i="5" s="1"/>
  <c r="X160" i="5"/>
  <c r="X161" i="5"/>
  <c r="O161" i="5" s="1"/>
  <c r="P161" i="5" s="1"/>
  <c r="Q161" i="5" s="1"/>
  <c r="R161" i="5" s="1"/>
  <c r="S161" i="5" s="1"/>
  <c r="T161" i="5" s="1"/>
  <c r="U161" i="5" s="1"/>
  <c r="V161" i="5" s="1"/>
  <c r="W161" i="5" s="1"/>
  <c r="X162" i="5"/>
  <c r="O162" i="5" s="1"/>
  <c r="P162" i="5" s="1"/>
  <c r="Q162" i="5" s="1"/>
  <c r="R162" i="5" s="1"/>
  <c r="S162" i="5" s="1"/>
  <c r="T162" i="5" s="1"/>
  <c r="U162" i="5" s="1"/>
  <c r="V162" i="5" s="1"/>
  <c r="W162" i="5" s="1"/>
  <c r="X163" i="5"/>
  <c r="O163" i="5" s="1"/>
  <c r="P163" i="5" s="1"/>
  <c r="Q163" i="5" s="1"/>
  <c r="R163" i="5" s="1"/>
  <c r="S163" i="5" s="1"/>
  <c r="T163" i="5" s="1"/>
  <c r="U163" i="5" s="1"/>
  <c r="V163" i="5" s="1"/>
  <c r="W163" i="5" s="1"/>
  <c r="X164" i="5"/>
  <c r="O164" i="5" s="1"/>
  <c r="P164" i="5" s="1"/>
  <c r="Q164" i="5" s="1"/>
  <c r="R164" i="5" s="1"/>
  <c r="S164" i="5" s="1"/>
  <c r="T164" i="5" s="1"/>
  <c r="U164" i="5" s="1"/>
  <c r="V164" i="5" s="1"/>
  <c r="W164" i="5" s="1"/>
  <c r="X165" i="5"/>
  <c r="O165" i="5" s="1"/>
  <c r="P165" i="5" s="1"/>
  <c r="Q165" i="5" s="1"/>
  <c r="R165" i="5" s="1"/>
  <c r="S165" i="5" s="1"/>
  <c r="T165" i="5" s="1"/>
  <c r="U165" i="5" s="1"/>
  <c r="V165" i="5" s="1"/>
  <c r="W165" i="5" s="1"/>
  <c r="X166" i="5"/>
  <c r="O166" i="5" s="1"/>
  <c r="P166" i="5" s="1"/>
  <c r="Q166" i="5" s="1"/>
  <c r="R166" i="5" s="1"/>
  <c r="S166" i="5" s="1"/>
  <c r="T166" i="5" s="1"/>
  <c r="U166" i="5" s="1"/>
  <c r="V166" i="5" s="1"/>
  <c r="W166" i="5" s="1"/>
  <c r="X167" i="5"/>
  <c r="O167" i="5" s="1"/>
  <c r="P167" i="5" s="1"/>
  <c r="Q167" i="5" s="1"/>
  <c r="R167" i="5" s="1"/>
  <c r="S167" i="5" s="1"/>
  <c r="T167" i="5" s="1"/>
  <c r="U167" i="5" s="1"/>
  <c r="V167" i="5" s="1"/>
  <c r="W167" i="5" s="1"/>
  <c r="X168" i="5"/>
  <c r="O168" i="5" s="1"/>
  <c r="P168" i="5" s="1"/>
  <c r="Q168" i="5" s="1"/>
  <c r="R168" i="5" s="1"/>
  <c r="S168" i="5" s="1"/>
  <c r="T168" i="5" s="1"/>
  <c r="U168" i="5" s="1"/>
  <c r="V168" i="5" s="1"/>
  <c r="W168" i="5" s="1"/>
  <c r="X169" i="5"/>
  <c r="O169" i="5" s="1"/>
  <c r="P169" i="5" s="1"/>
  <c r="Q169" i="5" s="1"/>
  <c r="R169" i="5" s="1"/>
  <c r="S169" i="5" s="1"/>
  <c r="T169" i="5" s="1"/>
  <c r="U169" i="5" s="1"/>
  <c r="V169" i="5" s="1"/>
  <c r="W169" i="5" s="1"/>
  <c r="X170" i="5"/>
  <c r="O170" i="5" s="1"/>
  <c r="P170" i="5" s="1"/>
  <c r="Q170" i="5" s="1"/>
  <c r="R170" i="5" s="1"/>
  <c r="S170" i="5" s="1"/>
  <c r="T170" i="5" s="1"/>
  <c r="U170" i="5" s="1"/>
  <c r="V170" i="5" s="1"/>
  <c r="W170" i="5" s="1"/>
  <c r="X171" i="5"/>
  <c r="O171" i="5" s="1"/>
  <c r="P171" i="5" s="1"/>
  <c r="Q171" i="5" s="1"/>
  <c r="R171" i="5" s="1"/>
  <c r="S171" i="5" s="1"/>
  <c r="T171" i="5" s="1"/>
  <c r="U171" i="5" s="1"/>
  <c r="V171" i="5" s="1"/>
  <c r="W171" i="5" s="1"/>
  <c r="X172" i="5"/>
  <c r="O172" i="5" s="1"/>
  <c r="P172" i="5" s="1"/>
  <c r="Q172" i="5" s="1"/>
  <c r="R172" i="5" s="1"/>
  <c r="S172" i="5" s="1"/>
  <c r="T172" i="5" s="1"/>
  <c r="U172" i="5" s="1"/>
  <c r="V172" i="5" s="1"/>
  <c r="W172" i="5" s="1"/>
  <c r="X173" i="5"/>
  <c r="O173" i="5" s="1"/>
  <c r="P173" i="5" s="1"/>
  <c r="Q173" i="5" s="1"/>
  <c r="R173" i="5" s="1"/>
  <c r="S173" i="5" s="1"/>
  <c r="T173" i="5" s="1"/>
  <c r="U173" i="5" s="1"/>
  <c r="V173" i="5" s="1"/>
  <c r="W173" i="5" s="1"/>
  <c r="X174" i="5"/>
  <c r="O174" i="5" s="1"/>
  <c r="P174" i="5" s="1"/>
  <c r="Q174" i="5" s="1"/>
  <c r="R174" i="5" s="1"/>
  <c r="S174" i="5" s="1"/>
  <c r="T174" i="5" s="1"/>
  <c r="U174" i="5" s="1"/>
  <c r="V174" i="5" s="1"/>
  <c r="W174" i="5" s="1"/>
  <c r="X175" i="5"/>
  <c r="O175" i="5" s="1"/>
  <c r="P175" i="5" s="1"/>
  <c r="Q175" i="5" s="1"/>
  <c r="R175" i="5" s="1"/>
  <c r="S175" i="5" s="1"/>
  <c r="T175" i="5" s="1"/>
  <c r="U175" i="5" s="1"/>
  <c r="V175" i="5" s="1"/>
  <c r="W175" i="5" s="1"/>
  <c r="X176" i="5"/>
  <c r="O176" i="5" s="1"/>
  <c r="P176" i="5" s="1"/>
  <c r="Q176" i="5" s="1"/>
  <c r="R176" i="5" s="1"/>
  <c r="S176" i="5" s="1"/>
  <c r="T176" i="5" s="1"/>
  <c r="U176" i="5" s="1"/>
  <c r="V176" i="5" s="1"/>
  <c r="W176" i="5" s="1"/>
  <c r="X177" i="5"/>
  <c r="O177" i="5" s="1"/>
  <c r="P177" i="5" s="1"/>
  <c r="Q177" i="5" s="1"/>
  <c r="R177" i="5" s="1"/>
  <c r="S177" i="5" s="1"/>
  <c r="T177" i="5" s="1"/>
  <c r="U177" i="5" s="1"/>
  <c r="V177" i="5" s="1"/>
  <c r="W177" i="5" s="1"/>
  <c r="X178" i="5"/>
  <c r="O178" i="5" s="1"/>
  <c r="P178" i="5" s="1"/>
  <c r="Q178" i="5" s="1"/>
  <c r="R178" i="5" s="1"/>
  <c r="S178" i="5" s="1"/>
  <c r="T178" i="5" s="1"/>
  <c r="U178" i="5" s="1"/>
  <c r="V178" i="5" s="1"/>
  <c r="W178" i="5" s="1"/>
  <c r="X179" i="5"/>
  <c r="O179" i="5" s="1"/>
  <c r="P179" i="5" s="1"/>
  <c r="Q179" i="5" s="1"/>
  <c r="R179" i="5" s="1"/>
  <c r="S179" i="5" s="1"/>
  <c r="T179" i="5" s="1"/>
  <c r="U179" i="5" s="1"/>
  <c r="V179" i="5" s="1"/>
  <c r="W179" i="5" s="1"/>
  <c r="X180" i="5"/>
  <c r="X181" i="5"/>
  <c r="O181" i="5" s="1"/>
  <c r="P181" i="5" s="1"/>
  <c r="Q181" i="5" s="1"/>
  <c r="R181" i="5" s="1"/>
  <c r="S181" i="5" s="1"/>
  <c r="T181" i="5" s="1"/>
  <c r="U181" i="5" s="1"/>
  <c r="V181" i="5" s="1"/>
  <c r="W181" i="5" s="1"/>
  <c r="X182" i="5"/>
  <c r="O182" i="5" s="1"/>
  <c r="P182" i="5" s="1"/>
  <c r="Q182" i="5" s="1"/>
  <c r="R182" i="5" s="1"/>
  <c r="S182" i="5" s="1"/>
  <c r="T182" i="5" s="1"/>
  <c r="U182" i="5" s="1"/>
  <c r="V182" i="5" s="1"/>
  <c r="W182" i="5" s="1"/>
  <c r="X183" i="5"/>
  <c r="O183" i="5" s="1"/>
  <c r="P183" i="5" s="1"/>
  <c r="Q183" i="5" s="1"/>
  <c r="R183" i="5" s="1"/>
  <c r="S183" i="5" s="1"/>
  <c r="T183" i="5" s="1"/>
  <c r="U183" i="5" s="1"/>
  <c r="V183" i="5" s="1"/>
  <c r="W183" i="5" s="1"/>
  <c r="X184" i="5"/>
  <c r="O184" i="5" s="1"/>
  <c r="P184" i="5" s="1"/>
  <c r="Q184" i="5" s="1"/>
  <c r="R184" i="5" s="1"/>
  <c r="S184" i="5" s="1"/>
  <c r="T184" i="5" s="1"/>
  <c r="U184" i="5" s="1"/>
  <c r="V184" i="5" s="1"/>
  <c r="W184" i="5" s="1"/>
  <c r="X185" i="5"/>
  <c r="O185" i="5" s="1"/>
  <c r="P185" i="5" s="1"/>
  <c r="Q185" i="5" s="1"/>
  <c r="R185" i="5" s="1"/>
  <c r="S185" i="5" s="1"/>
  <c r="T185" i="5" s="1"/>
  <c r="U185" i="5" s="1"/>
  <c r="V185" i="5" s="1"/>
  <c r="W185" i="5" s="1"/>
  <c r="X186" i="5"/>
  <c r="O186" i="5" s="1"/>
  <c r="P186" i="5" s="1"/>
  <c r="Q186" i="5" s="1"/>
  <c r="R186" i="5" s="1"/>
  <c r="S186" i="5" s="1"/>
  <c r="T186" i="5" s="1"/>
  <c r="U186" i="5" s="1"/>
  <c r="V186" i="5" s="1"/>
  <c r="W186" i="5" s="1"/>
  <c r="X187" i="5"/>
  <c r="O187" i="5" s="1"/>
  <c r="P187" i="5" s="1"/>
  <c r="Q187" i="5" s="1"/>
  <c r="R187" i="5" s="1"/>
  <c r="S187" i="5" s="1"/>
  <c r="T187" i="5" s="1"/>
  <c r="U187" i="5" s="1"/>
  <c r="V187" i="5" s="1"/>
  <c r="W187" i="5" s="1"/>
  <c r="X188" i="5"/>
  <c r="O188" i="5" s="1"/>
  <c r="P188" i="5" s="1"/>
  <c r="Q188" i="5" s="1"/>
  <c r="R188" i="5" s="1"/>
  <c r="S188" i="5" s="1"/>
  <c r="T188" i="5" s="1"/>
  <c r="U188" i="5" s="1"/>
  <c r="V188" i="5" s="1"/>
  <c r="W188" i="5" s="1"/>
  <c r="X189" i="5"/>
  <c r="O189" i="5" s="1"/>
  <c r="P189" i="5" s="1"/>
  <c r="Q189" i="5" s="1"/>
  <c r="R189" i="5" s="1"/>
  <c r="S189" i="5" s="1"/>
  <c r="T189" i="5" s="1"/>
  <c r="U189" i="5" s="1"/>
  <c r="V189" i="5" s="1"/>
  <c r="W189" i="5" s="1"/>
  <c r="X190" i="5"/>
  <c r="O190" i="5" s="1"/>
  <c r="P190" i="5" s="1"/>
  <c r="Q190" i="5" s="1"/>
  <c r="R190" i="5" s="1"/>
  <c r="S190" i="5" s="1"/>
  <c r="T190" i="5" s="1"/>
  <c r="U190" i="5" s="1"/>
  <c r="V190" i="5" s="1"/>
  <c r="W190" i="5" s="1"/>
  <c r="X191" i="5"/>
  <c r="O191" i="5" s="1"/>
  <c r="P191" i="5" s="1"/>
  <c r="Q191" i="5" s="1"/>
  <c r="R191" i="5" s="1"/>
  <c r="S191" i="5" s="1"/>
  <c r="T191" i="5" s="1"/>
  <c r="U191" i="5" s="1"/>
  <c r="V191" i="5" s="1"/>
  <c r="W191" i="5" s="1"/>
  <c r="X192" i="5"/>
  <c r="O192" i="5" s="1"/>
  <c r="P192" i="5" s="1"/>
  <c r="Q192" i="5" s="1"/>
  <c r="R192" i="5" s="1"/>
  <c r="S192" i="5" s="1"/>
  <c r="T192" i="5" s="1"/>
  <c r="U192" i="5" s="1"/>
  <c r="V192" i="5" s="1"/>
  <c r="W192" i="5" s="1"/>
  <c r="X193" i="5"/>
  <c r="O193" i="5" s="1"/>
  <c r="P193" i="5" s="1"/>
  <c r="Q193" i="5" s="1"/>
  <c r="R193" i="5" s="1"/>
  <c r="S193" i="5" s="1"/>
  <c r="T193" i="5" s="1"/>
  <c r="U193" i="5" s="1"/>
  <c r="V193" i="5" s="1"/>
  <c r="W193" i="5" s="1"/>
  <c r="X194" i="5"/>
  <c r="O194" i="5" s="1"/>
  <c r="P194" i="5" s="1"/>
  <c r="Q194" i="5" s="1"/>
  <c r="R194" i="5" s="1"/>
  <c r="S194" i="5" s="1"/>
  <c r="T194" i="5" s="1"/>
  <c r="U194" i="5" s="1"/>
  <c r="V194" i="5" s="1"/>
  <c r="W194" i="5" s="1"/>
  <c r="X195" i="5"/>
  <c r="O195" i="5" s="1"/>
  <c r="P195" i="5" s="1"/>
  <c r="Q195" i="5" s="1"/>
  <c r="R195" i="5" s="1"/>
  <c r="S195" i="5" s="1"/>
  <c r="T195" i="5" s="1"/>
  <c r="U195" i="5" s="1"/>
  <c r="V195" i="5" s="1"/>
  <c r="W195" i="5" s="1"/>
  <c r="X196" i="5"/>
  <c r="O196" i="5" s="1"/>
  <c r="P196" i="5" s="1"/>
  <c r="Q196" i="5" s="1"/>
  <c r="R196" i="5" s="1"/>
  <c r="S196" i="5" s="1"/>
  <c r="T196" i="5" s="1"/>
  <c r="U196" i="5" s="1"/>
  <c r="V196" i="5" s="1"/>
  <c r="W196" i="5" s="1"/>
  <c r="X197" i="5"/>
  <c r="O197" i="5" s="1"/>
  <c r="P197" i="5" s="1"/>
  <c r="Q197" i="5" s="1"/>
  <c r="R197" i="5" s="1"/>
  <c r="S197" i="5" s="1"/>
  <c r="T197" i="5" s="1"/>
  <c r="U197" i="5" s="1"/>
  <c r="V197" i="5" s="1"/>
  <c r="W197" i="5" s="1"/>
  <c r="X198" i="5"/>
  <c r="O198" i="5" s="1"/>
  <c r="P198" i="5" s="1"/>
  <c r="Q198" i="5" s="1"/>
  <c r="R198" i="5" s="1"/>
  <c r="S198" i="5" s="1"/>
  <c r="T198" i="5" s="1"/>
  <c r="U198" i="5" s="1"/>
  <c r="V198" i="5" s="1"/>
  <c r="W198" i="5" s="1"/>
  <c r="X199" i="5"/>
  <c r="O199" i="5" s="1"/>
  <c r="P199" i="5" s="1"/>
  <c r="Q199" i="5" s="1"/>
  <c r="R199" i="5" s="1"/>
  <c r="S199" i="5" s="1"/>
  <c r="T199" i="5" s="1"/>
  <c r="U199" i="5" s="1"/>
  <c r="V199" i="5" s="1"/>
  <c r="W199" i="5" s="1"/>
  <c r="X200" i="5"/>
  <c r="O200" i="5" s="1"/>
  <c r="P200" i="5" s="1"/>
  <c r="Q200" i="5" s="1"/>
  <c r="R200" i="5" s="1"/>
  <c r="S200" i="5" s="1"/>
  <c r="T200" i="5" s="1"/>
  <c r="U200" i="5" s="1"/>
  <c r="V200" i="5" s="1"/>
  <c r="W200" i="5" s="1"/>
  <c r="X201" i="5"/>
  <c r="O201" i="5" s="1"/>
  <c r="P201" i="5" s="1"/>
  <c r="Q201" i="5" s="1"/>
  <c r="R201" i="5" s="1"/>
  <c r="S201" i="5" s="1"/>
  <c r="T201" i="5" s="1"/>
  <c r="U201" i="5" s="1"/>
  <c r="V201" i="5" s="1"/>
  <c r="W201" i="5" s="1"/>
  <c r="X202" i="5"/>
  <c r="O202" i="5" s="1"/>
  <c r="P202" i="5" s="1"/>
  <c r="Q202" i="5" s="1"/>
  <c r="R202" i="5" s="1"/>
  <c r="S202" i="5" s="1"/>
  <c r="T202" i="5" s="1"/>
  <c r="U202" i="5" s="1"/>
  <c r="V202" i="5" s="1"/>
  <c r="W202" i="5" s="1"/>
  <c r="X203" i="5"/>
  <c r="O203" i="5" s="1"/>
  <c r="P203" i="5" s="1"/>
  <c r="Q203" i="5" s="1"/>
  <c r="R203" i="5" s="1"/>
  <c r="S203" i="5" s="1"/>
  <c r="T203" i="5" s="1"/>
  <c r="U203" i="5" s="1"/>
  <c r="V203" i="5" s="1"/>
  <c r="W203" i="5" s="1"/>
  <c r="X204" i="5"/>
  <c r="O204" i="5" s="1"/>
  <c r="P204" i="5" s="1"/>
  <c r="Q204" i="5" s="1"/>
  <c r="R204" i="5" s="1"/>
  <c r="S204" i="5" s="1"/>
  <c r="T204" i="5" s="1"/>
  <c r="U204" i="5" s="1"/>
  <c r="V204" i="5" s="1"/>
  <c r="W204" i="5" s="1"/>
  <c r="X205" i="5"/>
  <c r="O205" i="5" s="1"/>
  <c r="P205" i="5" s="1"/>
  <c r="Q205" i="5" s="1"/>
  <c r="R205" i="5" s="1"/>
  <c r="S205" i="5" s="1"/>
  <c r="T205" i="5" s="1"/>
  <c r="U205" i="5" s="1"/>
  <c r="V205" i="5" s="1"/>
  <c r="W205" i="5" s="1"/>
  <c r="X206" i="5"/>
  <c r="O206" i="5" s="1"/>
  <c r="P206" i="5" s="1"/>
  <c r="Q206" i="5" s="1"/>
  <c r="R206" i="5" s="1"/>
  <c r="S206" i="5" s="1"/>
  <c r="T206" i="5" s="1"/>
  <c r="U206" i="5" s="1"/>
  <c r="V206" i="5" s="1"/>
  <c r="W206" i="5" s="1"/>
  <c r="X207" i="5"/>
  <c r="O207" i="5" s="1"/>
  <c r="P207" i="5" s="1"/>
  <c r="Q207" i="5" s="1"/>
  <c r="R207" i="5" s="1"/>
  <c r="S207" i="5" s="1"/>
  <c r="T207" i="5" s="1"/>
  <c r="U207" i="5" s="1"/>
  <c r="V207" i="5" s="1"/>
  <c r="W207" i="5" s="1"/>
  <c r="X208" i="5"/>
  <c r="O208" i="5" s="1"/>
  <c r="P208" i="5" s="1"/>
  <c r="Q208" i="5" s="1"/>
  <c r="R208" i="5" s="1"/>
  <c r="S208" i="5" s="1"/>
  <c r="T208" i="5" s="1"/>
  <c r="U208" i="5" s="1"/>
  <c r="V208" i="5" s="1"/>
  <c r="W208" i="5" s="1"/>
  <c r="X209" i="5"/>
  <c r="O209" i="5" s="1"/>
  <c r="P209" i="5" s="1"/>
  <c r="Q209" i="5" s="1"/>
  <c r="R209" i="5" s="1"/>
  <c r="S209" i="5" s="1"/>
  <c r="T209" i="5" s="1"/>
  <c r="U209" i="5" s="1"/>
  <c r="V209" i="5" s="1"/>
  <c r="W209" i="5" s="1"/>
  <c r="X210" i="5"/>
  <c r="O210" i="5" s="1"/>
  <c r="P210" i="5" s="1"/>
  <c r="Q210" i="5" s="1"/>
  <c r="R210" i="5" s="1"/>
  <c r="S210" i="5" s="1"/>
  <c r="T210" i="5" s="1"/>
  <c r="U210" i="5" s="1"/>
  <c r="V210" i="5" s="1"/>
  <c r="W210" i="5" s="1"/>
  <c r="X211" i="5"/>
  <c r="O211" i="5" s="1"/>
  <c r="P211" i="5" s="1"/>
  <c r="Q211" i="5" s="1"/>
  <c r="R211" i="5" s="1"/>
  <c r="S211" i="5" s="1"/>
  <c r="T211" i="5" s="1"/>
  <c r="U211" i="5" s="1"/>
  <c r="V211" i="5" s="1"/>
  <c r="W211" i="5" s="1"/>
  <c r="X212" i="5"/>
  <c r="O212" i="5" s="1"/>
  <c r="P212" i="5" s="1"/>
  <c r="Q212" i="5" s="1"/>
  <c r="R212" i="5" s="1"/>
  <c r="S212" i="5" s="1"/>
  <c r="T212" i="5" s="1"/>
  <c r="U212" i="5" s="1"/>
  <c r="V212" i="5" s="1"/>
  <c r="W212" i="5" s="1"/>
  <c r="X213" i="5"/>
  <c r="O213" i="5" s="1"/>
  <c r="P213" i="5" s="1"/>
  <c r="Q213" i="5" s="1"/>
  <c r="R213" i="5" s="1"/>
  <c r="S213" i="5" s="1"/>
  <c r="T213" i="5" s="1"/>
  <c r="U213" i="5" s="1"/>
  <c r="V213" i="5" s="1"/>
  <c r="W213" i="5" s="1"/>
  <c r="X214" i="5"/>
  <c r="O214" i="5" s="1"/>
  <c r="P214" i="5" s="1"/>
  <c r="Q214" i="5" s="1"/>
  <c r="R214" i="5" s="1"/>
  <c r="S214" i="5" s="1"/>
  <c r="T214" i="5" s="1"/>
  <c r="U214" i="5" s="1"/>
  <c r="V214" i="5" s="1"/>
  <c r="W214" i="5" s="1"/>
  <c r="X215" i="5"/>
  <c r="O215" i="5" s="1"/>
  <c r="P215" i="5" s="1"/>
  <c r="Q215" i="5" s="1"/>
  <c r="R215" i="5" s="1"/>
  <c r="S215" i="5" s="1"/>
  <c r="T215" i="5" s="1"/>
  <c r="U215" i="5" s="1"/>
  <c r="V215" i="5" s="1"/>
  <c r="W215" i="5" s="1"/>
  <c r="X216" i="5"/>
  <c r="O216" i="5" s="1"/>
  <c r="P216" i="5" s="1"/>
  <c r="Q216" i="5" s="1"/>
  <c r="R216" i="5" s="1"/>
  <c r="S216" i="5" s="1"/>
  <c r="T216" i="5" s="1"/>
  <c r="U216" i="5" s="1"/>
  <c r="V216" i="5" s="1"/>
  <c r="W216" i="5" s="1"/>
  <c r="X217" i="5"/>
  <c r="O217" i="5" s="1"/>
  <c r="P217" i="5" s="1"/>
  <c r="Q217" i="5" s="1"/>
  <c r="R217" i="5" s="1"/>
  <c r="S217" i="5" s="1"/>
  <c r="T217" i="5" s="1"/>
  <c r="U217" i="5" s="1"/>
  <c r="V217" i="5" s="1"/>
  <c r="W217" i="5" s="1"/>
  <c r="X218" i="5"/>
  <c r="O218" i="5" s="1"/>
  <c r="P218" i="5" s="1"/>
  <c r="Q218" i="5" s="1"/>
  <c r="R218" i="5" s="1"/>
  <c r="S218" i="5" s="1"/>
  <c r="T218" i="5" s="1"/>
  <c r="U218" i="5" s="1"/>
  <c r="V218" i="5" s="1"/>
  <c r="W218" i="5" s="1"/>
  <c r="X219" i="5"/>
  <c r="O219" i="5" s="1"/>
  <c r="P219" i="5" s="1"/>
  <c r="Q219" i="5" s="1"/>
  <c r="R219" i="5" s="1"/>
  <c r="S219" i="5" s="1"/>
  <c r="T219" i="5" s="1"/>
  <c r="U219" i="5" s="1"/>
  <c r="V219" i="5" s="1"/>
  <c r="W219" i="5" s="1"/>
  <c r="X220" i="5"/>
  <c r="O220" i="5" s="1"/>
  <c r="P220" i="5" s="1"/>
  <c r="Q220" i="5" s="1"/>
  <c r="R220" i="5" s="1"/>
  <c r="S220" i="5" s="1"/>
  <c r="T220" i="5" s="1"/>
  <c r="U220" i="5" s="1"/>
  <c r="V220" i="5" s="1"/>
  <c r="W220" i="5" s="1"/>
  <c r="X221" i="5"/>
  <c r="O221" i="5" s="1"/>
  <c r="P221" i="5" s="1"/>
  <c r="Q221" i="5" s="1"/>
  <c r="R221" i="5" s="1"/>
  <c r="S221" i="5" s="1"/>
  <c r="T221" i="5" s="1"/>
  <c r="U221" i="5" s="1"/>
  <c r="V221" i="5" s="1"/>
  <c r="W221" i="5" s="1"/>
  <c r="X222" i="5"/>
  <c r="O222" i="5" s="1"/>
  <c r="P222" i="5" s="1"/>
  <c r="Q222" i="5" s="1"/>
  <c r="R222" i="5" s="1"/>
  <c r="S222" i="5" s="1"/>
  <c r="T222" i="5" s="1"/>
  <c r="U222" i="5" s="1"/>
  <c r="V222" i="5" s="1"/>
  <c r="W222" i="5" s="1"/>
  <c r="X223" i="5"/>
  <c r="O223" i="5" s="1"/>
  <c r="P223" i="5" s="1"/>
  <c r="Q223" i="5" s="1"/>
  <c r="R223" i="5" s="1"/>
  <c r="S223" i="5" s="1"/>
  <c r="T223" i="5" s="1"/>
  <c r="U223" i="5" s="1"/>
  <c r="V223" i="5" s="1"/>
  <c r="W223" i="5" s="1"/>
  <c r="X224" i="5"/>
  <c r="O224" i="5" s="1"/>
  <c r="P224" i="5" s="1"/>
  <c r="Q224" i="5" s="1"/>
  <c r="R224" i="5" s="1"/>
  <c r="S224" i="5" s="1"/>
  <c r="T224" i="5" s="1"/>
  <c r="U224" i="5" s="1"/>
  <c r="V224" i="5" s="1"/>
  <c r="W224" i="5" s="1"/>
  <c r="X225" i="5"/>
  <c r="O225" i="5" s="1"/>
  <c r="P225" i="5" s="1"/>
  <c r="Q225" i="5" s="1"/>
  <c r="R225" i="5" s="1"/>
  <c r="S225" i="5" s="1"/>
  <c r="T225" i="5" s="1"/>
  <c r="U225" i="5" s="1"/>
  <c r="V225" i="5" s="1"/>
  <c r="W225" i="5" s="1"/>
  <c r="X226" i="5"/>
  <c r="O226" i="5" s="1"/>
  <c r="P226" i="5" s="1"/>
  <c r="Q226" i="5" s="1"/>
  <c r="R226" i="5" s="1"/>
  <c r="S226" i="5" s="1"/>
  <c r="T226" i="5" s="1"/>
  <c r="U226" i="5" s="1"/>
  <c r="V226" i="5" s="1"/>
  <c r="W226" i="5" s="1"/>
  <c r="X227" i="5"/>
  <c r="O227" i="5" s="1"/>
  <c r="P227" i="5" s="1"/>
  <c r="Q227" i="5" s="1"/>
  <c r="R227" i="5" s="1"/>
  <c r="S227" i="5" s="1"/>
  <c r="T227" i="5" s="1"/>
  <c r="U227" i="5" s="1"/>
  <c r="V227" i="5" s="1"/>
  <c r="W227" i="5" s="1"/>
  <c r="X228" i="5"/>
  <c r="O228" i="5" s="1"/>
  <c r="P228" i="5" s="1"/>
  <c r="Q228" i="5" s="1"/>
  <c r="R228" i="5" s="1"/>
  <c r="S228" i="5" s="1"/>
  <c r="T228" i="5" s="1"/>
  <c r="U228" i="5" s="1"/>
  <c r="V228" i="5" s="1"/>
  <c r="W228" i="5" s="1"/>
  <c r="X229" i="5"/>
  <c r="O229" i="5" s="1"/>
  <c r="P229" i="5" s="1"/>
  <c r="Q229" i="5" s="1"/>
  <c r="R229" i="5" s="1"/>
  <c r="S229" i="5" s="1"/>
  <c r="T229" i="5" s="1"/>
  <c r="U229" i="5" s="1"/>
  <c r="V229" i="5" s="1"/>
  <c r="W229" i="5" s="1"/>
  <c r="X230" i="5"/>
  <c r="X231" i="5"/>
  <c r="O231" i="5" s="1"/>
  <c r="P231" i="5" s="1"/>
  <c r="Q231" i="5" s="1"/>
  <c r="R231" i="5" s="1"/>
  <c r="S231" i="5" s="1"/>
  <c r="T231" i="5" s="1"/>
  <c r="U231" i="5" s="1"/>
  <c r="V231" i="5" s="1"/>
  <c r="W231" i="5" s="1"/>
  <c r="X232" i="5"/>
  <c r="O232" i="5" s="1"/>
  <c r="P232" i="5" s="1"/>
  <c r="Q232" i="5" s="1"/>
  <c r="R232" i="5" s="1"/>
  <c r="S232" i="5" s="1"/>
  <c r="T232" i="5" s="1"/>
  <c r="U232" i="5" s="1"/>
  <c r="V232" i="5" s="1"/>
  <c r="W232" i="5" s="1"/>
  <c r="X233" i="5"/>
  <c r="O233" i="5" s="1"/>
  <c r="P233" i="5" s="1"/>
  <c r="Q233" i="5" s="1"/>
  <c r="R233" i="5" s="1"/>
  <c r="S233" i="5" s="1"/>
  <c r="T233" i="5" s="1"/>
  <c r="U233" i="5" s="1"/>
  <c r="V233" i="5" s="1"/>
  <c r="W233" i="5" s="1"/>
  <c r="X234" i="5"/>
  <c r="O234" i="5" s="1"/>
  <c r="P234" i="5" s="1"/>
  <c r="Q234" i="5" s="1"/>
  <c r="R234" i="5" s="1"/>
  <c r="S234" i="5" s="1"/>
  <c r="T234" i="5" s="1"/>
  <c r="U234" i="5" s="1"/>
  <c r="V234" i="5" s="1"/>
  <c r="W234" i="5" s="1"/>
  <c r="X235" i="5"/>
  <c r="O235" i="5" s="1"/>
  <c r="P235" i="5" s="1"/>
  <c r="Q235" i="5" s="1"/>
  <c r="R235" i="5" s="1"/>
  <c r="S235" i="5" s="1"/>
  <c r="T235" i="5" s="1"/>
  <c r="U235" i="5" s="1"/>
  <c r="V235" i="5" s="1"/>
  <c r="W235" i="5" s="1"/>
  <c r="X236" i="5"/>
  <c r="O236" i="5" s="1"/>
  <c r="P236" i="5" s="1"/>
  <c r="Q236" i="5" s="1"/>
  <c r="R236" i="5" s="1"/>
  <c r="S236" i="5" s="1"/>
  <c r="T236" i="5" s="1"/>
  <c r="U236" i="5" s="1"/>
  <c r="V236" i="5" s="1"/>
  <c r="W236" i="5" s="1"/>
  <c r="X237" i="5"/>
  <c r="O237" i="5" s="1"/>
  <c r="P237" i="5" s="1"/>
  <c r="Q237" i="5" s="1"/>
  <c r="R237" i="5" s="1"/>
  <c r="S237" i="5" s="1"/>
  <c r="T237" i="5" s="1"/>
  <c r="U237" i="5" s="1"/>
  <c r="V237" i="5" s="1"/>
  <c r="W237" i="5" s="1"/>
  <c r="X238" i="5"/>
  <c r="O238" i="5" s="1"/>
  <c r="P238" i="5" s="1"/>
  <c r="Q238" i="5" s="1"/>
  <c r="R238" i="5" s="1"/>
  <c r="S238" i="5" s="1"/>
  <c r="T238" i="5" s="1"/>
  <c r="U238" i="5" s="1"/>
  <c r="V238" i="5" s="1"/>
  <c r="W238" i="5" s="1"/>
  <c r="X239" i="5"/>
  <c r="O239" i="5" s="1"/>
  <c r="P239" i="5" s="1"/>
  <c r="Q239" i="5" s="1"/>
  <c r="R239" i="5" s="1"/>
  <c r="S239" i="5" s="1"/>
  <c r="T239" i="5" s="1"/>
  <c r="U239" i="5" s="1"/>
  <c r="V239" i="5" s="1"/>
  <c r="W239" i="5" s="1"/>
  <c r="X240" i="5"/>
  <c r="O240" i="5" s="1"/>
  <c r="P240" i="5" s="1"/>
  <c r="Q240" i="5" s="1"/>
  <c r="R240" i="5" s="1"/>
  <c r="S240" i="5" s="1"/>
  <c r="T240" i="5" s="1"/>
  <c r="U240" i="5" s="1"/>
  <c r="V240" i="5" s="1"/>
  <c r="W240" i="5" s="1"/>
  <c r="X241" i="5"/>
  <c r="O241" i="5" s="1"/>
  <c r="P241" i="5" s="1"/>
  <c r="Q241" i="5" s="1"/>
  <c r="R241" i="5" s="1"/>
  <c r="S241" i="5" s="1"/>
  <c r="T241" i="5" s="1"/>
  <c r="U241" i="5" s="1"/>
  <c r="V241" i="5" s="1"/>
  <c r="W241" i="5" s="1"/>
  <c r="X242" i="5"/>
  <c r="O242" i="5" s="1"/>
  <c r="P242" i="5" s="1"/>
  <c r="Q242" i="5" s="1"/>
  <c r="R242" i="5" s="1"/>
  <c r="S242" i="5" s="1"/>
  <c r="T242" i="5" s="1"/>
  <c r="U242" i="5" s="1"/>
  <c r="V242" i="5" s="1"/>
  <c r="W242" i="5" s="1"/>
  <c r="X243" i="5"/>
  <c r="O243" i="5" s="1"/>
  <c r="P243" i="5" s="1"/>
  <c r="Q243" i="5" s="1"/>
  <c r="R243" i="5" s="1"/>
  <c r="S243" i="5" s="1"/>
  <c r="T243" i="5" s="1"/>
  <c r="U243" i="5" s="1"/>
  <c r="V243" i="5" s="1"/>
  <c r="W243" i="5" s="1"/>
  <c r="X244" i="5"/>
  <c r="O244" i="5" s="1"/>
  <c r="P244" i="5" s="1"/>
  <c r="Q244" i="5" s="1"/>
  <c r="R244" i="5" s="1"/>
  <c r="S244" i="5" s="1"/>
  <c r="T244" i="5" s="1"/>
  <c r="U244" i="5" s="1"/>
  <c r="V244" i="5" s="1"/>
  <c r="W244" i="5" s="1"/>
  <c r="X245" i="5"/>
  <c r="O245" i="5" s="1"/>
  <c r="P245" i="5" s="1"/>
  <c r="Q245" i="5" s="1"/>
  <c r="R245" i="5" s="1"/>
  <c r="S245" i="5" s="1"/>
  <c r="T245" i="5" s="1"/>
  <c r="U245" i="5" s="1"/>
  <c r="V245" i="5" s="1"/>
  <c r="W245" i="5" s="1"/>
  <c r="X246" i="5"/>
  <c r="O246" i="5" s="1"/>
  <c r="P246" i="5" s="1"/>
  <c r="Q246" i="5" s="1"/>
  <c r="R246" i="5" s="1"/>
  <c r="S246" i="5" s="1"/>
  <c r="T246" i="5" s="1"/>
  <c r="U246" i="5" s="1"/>
  <c r="V246" i="5" s="1"/>
  <c r="W246" i="5" s="1"/>
  <c r="X247" i="5"/>
  <c r="O247" i="5" s="1"/>
  <c r="P247" i="5" s="1"/>
  <c r="Q247" i="5" s="1"/>
  <c r="R247" i="5" s="1"/>
  <c r="S247" i="5" s="1"/>
  <c r="T247" i="5" s="1"/>
  <c r="U247" i="5" s="1"/>
  <c r="V247" i="5" s="1"/>
  <c r="W247" i="5" s="1"/>
  <c r="X248" i="5"/>
  <c r="O248" i="5" s="1"/>
  <c r="P248" i="5" s="1"/>
  <c r="Q248" i="5" s="1"/>
  <c r="R248" i="5" s="1"/>
  <c r="S248" i="5" s="1"/>
  <c r="T248" i="5" s="1"/>
  <c r="U248" i="5" s="1"/>
  <c r="V248" i="5" s="1"/>
  <c r="W248" i="5" s="1"/>
  <c r="X249" i="5"/>
  <c r="O249" i="5" s="1"/>
  <c r="P249" i="5" s="1"/>
  <c r="Q249" i="5" s="1"/>
  <c r="R249" i="5" s="1"/>
  <c r="S249" i="5" s="1"/>
  <c r="T249" i="5" s="1"/>
  <c r="U249" i="5" s="1"/>
  <c r="V249" i="5" s="1"/>
  <c r="W249" i="5" s="1"/>
  <c r="X250" i="5"/>
  <c r="X251" i="5"/>
  <c r="O251" i="5" s="1"/>
  <c r="P251" i="5" s="1"/>
  <c r="Q251" i="5" s="1"/>
  <c r="R251" i="5" s="1"/>
  <c r="S251" i="5" s="1"/>
  <c r="T251" i="5" s="1"/>
  <c r="U251" i="5" s="1"/>
  <c r="V251" i="5" s="1"/>
  <c r="W251" i="5" s="1"/>
  <c r="X252" i="5"/>
  <c r="O252" i="5" s="1"/>
  <c r="P252" i="5" s="1"/>
  <c r="Q252" i="5" s="1"/>
  <c r="R252" i="5" s="1"/>
  <c r="S252" i="5" s="1"/>
  <c r="T252" i="5" s="1"/>
  <c r="U252" i="5" s="1"/>
  <c r="V252" i="5" s="1"/>
  <c r="W252" i="5" s="1"/>
  <c r="X253" i="5"/>
  <c r="O253" i="5" s="1"/>
  <c r="P253" i="5" s="1"/>
  <c r="Q253" i="5" s="1"/>
  <c r="R253" i="5" s="1"/>
  <c r="S253" i="5" s="1"/>
  <c r="T253" i="5" s="1"/>
  <c r="U253" i="5" s="1"/>
  <c r="V253" i="5" s="1"/>
  <c r="W253" i="5" s="1"/>
  <c r="X254" i="5"/>
  <c r="O254" i="5" s="1"/>
  <c r="P254" i="5" s="1"/>
  <c r="Q254" i="5" s="1"/>
  <c r="R254" i="5" s="1"/>
  <c r="S254" i="5" s="1"/>
  <c r="T254" i="5" s="1"/>
  <c r="U254" i="5" s="1"/>
  <c r="V254" i="5" s="1"/>
  <c r="W254" i="5" s="1"/>
  <c r="X255" i="5"/>
  <c r="O255" i="5" s="1"/>
  <c r="P255" i="5" s="1"/>
  <c r="Q255" i="5" s="1"/>
  <c r="R255" i="5" s="1"/>
  <c r="S255" i="5" s="1"/>
  <c r="T255" i="5" s="1"/>
  <c r="U255" i="5" s="1"/>
  <c r="V255" i="5" s="1"/>
  <c r="W255" i="5" s="1"/>
  <c r="X256" i="5"/>
  <c r="O256" i="5" s="1"/>
  <c r="P256" i="5" s="1"/>
  <c r="Q256" i="5" s="1"/>
  <c r="R256" i="5" s="1"/>
  <c r="S256" i="5" s="1"/>
  <c r="T256" i="5" s="1"/>
  <c r="U256" i="5" s="1"/>
  <c r="V256" i="5" s="1"/>
  <c r="W256" i="5" s="1"/>
  <c r="X257" i="5"/>
  <c r="O257" i="5" s="1"/>
  <c r="P257" i="5" s="1"/>
  <c r="Q257" i="5" s="1"/>
  <c r="R257" i="5" s="1"/>
  <c r="S257" i="5" s="1"/>
  <c r="T257" i="5" s="1"/>
  <c r="U257" i="5" s="1"/>
  <c r="V257" i="5" s="1"/>
  <c r="W257" i="5" s="1"/>
  <c r="X258" i="5"/>
  <c r="O258" i="5" s="1"/>
  <c r="P258" i="5" s="1"/>
  <c r="Q258" i="5" s="1"/>
  <c r="R258" i="5" s="1"/>
  <c r="S258" i="5" s="1"/>
  <c r="T258" i="5" s="1"/>
  <c r="U258" i="5" s="1"/>
  <c r="V258" i="5" s="1"/>
  <c r="W258" i="5" s="1"/>
  <c r="X259" i="5"/>
  <c r="O259" i="5" s="1"/>
  <c r="P259" i="5" s="1"/>
  <c r="Q259" i="5" s="1"/>
  <c r="R259" i="5" s="1"/>
  <c r="S259" i="5" s="1"/>
  <c r="T259" i="5" s="1"/>
  <c r="U259" i="5" s="1"/>
  <c r="V259" i="5" s="1"/>
  <c r="W259" i="5" s="1"/>
  <c r="X260" i="5"/>
  <c r="X261" i="5"/>
  <c r="O261" i="5" s="1"/>
  <c r="P261" i="5" s="1"/>
  <c r="Q261" i="5" s="1"/>
  <c r="R261" i="5" s="1"/>
  <c r="S261" i="5" s="1"/>
  <c r="T261" i="5" s="1"/>
  <c r="U261" i="5" s="1"/>
  <c r="V261" i="5" s="1"/>
  <c r="W261" i="5" s="1"/>
  <c r="X262" i="5"/>
  <c r="O262" i="5" s="1"/>
  <c r="P262" i="5" s="1"/>
  <c r="Q262" i="5" s="1"/>
  <c r="R262" i="5" s="1"/>
  <c r="S262" i="5" s="1"/>
  <c r="T262" i="5" s="1"/>
  <c r="U262" i="5" s="1"/>
  <c r="V262" i="5" s="1"/>
  <c r="W262" i="5" s="1"/>
  <c r="X263" i="5"/>
  <c r="O263" i="5" s="1"/>
  <c r="P263" i="5" s="1"/>
  <c r="Q263" i="5" s="1"/>
  <c r="R263" i="5" s="1"/>
  <c r="S263" i="5" s="1"/>
  <c r="T263" i="5" s="1"/>
  <c r="U263" i="5" s="1"/>
  <c r="V263" i="5" s="1"/>
  <c r="W263" i="5" s="1"/>
  <c r="X264" i="5"/>
  <c r="O264" i="5" s="1"/>
  <c r="P264" i="5" s="1"/>
  <c r="Q264" i="5" s="1"/>
  <c r="R264" i="5" s="1"/>
  <c r="S264" i="5" s="1"/>
  <c r="T264" i="5" s="1"/>
  <c r="U264" i="5" s="1"/>
  <c r="V264" i="5" s="1"/>
  <c r="W264" i="5" s="1"/>
  <c r="X265" i="5"/>
  <c r="O265" i="5" s="1"/>
  <c r="P265" i="5" s="1"/>
  <c r="Q265" i="5" s="1"/>
  <c r="R265" i="5" s="1"/>
  <c r="S265" i="5" s="1"/>
  <c r="T265" i="5" s="1"/>
  <c r="U265" i="5" s="1"/>
  <c r="V265" i="5" s="1"/>
  <c r="W265" i="5" s="1"/>
  <c r="X266" i="5"/>
  <c r="O266" i="5" s="1"/>
  <c r="P266" i="5" s="1"/>
  <c r="Q266" i="5" s="1"/>
  <c r="R266" i="5" s="1"/>
  <c r="S266" i="5" s="1"/>
  <c r="T266" i="5" s="1"/>
  <c r="U266" i="5" s="1"/>
  <c r="V266" i="5" s="1"/>
  <c r="W266" i="5" s="1"/>
  <c r="X267" i="5"/>
  <c r="O267" i="5" s="1"/>
  <c r="P267" i="5" s="1"/>
  <c r="Q267" i="5" s="1"/>
  <c r="R267" i="5" s="1"/>
  <c r="S267" i="5" s="1"/>
  <c r="T267" i="5" s="1"/>
  <c r="U267" i="5" s="1"/>
  <c r="V267" i="5" s="1"/>
  <c r="W267" i="5" s="1"/>
  <c r="X268" i="5"/>
  <c r="O268" i="5" s="1"/>
  <c r="P268" i="5" s="1"/>
  <c r="Q268" i="5" s="1"/>
  <c r="R268" i="5" s="1"/>
  <c r="S268" i="5" s="1"/>
  <c r="T268" i="5" s="1"/>
  <c r="U268" i="5" s="1"/>
  <c r="V268" i="5" s="1"/>
  <c r="W268" i="5" s="1"/>
  <c r="X269" i="5"/>
  <c r="O269" i="5" s="1"/>
  <c r="P269" i="5" s="1"/>
  <c r="Q269" i="5" s="1"/>
  <c r="R269" i="5" s="1"/>
  <c r="S269" i="5" s="1"/>
  <c r="T269" i="5" s="1"/>
  <c r="U269" i="5" s="1"/>
  <c r="V269" i="5" s="1"/>
  <c r="W269" i="5" s="1"/>
  <c r="X270" i="5"/>
  <c r="O270" i="5" s="1"/>
  <c r="P270" i="5" s="1"/>
  <c r="Q270" i="5" s="1"/>
  <c r="R270" i="5" s="1"/>
  <c r="S270" i="5" s="1"/>
  <c r="T270" i="5" s="1"/>
  <c r="U270" i="5" s="1"/>
  <c r="V270" i="5" s="1"/>
  <c r="W270" i="5" s="1"/>
  <c r="X271" i="5"/>
  <c r="O271" i="5" s="1"/>
  <c r="P271" i="5" s="1"/>
  <c r="Q271" i="5" s="1"/>
  <c r="R271" i="5" s="1"/>
  <c r="S271" i="5" s="1"/>
  <c r="T271" i="5" s="1"/>
  <c r="U271" i="5" s="1"/>
  <c r="V271" i="5" s="1"/>
  <c r="W271" i="5" s="1"/>
  <c r="X272" i="5"/>
  <c r="O272" i="5" s="1"/>
  <c r="P272" i="5" s="1"/>
  <c r="Q272" i="5" s="1"/>
  <c r="R272" i="5" s="1"/>
  <c r="S272" i="5" s="1"/>
  <c r="T272" i="5" s="1"/>
  <c r="U272" i="5" s="1"/>
  <c r="V272" i="5" s="1"/>
  <c r="W272" i="5" s="1"/>
  <c r="X273" i="5"/>
  <c r="O273" i="5" s="1"/>
  <c r="P273" i="5" s="1"/>
  <c r="Q273" i="5" s="1"/>
  <c r="R273" i="5" s="1"/>
  <c r="S273" i="5" s="1"/>
  <c r="T273" i="5" s="1"/>
  <c r="U273" i="5" s="1"/>
  <c r="V273" i="5" s="1"/>
  <c r="W273" i="5" s="1"/>
  <c r="X274" i="5"/>
  <c r="O274" i="5" s="1"/>
  <c r="P274" i="5" s="1"/>
  <c r="Q274" i="5" s="1"/>
  <c r="R274" i="5" s="1"/>
  <c r="S274" i="5" s="1"/>
  <c r="T274" i="5" s="1"/>
  <c r="U274" i="5" s="1"/>
  <c r="V274" i="5" s="1"/>
  <c r="W274" i="5" s="1"/>
  <c r="X275" i="5"/>
  <c r="O275" i="5" s="1"/>
  <c r="P275" i="5" s="1"/>
  <c r="Q275" i="5" s="1"/>
  <c r="R275" i="5" s="1"/>
  <c r="S275" i="5" s="1"/>
  <c r="T275" i="5" s="1"/>
  <c r="U275" i="5" s="1"/>
  <c r="V275" i="5" s="1"/>
  <c r="W275" i="5" s="1"/>
  <c r="X276" i="5"/>
  <c r="O276" i="5" s="1"/>
  <c r="P276" i="5" s="1"/>
  <c r="Q276" i="5" s="1"/>
  <c r="R276" i="5" s="1"/>
  <c r="S276" i="5" s="1"/>
  <c r="T276" i="5" s="1"/>
  <c r="U276" i="5" s="1"/>
  <c r="V276" i="5" s="1"/>
  <c r="W276" i="5" s="1"/>
  <c r="X277" i="5"/>
  <c r="O277" i="5" s="1"/>
  <c r="P277" i="5" s="1"/>
  <c r="Q277" i="5" s="1"/>
  <c r="R277" i="5" s="1"/>
  <c r="S277" i="5" s="1"/>
  <c r="T277" i="5" s="1"/>
  <c r="U277" i="5" s="1"/>
  <c r="V277" i="5" s="1"/>
  <c r="W277" i="5" s="1"/>
  <c r="X278" i="5"/>
  <c r="O278" i="5" s="1"/>
  <c r="P278" i="5" s="1"/>
  <c r="Q278" i="5" s="1"/>
  <c r="R278" i="5" s="1"/>
  <c r="S278" i="5" s="1"/>
  <c r="T278" i="5" s="1"/>
  <c r="U278" i="5" s="1"/>
  <c r="V278" i="5" s="1"/>
  <c r="W278" i="5" s="1"/>
  <c r="X279" i="5"/>
  <c r="O279" i="5" s="1"/>
  <c r="P279" i="5" s="1"/>
  <c r="Q279" i="5" s="1"/>
  <c r="R279" i="5" s="1"/>
  <c r="S279" i="5" s="1"/>
  <c r="T279" i="5" s="1"/>
  <c r="U279" i="5" s="1"/>
  <c r="V279" i="5" s="1"/>
  <c r="W279" i="5" s="1"/>
  <c r="X280" i="5"/>
  <c r="X281" i="5"/>
  <c r="O281" i="5" s="1"/>
  <c r="P281" i="5" s="1"/>
  <c r="Q281" i="5" s="1"/>
  <c r="R281" i="5" s="1"/>
  <c r="S281" i="5" s="1"/>
  <c r="T281" i="5" s="1"/>
  <c r="U281" i="5" s="1"/>
  <c r="V281" i="5" s="1"/>
  <c r="W281" i="5" s="1"/>
  <c r="X282" i="5"/>
  <c r="O282" i="5" s="1"/>
  <c r="P282" i="5" s="1"/>
  <c r="Q282" i="5" s="1"/>
  <c r="R282" i="5" s="1"/>
  <c r="S282" i="5" s="1"/>
  <c r="T282" i="5" s="1"/>
  <c r="U282" i="5" s="1"/>
  <c r="V282" i="5" s="1"/>
  <c r="W282" i="5" s="1"/>
  <c r="X283" i="5"/>
  <c r="O283" i="5" s="1"/>
  <c r="P283" i="5" s="1"/>
  <c r="Q283" i="5" s="1"/>
  <c r="R283" i="5" s="1"/>
  <c r="S283" i="5" s="1"/>
  <c r="T283" i="5" s="1"/>
  <c r="U283" i="5" s="1"/>
  <c r="V283" i="5" s="1"/>
  <c r="W283" i="5" s="1"/>
  <c r="X284" i="5"/>
  <c r="O284" i="5" s="1"/>
  <c r="P284" i="5" s="1"/>
  <c r="Q284" i="5" s="1"/>
  <c r="R284" i="5" s="1"/>
  <c r="S284" i="5" s="1"/>
  <c r="T284" i="5" s="1"/>
  <c r="U284" i="5" s="1"/>
  <c r="V284" i="5" s="1"/>
  <c r="W284" i="5" s="1"/>
  <c r="X285" i="5"/>
  <c r="O285" i="5" s="1"/>
  <c r="P285" i="5" s="1"/>
  <c r="Q285" i="5" s="1"/>
  <c r="R285" i="5" s="1"/>
  <c r="S285" i="5" s="1"/>
  <c r="T285" i="5" s="1"/>
  <c r="U285" i="5" s="1"/>
  <c r="V285" i="5" s="1"/>
  <c r="W285" i="5" s="1"/>
  <c r="X286" i="5"/>
  <c r="O286" i="5" s="1"/>
  <c r="P286" i="5" s="1"/>
  <c r="Q286" i="5" s="1"/>
  <c r="R286" i="5" s="1"/>
  <c r="S286" i="5" s="1"/>
  <c r="T286" i="5" s="1"/>
  <c r="U286" i="5" s="1"/>
  <c r="V286" i="5" s="1"/>
  <c r="W286" i="5" s="1"/>
  <c r="X287" i="5"/>
  <c r="O287" i="5" s="1"/>
  <c r="P287" i="5" s="1"/>
  <c r="Q287" i="5" s="1"/>
  <c r="R287" i="5" s="1"/>
  <c r="S287" i="5" s="1"/>
  <c r="T287" i="5" s="1"/>
  <c r="U287" i="5" s="1"/>
  <c r="V287" i="5" s="1"/>
  <c r="W287" i="5" s="1"/>
  <c r="X288" i="5"/>
  <c r="O288" i="5" s="1"/>
  <c r="P288" i="5" s="1"/>
  <c r="Q288" i="5" s="1"/>
  <c r="R288" i="5" s="1"/>
  <c r="S288" i="5" s="1"/>
  <c r="T288" i="5" s="1"/>
  <c r="U288" i="5" s="1"/>
  <c r="V288" i="5" s="1"/>
  <c r="W288" i="5" s="1"/>
  <c r="X289" i="5"/>
  <c r="O289" i="5" s="1"/>
  <c r="P289" i="5" s="1"/>
  <c r="Q289" i="5" s="1"/>
  <c r="R289" i="5" s="1"/>
  <c r="S289" i="5" s="1"/>
  <c r="T289" i="5" s="1"/>
  <c r="U289" i="5" s="1"/>
  <c r="V289" i="5" s="1"/>
  <c r="W289" i="5" s="1"/>
  <c r="X290" i="5"/>
  <c r="O290" i="5" s="1"/>
  <c r="P290" i="5" s="1"/>
  <c r="Q290" i="5" s="1"/>
  <c r="R290" i="5" s="1"/>
  <c r="S290" i="5" s="1"/>
  <c r="T290" i="5" s="1"/>
  <c r="U290" i="5" s="1"/>
  <c r="V290" i="5" s="1"/>
  <c r="W290" i="5" s="1"/>
  <c r="X291" i="5"/>
  <c r="O291" i="5" s="1"/>
  <c r="P291" i="5" s="1"/>
  <c r="Q291" i="5" s="1"/>
  <c r="R291" i="5" s="1"/>
  <c r="S291" i="5" s="1"/>
  <c r="T291" i="5" s="1"/>
  <c r="U291" i="5" s="1"/>
  <c r="V291" i="5" s="1"/>
  <c r="W291" i="5" s="1"/>
  <c r="X292" i="5"/>
  <c r="O292" i="5" s="1"/>
  <c r="P292" i="5" s="1"/>
  <c r="Q292" i="5" s="1"/>
  <c r="R292" i="5" s="1"/>
  <c r="S292" i="5" s="1"/>
  <c r="T292" i="5" s="1"/>
  <c r="U292" i="5" s="1"/>
  <c r="V292" i="5" s="1"/>
  <c r="W292" i="5" s="1"/>
  <c r="X293" i="5"/>
  <c r="O293" i="5" s="1"/>
  <c r="P293" i="5" s="1"/>
  <c r="Q293" i="5" s="1"/>
  <c r="R293" i="5" s="1"/>
  <c r="S293" i="5" s="1"/>
  <c r="T293" i="5" s="1"/>
  <c r="U293" i="5" s="1"/>
  <c r="V293" i="5" s="1"/>
  <c r="W293" i="5" s="1"/>
  <c r="X294" i="5"/>
  <c r="O294" i="5" s="1"/>
  <c r="P294" i="5" s="1"/>
  <c r="Q294" i="5" s="1"/>
  <c r="R294" i="5" s="1"/>
  <c r="S294" i="5" s="1"/>
  <c r="T294" i="5" s="1"/>
  <c r="U294" i="5" s="1"/>
  <c r="V294" i="5" s="1"/>
  <c r="W294" i="5" s="1"/>
  <c r="X295" i="5"/>
  <c r="O295" i="5" s="1"/>
  <c r="P295" i="5" s="1"/>
  <c r="Q295" i="5" s="1"/>
  <c r="R295" i="5" s="1"/>
  <c r="S295" i="5" s="1"/>
  <c r="T295" i="5" s="1"/>
  <c r="U295" i="5" s="1"/>
  <c r="V295" i="5" s="1"/>
  <c r="W295" i="5" s="1"/>
  <c r="X296" i="5"/>
  <c r="O296" i="5" s="1"/>
  <c r="P296" i="5" s="1"/>
  <c r="Q296" i="5" s="1"/>
  <c r="R296" i="5" s="1"/>
  <c r="S296" i="5" s="1"/>
  <c r="T296" i="5" s="1"/>
  <c r="U296" i="5" s="1"/>
  <c r="V296" i="5" s="1"/>
  <c r="W296" i="5" s="1"/>
  <c r="X297" i="5"/>
  <c r="O297" i="5" s="1"/>
  <c r="P297" i="5" s="1"/>
  <c r="Q297" i="5" s="1"/>
  <c r="R297" i="5" s="1"/>
  <c r="S297" i="5" s="1"/>
  <c r="T297" i="5" s="1"/>
  <c r="U297" i="5" s="1"/>
  <c r="V297" i="5" s="1"/>
  <c r="W297" i="5" s="1"/>
  <c r="X298" i="5"/>
  <c r="O298" i="5" s="1"/>
  <c r="P298" i="5" s="1"/>
  <c r="Q298" i="5" s="1"/>
  <c r="R298" i="5" s="1"/>
  <c r="S298" i="5" s="1"/>
  <c r="T298" i="5" s="1"/>
  <c r="U298" i="5" s="1"/>
  <c r="V298" i="5" s="1"/>
  <c r="W298" i="5" s="1"/>
  <c r="X299" i="5"/>
  <c r="O299" i="5" s="1"/>
  <c r="P299" i="5" s="1"/>
  <c r="Q299" i="5" s="1"/>
  <c r="R299" i="5" s="1"/>
  <c r="S299" i="5" s="1"/>
  <c r="T299" i="5" s="1"/>
  <c r="U299" i="5" s="1"/>
  <c r="V299" i="5" s="1"/>
  <c r="W299" i="5" s="1"/>
  <c r="X300" i="5"/>
  <c r="O300" i="5" s="1"/>
  <c r="P300" i="5" s="1"/>
  <c r="Q300" i="5" s="1"/>
  <c r="R300" i="5" s="1"/>
  <c r="S300" i="5" s="1"/>
  <c r="T300" i="5" s="1"/>
  <c r="U300" i="5" s="1"/>
  <c r="V300" i="5" s="1"/>
  <c r="W300" i="5" s="1"/>
  <c r="X301" i="5"/>
  <c r="O301" i="5" s="1"/>
  <c r="P301" i="5" s="1"/>
  <c r="Q301" i="5" s="1"/>
  <c r="R301" i="5" s="1"/>
  <c r="S301" i="5" s="1"/>
  <c r="T301" i="5" s="1"/>
  <c r="U301" i="5" s="1"/>
  <c r="V301" i="5" s="1"/>
  <c r="W301" i="5" s="1"/>
  <c r="X302" i="5"/>
  <c r="O302" i="5" s="1"/>
  <c r="P302" i="5" s="1"/>
  <c r="Q302" i="5" s="1"/>
  <c r="R302" i="5" s="1"/>
  <c r="S302" i="5" s="1"/>
  <c r="T302" i="5" s="1"/>
  <c r="U302" i="5" s="1"/>
  <c r="V302" i="5" s="1"/>
  <c r="W302" i="5" s="1"/>
  <c r="X303" i="5"/>
  <c r="O303" i="5" s="1"/>
  <c r="P303" i="5" s="1"/>
  <c r="Q303" i="5" s="1"/>
  <c r="R303" i="5" s="1"/>
  <c r="S303" i="5" s="1"/>
  <c r="T303" i="5" s="1"/>
  <c r="U303" i="5" s="1"/>
  <c r="V303" i="5" s="1"/>
  <c r="W303" i="5" s="1"/>
  <c r="X304" i="5"/>
  <c r="O304" i="5" s="1"/>
  <c r="P304" i="5" s="1"/>
  <c r="Q304" i="5" s="1"/>
  <c r="R304" i="5" s="1"/>
  <c r="S304" i="5" s="1"/>
  <c r="T304" i="5" s="1"/>
  <c r="U304" i="5" s="1"/>
  <c r="V304" i="5" s="1"/>
  <c r="W304" i="5" s="1"/>
  <c r="X305" i="5"/>
  <c r="O305" i="5" s="1"/>
  <c r="P305" i="5" s="1"/>
  <c r="Q305" i="5" s="1"/>
  <c r="R305" i="5" s="1"/>
  <c r="S305" i="5" s="1"/>
  <c r="T305" i="5" s="1"/>
  <c r="U305" i="5" s="1"/>
  <c r="V305" i="5" s="1"/>
  <c r="W305" i="5" s="1"/>
  <c r="X306" i="5"/>
  <c r="O306" i="5" s="1"/>
  <c r="P306" i="5" s="1"/>
  <c r="Q306" i="5" s="1"/>
  <c r="R306" i="5" s="1"/>
  <c r="S306" i="5" s="1"/>
  <c r="T306" i="5" s="1"/>
  <c r="U306" i="5" s="1"/>
  <c r="V306" i="5" s="1"/>
  <c r="W306" i="5" s="1"/>
  <c r="X307" i="5"/>
  <c r="O307" i="5" s="1"/>
  <c r="P307" i="5" s="1"/>
  <c r="Q307" i="5" s="1"/>
  <c r="R307" i="5" s="1"/>
  <c r="S307" i="5" s="1"/>
  <c r="T307" i="5" s="1"/>
  <c r="U307" i="5" s="1"/>
  <c r="V307" i="5" s="1"/>
  <c r="W307" i="5" s="1"/>
  <c r="X308" i="5"/>
  <c r="O308" i="5" s="1"/>
  <c r="P308" i="5" s="1"/>
  <c r="Q308" i="5" s="1"/>
  <c r="R308" i="5" s="1"/>
  <c r="S308" i="5" s="1"/>
  <c r="T308" i="5" s="1"/>
  <c r="U308" i="5" s="1"/>
  <c r="V308" i="5" s="1"/>
  <c r="W308" i="5" s="1"/>
  <c r="X309" i="5"/>
  <c r="O309" i="5" s="1"/>
  <c r="P309" i="5" s="1"/>
  <c r="Q309" i="5" s="1"/>
  <c r="R309" i="5" s="1"/>
  <c r="S309" i="5" s="1"/>
  <c r="T309" i="5" s="1"/>
  <c r="U309" i="5" s="1"/>
  <c r="V309" i="5" s="1"/>
  <c r="W309" i="5" s="1"/>
  <c r="X310" i="5"/>
  <c r="O310" i="5" s="1"/>
  <c r="P310" i="5" s="1"/>
  <c r="Q310" i="5" s="1"/>
  <c r="R310" i="5" s="1"/>
  <c r="S310" i="5" s="1"/>
  <c r="T310" i="5" s="1"/>
  <c r="U310" i="5" s="1"/>
  <c r="V310" i="5" s="1"/>
  <c r="W310" i="5" s="1"/>
  <c r="X311" i="5"/>
  <c r="O311" i="5" s="1"/>
  <c r="P311" i="5" s="1"/>
  <c r="Q311" i="5" s="1"/>
  <c r="R311" i="5" s="1"/>
  <c r="S311" i="5" s="1"/>
  <c r="T311" i="5" s="1"/>
  <c r="U311" i="5" s="1"/>
  <c r="V311" i="5" s="1"/>
  <c r="W311" i="5" s="1"/>
  <c r="X312" i="5"/>
  <c r="O312" i="5" s="1"/>
  <c r="P312" i="5" s="1"/>
  <c r="Q312" i="5" s="1"/>
  <c r="R312" i="5" s="1"/>
  <c r="S312" i="5" s="1"/>
  <c r="T312" i="5" s="1"/>
  <c r="U312" i="5" s="1"/>
  <c r="V312" i="5" s="1"/>
  <c r="W312" i="5" s="1"/>
  <c r="X313" i="5"/>
  <c r="O313" i="5" s="1"/>
  <c r="P313" i="5" s="1"/>
  <c r="Q313" i="5" s="1"/>
  <c r="R313" i="5" s="1"/>
  <c r="S313" i="5" s="1"/>
  <c r="T313" i="5" s="1"/>
  <c r="U313" i="5" s="1"/>
  <c r="V313" i="5" s="1"/>
  <c r="W313" i="5" s="1"/>
  <c r="X314" i="5"/>
  <c r="O314" i="5" s="1"/>
  <c r="P314" i="5" s="1"/>
  <c r="Q314" i="5" s="1"/>
  <c r="R314" i="5" s="1"/>
  <c r="S314" i="5" s="1"/>
  <c r="T314" i="5" s="1"/>
  <c r="U314" i="5" s="1"/>
  <c r="V314" i="5" s="1"/>
  <c r="W314" i="5" s="1"/>
  <c r="X315" i="5"/>
  <c r="O315" i="5" s="1"/>
  <c r="P315" i="5" s="1"/>
  <c r="Q315" i="5" s="1"/>
  <c r="R315" i="5" s="1"/>
  <c r="S315" i="5" s="1"/>
  <c r="T315" i="5" s="1"/>
  <c r="U315" i="5" s="1"/>
  <c r="V315" i="5" s="1"/>
  <c r="W315" i="5" s="1"/>
  <c r="X316" i="5"/>
  <c r="O316" i="5" s="1"/>
  <c r="P316" i="5" s="1"/>
  <c r="Q316" i="5" s="1"/>
  <c r="R316" i="5" s="1"/>
  <c r="S316" i="5" s="1"/>
  <c r="T316" i="5" s="1"/>
  <c r="U316" i="5" s="1"/>
  <c r="V316" i="5" s="1"/>
  <c r="W316" i="5" s="1"/>
  <c r="X317" i="5"/>
  <c r="O317" i="5" s="1"/>
  <c r="P317" i="5" s="1"/>
  <c r="Q317" i="5" s="1"/>
  <c r="R317" i="5" s="1"/>
  <c r="S317" i="5" s="1"/>
  <c r="T317" i="5" s="1"/>
  <c r="U317" i="5" s="1"/>
  <c r="V317" i="5" s="1"/>
  <c r="W317" i="5" s="1"/>
  <c r="X318" i="5"/>
  <c r="O318" i="5" s="1"/>
  <c r="P318" i="5" s="1"/>
  <c r="Q318" i="5" s="1"/>
  <c r="R318" i="5" s="1"/>
  <c r="S318" i="5" s="1"/>
  <c r="T318" i="5" s="1"/>
  <c r="U318" i="5" s="1"/>
  <c r="V318" i="5" s="1"/>
  <c r="W318" i="5" s="1"/>
  <c r="X319" i="5"/>
  <c r="O319" i="5" s="1"/>
  <c r="P319" i="5" s="1"/>
  <c r="Q319" i="5" s="1"/>
  <c r="R319" i="5" s="1"/>
  <c r="S319" i="5" s="1"/>
  <c r="T319" i="5" s="1"/>
  <c r="U319" i="5" s="1"/>
  <c r="V319" i="5" s="1"/>
  <c r="W319" i="5" s="1"/>
  <c r="X320" i="5"/>
  <c r="O320" i="5" s="1"/>
  <c r="P320" i="5" s="1"/>
  <c r="Q320" i="5" s="1"/>
  <c r="R320" i="5" s="1"/>
  <c r="S320" i="5" s="1"/>
  <c r="T320" i="5" s="1"/>
  <c r="U320" i="5" s="1"/>
  <c r="V320" i="5" s="1"/>
  <c r="W320" i="5" s="1"/>
  <c r="X321" i="5"/>
  <c r="O321" i="5" s="1"/>
  <c r="P321" i="5" s="1"/>
  <c r="Q321" i="5" s="1"/>
  <c r="R321" i="5" s="1"/>
  <c r="S321" i="5" s="1"/>
  <c r="T321" i="5" s="1"/>
  <c r="U321" i="5" s="1"/>
  <c r="V321" i="5" s="1"/>
  <c r="W321" i="5" s="1"/>
  <c r="X322" i="5"/>
  <c r="O322" i="5" s="1"/>
  <c r="P322" i="5" s="1"/>
  <c r="Q322" i="5" s="1"/>
  <c r="R322" i="5" s="1"/>
  <c r="S322" i="5" s="1"/>
  <c r="T322" i="5" s="1"/>
  <c r="U322" i="5" s="1"/>
  <c r="V322" i="5" s="1"/>
  <c r="W322" i="5" s="1"/>
  <c r="X323" i="5"/>
  <c r="O323" i="5" s="1"/>
  <c r="P323" i="5" s="1"/>
  <c r="Q323" i="5" s="1"/>
  <c r="R323" i="5" s="1"/>
  <c r="S323" i="5" s="1"/>
  <c r="T323" i="5" s="1"/>
  <c r="U323" i="5" s="1"/>
  <c r="V323" i="5" s="1"/>
  <c r="W323" i="5" s="1"/>
  <c r="X324" i="5"/>
  <c r="O324" i="5" s="1"/>
  <c r="P324" i="5" s="1"/>
  <c r="Q324" i="5" s="1"/>
  <c r="R324" i="5" s="1"/>
  <c r="S324" i="5" s="1"/>
  <c r="T324" i="5" s="1"/>
  <c r="U324" i="5" s="1"/>
  <c r="V324" i="5" s="1"/>
  <c r="W324" i="5" s="1"/>
  <c r="X325" i="5"/>
  <c r="O325" i="5" s="1"/>
  <c r="P325" i="5" s="1"/>
  <c r="Q325" i="5" s="1"/>
  <c r="R325" i="5" s="1"/>
  <c r="S325" i="5" s="1"/>
  <c r="T325" i="5" s="1"/>
  <c r="U325" i="5" s="1"/>
  <c r="V325" i="5" s="1"/>
  <c r="W325" i="5" s="1"/>
  <c r="X326" i="5"/>
  <c r="O326" i="5" s="1"/>
  <c r="P326" i="5" s="1"/>
  <c r="Q326" i="5" s="1"/>
  <c r="R326" i="5" s="1"/>
  <c r="S326" i="5" s="1"/>
  <c r="T326" i="5" s="1"/>
  <c r="U326" i="5" s="1"/>
  <c r="V326" i="5" s="1"/>
  <c r="W326" i="5" s="1"/>
  <c r="X327" i="5"/>
  <c r="O327" i="5" s="1"/>
  <c r="P327" i="5" s="1"/>
  <c r="Q327" i="5" s="1"/>
  <c r="R327" i="5" s="1"/>
  <c r="S327" i="5" s="1"/>
  <c r="T327" i="5" s="1"/>
  <c r="U327" i="5" s="1"/>
  <c r="V327" i="5" s="1"/>
  <c r="W327" i="5" s="1"/>
  <c r="X328" i="5"/>
  <c r="O328" i="5" s="1"/>
  <c r="P328" i="5" s="1"/>
  <c r="Q328" i="5" s="1"/>
  <c r="R328" i="5" s="1"/>
  <c r="S328" i="5" s="1"/>
  <c r="T328" i="5" s="1"/>
  <c r="U328" i="5" s="1"/>
  <c r="V328" i="5" s="1"/>
  <c r="W328" i="5" s="1"/>
  <c r="X329" i="5"/>
  <c r="O329" i="5" s="1"/>
  <c r="P329" i="5" s="1"/>
  <c r="Q329" i="5" s="1"/>
  <c r="R329" i="5" s="1"/>
  <c r="S329" i="5" s="1"/>
  <c r="T329" i="5" s="1"/>
  <c r="U329" i="5" s="1"/>
  <c r="V329" i="5" s="1"/>
  <c r="W329" i="5" s="1"/>
  <c r="X330" i="5"/>
  <c r="X331" i="5"/>
  <c r="O331" i="5" s="1"/>
  <c r="P331" i="5" s="1"/>
  <c r="Q331" i="5" s="1"/>
  <c r="R331" i="5" s="1"/>
  <c r="S331" i="5" s="1"/>
  <c r="T331" i="5" s="1"/>
  <c r="U331" i="5" s="1"/>
  <c r="V331" i="5" s="1"/>
  <c r="W331" i="5" s="1"/>
  <c r="X332" i="5"/>
  <c r="O332" i="5" s="1"/>
  <c r="P332" i="5" s="1"/>
  <c r="Q332" i="5" s="1"/>
  <c r="R332" i="5" s="1"/>
  <c r="S332" i="5" s="1"/>
  <c r="T332" i="5" s="1"/>
  <c r="U332" i="5" s="1"/>
  <c r="V332" i="5" s="1"/>
  <c r="W332" i="5" s="1"/>
  <c r="X333" i="5"/>
  <c r="O333" i="5" s="1"/>
  <c r="P333" i="5" s="1"/>
  <c r="Q333" i="5" s="1"/>
  <c r="R333" i="5" s="1"/>
  <c r="S333" i="5" s="1"/>
  <c r="T333" i="5" s="1"/>
  <c r="U333" i="5" s="1"/>
  <c r="V333" i="5" s="1"/>
  <c r="W333" i="5" s="1"/>
  <c r="X334" i="5"/>
  <c r="O334" i="5" s="1"/>
  <c r="P334" i="5" s="1"/>
  <c r="Q334" i="5" s="1"/>
  <c r="R334" i="5" s="1"/>
  <c r="S334" i="5" s="1"/>
  <c r="T334" i="5" s="1"/>
  <c r="U334" i="5" s="1"/>
  <c r="V334" i="5" s="1"/>
  <c r="W334" i="5" s="1"/>
  <c r="X335" i="5"/>
  <c r="O335" i="5" s="1"/>
  <c r="P335" i="5" s="1"/>
  <c r="Q335" i="5" s="1"/>
  <c r="R335" i="5" s="1"/>
  <c r="S335" i="5" s="1"/>
  <c r="T335" i="5" s="1"/>
  <c r="U335" i="5" s="1"/>
  <c r="V335" i="5" s="1"/>
  <c r="W335" i="5" s="1"/>
  <c r="X336" i="5"/>
  <c r="O336" i="5" s="1"/>
  <c r="P336" i="5" s="1"/>
  <c r="Q336" i="5" s="1"/>
  <c r="R336" i="5" s="1"/>
  <c r="S336" i="5" s="1"/>
  <c r="T336" i="5" s="1"/>
  <c r="U336" i="5" s="1"/>
  <c r="V336" i="5" s="1"/>
  <c r="W336" i="5" s="1"/>
  <c r="X337" i="5"/>
  <c r="O337" i="5" s="1"/>
  <c r="P337" i="5" s="1"/>
  <c r="Q337" i="5" s="1"/>
  <c r="R337" i="5" s="1"/>
  <c r="S337" i="5" s="1"/>
  <c r="T337" i="5" s="1"/>
  <c r="U337" i="5" s="1"/>
  <c r="V337" i="5" s="1"/>
  <c r="W337" i="5" s="1"/>
  <c r="X338" i="5"/>
  <c r="O338" i="5" s="1"/>
  <c r="P338" i="5" s="1"/>
  <c r="Q338" i="5" s="1"/>
  <c r="R338" i="5" s="1"/>
  <c r="S338" i="5" s="1"/>
  <c r="T338" i="5" s="1"/>
  <c r="U338" i="5" s="1"/>
  <c r="V338" i="5" s="1"/>
  <c r="W338" i="5" s="1"/>
  <c r="X339" i="5"/>
  <c r="O339" i="5" s="1"/>
  <c r="P339" i="5" s="1"/>
  <c r="Q339" i="5" s="1"/>
  <c r="R339" i="5" s="1"/>
  <c r="S339" i="5" s="1"/>
  <c r="T339" i="5" s="1"/>
  <c r="U339" i="5" s="1"/>
  <c r="V339" i="5" s="1"/>
  <c r="W339" i="5" s="1"/>
  <c r="X340" i="5"/>
  <c r="O340" i="5" s="1"/>
  <c r="P340" i="5" s="1"/>
  <c r="Q340" i="5" s="1"/>
  <c r="R340" i="5" s="1"/>
  <c r="S340" i="5" s="1"/>
  <c r="T340" i="5" s="1"/>
  <c r="U340" i="5" s="1"/>
  <c r="V340" i="5" s="1"/>
  <c r="W340" i="5" s="1"/>
  <c r="X341" i="5"/>
  <c r="O341" i="5" s="1"/>
  <c r="P341" i="5" s="1"/>
  <c r="Q341" i="5" s="1"/>
  <c r="R341" i="5" s="1"/>
  <c r="S341" i="5" s="1"/>
  <c r="T341" i="5" s="1"/>
  <c r="U341" i="5" s="1"/>
  <c r="V341" i="5" s="1"/>
  <c r="W341" i="5" s="1"/>
  <c r="X342" i="5"/>
  <c r="O342" i="5" s="1"/>
  <c r="P342" i="5" s="1"/>
  <c r="Q342" i="5" s="1"/>
  <c r="R342" i="5" s="1"/>
  <c r="S342" i="5" s="1"/>
  <c r="T342" i="5" s="1"/>
  <c r="U342" i="5" s="1"/>
  <c r="V342" i="5" s="1"/>
  <c r="W342" i="5" s="1"/>
  <c r="X343" i="5"/>
  <c r="O343" i="5" s="1"/>
  <c r="P343" i="5" s="1"/>
  <c r="Q343" i="5" s="1"/>
  <c r="R343" i="5" s="1"/>
  <c r="S343" i="5" s="1"/>
  <c r="T343" i="5" s="1"/>
  <c r="U343" i="5" s="1"/>
  <c r="V343" i="5" s="1"/>
  <c r="W343" i="5" s="1"/>
  <c r="X344" i="5"/>
  <c r="O344" i="5" s="1"/>
  <c r="P344" i="5" s="1"/>
  <c r="Q344" i="5" s="1"/>
  <c r="R344" i="5" s="1"/>
  <c r="S344" i="5" s="1"/>
  <c r="T344" i="5" s="1"/>
  <c r="U344" i="5" s="1"/>
  <c r="V344" i="5" s="1"/>
  <c r="W344" i="5" s="1"/>
  <c r="X345" i="5"/>
  <c r="O345" i="5" s="1"/>
  <c r="P345" i="5" s="1"/>
  <c r="Q345" i="5" s="1"/>
  <c r="R345" i="5" s="1"/>
  <c r="S345" i="5" s="1"/>
  <c r="T345" i="5" s="1"/>
  <c r="U345" i="5" s="1"/>
  <c r="V345" i="5" s="1"/>
  <c r="W345" i="5" s="1"/>
  <c r="X346" i="5"/>
  <c r="O346" i="5" s="1"/>
  <c r="P346" i="5" s="1"/>
  <c r="Q346" i="5" s="1"/>
  <c r="R346" i="5" s="1"/>
  <c r="S346" i="5" s="1"/>
  <c r="T346" i="5" s="1"/>
  <c r="U346" i="5" s="1"/>
  <c r="V346" i="5" s="1"/>
  <c r="W346" i="5" s="1"/>
  <c r="X347" i="5"/>
  <c r="O347" i="5" s="1"/>
  <c r="P347" i="5" s="1"/>
  <c r="Q347" i="5" s="1"/>
  <c r="R347" i="5" s="1"/>
  <c r="S347" i="5" s="1"/>
  <c r="T347" i="5" s="1"/>
  <c r="U347" i="5" s="1"/>
  <c r="V347" i="5" s="1"/>
  <c r="W347" i="5" s="1"/>
  <c r="X348" i="5"/>
  <c r="O348" i="5" s="1"/>
  <c r="P348" i="5" s="1"/>
  <c r="Q348" i="5" s="1"/>
  <c r="R348" i="5" s="1"/>
  <c r="S348" i="5" s="1"/>
  <c r="T348" i="5" s="1"/>
  <c r="U348" i="5" s="1"/>
  <c r="V348" i="5" s="1"/>
  <c r="W348" i="5" s="1"/>
  <c r="X349" i="5"/>
  <c r="O349" i="5" s="1"/>
  <c r="P349" i="5" s="1"/>
  <c r="Q349" i="5" s="1"/>
  <c r="R349" i="5" s="1"/>
  <c r="S349" i="5" s="1"/>
  <c r="T349" i="5" s="1"/>
  <c r="U349" i="5" s="1"/>
  <c r="V349" i="5" s="1"/>
  <c r="W349" i="5" s="1"/>
  <c r="X350" i="5"/>
  <c r="X351" i="5"/>
  <c r="O351" i="5" s="1"/>
  <c r="P351" i="5" s="1"/>
  <c r="Q351" i="5" s="1"/>
  <c r="R351" i="5" s="1"/>
  <c r="S351" i="5" s="1"/>
  <c r="T351" i="5" s="1"/>
  <c r="U351" i="5" s="1"/>
  <c r="V351" i="5" s="1"/>
  <c r="W351" i="5" s="1"/>
  <c r="X352" i="5"/>
  <c r="O352" i="5" s="1"/>
  <c r="P352" i="5" s="1"/>
  <c r="Q352" i="5" s="1"/>
  <c r="R352" i="5" s="1"/>
  <c r="S352" i="5" s="1"/>
  <c r="T352" i="5" s="1"/>
  <c r="U352" i="5" s="1"/>
  <c r="V352" i="5" s="1"/>
  <c r="W352" i="5" s="1"/>
  <c r="X353" i="5"/>
  <c r="O353" i="5" s="1"/>
  <c r="P353" i="5" s="1"/>
  <c r="Q353" i="5" s="1"/>
  <c r="R353" i="5" s="1"/>
  <c r="S353" i="5" s="1"/>
  <c r="T353" i="5" s="1"/>
  <c r="U353" i="5" s="1"/>
  <c r="V353" i="5" s="1"/>
  <c r="W353" i="5" s="1"/>
  <c r="X354" i="5"/>
  <c r="O354" i="5" s="1"/>
  <c r="P354" i="5" s="1"/>
  <c r="Q354" i="5" s="1"/>
  <c r="R354" i="5" s="1"/>
  <c r="S354" i="5" s="1"/>
  <c r="T354" i="5" s="1"/>
  <c r="U354" i="5" s="1"/>
  <c r="V354" i="5" s="1"/>
  <c r="W354" i="5" s="1"/>
  <c r="X355" i="5"/>
  <c r="O355" i="5" s="1"/>
  <c r="P355" i="5" s="1"/>
  <c r="Q355" i="5" s="1"/>
  <c r="R355" i="5" s="1"/>
  <c r="S355" i="5" s="1"/>
  <c r="T355" i="5" s="1"/>
  <c r="U355" i="5" s="1"/>
  <c r="V355" i="5" s="1"/>
  <c r="W355" i="5" s="1"/>
  <c r="X356" i="5"/>
  <c r="O356" i="5" s="1"/>
  <c r="P356" i="5" s="1"/>
  <c r="Q356" i="5" s="1"/>
  <c r="R356" i="5" s="1"/>
  <c r="S356" i="5" s="1"/>
  <c r="T356" i="5" s="1"/>
  <c r="U356" i="5" s="1"/>
  <c r="V356" i="5" s="1"/>
  <c r="W356" i="5" s="1"/>
  <c r="X357" i="5"/>
  <c r="O357" i="5" s="1"/>
  <c r="P357" i="5" s="1"/>
  <c r="Q357" i="5" s="1"/>
  <c r="R357" i="5" s="1"/>
  <c r="S357" i="5" s="1"/>
  <c r="T357" i="5" s="1"/>
  <c r="U357" i="5" s="1"/>
  <c r="V357" i="5" s="1"/>
  <c r="W357" i="5" s="1"/>
  <c r="X358" i="5"/>
  <c r="O358" i="5" s="1"/>
  <c r="P358" i="5" s="1"/>
  <c r="Q358" i="5" s="1"/>
  <c r="R358" i="5" s="1"/>
  <c r="S358" i="5" s="1"/>
  <c r="T358" i="5" s="1"/>
  <c r="U358" i="5" s="1"/>
  <c r="V358" i="5" s="1"/>
  <c r="W358" i="5" s="1"/>
  <c r="X359" i="5"/>
  <c r="O359" i="5" s="1"/>
  <c r="P359" i="5" s="1"/>
  <c r="Q359" i="5" s="1"/>
  <c r="R359" i="5" s="1"/>
  <c r="S359" i="5" s="1"/>
  <c r="T359" i="5" s="1"/>
  <c r="U359" i="5" s="1"/>
  <c r="V359" i="5" s="1"/>
  <c r="W359" i="5" s="1"/>
  <c r="X360" i="5"/>
  <c r="X361" i="5"/>
  <c r="O361" i="5" s="1"/>
  <c r="P361" i="5" s="1"/>
  <c r="Q361" i="5" s="1"/>
  <c r="R361" i="5" s="1"/>
  <c r="S361" i="5" s="1"/>
  <c r="T361" i="5" s="1"/>
  <c r="U361" i="5" s="1"/>
  <c r="V361" i="5" s="1"/>
  <c r="W361" i="5" s="1"/>
  <c r="X362" i="5"/>
  <c r="O362" i="5" s="1"/>
  <c r="P362" i="5" s="1"/>
  <c r="Q362" i="5" s="1"/>
  <c r="R362" i="5" s="1"/>
  <c r="S362" i="5" s="1"/>
  <c r="T362" i="5" s="1"/>
  <c r="U362" i="5" s="1"/>
  <c r="V362" i="5" s="1"/>
  <c r="W362" i="5" s="1"/>
  <c r="X363" i="5"/>
  <c r="O363" i="5" s="1"/>
  <c r="P363" i="5" s="1"/>
  <c r="Q363" i="5" s="1"/>
  <c r="R363" i="5" s="1"/>
  <c r="S363" i="5" s="1"/>
  <c r="T363" i="5" s="1"/>
  <c r="U363" i="5" s="1"/>
  <c r="V363" i="5" s="1"/>
  <c r="W363" i="5" s="1"/>
  <c r="X364" i="5"/>
  <c r="O364" i="5" s="1"/>
  <c r="P364" i="5" s="1"/>
  <c r="Q364" i="5" s="1"/>
  <c r="R364" i="5" s="1"/>
  <c r="S364" i="5" s="1"/>
  <c r="T364" i="5" s="1"/>
  <c r="U364" i="5" s="1"/>
  <c r="V364" i="5" s="1"/>
  <c r="W364" i="5" s="1"/>
  <c r="X365" i="5"/>
  <c r="O365" i="5" s="1"/>
  <c r="P365" i="5" s="1"/>
  <c r="Q365" i="5" s="1"/>
  <c r="R365" i="5" s="1"/>
  <c r="S365" i="5" s="1"/>
  <c r="T365" i="5" s="1"/>
  <c r="U365" i="5" s="1"/>
  <c r="V365" i="5" s="1"/>
  <c r="W365" i="5" s="1"/>
  <c r="X366" i="5"/>
  <c r="O366" i="5" s="1"/>
  <c r="P366" i="5" s="1"/>
  <c r="Q366" i="5" s="1"/>
  <c r="R366" i="5" s="1"/>
  <c r="S366" i="5" s="1"/>
  <c r="T366" i="5" s="1"/>
  <c r="U366" i="5" s="1"/>
  <c r="V366" i="5" s="1"/>
  <c r="W366" i="5" s="1"/>
  <c r="X367" i="5"/>
  <c r="O367" i="5" s="1"/>
  <c r="P367" i="5" s="1"/>
  <c r="Q367" i="5" s="1"/>
  <c r="R367" i="5" s="1"/>
  <c r="S367" i="5" s="1"/>
  <c r="T367" i="5" s="1"/>
  <c r="U367" i="5" s="1"/>
  <c r="V367" i="5" s="1"/>
  <c r="W367" i="5" s="1"/>
  <c r="X368" i="5"/>
  <c r="O368" i="5" s="1"/>
  <c r="P368" i="5" s="1"/>
  <c r="Q368" i="5" s="1"/>
  <c r="R368" i="5" s="1"/>
  <c r="S368" i="5" s="1"/>
  <c r="T368" i="5" s="1"/>
  <c r="U368" i="5" s="1"/>
  <c r="V368" i="5" s="1"/>
  <c r="W368" i="5" s="1"/>
  <c r="X369" i="5"/>
  <c r="O369" i="5" s="1"/>
  <c r="P369" i="5" s="1"/>
  <c r="Q369" i="5" s="1"/>
  <c r="R369" i="5" s="1"/>
  <c r="S369" i="5" s="1"/>
  <c r="T369" i="5" s="1"/>
  <c r="U369" i="5" s="1"/>
  <c r="V369" i="5" s="1"/>
  <c r="W369" i="5" s="1"/>
  <c r="X370" i="5"/>
  <c r="O370" i="5" s="1"/>
  <c r="P370" i="5" s="1"/>
  <c r="Q370" i="5" s="1"/>
  <c r="R370" i="5" s="1"/>
  <c r="S370" i="5" s="1"/>
  <c r="T370" i="5" s="1"/>
  <c r="U370" i="5" s="1"/>
  <c r="V370" i="5" s="1"/>
  <c r="W370" i="5" s="1"/>
  <c r="X371" i="5"/>
  <c r="O371" i="5" s="1"/>
  <c r="P371" i="5" s="1"/>
  <c r="Q371" i="5" s="1"/>
  <c r="R371" i="5" s="1"/>
  <c r="S371" i="5" s="1"/>
  <c r="T371" i="5" s="1"/>
  <c r="U371" i="5" s="1"/>
  <c r="V371" i="5" s="1"/>
  <c r="W371" i="5" s="1"/>
  <c r="X372" i="5"/>
  <c r="O372" i="5" s="1"/>
  <c r="P372" i="5" s="1"/>
  <c r="Q372" i="5" s="1"/>
  <c r="R372" i="5" s="1"/>
  <c r="S372" i="5" s="1"/>
  <c r="T372" i="5" s="1"/>
  <c r="U372" i="5" s="1"/>
  <c r="V372" i="5" s="1"/>
  <c r="W372" i="5" s="1"/>
  <c r="X373" i="5"/>
  <c r="O373" i="5" s="1"/>
  <c r="P373" i="5" s="1"/>
  <c r="Q373" i="5" s="1"/>
  <c r="R373" i="5" s="1"/>
  <c r="S373" i="5" s="1"/>
  <c r="T373" i="5" s="1"/>
  <c r="U373" i="5" s="1"/>
  <c r="V373" i="5" s="1"/>
  <c r="W373" i="5" s="1"/>
  <c r="X374" i="5"/>
  <c r="O374" i="5" s="1"/>
  <c r="P374" i="5" s="1"/>
  <c r="Q374" i="5" s="1"/>
  <c r="R374" i="5" s="1"/>
  <c r="S374" i="5" s="1"/>
  <c r="T374" i="5" s="1"/>
  <c r="U374" i="5" s="1"/>
  <c r="V374" i="5" s="1"/>
  <c r="W374" i="5" s="1"/>
  <c r="X375" i="5"/>
  <c r="O375" i="5" s="1"/>
  <c r="P375" i="5" s="1"/>
  <c r="Q375" i="5" s="1"/>
  <c r="R375" i="5" s="1"/>
  <c r="S375" i="5" s="1"/>
  <c r="T375" i="5" s="1"/>
  <c r="U375" i="5" s="1"/>
  <c r="V375" i="5" s="1"/>
  <c r="W375" i="5" s="1"/>
  <c r="X376" i="5"/>
  <c r="O376" i="5" s="1"/>
  <c r="P376" i="5" s="1"/>
  <c r="Q376" i="5" s="1"/>
  <c r="R376" i="5" s="1"/>
  <c r="S376" i="5" s="1"/>
  <c r="T376" i="5" s="1"/>
  <c r="U376" i="5" s="1"/>
  <c r="V376" i="5" s="1"/>
  <c r="W376" i="5" s="1"/>
  <c r="X377" i="5"/>
  <c r="O377" i="5" s="1"/>
  <c r="P377" i="5" s="1"/>
  <c r="Q377" i="5" s="1"/>
  <c r="R377" i="5" s="1"/>
  <c r="S377" i="5" s="1"/>
  <c r="T377" i="5" s="1"/>
  <c r="U377" i="5" s="1"/>
  <c r="V377" i="5" s="1"/>
  <c r="W377" i="5" s="1"/>
  <c r="X378" i="5"/>
  <c r="O378" i="5" s="1"/>
  <c r="P378" i="5" s="1"/>
  <c r="Q378" i="5" s="1"/>
  <c r="R378" i="5" s="1"/>
  <c r="S378" i="5" s="1"/>
  <c r="T378" i="5" s="1"/>
  <c r="U378" i="5" s="1"/>
  <c r="V378" i="5" s="1"/>
  <c r="W378" i="5" s="1"/>
  <c r="X379" i="5"/>
  <c r="O379" i="5" s="1"/>
  <c r="P379" i="5" s="1"/>
  <c r="Q379" i="5" s="1"/>
  <c r="R379" i="5" s="1"/>
  <c r="S379" i="5" s="1"/>
  <c r="T379" i="5" s="1"/>
  <c r="U379" i="5" s="1"/>
  <c r="V379" i="5" s="1"/>
  <c r="W379" i="5" s="1"/>
  <c r="X380" i="5"/>
  <c r="X381" i="5"/>
  <c r="O381" i="5" s="1"/>
  <c r="P381" i="5" s="1"/>
  <c r="Q381" i="5" s="1"/>
  <c r="R381" i="5" s="1"/>
  <c r="S381" i="5" s="1"/>
  <c r="T381" i="5" s="1"/>
  <c r="U381" i="5" s="1"/>
  <c r="V381" i="5" s="1"/>
  <c r="W381" i="5" s="1"/>
  <c r="X382" i="5"/>
  <c r="O382" i="5" s="1"/>
  <c r="P382" i="5" s="1"/>
  <c r="Q382" i="5" s="1"/>
  <c r="R382" i="5" s="1"/>
  <c r="S382" i="5" s="1"/>
  <c r="T382" i="5" s="1"/>
  <c r="U382" i="5" s="1"/>
  <c r="V382" i="5" s="1"/>
  <c r="W382" i="5" s="1"/>
  <c r="X383" i="5"/>
  <c r="O383" i="5" s="1"/>
  <c r="P383" i="5" s="1"/>
  <c r="Q383" i="5" s="1"/>
  <c r="R383" i="5" s="1"/>
  <c r="S383" i="5" s="1"/>
  <c r="T383" i="5" s="1"/>
  <c r="U383" i="5" s="1"/>
  <c r="V383" i="5" s="1"/>
  <c r="W383" i="5" s="1"/>
  <c r="X384" i="5"/>
  <c r="O384" i="5" s="1"/>
  <c r="P384" i="5" s="1"/>
  <c r="Q384" i="5" s="1"/>
  <c r="R384" i="5" s="1"/>
  <c r="S384" i="5" s="1"/>
  <c r="T384" i="5" s="1"/>
  <c r="U384" i="5" s="1"/>
  <c r="V384" i="5" s="1"/>
  <c r="W384" i="5" s="1"/>
  <c r="X385" i="5"/>
  <c r="O385" i="5" s="1"/>
  <c r="P385" i="5" s="1"/>
  <c r="Q385" i="5" s="1"/>
  <c r="R385" i="5" s="1"/>
  <c r="S385" i="5" s="1"/>
  <c r="T385" i="5" s="1"/>
  <c r="U385" i="5" s="1"/>
  <c r="V385" i="5" s="1"/>
  <c r="W385" i="5" s="1"/>
  <c r="X386" i="5"/>
  <c r="O386" i="5" s="1"/>
  <c r="P386" i="5" s="1"/>
  <c r="Q386" i="5" s="1"/>
  <c r="R386" i="5" s="1"/>
  <c r="S386" i="5" s="1"/>
  <c r="T386" i="5" s="1"/>
  <c r="U386" i="5" s="1"/>
  <c r="V386" i="5" s="1"/>
  <c r="W386" i="5" s="1"/>
  <c r="X387" i="5"/>
  <c r="O387" i="5" s="1"/>
  <c r="P387" i="5" s="1"/>
  <c r="Q387" i="5" s="1"/>
  <c r="R387" i="5" s="1"/>
  <c r="S387" i="5" s="1"/>
  <c r="T387" i="5" s="1"/>
  <c r="U387" i="5" s="1"/>
  <c r="V387" i="5" s="1"/>
  <c r="W387" i="5" s="1"/>
  <c r="X388" i="5"/>
  <c r="O388" i="5" s="1"/>
  <c r="P388" i="5" s="1"/>
  <c r="Q388" i="5" s="1"/>
  <c r="R388" i="5" s="1"/>
  <c r="S388" i="5" s="1"/>
  <c r="T388" i="5" s="1"/>
  <c r="U388" i="5" s="1"/>
  <c r="V388" i="5" s="1"/>
  <c r="W388" i="5" s="1"/>
  <c r="X389" i="5"/>
  <c r="O389" i="5" s="1"/>
  <c r="P389" i="5" s="1"/>
  <c r="Q389" i="5" s="1"/>
  <c r="R389" i="5" s="1"/>
  <c r="S389" i="5" s="1"/>
  <c r="T389" i="5" s="1"/>
  <c r="U389" i="5" s="1"/>
  <c r="V389" i="5" s="1"/>
  <c r="W389" i="5" s="1"/>
  <c r="X390" i="5"/>
  <c r="O390" i="5" s="1"/>
  <c r="P390" i="5" s="1"/>
  <c r="Q390" i="5" s="1"/>
  <c r="R390" i="5" s="1"/>
  <c r="S390" i="5" s="1"/>
  <c r="T390" i="5" s="1"/>
  <c r="U390" i="5" s="1"/>
  <c r="V390" i="5" s="1"/>
  <c r="W390" i="5" s="1"/>
  <c r="X391" i="5"/>
  <c r="O391" i="5" s="1"/>
  <c r="P391" i="5" s="1"/>
  <c r="Q391" i="5" s="1"/>
  <c r="R391" i="5" s="1"/>
  <c r="S391" i="5" s="1"/>
  <c r="T391" i="5" s="1"/>
  <c r="U391" i="5" s="1"/>
  <c r="V391" i="5" s="1"/>
  <c r="W391" i="5" s="1"/>
  <c r="X392" i="5"/>
  <c r="O392" i="5" s="1"/>
  <c r="P392" i="5" s="1"/>
  <c r="Q392" i="5" s="1"/>
  <c r="R392" i="5" s="1"/>
  <c r="S392" i="5" s="1"/>
  <c r="T392" i="5" s="1"/>
  <c r="U392" i="5" s="1"/>
  <c r="V392" i="5" s="1"/>
  <c r="W392" i="5" s="1"/>
  <c r="X393" i="5"/>
  <c r="O393" i="5" s="1"/>
  <c r="P393" i="5" s="1"/>
  <c r="Q393" i="5" s="1"/>
  <c r="R393" i="5" s="1"/>
  <c r="S393" i="5" s="1"/>
  <c r="T393" i="5" s="1"/>
  <c r="U393" i="5" s="1"/>
  <c r="V393" i="5" s="1"/>
  <c r="W393" i="5" s="1"/>
  <c r="X394" i="5"/>
  <c r="O394" i="5" s="1"/>
  <c r="P394" i="5" s="1"/>
  <c r="Q394" i="5" s="1"/>
  <c r="R394" i="5" s="1"/>
  <c r="S394" i="5" s="1"/>
  <c r="T394" i="5" s="1"/>
  <c r="U394" i="5" s="1"/>
  <c r="V394" i="5" s="1"/>
  <c r="W394" i="5" s="1"/>
  <c r="X395" i="5"/>
  <c r="O395" i="5" s="1"/>
  <c r="P395" i="5" s="1"/>
  <c r="Q395" i="5" s="1"/>
  <c r="R395" i="5" s="1"/>
  <c r="S395" i="5" s="1"/>
  <c r="T395" i="5" s="1"/>
  <c r="U395" i="5" s="1"/>
  <c r="V395" i="5" s="1"/>
  <c r="W395" i="5" s="1"/>
  <c r="X396" i="5"/>
  <c r="O396" i="5" s="1"/>
  <c r="P396" i="5" s="1"/>
  <c r="Q396" i="5" s="1"/>
  <c r="R396" i="5" s="1"/>
  <c r="S396" i="5" s="1"/>
  <c r="T396" i="5" s="1"/>
  <c r="U396" i="5" s="1"/>
  <c r="V396" i="5" s="1"/>
  <c r="W396" i="5" s="1"/>
  <c r="X397" i="5"/>
  <c r="O397" i="5" s="1"/>
  <c r="P397" i="5" s="1"/>
  <c r="Q397" i="5" s="1"/>
  <c r="R397" i="5" s="1"/>
  <c r="S397" i="5" s="1"/>
  <c r="T397" i="5" s="1"/>
  <c r="U397" i="5" s="1"/>
  <c r="V397" i="5" s="1"/>
  <c r="W397" i="5" s="1"/>
  <c r="X398" i="5"/>
  <c r="O398" i="5" s="1"/>
  <c r="P398" i="5" s="1"/>
  <c r="Q398" i="5" s="1"/>
  <c r="R398" i="5" s="1"/>
  <c r="S398" i="5" s="1"/>
  <c r="T398" i="5" s="1"/>
  <c r="U398" i="5" s="1"/>
  <c r="V398" i="5" s="1"/>
  <c r="W398" i="5" s="1"/>
  <c r="X399" i="5"/>
  <c r="O399" i="5" s="1"/>
  <c r="P399" i="5" s="1"/>
  <c r="Q399" i="5" s="1"/>
  <c r="R399" i="5" s="1"/>
  <c r="S399" i="5" s="1"/>
  <c r="T399" i="5" s="1"/>
  <c r="U399" i="5" s="1"/>
  <c r="V399" i="5" s="1"/>
  <c r="W399" i="5" s="1"/>
  <c r="X400" i="5"/>
  <c r="O400" i="5" s="1"/>
  <c r="P400" i="5" s="1"/>
  <c r="Q400" i="5" s="1"/>
  <c r="R400" i="5" s="1"/>
  <c r="S400" i="5" s="1"/>
  <c r="T400" i="5" s="1"/>
  <c r="U400" i="5" s="1"/>
  <c r="V400" i="5" s="1"/>
  <c r="W400" i="5" s="1"/>
  <c r="X401" i="5"/>
  <c r="O401" i="5" s="1"/>
  <c r="P401" i="5" s="1"/>
  <c r="Q401" i="5" s="1"/>
  <c r="R401" i="5" s="1"/>
  <c r="S401" i="5" s="1"/>
  <c r="T401" i="5" s="1"/>
  <c r="U401" i="5" s="1"/>
  <c r="V401" i="5" s="1"/>
  <c r="W401" i="5" s="1"/>
  <c r="X402" i="5"/>
  <c r="O402" i="5" s="1"/>
  <c r="P402" i="5" s="1"/>
  <c r="Q402" i="5" s="1"/>
  <c r="R402" i="5" s="1"/>
  <c r="S402" i="5" s="1"/>
  <c r="T402" i="5" s="1"/>
  <c r="U402" i="5" s="1"/>
  <c r="V402" i="5" s="1"/>
  <c r="W402" i="5" s="1"/>
  <c r="X403" i="5"/>
  <c r="O403" i="5" s="1"/>
  <c r="P403" i="5" s="1"/>
  <c r="Q403" i="5" s="1"/>
  <c r="R403" i="5" s="1"/>
  <c r="S403" i="5" s="1"/>
  <c r="T403" i="5" s="1"/>
  <c r="U403" i="5" s="1"/>
  <c r="V403" i="5" s="1"/>
  <c r="W403" i="5" s="1"/>
  <c r="X404" i="5"/>
  <c r="O404" i="5" s="1"/>
  <c r="P404" i="5" s="1"/>
  <c r="Q404" i="5" s="1"/>
  <c r="R404" i="5" s="1"/>
  <c r="S404" i="5" s="1"/>
  <c r="T404" i="5" s="1"/>
  <c r="U404" i="5" s="1"/>
  <c r="V404" i="5" s="1"/>
  <c r="W404" i="5" s="1"/>
  <c r="X405" i="5"/>
  <c r="O405" i="5" s="1"/>
  <c r="P405" i="5" s="1"/>
  <c r="Q405" i="5" s="1"/>
  <c r="R405" i="5" s="1"/>
  <c r="S405" i="5" s="1"/>
  <c r="T405" i="5" s="1"/>
  <c r="U405" i="5" s="1"/>
  <c r="V405" i="5" s="1"/>
  <c r="W405" i="5" s="1"/>
  <c r="X406" i="5"/>
  <c r="O406" i="5" s="1"/>
  <c r="P406" i="5" s="1"/>
  <c r="Q406" i="5" s="1"/>
  <c r="R406" i="5" s="1"/>
  <c r="S406" i="5" s="1"/>
  <c r="T406" i="5" s="1"/>
  <c r="U406" i="5" s="1"/>
  <c r="V406" i="5" s="1"/>
  <c r="W406" i="5" s="1"/>
  <c r="X407" i="5"/>
  <c r="O407" i="5" s="1"/>
  <c r="P407" i="5" s="1"/>
  <c r="Q407" i="5" s="1"/>
  <c r="R407" i="5" s="1"/>
  <c r="S407" i="5" s="1"/>
  <c r="T407" i="5" s="1"/>
  <c r="U407" i="5" s="1"/>
  <c r="V407" i="5" s="1"/>
  <c r="W407" i="5" s="1"/>
  <c r="X408" i="5"/>
  <c r="O408" i="5" s="1"/>
  <c r="P408" i="5" s="1"/>
  <c r="Q408" i="5" s="1"/>
  <c r="R408" i="5" s="1"/>
  <c r="S408" i="5" s="1"/>
  <c r="T408" i="5" s="1"/>
  <c r="U408" i="5" s="1"/>
  <c r="V408" i="5" s="1"/>
  <c r="W408" i="5" s="1"/>
  <c r="X409" i="5"/>
  <c r="O409" i="5" s="1"/>
  <c r="P409" i="5" s="1"/>
  <c r="Q409" i="5" s="1"/>
  <c r="R409" i="5" s="1"/>
  <c r="S409" i="5" s="1"/>
  <c r="T409" i="5" s="1"/>
  <c r="U409" i="5" s="1"/>
  <c r="V409" i="5" s="1"/>
  <c r="W409" i="5" s="1"/>
  <c r="X410" i="5"/>
  <c r="O410" i="5" s="1"/>
  <c r="P410" i="5" s="1"/>
  <c r="Q410" i="5" s="1"/>
  <c r="R410" i="5" s="1"/>
  <c r="S410" i="5" s="1"/>
  <c r="T410" i="5" s="1"/>
  <c r="U410" i="5" s="1"/>
  <c r="V410" i="5" s="1"/>
  <c r="W410" i="5" s="1"/>
  <c r="X411" i="5"/>
  <c r="O411" i="5" s="1"/>
  <c r="P411" i="5" s="1"/>
  <c r="Q411" i="5" s="1"/>
  <c r="R411" i="5" s="1"/>
  <c r="S411" i="5" s="1"/>
  <c r="T411" i="5" s="1"/>
  <c r="U411" i="5" s="1"/>
  <c r="V411" i="5" s="1"/>
  <c r="W411" i="5" s="1"/>
  <c r="X412" i="5"/>
  <c r="O412" i="5" s="1"/>
  <c r="P412" i="5" s="1"/>
  <c r="Q412" i="5" s="1"/>
  <c r="R412" i="5" s="1"/>
  <c r="S412" i="5" s="1"/>
  <c r="T412" i="5" s="1"/>
  <c r="U412" i="5" s="1"/>
  <c r="V412" i="5" s="1"/>
  <c r="W412" i="5" s="1"/>
  <c r="X413" i="5"/>
  <c r="O413" i="5" s="1"/>
  <c r="P413" i="5" s="1"/>
  <c r="Q413" i="5" s="1"/>
  <c r="R413" i="5" s="1"/>
  <c r="S413" i="5" s="1"/>
  <c r="T413" i="5" s="1"/>
  <c r="U413" i="5" s="1"/>
  <c r="V413" i="5" s="1"/>
  <c r="W413" i="5" s="1"/>
  <c r="X414" i="5"/>
  <c r="O414" i="5" s="1"/>
  <c r="P414" i="5" s="1"/>
  <c r="Q414" i="5" s="1"/>
  <c r="R414" i="5" s="1"/>
  <c r="S414" i="5" s="1"/>
  <c r="T414" i="5" s="1"/>
  <c r="U414" i="5" s="1"/>
  <c r="V414" i="5" s="1"/>
  <c r="W414" i="5" s="1"/>
  <c r="X415" i="5"/>
  <c r="O415" i="5" s="1"/>
  <c r="P415" i="5" s="1"/>
  <c r="Q415" i="5" s="1"/>
  <c r="R415" i="5" s="1"/>
  <c r="S415" i="5" s="1"/>
  <c r="T415" i="5" s="1"/>
  <c r="U415" i="5" s="1"/>
  <c r="V415" i="5" s="1"/>
  <c r="W415" i="5" s="1"/>
  <c r="X416" i="5"/>
  <c r="O416" i="5" s="1"/>
  <c r="P416" i="5" s="1"/>
  <c r="Q416" i="5" s="1"/>
  <c r="R416" i="5" s="1"/>
  <c r="S416" i="5" s="1"/>
  <c r="T416" i="5" s="1"/>
  <c r="U416" i="5" s="1"/>
  <c r="V416" i="5" s="1"/>
  <c r="W416" i="5" s="1"/>
  <c r="X417" i="5"/>
  <c r="O417" i="5" s="1"/>
  <c r="P417" i="5" s="1"/>
  <c r="Q417" i="5" s="1"/>
  <c r="R417" i="5" s="1"/>
  <c r="S417" i="5" s="1"/>
  <c r="T417" i="5" s="1"/>
  <c r="U417" i="5" s="1"/>
  <c r="V417" i="5" s="1"/>
  <c r="W417" i="5" s="1"/>
  <c r="X418" i="5"/>
  <c r="O418" i="5" s="1"/>
  <c r="P418" i="5" s="1"/>
  <c r="Q418" i="5" s="1"/>
  <c r="R418" i="5" s="1"/>
  <c r="S418" i="5" s="1"/>
  <c r="T418" i="5" s="1"/>
  <c r="U418" i="5" s="1"/>
  <c r="V418" i="5" s="1"/>
  <c r="W418" i="5" s="1"/>
  <c r="X419" i="5"/>
  <c r="O419" i="5" s="1"/>
  <c r="P419" i="5" s="1"/>
  <c r="Q419" i="5" s="1"/>
  <c r="R419" i="5" s="1"/>
  <c r="S419" i="5" s="1"/>
  <c r="T419" i="5" s="1"/>
  <c r="U419" i="5" s="1"/>
  <c r="V419" i="5" s="1"/>
  <c r="W419" i="5" s="1"/>
  <c r="X420" i="5"/>
  <c r="O420" i="5" s="1"/>
  <c r="P420" i="5" s="1"/>
  <c r="Q420" i="5" s="1"/>
  <c r="R420" i="5" s="1"/>
  <c r="S420" i="5" s="1"/>
  <c r="T420" i="5" s="1"/>
  <c r="U420" i="5" s="1"/>
  <c r="V420" i="5" s="1"/>
  <c r="W420" i="5" s="1"/>
  <c r="X421" i="5"/>
  <c r="O421" i="5" s="1"/>
  <c r="P421" i="5" s="1"/>
  <c r="Q421" i="5" s="1"/>
  <c r="R421" i="5" s="1"/>
  <c r="S421" i="5" s="1"/>
  <c r="T421" i="5" s="1"/>
  <c r="U421" i="5" s="1"/>
  <c r="V421" i="5" s="1"/>
  <c r="W421" i="5" s="1"/>
  <c r="X422" i="5"/>
  <c r="O422" i="5" s="1"/>
  <c r="P422" i="5" s="1"/>
  <c r="Q422" i="5" s="1"/>
  <c r="R422" i="5" s="1"/>
  <c r="S422" i="5" s="1"/>
  <c r="T422" i="5" s="1"/>
  <c r="U422" i="5" s="1"/>
  <c r="V422" i="5" s="1"/>
  <c r="W422" i="5" s="1"/>
  <c r="X423" i="5"/>
  <c r="O423" i="5" s="1"/>
  <c r="P423" i="5" s="1"/>
  <c r="Q423" i="5" s="1"/>
  <c r="R423" i="5" s="1"/>
  <c r="S423" i="5" s="1"/>
  <c r="T423" i="5" s="1"/>
  <c r="U423" i="5" s="1"/>
  <c r="V423" i="5" s="1"/>
  <c r="W423" i="5" s="1"/>
  <c r="X424" i="5"/>
  <c r="O424" i="5" s="1"/>
  <c r="P424" i="5" s="1"/>
  <c r="Q424" i="5" s="1"/>
  <c r="R424" i="5" s="1"/>
  <c r="S424" i="5" s="1"/>
  <c r="T424" i="5" s="1"/>
  <c r="U424" i="5" s="1"/>
  <c r="V424" i="5" s="1"/>
  <c r="W424" i="5" s="1"/>
  <c r="X425" i="5"/>
  <c r="O425" i="5" s="1"/>
  <c r="P425" i="5" s="1"/>
  <c r="Q425" i="5" s="1"/>
  <c r="R425" i="5" s="1"/>
  <c r="S425" i="5" s="1"/>
  <c r="T425" i="5" s="1"/>
  <c r="U425" i="5" s="1"/>
  <c r="V425" i="5" s="1"/>
  <c r="W425" i="5" s="1"/>
  <c r="X426" i="5"/>
  <c r="O426" i="5" s="1"/>
  <c r="P426" i="5" s="1"/>
  <c r="Q426" i="5" s="1"/>
  <c r="R426" i="5" s="1"/>
  <c r="S426" i="5" s="1"/>
  <c r="T426" i="5" s="1"/>
  <c r="U426" i="5" s="1"/>
  <c r="V426" i="5" s="1"/>
  <c r="W426" i="5" s="1"/>
  <c r="X427" i="5"/>
  <c r="O427" i="5" s="1"/>
  <c r="P427" i="5" s="1"/>
  <c r="Q427" i="5" s="1"/>
  <c r="R427" i="5" s="1"/>
  <c r="S427" i="5" s="1"/>
  <c r="T427" i="5" s="1"/>
  <c r="U427" i="5" s="1"/>
  <c r="V427" i="5" s="1"/>
  <c r="W427" i="5" s="1"/>
  <c r="X428" i="5"/>
  <c r="O428" i="5" s="1"/>
  <c r="P428" i="5" s="1"/>
  <c r="Q428" i="5" s="1"/>
  <c r="R428" i="5" s="1"/>
  <c r="S428" i="5" s="1"/>
  <c r="T428" i="5" s="1"/>
  <c r="U428" i="5" s="1"/>
  <c r="V428" i="5" s="1"/>
  <c r="W428" i="5" s="1"/>
  <c r="X429" i="5"/>
  <c r="O429" i="5" s="1"/>
  <c r="P429" i="5" s="1"/>
  <c r="Q429" i="5" s="1"/>
  <c r="R429" i="5" s="1"/>
  <c r="S429" i="5" s="1"/>
  <c r="T429" i="5" s="1"/>
  <c r="U429" i="5" s="1"/>
  <c r="V429" i="5" s="1"/>
  <c r="W429" i="5" s="1"/>
  <c r="X430" i="5"/>
  <c r="X431" i="5"/>
  <c r="O431" i="5" s="1"/>
  <c r="P431" i="5" s="1"/>
  <c r="Q431" i="5" s="1"/>
  <c r="R431" i="5" s="1"/>
  <c r="S431" i="5" s="1"/>
  <c r="T431" i="5" s="1"/>
  <c r="U431" i="5" s="1"/>
  <c r="V431" i="5" s="1"/>
  <c r="W431" i="5" s="1"/>
  <c r="X432" i="5"/>
  <c r="O432" i="5" s="1"/>
  <c r="P432" i="5" s="1"/>
  <c r="Q432" i="5" s="1"/>
  <c r="R432" i="5" s="1"/>
  <c r="S432" i="5" s="1"/>
  <c r="T432" i="5" s="1"/>
  <c r="U432" i="5" s="1"/>
  <c r="V432" i="5" s="1"/>
  <c r="W432" i="5" s="1"/>
  <c r="X433" i="5"/>
  <c r="O433" i="5" s="1"/>
  <c r="P433" i="5" s="1"/>
  <c r="Q433" i="5" s="1"/>
  <c r="R433" i="5" s="1"/>
  <c r="S433" i="5" s="1"/>
  <c r="T433" i="5" s="1"/>
  <c r="U433" i="5" s="1"/>
  <c r="V433" i="5" s="1"/>
  <c r="W433" i="5" s="1"/>
  <c r="X434" i="5"/>
  <c r="O434" i="5" s="1"/>
  <c r="P434" i="5" s="1"/>
  <c r="Q434" i="5" s="1"/>
  <c r="R434" i="5" s="1"/>
  <c r="S434" i="5" s="1"/>
  <c r="T434" i="5" s="1"/>
  <c r="U434" i="5" s="1"/>
  <c r="V434" i="5" s="1"/>
  <c r="W434" i="5" s="1"/>
  <c r="X435" i="5"/>
  <c r="O435" i="5" s="1"/>
  <c r="P435" i="5" s="1"/>
  <c r="Q435" i="5" s="1"/>
  <c r="R435" i="5" s="1"/>
  <c r="S435" i="5" s="1"/>
  <c r="T435" i="5" s="1"/>
  <c r="U435" i="5" s="1"/>
  <c r="V435" i="5" s="1"/>
  <c r="W435" i="5" s="1"/>
  <c r="X436" i="5"/>
  <c r="O436" i="5" s="1"/>
  <c r="P436" i="5" s="1"/>
  <c r="Q436" i="5" s="1"/>
  <c r="R436" i="5" s="1"/>
  <c r="S436" i="5" s="1"/>
  <c r="T436" i="5" s="1"/>
  <c r="U436" i="5" s="1"/>
  <c r="V436" i="5" s="1"/>
  <c r="W436" i="5" s="1"/>
  <c r="X437" i="5"/>
  <c r="O437" i="5" s="1"/>
  <c r="P437" i="5" s="1"/>
  <c r="Q437" i="5" s="1"/>
  <c r="R437" i="5" s="1"/>
  <c r="S437" i="5" s="1"/>
  <c r="T437" i="5" s="1"/>
  <c r="U437" i="5" s="1"/>
  <c r="V437" i="5" s="1"/>
  <c r="W437" i="5" s="1"/>
  <c r="X438" i="5"/>
  <c r="O438" i="5" s="1"/>
  <c r="P438" i="5" s="1"/>
  <c r="Q438" i="5" s="1"/>
  <c r="R438" i="5" s="1"/>
  <c r="S438" i="5" s="1"/>
  <c r="T438" i="5" s="1"/>
  <c r="U438" i="5" s="1"/>
  <c r="V438" i="5" s="1"/>
  <c r="W438" i="5" s="1"/>
  <c r="X439" i="5"/>
  <c r="O439" i="5" s="1"/>
  <c r="P439" i="5" s="1"/>
  <c r="Q439" i="5" s="1"/>
  <c r="R439" i="5" s="1"/>
  <c r="S439" i="5" s="1"/>
  <c r="T439" i="5" s="1"/>
  <c r="U439" i="5" s="1"/>
  <c r="V439" i="5" s="1"/>
  <c r="W439" i="5" s="1"/>
  <c r="X440" i="5"/>
  <c r="O440" i="5" s="1"/>
  <c r="P440" i="5" s="1"/>
  <c r="Q440" i="5" s="1"/>
  <c r="R440" i="5" s="1"/>
  <c r="S440" i="5" s="1"/>
  <c r="T440" i="5" s="1"/>
  <c r="U440" i="5" s="1"/>
  <c r="V440" i="5" s="1"/>
  <c r="W440" i="5" s="1"/>
  <c r="X441" i="5"/>
  <c r="O441" i="5" s="1"/>
  <c r="P441" i="5" s="1"/>
  <c r="Q441" i="5" s="1"/>
  <c r="R441" i="5" s="1"/>
  <c r="S441" i="5" s="1"/>
  <c r="T441" i="5" s="1"/>
  <c r="U441" i="5" s="1"/>
  <c r="V441" i="5" s="1"/>
  <c r="W441" i="5" s="1"/>
  <c r="X442" i="5"/>
  <c r="O442" i="5" s="1"/>
  <c r="P442" i="5" s="1"/>
  <c r="Q442" i="5" s="1"/>
  <c r="R442" i="5" s="1"/>
  <c r="S442" i="5" s="1"/>
  <c r="T442" i="5" s="1"/>
  <c r="U442" i="5" s="1"/>
  <c r="V442" i="5" s="1"/>
  <c r="W442" i="5" s="1"/>
  <c r="X443" i="5"/>
  <c r="O443" i="5" s="1"/>
  <c r="P443" i="5" s="1"/>
  <c r="Q443" i="5" s="1"/>
  <c r="R443" i="5" s="1"/>
  <c r="S443" i="5" s="1"/>
  <c r="T443" i="5" s="1"/>
  <c r="U443" i="5" s="1"/>
  <c r="V443" i="5" s="1"/>
  <c r="W443" i="5" s="1"/>
  <c r="Y2" i="5"/>
  <c r="Y3"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AC2"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D2" i="5"/>
  <c r="AD3" i="5"/>
  <c r="AD4" i="5"/>
  <c r="AD5" i="5"/>
  <c r="AD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105" i="5"/>
  <c r="AD106" i="5"/>
  <c r="AD107" i="5"/>
  <c r="AD108" i="5"/>
  <c r="AD109" i="5"/>
  <c r="AD110" i="5"/>
  <c r="AD111" i="5"/>
  <c r="AD112" i="5"/>
  <c r="AD113" i="5"/>
  <c r="AD114" i="5"/>
  <c r="AD115" i="5"/>
  <c r="AD116" i="5"/>
  <c r="AD117" i="5"/>
  <c r="AD118" i="5"/>
  <c r="AD119" i="5"/>
  <c r="AD120" i="5"/>
  <c r="AD121" i="5"/>
  <c r="AD122" i="5"/>
  <c r="AD123" i="5"/>
  <c r="AD124" i="5"/>
  <c r="AD125" i="5"/>
  <c r="AD126" i="5"/>
  <c r="AD127" i="5"/>
  <c r="AD128" i="5"/>
  <c r="AD129" i="5"/>
  <c r="AD130" i="5"/>
  <c r="AD131" i="5"/>
  <c r="AD132" i="5"/>
  <c r="AD133" i="5"/>
  <c r="AD134" i="5"/>
  <c r="AD135" i="5"/>
  <c r="AD136" i="5"/>
  <c r="AD137" i="5"/>
  <c r="AD138" i="5"/>
  <c r="AD139" i="5"/>
  <c r="AD140" i="5"/>
  <c r="AD141" i="5"/>
  <c r="AD142" i="5"/>
  <c r="AD143" i="5"/>
  <c r="AD144" i="5"/>
  <c r="AD145" i="5"/>
  <c r="AD146" i="5"/>
  <c r="AD147" i="5"/>
  <c r="AD148" i="5"/>
  <c r="AD149" i="5"/>
  <c r="AD150" i="5"/>
  <c r="AD151" i="5"/>
  <c r="AD152" i="5"/>
  <c r="AD153" i="5"/>
  <c r="AD154" i="5"/>
  <c r="AD155" i="5"/>
  <c r="AD156" i="5"/>
  <c r="AD157" i="5"/>
  <c r="AD158" i="5"/>
  <c r="AD159" i="5"/>
  <c r="AD160" i="5"/>
  <c r="AD161" i="5"/>
  <c r="AD162" i="5"/>
  <c r="AD163" i="5"/>
  <c r="AD164" i="5"/>
  <c r="AD165" i="5"/>
  <c r="AD166" i="5"/>
  <c r="AD167" i="5"/>
  <c r="AD168" i="5"/>
  <c r="AD169" i="5"/>
  <c r="AD170" i="5"/>
  <c r="AD171" i="5"/>
  <c r="AD172" i="5"/>
  <c r="AD173" i="5"/>
  <c r="AD174" i="5"/>
  <c r="AD175" i="5"/>
  <c r="AD176" i="5"/>
  <c r="AD177" i="5"/>
  <c r="AD178" i="5"/>
  <c r="AD179" i="5"/>
  <c r="AD180" i="5"/>
  <c r="AD181" i="5"/>
  <c r="AD182" i="5"/>
  <c r="AD183" i="5"/>
  <c r="AD184" i="5"/>
  <c r="AD185" i="5"/>
  <c r="AD186" i="5"/>
  <c r="AD187" i="5"/>
  <c r="AD188" i="5"/>
  <c r="AD189" i="5"/>
  <c r="AD190" i="5"/>
  <c r="AD191" i="5"/>
  <c r="AD192" i="5"/>
  <c r="AD193" i="5"/>
  <c r="AD194" i="5"/>
  <c r="AD195" i="5"/>
  <c r="AD196" i="5"/>
  <c r="AD197" i="5"/>
  <c r="AD198" i="5"/>
  <c r="AD199" i="5"/>
  <c r="AD200" i="5"/>
  <c r="AD201" i="5"/>
  <c r="AD202" i="5"/>
  <c r="AD203" i="5"/>
  <c r="AD204" i="5"/>
  <c r="AD205" i="5"/>
  <c r="AD206" i="5"/>
  <c r="AD207" i="5"/>
  <c r="AD208" i="5"/>
  <c r="AD209" i="5"/>
  <c r="AD210" i="5"/>
  <c r="AD211" i="5"/>
  <c r="AD212" i="5"/>
  <c r="AD213" i="5"/>
  <c r="AD214" i="5"/>
  <c r="AD215" i="5"/>
  <c r="AD216" i="5"/>
  <c r="AD217" i="5"/>
  <c r="AD218" i="5"/>
  <c r="AD219" i="5"/>
  <c r="AD220" i="5"/>
  <c r="AD221" i="5"/>
  <c r="AD222" i="5"/>
  <c r="AD223" i="5"/>
  <c r="AD224" i="5"/>
  <c r="AD225" i="5"/>
  <c r="AD226" i="5"/>
  <c r="AD227" i="5"/>
  <c r="AD228" i="5"/>
  <c r="AD229" i="5"/>
  <c r="AD230" i="5"/>
  <c r="AD231" i="5"/>
  <c r="AD232" i="5"/>
  <c r="AD233" i="5"/>
  <c r="AD234" i="5"/>
  <c r="AD235" i="5"/>
  <c r="AD236" i="5"/>
  <c r="AD237" i="5"/>
  <c r="AD238" i="5"/>
  <c r="AD239" i="5"/>
  <c r="AD240" i="5"/>
  <c r="AD241" i="5"/>
  <c r="AD242" i="5"/>
  <c r="AD243" i="5"/>
  <c r="AD244" i="5"/>
  <c r="AD245" i="5"/>
  <c r="AD246" i="5"/>
  <c r="AD247" i="5"/>
  <c r="AD248" i="5"/>
  <c r="AD249" i="5"/>
  <c r="AD250" i="5"/>
  <c r="AD251" i="5"/>
  <c r="AD252" i="5"/>
  <c r="AD253" i="5"/>
  <c r="AD254" i="5"/>
  <c r="AD255" i="5"/>
  <c r="AD256" i="5"/>
  <c r="AD257" i="5"/>
  <c r="AD258" i="5"/>
  <c r="AD259" i="5"/>
  <c r="AD260" i="5"/>
  <c r="AD261" i="5"/>
  <c r="AD262" i="5"/>
  <c r="AD263" i="5"/>
  <c r="AD264" i="5"/>
  <c r="AD265" i="5"/>
  <c r="AD266" i="5"/>
  <c r="AD267" i="5"/>
  <c r="AD268" i="5"/>
  <c r="AD269" i="5"/>
  <c r="AD270" i="5"/>
  <c r="AD271" i="5"/>
  <c r="AD272" i="5"/>
  <c r="AD273" i="5"/>
  <c r="AD274" i="5"/>
  <c r="AD275" i="5"/>
  <c r="AD276" i="5"/>
  <c r="AD277" i="5"/>
  <c r="AD278" i="5"/>
  <c r="AD279" i="5"/>
  <c r="AD280" i="5"/>
  <c r="AD281" i="5"/>
  <c r="AD282" i="5"/>
  <c r="AD283" i="5"/>
  <c r="AD284" i="5"/>
  <c r="AD285" i="5"/>
  <c r="AD286" i="5"/>
  <c r="AD287" i="5"/>
  <c r="AD288" i="5"/>
  <c r="AD289" i="5"/>
  <c r="AD290" i="5"/>
  <c r="AD291" i="5"/>
  <c r="AD292" i="5"/>
  <c r="AD293" i="5"/>
  <c r="AD294" i="5"/>
  <c r="AD295" i="5"/>
  <c r="AD296" i="5"/>
  <c r="AD297" i="5"/>
  <c r="AD298" i="5"/>
  <c r="AD299" i="5"/>
  <c r="AD300" i="5"/>
  <c r="AD301" i="5"/>
  <c r="AD302" i="5"/>
  <c r="AD303" i="5"/>
  <c r="AD304" i="5"/>
  <c r="AD305" i="5"/>
  <c r="AD306" i="5"/>
  <c r="AD307" i="5"/>
  <c r="AD308" i="5"/>
  <c r="AD309" i="5"/>
  <c r="AD310" i="5"/>
  <c r="AD311" i="5"/>
  <c r="AD312" i="5"/>
  <c r="AD313" i="5"/>
  <c r="AD314" i="5"/>
  <c r="AD315" i="5"/>
  <c r="AD316" i="5"/>
  <c r="AD317" i="5"/>
  <c r="AD318" i="5"/>
  <c r="AD319" i="5"/>
  <c r="AD320" i="5"/>
  <c r="AD321" i="5"/>
  <c r="AD322" i="5"/>
  <c r="AD323" i="5"/>
  <c r="AD324" i="5"/>
  <c r="AD325" i="5"/>
  <c r="AD326" i="5"/>
  <c r="AD327" i="5"/>
  <c r="AD328" i="5"/>
  <c r="AD329" i="5"/>
  <c r="AD330" i="5"/>
  <c r="AD331" i="5"/>
  <c r="AD332" i="5"/>
  <c r="AD333" i="5"/>
  <c r="AD334" i="5"/>
  <c r="AD335" i="5"/>
  <c r="AD336" i="5"/>
  <c r="AD337" i="5"/>
  <c r="AD338" i="5"/>
  <c r="AD339" i="5"/>
  <c r="AD340" i="5"/>
  <c r="AD341" i="5"/>
  <c r="AD342" i="5"/>
  <c r="AD343" i="5"/>
  <c r="AD344" i="5"/>
  <c r="AD345" i="5"/>
  <c r="AD346" i="5"/>
  <c r="AD347" i="5"/>
  <c r="AD348" i="5"/>
  <c r="AD349" i="5"/>
  <c r="AD350" i="5"/>
  <c r="AD351" i="5"/>
  <c r="AD352" i="5"/>
  <c r="AD353" i="5"/>
  <c r="AD354" i="5"/>
  <c r="AD355" i="5"/>
  <c r="AD356" i="5"/>
  <c r="AD357" i="5"/>
  <c r="AD358" i="5"/>
  <c r="AD359" i="5"/>
  <c r="AD360" i="5"/>
  <c r="AD361" i="5"/>
  <c r="AD362" i="5"/>
  <c r="AD363" i="5"/>
  <c r="AD364" i="5"/>
  <c r="AD365" i="5"/>
  <c r="AD366" i="5"/>
  <c r="AD367" i="5"/>
  <c r="AD368" i="5"/>
  <c r="AD369" i="5"/>
  <c r="AD370" i="5"/>
  <c r="AD371" i="5"/>
  <c r="AD372"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D418" i="5"/>
  <c r="AD419" i="5"/>
  <c r="AD420" i="5"/>
  <c r="AD421" i="5"/>
  <c r="AD422" i="5"/>
  <c r="AD423" i="5"/>
  <c r="AD424" i="5"/>
  <c r="AD425" i="5"/>
  <c r="AD426" i="5"/>
  <c r="AD427" i="5"/>
  <c r="AD428" i="5"/>
  <c r="AD429" i="5"/>
  <c r="AD430" i="5"/>
  <c r="AD431" i="5"/>
  <c r="AD432" i="5"/>
  <c r="AD433" i="5"/>
  <c r="AD434" i="5"/>
  <c r="AD435" i="5"/>
  <c r="AD436" i="5"/>
  <c r="AD437" i="5"/>
  <c r="AD438" i="5"/>
  <c r="AD439" i="5"/>
  <c r="AD440" i="5"/>
  <c r="AD441" i="5"/>
  <c r="AD442" i="5"/>
  <c r="AD443" i="5"/>
  <c r="AE2" i="5"/>
  <c r="AE3" i="5"/>
  <c r="AE4" i="5"/>
  <c r="AI4" i="5" s="1"/>
  <c r="AE5" i="5"/>
  <c r="AE6" i="5"/>
  <c r="AE7" i="5"/>
  <c r="AE8" i="5"/>
  <c r="AE9" i="5"/>
  <c r="AE10" i="5"/>
  <c r="AI10" i="5" s="1"/>
  <c r="AK10" i="5" s="1"/>
  <c r="AE11" i="5"/>
  <c r="AE12" i="5"/>
  <c r="AE13" i="5"/>
  <c r="AE14" i="5"/>
  <c r="AE15" i="5"/>
  <c r="AE16" i="5"/>
  <c r="AE17" i="5"/>
  <c r="AE18" i="5"/>
  <c r="AE19" i="5"/>
  <c r="AE20" i="5"/>
  <c r="AI20" i="5" s="1"/>
  <c r="AE21" i="5"/>
  <c r="AE22" i="5"/>
  <c r="AE23" i="5"/>
  <c r="AE24" i="5"/>
  <c r="AI24" i="5" s="1"/>
  <c r="AK24" i="5" s="1"/>
  <c r="AE25" i="5"/>
  <c r="AE26" i="5"/>
  <c r="AE27" i="5"/>
  <c r="AE28" i="5"/>
  <c r="AE29" i="5"/>
  <c r="AE30" i="5"/>
  <c r="AI30" i="5" s="1"/>
  <c r="AK30" i="5" s="1"/>
  <c r="AE31" i="5"/>
  <c r="AE32" i="5"/>
  <c r="AE33" i="5"/>
  <c r="AE34" i="5"/>
  <c r="AT34" i="5" s="1"/>
  <c r="AE35" i="5"/>
  <c r="AE36" i="5"/>
  <c r="AE37" i="5"/>
  <c r="AE38" i="5"/>
  <c r="AE39" i="5"/>
  <c r="AE40" i="5"/>
  <c r="AI40" i="5" s="1"/>
  <c r="AK40" i="5" s="1"/>
  <c r="AE41" i="5"/>
  <c r="AE42" i="5"/>
  <c r="AE43" i="5"/>
  <c r="AE44" i="5"/>
  <c r="AE45" i="5"/>
  <c r="AE46" i="5"/>
  <c r="AE47" i="5"/>
  <c r="AE48" i="5"/>
  <c r="AE49" i="5"/>
  <c r="AE50" i="5"/>
  <c r="AI50" i="5" s="1"/>
  <c r="AE51" i="5"/>
  <c r="AE52" i="5"/>
  <c r="AE53" i="5"/>
  <c r="AE54" i="5"/>
  <c r="AI54" i="5" s="1"/>
  <c r="AE55" i="5"/>
  <c r="AE56" i="5"/>
  <c r="AE57" i="5"/>
  <c r="AE58" i="5"/>
  <c r="AE59" i="5"/>
  <c r="AE60" i="5"/>
  <c r="AI60" i="5" s="1"/>
  <c r="AK60" i="5" s="1"/>
  <c r="AE61" i="5"/>
  <c r="AE62" i="5"/>
  <c r="AE63" i="5"/>
  <c r="AE64" i="5"/>
  <c r="AE65" i="5"/>
  <c r="AE66" i="5"/>
  <c r="AE67" i="5"/>
  <c r="AE68" i="5"/>
  <c r="AE69" i="5"/>
  <c r="AE70" i="5"/>
  <c r="AI70" i="5" s="1"/>
  <c r="AK70" i="5" s="1"/>
  <c r="AE71" i="5"/>
  <c r="AE72" i="5"/>
  <c r="AE73" i="5"/>
  <c r="AE74" i="5"/>
  <c r="AI74" i="5" s="1"/>
  <c r="AE75" i="5"/>
  <c r="AE76" i="5"/>
  <c r="AE77" i="5"/>
  <c r="AE78" i="5"/>
  <c r="AE79" i="5"/>
  <c r="AE80" i="5"/>
  <c r="AI80" i="5" s="1"/>
  <c r="AK80" i="5" s="1"/>
  <c r="AE81" i="5"/>
  <c r="AE82" i="5"/>
  <c r="AE83" i="5"/>
  <c r="AE84" i="5"/>
  <c r="AI84" i="5" s="1"/>
  <c r="AK84" i="5" s="1"/>
  <c r="AE85" i="5"/>
  <c r="AE86" i="5"/>
  <c r="AE87" i="5"/>
  <c r="AE88" i="5"/>
  <c r="AE89" i="5"/>
  <c r="AE90" i="5"/>
  <c r="AI90" i="5" s="1"/>
  <c r="AK90" i="5" s="1"/>
  <c r="AE91" i="5"/>
  <c r="AE92" i="5"/>
  <c r="AE93" i="5"/>
  <c r="AE94" i="5"/>
  <c r="AI94" i="5" s="1"/>
  <c r="AK94" i="5" s="1"/>
  <c r="AE95" i="5"/>
  <c r="AE96" i="5"/>
  <c r="AE97" i="5"/>
  <c r="AE98" i="5"/>
  <c r="AE99" i="5"/>
  <c r="AE100" i="5"/>
  <c r="AI100" i="5" s="1"/>
  <c r="AK100" i="5" s="1"/>
  <c r="AE101" i="5"/>
  <c r="AE102" i="5"/>
  <c r="AE103" i="5"/>
  <c r="AE104" i="5"/>
  <c r="AI104" i="5" s="1"/>
  <c r="AK104" i="5" s="1"/>
  <c r="AE105" i="5"/>
  <c r="AE106" i="5"/>
  <c r="AE107" i="5"/>
  <c r="AE108" i="5"/>
  <c r="AE109" i="5"/>
  <c r="AE110" i="5"/>
  <c r="AI110" i="5" s="1"/>
  <c r="AK110" i="5" s="1"/>
  <c r="AE111" i="5"/>
  <c r="AE112" i="5"/>
  <c r="AE113" i="5"/>
  <c r="AE114" i="5"/>
  <c r="AI114" i="5" s="1"/>
  <c r="AE115" i="5"/>
  <c r="AE116" i="5"/>
  <c r="AE117" i="5"/>
  <c r="AE118" i="5"/>
  <c r="AE119" i="5"/>
  <c r="AE120" i="5"/>
  <c r="AI120" i="5" s="1"/>
  <c r="AE121" i="5"/>
  <c r="AE122" i="5"/>
  <c r="AE123" i="5"/>
  <c r="AE124" i="5"/>
  <c r="AI124" i="5" s="1"/>
  <c r="AK124" i="5" s="1"/>
  <c r="AE125" i="5"/>
  <c r="AE126" i="5"/>
  <c r="AE127" i="5"/>
  <c r="AE128" i="5"/>
  <c r="AE129" i="5"/>
  <c r="AE130" i="5"/>
  <c r="AI130" i="5" s="1"/>
  <c r="AE131" i="5"/>
  <c r="AE132" i="5"/>
  <c r="AE133" i="5"/>
  <c r="AE134" i="5"/>
  <c r="AE135" i="5"/>
  <c r="AE136" i="5"/>
  <c r="AE137" i="5"/>
  <c r="AE138" i="5"/>
  <c r="AE139" i="5"/>
  <c r="AE140" i="5"/>
  <c r="AI140" i="5" s="1"/>
  <c r="AE141" i="5"/>
  <c r="AE142" i="5"/>
  <c r="AE143" i="5"/>
  <c r="AE144" i="5"/>
  <c r="AE145" i="5"/>
  <c r="AE146" i="5"/>
  <c r="AE147" i="5"/>
  <c r="AE148" i="5"/>
  <c r="AE149" i="5"/>
  <c r="AE150" i="5"/>
  <c r="AI150" i="5" s="1"/>
  <c r="AE151" i="5"/>
  <c r="AE152" i="5"/>
  <c r="AE153" i="5"/>
  <c r="AE154" i="5"/>
  <c r="AI154" i="5" s="1"/>
  <c r="AE155" i="5"/>
  <c r="AE156" i="5"/>
  <c r="AE157" i="5"/>
  <c r="AE158" i="5"/>
  <c r="AE159" i="5"/>
  <c r="AE160" i="5"/>
  <c r="AI160" i="5" s="1"/>
  <c r="AK160" i="5" s="1"/>
  <c r="AE161" i="5"/>
  <c r="AI161" i="5" s="1"/>
  <c r="AE162" i="5"/>
  <c r="AE163" i="5"/>
  <c r="AE164" i="5"/>
  <c r="AI164" i="5" s="1"/>
  <c r="AK164" i="5" s="1"/>
  <c r="AE165" i="5"/>
  <c r="AE166" i="5"/>
  <c r="AE167" i="5"/>
  <c r="AE168" i="5"/>
  <c r="AE169" i="5"/>
  <c r="AE170" i="5"/>
  <c r="AI170" i="5" s="1"/>
  <c r="AE171" i="5"/>
  <c r="AI171" i="5" s="1"/>
  <c r="AE172" i="5"/>
  <c r="AE173" i="5"/>
  <c r="AE174" i="5"/>
  <c r="AE175" i="5"/>
  <c r="AE176" i="5"/>
  <c r="AE177" i="5"/>
  <c r="AE178" i="5"/>
  <c r="AE179" i="5"/>
  <c r="AE180" i="5"/>
  <c r="AI180" i="5" s="1"/>
  <c r="AK180" i="5" s="1"/>
  <c r="AE181" i="5"/>
  <c r="AI181" i="5" s="1"/>
  <c r="AE182" i="5"/>
  <c r="AE183" i="5"/>
  <c r="AE184" i="5"/>
  <c r="AE185" i="5"/>
  <c r="AE186" i="5"/>
  <c r="AE187" i="5"/>
  <c r="AE188" i="5"/>
  <c r="AE189" i="5"/>
  <c r="AE190" i="5"/>
  <c r="AI190" i="5" s="1"/>
  <c r="AE191" i="5"/>
  <c r="AI191" i="5" s="1"/>
  <c r="AE192" i="5"/>
  <c r="AE193" i="5"/>
  <c r="AE194" i="5"/>
  <c r="AI194" i="5" s="1"/>
  <c r="AK194" i="5" s="1"/>
  <c r="AE195" i="5"/>
  <c r="AE196" i="5"/>
  <c r="AE197" i="5"/>
  <c r="AE198" i="5"/>
  <c r="AE199" i="5"/>
  <c r="AE200" i="5"/>
  <c r="AI200" i="5" s="1"/>
  <c r="AE201" i="5"/>
  <c r="AI201" i="5" s="1"/>
  <c r="AE202" i="5"/>
  <c r="AE203" i="5"/>
  <c r="AE204" i="5"/>
  <c r="AI204" i="5" s="1"/>
  <c r="AK204" i="5" s="1"/>
  <c r="AE205" i="5"/>
  <c r="AE206" i="5"/>
  <c r="AE207" i="5"/>
  <c r="AE208" i="5"/>
  <c r="AE209" i="5"/>
  <c r="AE210" i="5"/>
  <c r="AI210" i="5" s="1"/>
  <c r="AE211" i="5"/>
  <c r="AI211" i="5" s="1"/>
  <c r="AE212" i="5"/>
  <c r="AE213" i="5"/>
  <c r="AE214" i="5"/>
  <c r="AI214" i="5" s="1"/>
  <c r="AE215" i="5"/>
  <c r="AE216" i="5"/>
  <c r="AE217" i="5"/>
  <c r="AE218" i="5"/>
  <c r="AE219" i="5"/>
  <c r="AE220" i="5"/>
  <c r="AI220" i="5" s="1"/>
  <c r="AE221" i="5"/>
  <c r="AI221" i="5" s="1"/>
  <c r="AE222" i="5"/>
  <c r="AE223" i="5"/>
  <c r="AE224" i="5"/>
  <c r="AI224" i="5" s="1"/>
  <c r="AK224" i="5" s="1"/>
  <c r="AE225" i="5"/>
  <c r="AE226" i="5"/>
  <c r="AE227" i="5"/>
  <c r="AE228" i="5"/>
  <c r="AE229" i="5"/>
  <c r="AE230" i="5"/>
  <c r="AI230" i="5" s="1"/>
  <c r="AK230" i="5" s="1"/>
  <c r="AE231" i="5"/>
  <c r="AI231" i="5" s="1"/>
  <c r="AE232" i="5"/>
  <c r="AE233" i="5"/>
  <c r="AE234" i="5"/>
  <c r="AT234" i="5" s="1"/>
  <c r="AE235" i="5"/>
  <c r="AE236" i="5"/>
  <c r="AE237" i="5"/>
  <c r="AE238" i="5"/>
  <c r="AE239" i="5"/>
  <c r="AE240" i="5"/>
  <c r="AI240" i="5" s="1"/>
  <c r="AE241" i="5"/>
  <c r="AI241" i="5" s="1"/>
  <c r="AE242" i="5"/>
  <c r="AE243" i="5"/>
  <c r="AE244" i="5"/>
  <c r="AI244" i="5" s="1"/>
  <c r="AK244" i="5" s="1"/>
  <c r="AE245" i="5"/>
  <c r="AE246" i="5"/>
  <c r="AE247" i="5"/>
  <c r="AE248" i="5"/>
  <c r="AE249" i="5"/>
  <c r="AE250" i="5"/>
  <c r="AI250" i="5" s="1"/>
  <c r="AK250" i="5" s="1"/>
  <c r="AE251" i="5"/>
  <c r="AI251" i="5" s="1"/>
  <c r="AE252" i="5"/>
  <c r="AE253" i="5"/>
  <c r="AE254" i="5"/>
  <c r="AI254" i="5" s="1"/>
  <c r="AK254" i="5" s="1"/>
  <c r="AE255" i="5"/>
  <c r="AE256" i="5"/>
  <c r="AE257" i="5"/>
  <c r="AE258" i="5"/>
  <c r="AE259" i="5"/>
  <c r="AE260" i="5"/>
  <c r="AI260" i="5" s="1"/>
  <c r="AK260" i="5" s="1"/>
  <c r="AE261" i="5"/>
  <c r="AI261" i="5" s="1"/>
  <c r="AE262" i="5"/>
  <c r="AE263" i="5"/>
  <c r="AE264" i="5"/>
  <c r="AI264" i="5" s="1"/>
  <c r="AE265" i="5"/>
  <c r="AE266" i="5"/>
  <c r="AE267" i="5"/>
  <c r="AE268" i="5"/>
  <c r="AE269" i="5"/>
  <c r="AE270" i="5"/>
  <c r="AI270" i="5" s="1"/>
  <c r="AE271" i="5"/>
  <c r="AI271" i="5" s="1"/>
  <c r="AE272" i="5"/>
  <c r="AE273" i="5"/>
  <c r="AE274" i="5"/>
  <c r="AE275" i="5"/>
  <c r="AE276" i="5"/>
  <c r="AE277" i="5"/>
  <c r="AE278" i="5"/>
  <c r="AE279" i="5"/>
  <c r="AE280" i="5"/>
  <c r="AI280" i="5" s="1"/>
  <c r="AK280" i="5" s="1"/>
  <c r="AE281" i="5"/>
  <c r="AI281" i="5" s="1"/>
  <c r="AE282" i="5"/>
  <c r="AE283" i="5"/>
  <c r="AE284" i="5"/>
  <c r="AI284" i="5" s="1"/>
  <c r="AK284" i="5" s="1"/>
  <c r="AE285" i="5"/>
  <c r="AE286" i="5"/>
  <c r="AE287" i="5"/>
  <c r="AE288" i="5"/>
  <c r="AE289" i="5"/>
  <c r="AE290" i="5"/>
  <c r="AI290" i="5" s="1"/>
  <c r="AE291" i="5"/>
  <c r="AI291" i="5" s="1"/>
  <c r="AE292" i="5"/>
  <c r="AE293" i="5"/>
  <c r="AE294" i="5"/>
  <c r="AE295" i="5"/>
  <c r="AE296" i="5"/>
  <c r="AE297" i="5"/>
  <c r="AE298" i="5"/>
  <c r="AE299" i="5"/>
  <c r="AE300" i="5"/>
  <c r="AI300" i="5" s="1"/>
  <c r="AE301" i="5"/>
  <c r="AI301" i="5" s="1"/>
  <c r="AE302" i="5"/>
  <c r="AE303" i="5"/>
  <c r="AE304" i="5"/>
  <c r="AI304" i="5" s="1"/>
  <c r="AK304" i="5" s="1"/>
  <c r="AE305" i="5"/>
  <c r="AE306" i="5"/>
  <c r="AE307" i="5"/>
  <c r="AE308" i="5"/>
  <c r="AE309" i="5"/>
  <c r="AE310" i="5"/>
  <c r="AI310" i="5" s="1"/>
  <c r="AE311" i="5"/>
  <c r="AI311" i="5" s="1"/>
  <c r="AE312" i="5"/>
  <c r="AE313" i="5"/>
  <c r="AE314" i="5"/>
  <c r="AI314" i="5" s="1"/>
  <c r="AK314" i="5" s="1"/>
  <c r="AE315" i="5"/>
  <c r="AE316" i="5"/>
  <c r="AE317" i="5"/>
  <c r="AE318" i="5"/>
  <c r="AE319" i="5"/>
  <c r="AE320" i="5"/>
  <c r="AI320" i="5" s="1"/>
  <c r="AE321" i="5"/>
  <c r="AI321" i="5" s="1"/>
  <c r="AK321" i="5" s="1"/>
  <c r="AE322" i="5"/>
  <c r="AE323" i="5"/>
  <c r="AE324" i="5"/>
  <c r="AI324" i="5" s="1"/>
  <c r="AK324" i="5" s="1"/>
  <c r="AE325" i="5"/>
  <c r="AE326" i="5"/>
  <c r="AE327" i="5"/>
  <c r="AE328" i="5"/>
  <c r="AE329" i="5"/>
  <c r="AE330" i="5"/>
  <c r="AI330" i="5" s="1"/>
  <c r="AK330" i="5" s="1"/>
  <c r="AE331" i="5"/>
  <c r="AI331" i="5" s="1"/>
  <c r="AE332" i="5"/>
  <c r="AE333" i="5"/>
  <c r="AE334" i="5"/>
  <c r="AT334" i="5" s="1"/>
  <c r="AE335" i="5"/>
  <c r="AE336" i="5"/>
  <c r="AE337" i="5"/>
  <c r="AE338" i="5"/>
  <c r="AE339" i="5"/>
  <c r="AE340" i="5"/>
  <c r="AI340" i="5" s="1"/>
  <c r="AE341" i="5"/>
  <c r="AI341" i="5" s="1"/>
  <c r="AK341" i="5" s="1"/>
  <c r="AE342" i="5"/>
  <c r="AE343" i="5"/>
  <c r="AE344" i="5"/>
  <c r="AT344" i="5" s="1"/>
  <c r="AE345" i="5"/>
  <c r="AE346" i="5"/>
  <c r="AE347" i="5"/>
  <c r="AE348" i="5"/>
  <c r="AE349" i="5"/>
  <c r="AE350" i="5"/>
  <c r="AI350" i="5" s="1"/>
  <c r="AK350" i="5" s="1"/>
  <c r="AE351" i="5"/>
  <c r="AI351" i="5" s="1"/>
  <c r="AE352" i="5"/>
  <c r="AE353" i="5"/>
  <c r="AE354" i="5"/>
  <c r="AI354" i="5" s="1"/>
  <c r="AK354" i="5" s="1"/>
  <c r="AE355" i="5"/>
  <c r="AE356" i="5"/>
  <c r="AE357" i="5"/>
  <c r="AE358" i="5"/>
  <c r="AE359" i="5"/>
  <c r="AE360" i="5"/>
  <c r="AI360" i="5" s="1"/>
  <c r="AK360" i="5" s="1"/>
  <c r="AE361" i="5"/>
  <c r="AI361" i="5" s="1"/>
  <c r="AK361" i="5" s="1"/>
  <c r="AE362" i="5"/>
  <c r="AE363" i="5"/>
  <c r="AE364" i="5"/>
  <c r="AI364" i="5" s="1"/>
  <c r="AK364" i="5" s="1"/>
  <c r="AE365" i="5"/>
  <c r="AE366" i="5"/>
  <c r="AE367" i="5"/>
  <c r="AE368" i="5"/>
  <c r="AE369" i="5"/>
  <c r="AE370" i="5"/>
  <c r="AI370" i="5" s="1"/>
  <c r="AE371" i="5"/>
  <c r="AI371" i="5" s="1"/>
  <c r="AE372" i="5"/>
  <c r="AE373" i="5"/>
  <c r="AE374" i="5"/>
  <c r="AI374" i="5" s="1"/>
  <c r="AK374" i="5" s="1"/>
  <c r="AE375" i="5"/>
  <c r="AE376" i="5"/>
  <c r="AE377" i="5"/>
  <c r="AE378" i="5"/>
  <c r="AE379" i="5"/>
  <c r="AE380" i="5"/>
  <c r="AI380" i="5" s="1"/>
  <c r="AK380" i="5" s="1"/>
  <c r="AE381" i="5"/>
  <c r="AI381" i="5" s="1"/>
  <c r="AK381" i="5" s="1"/>
  <c r="AE382" i="5"/>
  <c r="AE383" i="5"/>
  <c r="AE384" i="5"/>
  <c r="AI384" i="5" s="1"/>
  <c r="AK384" i="5" s="1"/>
  <c r="AE385" i="5"/>
  <c r="AE386" i="5"/>
  <c r="AE387" i="5"/>
  <c r="AE388" i="5"/>
  <c r="AE389" i="5"/>
  <c r="AE390" i="5"/>
  <c r="AI390" i="5" s="1"/>
  <c r="AE391" i="5"/>
  <c r="AI391" i="5" s="1"/>
  <c r="AE392" i="5"/>
  <c r="AE393" i="5"/>
  <c r="AE394" i="5"/>
  <c r="AI394" i="5" s="1"/>
  <c r="AE395" i="5"/>
  <c r="AE396" i="5"/>
  <c r="AE397" i="5"/>
  <c r="AE398" i="5"/>
  <c r="AE399" i="5"/>
  <c r="AE400" i="5"/>
  <c r="AI400" i="5" s="1"/>
  <c r="AE401" i="5"/>
  <c r="AI401" i="5" s="1"/>
  <c r="AK401" i="5" s="1"/>
  <c r="AE402" i="5"/>
  <c r="AE403" i="5"/>
  <c r="AE404" i="5"/>
  <c r="AI404" i="5" s="1"/>
  <c r="AK404" i="5" s="1"/>
  <c r="AE405" i="5"/>
  <c r="AE406" i="5"/>
  <c r="AE407" i="5"/>
  <c r="AE408" i="5"/>
  <c r="AE409" i="5"/>
  <c r="AE410" i="5"/>
  <c r="AI410" i="5" s="1"/>
  <c r="AE411" i="5"/>
  <c r="AI411" i="5" s="1"/>
  <c r="AO411" i="5" s="1"/>
  <c r="AE412" i="5"/>
  <c r="AE413" i="5"/>
  <c r="AE414" i="5"/>
  <c r="AI414" i="5" s="1"/>
  <c r="AE415" i="5"/>
  <c r="AE416" i="5"/>
  <c r="AE417" i="5"/>
  <c r="AE418" i="5"/>
  <c r="AE419" i="5"/>
  <c r="AE420" i="5"/>
  <c r="AI420" i="5" s="1"/>
  <c r="AE421" i="5"/>
  <c r="AI421" i="5" s="1"/>
  <c r="AK421" i="5" s="1"/>
  <c r="AE422" i="5"/>
  <c r="AE423" i="5"/>
  <c r="AE424" i="5"/>
  <c r="AI424" i="5" s="1"/>
  <c r="AK424" i="5" s="1"/>
  <c r="AE425" i="5"/>
  <c r="AE426" i="5"/>
  <c r="AE427" i="5"/>
  <c r="AE428" i="5"/>
  <c r="AE429" i="5"/>
  <c r="AE430" i="5"/>
  <c r="AI430" i="5" s="1"/>
  <c r="AK430" i="5" s="1"/>
  <c r="AE431" i="5"/>
  <c r="AE432" i="5"/>
  <c r="AE433" i="5"/>
  <c r="AE434" i="5"/>
  <c r="AI434" i="5" s="1"/>
  <c r="AE435" i="5"/>
  <c r="AE436" i="5"/>
  <c r="AE437" i="5"/>
  <c r="AE438" i="5"/>
  <c r="AE439" i="5"/>
  <c r="AE440" i="5"/>
  <c r="AI440" i="5" s="1"/>
  <c r="AE441" i="5"/>
  <c r="AE442" i="5"/>
  <c r="AE443" i="5"/>
  <c r="AF2" i="5"/>
  <c r="AT2" i="5" s="1"/>
  <c r="AF3" i="5"/>
  <c r="AF4" i="5"/>
  <c r="AF5" i="5"/>
  <c r="AF6" i="5"/>
  <c r="AF7" i="5"/>
  <c r="AF8" i="5"/>
  <c r="AF9" i="5"/>
  <c r="AJ9" i="5" s="1"/>
  <c r="AF10" i="5"/>
  <c r="AF11" i="5"/>
  <c r="AF12" i="5"/>
  <c r="AJ12" i="5" s="1"/>
  <c r="AF13" i="5"/>
  <c r="AF14" i="5"/>
  <c r="AF15" i="5"/>
  <c r="AF16" i="5"/>
  <c r="AF17" i="5"/>
  <c r="AF18" i="5"/>
  <c r="AF19" i="5"/>
  <c r="AF20" i="5"/>
  <c r="AF21" i="5"/>
  <c r="AF22" i="5"/>
  <c r="AJ22" i="5" s="1"/>
  <c r="AF23" i="5"/>
  <c r="AF24" i="5"/>
  <c r="AF25" i="5"/>
  <c r="AF26" i="5"/>
  <c r="AF27" i="5"/>
  <c r="AF28" i="5"/>
  <c r="AF29" i="5"/>
  <c r="AJ29" i="5" s="1"/>
  <c r="AF30" i="5"/>
  <c r="AF31" i="5"/>
  <c r="AF32" i="5"/>
  <c r="AJ32" i="5" s="1"/>
  <c r="AF33" i="5"/>
  <c r="AF34" i="5"/>
  <c r="AF35" i="5"/>
  <c r="AF36" i="5"/>
  <c r="AF37" i="5"/>
  <c r="AF38" i="5"/>
  <c r="AF39" i="5"/>
  <c r="AJ39" i="5" s="1"/>
  <c r="AF40" i="5"/>
  <c r="AF41" i="5"/>
  <c r="AF42" i="5"/>
  <c r="AJ42" i="5" s="1"/>
  <c r="AF43" i="5"/>
  <c r="AF44" i="5"/>
  <c r="AF45" i="5"/>
  <c r="AF46" i="5"/>
  <c r="AF47" i="5"/>
  <c r="AF48" i="5"/>
  <c r="AF49" i="5"/>
  <c r="AJ49" i="5" s="1"/>
  <c r="AF50" i="5"/>
  <c r="AF51" i="5"/>
  <c r="AF52" i="5"/>
  <c r="AF53" i="5"/>
  <c r="AF54" i="5"/>
  <c r="AF55" i="5"/>
  <c r="AF56" i="5"/>
  <c r="AF57" i="5"/>
  <c r="AF58" i="5"/>
  <c r="AF59" i="5"/>
  <c r="AJ59" i="5" s="1"/>
  <c r="AF60" i="5"/>
  <c r="AF61" i="5"/>
  <c r="AF62" i="5"/>
  <c r="AJ62" i="5" s="1"/>
  <c r="AF63" i="5"/>
  <c r="AF64" i="5"/>
  <c r="AF65" i="5"/>
  <c r="AF66" i="5"/>
  <c r="AF67" i="5"/>
  <c r="AF68" i="5"/>
  <c r="AF69" i="5"/>
  <c r="AJ69" i="5" s="1"/>
  <c r="AF70" i="5"/>
  <c r="AF71" i="5"/>
  <c r="AF72" i="5"/>
  <c r="AT72" i="5" s="1"/>
  <c r="AL72" i="5" s="1"/>
  <c r="AM72" i="5" s="1"/>
  <c r="AF73" i="5"/>
  <c r="AF74" i="5"/>
  <c r="AF75" i="5"/>
  <c r="AF76" i="5"/>
  <c r="AF77" i="5"/>
  <c r="AF78" i="5"/>
  <c r="AF79" i="5"/>
  <c r="AJ79" i="5" s="1"/>
  <c r="AF80" i="5"/>
  <c r="AF81" i="5"/>
  <c r="AF82" i="5"/>
  <c r="AJ82" i="5" s="1"/>
  <c r="AF83" i="5"/>
  <c r="AF84" i="5"/>
  <c r="AF85" i="5"/>
  <c r="AF86" i="5"/>
  <c r="AF87" i="5"/>
  <c r="AF88" i="5"/>
  <c r="AF89" i="5"/>
  <c r="AJ89" i="5" s="1"/>
  <c r="AF90" i="5"/>
  <c r="AF91" i="5"/>
  <c r="AF92" i="5"/>
  <c r="AJ92" i="5" s="1"/>
  <c r="AF93" i="5"/>
  <c r="AF94" i="5"/>
  <c r="AF95" i="5"/>
  <c r="AF96" i="5"/>
  <c r="AF97" i="5"/>
  <c r="AF98" i="5"/>
  <c r="AF99" i="5"/>
  <c r="AJ99" i="5" s="1"/>
  <c r="AF100" i="5"/>
  <c r="AF101" i="5"/>
  <c r="AF102" i="5"/>
  <c r="AT102" i="5" s="1"/>
  <c r="AF103" i="5"/>
  <c r="AF104" i="5"/>
  <c r="AF105" i="5"/>
  <c r="AF106" i="5"/>
  <c r="AF107" i="5"/>
  <c r="AF108" i="5"/>
  <c r="AF109" i="5"/>
  <c r="AJ109" i="5" s="1"/>
  <c r="AF110" i="5"/>
  <c r="AF111" i="5"/>
  <c r="AF112" i="5"/>
  <c r="AJ112" i="5" s="1"/>
  <c r="AF113" i="5"/>
  <c r="AF114" i="5"/>
  <c r="AF115" i="5"/>
  <c r="AF116" i="5"/>
  <c r="AF117" i="5"/>
  <c r="AF118" i="5"/>
  <c r="AF119" i="5"/>
  <c r="AJ119" i="5" s="1"/>
  <c r="AF120" i="5"/>
  <c r="AF121" i="5"/>
  <c r="AF122" i="5"/>
  <c r="AJ122" i="5" s="1"/>
  <c r="AF123" i="5"/>
  <c r="AF124" i="5"/>
  <c r="AF125" i="5"/>
  <c r="AF126" i="5"/>
  <c r="AF127" i="5"/>
  <c r="AF128" i="5"/>
  <c r="AF129" i="5"/>
  <c r="AJ129" i="5" s="1"/>
  <c r="AF130" i="5"/>
  <c r="AF131" i="5"/>
  <c r="AF132" i="5"/>
  <c r="AJ132" i="5" s="1"/>
  <c r="AF133" i="5"/>
  <c r="AF134" i="5"/>
  <c r="AF135" i="5"/>
  <c r="AF136" i="5"/>
  <c r="AF137" i="5"/>
  <c r="AF138" i="5"/>
  <c r="AF139" i="5"/>
  <c r="AJ139" i="5" s="1"/>
  <c r="AF140" i="5"/>
  <c r="AF141" i="5"/>
  <c r="AF142" i="5"/>
  <c r="AJ142" i="5" s="1"/>
  <c r="AO142" i="5" s="1"/>
  <c r="AF143" i="5"/>
  <c r="AF144" i="5"/>
  <c r="AF145" i="5"/>
  <c r="AF146" i="5"/>
  <c r="AF147" i="5"/>
  <c r="AF148" i="5"/>
  <c r="AF149" i="5"/>
  <c r="AJ149" i="5" s="1"/>
  <c r="AF150" i="5"/>
  <c r="AF151" i="5"/>
  <c r="AF152" i="5"/>
  <c r="AF153" i="5"/>
  <c r="AF154" i="5"/>
  <c r="AF155" i="5"/>
  <c r="AF156" i="5"/>
  <c r="AF157" i="5"/>
  <c r="AF158" i="5"/>
  <c r="AF159" i="5"/>
  <c r="AJ159" i="5" s="1"/>
  <c r="AF160" i="5"/>
  <c r="AF161" i="5"/>
  <c r="AF162" i="5"/>
  <c r="AF163" i="5"/>
  <c r="AF164" i="5"/>
  <c r="AF165" i="5"/>
  <c r="AF166" i="5"/>
  <c r="AF167" i="5"/>
  <c r="AF168" i="5"/>
  <c r="AF169" i="5"/>
  <c r="AF170" i="5"/>
  <c r="AF171" i="5"/>
  <c r="AF172" i="5"/>
  <c r="AT172" i="5" s="1"/>
  <c r="AL172" i="5" s="1"/>
  <c r="AF173" i="5"/>
  <c r="AF174" i="5"/>
  <c r="AF175" i="5"/>
  <c r="AF176" i="5"/>
  <c r="AF177" i="5"/>
  <c r="AF178" i="5"/>
  <c r="AF179" i="5"/>
  <c r="AF180" i="5"/>
  <c r="AF181" i="5"/>
  <c r="AF182" i="5"/>
  <c r="AJ182" i="5" s="1"/>
  <c r="AF183" i="5"/>
  <c r="AF184" i="5"/>
  <c r="AF185" i="5"/>
  <c r="AF186" i="5"/>
  <c r="AF187" i="5"/>
  <c r="AF188" i="5"/>
  <c r="AF189" i="5"/>
  <c r="AF190" i="5"/>
  <c r="AF191" i="5"/>
  <c r="AF192" i="5"/>
  <c r="AJ192" i="5" s="1"/>
  <c r="AF193" i="5"/>
  <c r="AF194" i="5"/>
  <c r="AF195" i="5"/>
  <c r="AF196" i="5"/>
  <c r="AF197" i="5"/>
  <c r="AF198" i="5"/>
  <c r="AF199" i="5"/>
  <c r="AF200" i="5"/>
  <c r="AF201" i="5"/>
  <c r="AF202" i="5"/>
  <c r="AJ202" i="5" s="1"/>
  <c r="AO202" i="5" s="1"/>
  <c r="AF203" i="5"/>
  <c r="AF204" i="5"/>
  <c r="AF205" i="5"/>
  <c r="AF206" i="5"/>
  <c r="AF207" i="5"/>
  <c r="AF208" i="5"/>
  <c r="AF209" i="5"/>
  <c r="AF210" i="5"/>
  <c r="AF211" i="5"/>
  <c r="AF212" i="5"/>
  <c r="AJ212" i="5" s="1"/>
  <c r="AO212" i="5" s="1"/>
  <c r="AF213" i="5"/>
  <c r="AF214" i="5"/>
  <c r="AF215" i="5"/>
  <c r="AF216" i="5"/>
  <c r="AF217" i="5"/>
  <c r="AF218" i="5"/>
  <c r="AF219" i="5"/>
  <c r="AF220" i="5"/>
  <c r="AF221" i="5"/>
  <c r="AF222" i="5"/>
  <c r="AT222" i="5" s="1"/>
  <c r="AF223" i="5"/>
  <c r="AF224" i="5"/>
  <c r="AF225" i="5"/>
  <c r="AF226" i="5"/>
  <c r="AF227" i="5"/>
  <c r="AF228" i="5"/>
  <c r="AF229" i="5"/>
  <c r="AF230" i="5"/>
  <c r="AF231" i="5"/>
  <c r="AF232" i="5"/>
  <c r="AJ232" i="5" s="1"/>
  <c r="AF233" i="5"/>
  <c r="AF234" i="5"/>
  <c r="AF235" i="5"/>
  <c r="AF236" i="5"/>
  <c r="AF237" i="5"/>
  <c r="AF238" i="5"/>
  <c r="AF239" i="5"/>
  <c r="AF240" i="5"/>
  <c r="AF241" i="5"/>
  <c r="AF242" i="5"/>
  <c r="AJ242" i="5" s="1"/>
  <c r="AF243" i="5"/>
  <c r="AF244" i="5"/>
  <c r="AF245" i="5"/>
  <c r="AF246" i="5"/>
  <c r="AF247" i="5"/>
  <c r="AF248" i="5"/>
  <c r="AF249" i="5"/>
  <c r="AF250" i="5"/>
  <c r="AF251" i="5"/>
  <c r="AF252" i="5"/>
  <c r="AT252" i="5" s="1"/>
  <c r="AL252" i="5" s="1"/>
  <c r="AF253" i="5"/>
  <c r="AF254" i="5"/>
  <c r="AF255" i="5"/>
  <c r="AF256" i="5"/>
  <c r="AF257" i="5"/>
  <c r="AF258" i="5"/>
  <c r="AF259" i="5"/>
  <c r="AF260" i="5"/>
  <c r="AF261" i="5"/>
  <c r="AF262" i="5"/>
  <c r="AF263" i="5"/>
  <c r="AF264" i="5"/>
  <c r="AF265" i="5"/>
  <c r="AF266" i="5"/>
  <c r="AF267" i="5"/>
  <c r="AF268" i="5"/>
  <c r="AF269" i="5"/>
  <c r="AF270" i="5"/>
  <c r="AF271" i="5"/>
  <c r="AF272" i="5"/>
  <c r="AT272" i="5" s="1"/>
  <c r="AL272" i="5" s="1"/>
  <c r="AF273" i="5"/>
  <c r="AF274" i="5"/>
  <c r="AF275" i="5"/>
  <c r="AF276" i="5"/>
  <c r="AF277" i="5"/>
  <c r="AF278" i="5"/>
  <c r="AF279" i="5"/>
  <c r="AF280" i="5"/>
  <c r="AF281" i="5"/>
  <c r="AF282" i="5"/>
  <c r="AF283" i="5"/>
  <c r="AF284" i="5"/>
  <c r="AF285" i="5"/>
  <c r="AF286" i="5"/>
  <c r="AF287" i="5"/>
  <c r="AF288" i="5"/>
  <c r="AF289" i="5"/>
  <c r="AF290" i="5"/>
  <c r="AF291" i="5"/>
  <c r="AF292" i="5"/>
  <c r="AJ292" i="5" s="1"/>
  <c r="AF293" i="5"/>
  <c r="AF294" i="5"/>
  <c r="AF295" i="5"/>
  <c r="AF296" i="5"/>
  <c r="AF297" i="5"/>
  <c r="AF298" i="5"/>
  <c r="AF299" i="5"/>
  <c r="AF300" i="5"/>
  <c r="AF301" i="5"/>
  <c r="AF302" i="5"/>
  <c r="AJ302" i="5" s="1"/>
  <c r="AF303" i="5"/>
  <c r="AF304" i="5"/>
  <c r="AF305" i="5"/>
  <c r="AF306" i="5"/>
  <c r="AF307" i="5"/>
  <c r="AF308" i="5"/>
  <c r="AF309" i="5"/>
  <c r="AF310" i="5"/>
  <c r="AF311" i="5"/>
  <c r="AF312" i="5"/>
  <c r="AF313" i="5"/>
  <c r="AF314" i="5"/>
  <c r="AF315" i="5"/>
  <c r="AF316" i="5"/>
  <c r="AF317" i="5"/>
  <c r="AF318" i="5"/>
  <c r="AF319" i="5"/>
  <c r="AF320" i="5"/>
  <c r="AF321" i="5"/>
  <c r="AF322" i="5"/>
  <c r="AF323" i="5"/>
  <c r="AF324" i="5"/>
  <c r="AF325" i="5"/>
  <c r="AF326" i="5"/>
  <c r="AF327" i="5"/>
  <c r="AF328" i="5"/>
  <c r="AF329" i="5"/>
  <c r="AF330" i="5"/>
  <c r="AF331" i="5"/>
  <c r="AF332" i="5"/>
  <c r="AF333" i="5"/>
  <c r="AF334" i="5"/>
  <c r="AF335" i="5"/>
  <c r="AF336" i="5"/>
  <c r="AF337" i="5"/>
  <c r="AF338" i="5"/>
  <c r="AF339" i="5"/>
  <c r="AF340" i="5"/>
  <c r="AF341" i="5"/>
  <c r="AF342" i="5"/>
  <c r="AF343" i="5"/>
  <c r="AF344" i="5"/>
  <c r="AF345" i="5"/>
  <c r="AF346" i="5"/>
  <c r="AF347" i="5"/>
  <c r="AF348" i="5"/>
  <c r="AF349" i="5"/>
  <c r="AF350" i="5"/>
  <c r="AF351" i="5"/>
  <c r="AF352" i="5"/>
  <c r="AT352" i="5" s="1"/>
  <c r="AL352" i="5" s="1"/>
  <c r="AM352" i="5" s="1"/>
  <c r="AF353" i="5"/>
  <c r="AF354" i="5"/>
  <c r="AF355" i="5"/>
  <c r="AF356" i="5"/>
  <c r="AF357" i="5"/>
  <c r="AF358" i="5"/>
  <c r="AF359" i="5"/>
  <c r="AF360" i="5"/>
  <c r="AF361" i="5"/>
  <c r="AF362" i="5"/>
  <c r="AT362" i="5" s="1"/>
  <c r="AL362" i="5" s="1"/>
  <c r="AF363" i="5"/>
  <c r="AF364" i="5"/>
  <c r="AF365" i="5"/>
  <c r="AF366" i="5"/>
  <c r="AF367" i="5"/>
  <c r="AF368" i="5"/>
  <c r="AF369" i="5"/>
  <c r="AF370" i="5"/>
  <c r="AF371" i="5"/>
  <c r="AF372" i="5"/>
  <c r="AT372" i="5" s="1"/>
  <c r="AF373" i="5"/>
  <c r="AF374" i="5"/>
  <c r="AF375" i="5"/>
  <c r="AF376" i="5"/>
  <c r="AF377" i="5"/>
  <c r="AF378" i="5"/>
  <c r="AF379" i="5"/>
  <c r="AF380" i="5"/>
  <c r="AF381" i="5"/>
  <c r="AF382" i="5"/>
  <c r="AF383" i="5"/>
  <c r="AF384" i="5"/>
  <c r="AF385" i="5"/>
  <c r="AF386" i="5"/>
  <c r="AF387" i="5"/>
  <c r="AF388" i="5"/>
  <c r="AF389" i="5"/>
  <c r="AF390" i="5"/>
  <c r="AF391" i="5"/>
  <c r="AF392" i="5"/>
  <c r="AT392" i="5" s="1"/>
  <c r="AF393" i="5"/>
  <c r="AF394" i="5"/>
  <c r="AF395" i="5"/>
  <c r="AF396" i="5"/>
  <c r="AF397" i="5"/>
  <c r="AF398" i="5"/>
  <c r="AF399" i="5"/>
  <c r="AF400" i="5"/>
  <c r="AF401" i="5"/>
  <c r="AF402" i="5"/>
  <c r="AT402" i="5" s="1"/>
  <c r="AF403" i="5"/>
  <c r="AF404" i="5"/>
  <c r="AF405" i="5"/>
  <c r="AF406" i="5"/>
  <c r="AF407" i="5"/>
  <c r="AF408" i="5"/>
  <c r="AF409" i="5"/>
  <c r="AF410" i="5"/>
  <c r="AF411" i="5"/>
  <c r="AF412" i="5"/>
  <c r="AT412" i="5" s="1"/>
  <c r="AL412" i="5" s="1"/>
  <c r="AM412" i="5" s="1"/>
  <c r="AF413" i="5"/>
  <c r="AF414" i="5"/>
  <c r="AF415" i="5"/>
  <c r="AF416" i="5"/>
  <c r="AF417" i="5"/>
  <c r="AF418" i="5"/>
  <c r="AF419" i="5"/>
  <c r="AF420" i="5"/>
  <c r="AF421" i="5"/>
  <c r="AF422" i="5"/>
  <c r="AF423" i="5"/>
  <c r="AF424" i="5"/>
  <c r="AF425" i="5"/>
  <c r="AF426" i="5"/>
  <c r="AF427" i="5"/>
  <c r="AF428" i="5"/>
  <c r="AF429" i="5"/>
  <c r="AF430" i="5"/>
  <c r="AF431" i="5"/>
  <c r="AF432" i="5"/>
  <c r="AF433" i="5"/>
  <c r="AF434" i="5"/>
  <c r="AF435" i="5"/>
  <c r="AF436" i="5"/>
  <c r="AF437" i="5"/>
  <c r="AF438" i="5"/>
  <c r="AF439" i="5"/>
  <c r="AF440" i="5"/>
  <c r="AF441" i="5"/>
  <c r="AF442" i="5"/>
  <c r="AT442" i="5" s="1"/>
  <c r="AL442" i="5" s="1"/>
  <c r="AF443" i="5"/>
  <c r="AG2" i="5"/>
  <c r="AG3" i="5"/>
  <c r="AG4" i="5"/>
  <c r="AG5"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U57" i="5" s="1"/>
  <c r="AV57" i="5" s="1"/>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U120" i="5" s="1"/>
  <c r="AV120" i="5" s="1"/>
  <c r="AG121" i="5"/>
  <c r="AG122" i="5"/>
  <c r="AG123" i="5"/>
  <c r="AG124" i="5"/>
  <c r="AG125" i="5"/>
  <c r="AG126" i="5"/>
  <c r="AG127" i="5"/>
  <c r="AO127" i="5" s="1"/>
  <c r="BF127" i="5" s="1"/>
  <c r="AG128" i="5"/>
  <c r="AG129" i="5"/>
  <c r="AG130" i="5"/>
  <c r="AU130" i="5" s="1"/>
  <c r="AV130" i="5" s="1"/>
  <c r="AG131" i="5"/>
  <c r="AG132" i="5"/>
  <c r="AG133" i="5"/>
  <c r="AG134" i="5"/>
  <c r="AG135" i="5"/>
  <c r="AG136" i="5"/>
  <c r="AG137" i="5"/>
  <c r="AO137" i="5" s="1"/>
  <c r="AG138" i="5"/>
  <c r="AG139" i="5"/>
  <c r="AG140" i="5"/>
  <c r="AG141" i="5"/>
  <c r="AG142" i="5"/>
  <c r="AG143" i="5"/>
  <c r="AG144" i="5"/>
  <c r="AG145" i="5"/>
  <c r="AG146" i="5"/>
  <c r="AG147" i="5"/>
  <c r="AG148" i="5"/>
  <c r="AG149" i="5"/>
  <c r="AG150" i="5"/>
  <c r="AG151" i="5"/>
  <c r="AG152" i="5"/>
  <c r="AG153" i="5"/>
  <c r="AG154" i="5"/>
  <c r="AG155" i="5"/>
  <c r="AG156" i="5"/>
  <c r="AG157" i="5"/>
  <c r="AO157" i="5" s="1"/>
  <c r="BF157" i="5" s="1"/>
  <c r="AG158" i="5"/>
  <c r="AG159" i="5"/>
  <c r="AG160" i="5"/>
  <c r="AG161" i="5"/>
  <c r="AG162" i="5"/>
  <c r="AG163" i="5"/>
  <c r="AG164" i="5"/>
  <c r="AG165" i="5"/>
  <c r="AG166" i="5"/>
  <c r="AG167" i="5"/>
  <c r="AO167" i="5" s="1"/>
  <c r="BF167" i="5" s="1"/>
  <c r="AG168" i="5"/>
  <c r="AG169" i="5"/>
  <c r="AG170" i="5"/>
  <c r="AU170" i="5" s="1"/>
  <c r="AV170" i="5" s="1"/>
  <c r="AG171" i="5"/>
  <c r="AG172" i="5"/>
  <c r="AG173" i="5"/>
  <c r="AG174" i="5"/>
  <c r="AG175" i="5"/>
  <c r="AG176" i="5"/>
  <c r="AG177" i="5"/>
  <c r="AO177" i="5" s="1"/>
  <c r="BF177" i="5" s="1"/>
  <c r="AG178" i="5"/>
  <c r="AG179" i="5"/>
  <c r="AG180" i="5"/>
  <c r="AG181" i="5"/>
  <c r="AG182" i="5"/>
  <c r="AG183" i="5"/>
  <c r="AG184" i="5"/>
  <c r="AG185" i="5"/>
  <c r="AG186" i="5"/>
  <c r="AG187" i="5"/>
  <c r="AG188" i="5"/>
  <c r="AG189" i="5"/>
  <c r="AG190" i="5"/>
  <c r="AU190" i="5" s="1"/>
  <c r="AV190" i="5" s="1"/>
  <c r="AG191" i="5"/>
  <c r="AG192" i="5"/>
  <c r="AG193" i="5"/>
  <c r="AG194" i="5"/>
  <c r="AG195" i="5"/>
  <c r="AG196" i="5"/>
  <c r="AG197" i="5"/>
  <c r="AO197" i="5" s="1"/>
  <c r="AG198" i="5"/>
  <c r="AG199" i="5"/>
  <c r="AG200" i="5"/>
  <c r="AG201" i="5"/>
  <c r="AG202" i="5"/>
  <c r="AG203" i="5"/>
  <c r="AG204" i="5"/>
  <c r="AG205" i="5"/>
  <c r="AG206" i="5"/>
  <c r="AG207" i="5"/>
  <c r="AG208" i="5"/>
  <c r="AG209" i="5"/>
  <c r="AG210" i="5"/>
  <c r="AU210" i="5" s="1"/>
  <c r="AG211" i="5"/>
  <c r="AG212" i="5"/>
  <c r="AG213" i="5"/>
  <c r="AG214" i="5"/>
  <c r="AG215" i="5"/>
  <c r="AG216" i="5"/>
  <c r="AG217" i="5"/>
  <c r="AO217" i="5" s="1"/>
  <c r="AG218" i="5"/>
  <c r="AG219" i="5"/>
  <c r="AG220" i="5"/>
  <c r="AG221" i="5"/>
  <c r="AG222" i="5"/>
  <c r="AG223" i="5"/>
  <c r="AG224" i="5"/>
  <c r="AG225" i="5"/>
  <c r="AG226" i="5"/>
  <c r="AG227" i="5"/>
  <c r="AO227" i="5" s="1"/>
  <c r="BF227" i="5" s="1"/>
  <c r="AG228" i="5"/>
  <c r="AG229" i="5"/>
  <c r="AG230" i="5"/>
  <c r="AG231" i="5"/>
  <c r="AG232" i="5"/>
  <c r="AG233" i="5"/>
  <c r="AG234" i="5"/>
  <c r="AG235" i="5"/>
  <c r="AG236" i="5"/>
  <c r="AG237" i="5"/>
  <c r="AO237" i="5" s="1"/>
  <c r="AG238" i="5"/>
  <c r="AG239" i="5"/>
  <c r="AG240" i="5"/>
  <c r="AU240" i="5" s="1"/>
  <c r="AV240" i="5" s="1"/>
  <c r="AG241" i="5"/>
  <c r="AG242" i="5"/>
  <c r="AG243" i="5"/>
  <c r="AG244" i="5"/>
  <c r="AG245" i="5"/>
  <c r="AG246" i="5"/>
  <c r="AG247" i="5"/>
  <c r="AO247" i="5" s="1"/>
  <c r="BF247" i="5" s="1"/>
  <c r="AG248" i="5"/>
  <c r="AG249" i="5"/>
  <c r="AG250" i="5"/>
  <c r="AG251" i="5"/>
  <c r="AG252" i="5"/>
  <c r="AG253" i="5"/>
  <c r="AG254" i="5"/>
  <c r="AG255" i="5"/>
  <c r="AG256" i="5"/>
  <c r="AG257" i="5"/>
  <c r="AO257" i="5" s="1"/>
  <c r="AG258" i="5"/>
  <c r="AG259" i="5"/>
  <c r="AG260" i="5"/>
  <c r="AG261" i="5"/>
  <c r="AG262" i="5"/>
  <c r="AG263" i="5"/>
  <c r="AG264" i="5"/>
  <c r="AG265" i="5"/>
  <c r="AG266" i="5"/>
  <c r="AG267" i="5"/>
  <c r="AO267" i="5" s="1"/>
  <c r="BF267" i="5" s="1"/>
  <c r="AG268" i="5"/>
  <c r="AG269" i="5"/>
  <c r="AG270" i="5"/>
  <c r="AU270" i="5" s="1"/>
  <c r="AV270" i="5" s="1"/>
  <c r="AG271" i="5"/>
  <c r="AG272" i="5"/>
  <c r="AG273" i="5"/>
  <c r="AG274" i="5"/>
  <c r="AG275" i="5"/>
  <c r="AG276" i="5"/>
  <c r="AG277" i="5"/>
  <c r="AO277" i="5" s="1"/>
  <c r="AG278" i="5"/>
  <c r="AG279" i="5"/>
  <c r="AG280" i="5"/>
  <c r="AG281" i="5"/>
  <c r="AG282" i="5"/>
  <c r="AG283" i="5"/>
  <c r="AG284" i="5"/>
  <c r="AG285" i="5"/>
  <c r="AG286" i="5"/>
  <c r="AG287" i="5"/>
  <c r="AO287" i="5" s="1"/>
  <c r="BF287" i="5" s="1"/>
  <c r="AG288" i="5"/>
  <c r="AG289" i="5"/>
  <c r="AG290" i="5"/>
  <c r="AG291" i="5"/>
  <c r="AG292" i="5"/>
  <c r="AG293" i="5"/>
  <c r="AG294" i="5"/>
  <c r="AG295" i="5"/>
  <c r="AG296" i="5"/>
  <c r="AG297" i="5"/>
  <c r="AO297" i="5" s="1"/>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U320" i="5" s="1"/>
  <c r="AV320" i="5" s="1"/>
  <c r="AG321" i="5"/>
  <c r="AG322" i="5"/>
  <c r="AG323" i="5"/>
  <c r="AG324" i="5"/>
  <c r="AG325" i="5"/>
  <c r="AG326" i="5"/>
  <c r="AG327" i="5"/>
  <c r="AO327" i="5" s="1"/>
  <c r="BF327" i="5" s="1"/>
  <c r="AG328" i="5"/>
  <c r="AG329" i="5"/>
  <c r="AG330" i="5"/>
  <c r="AG331" i="5"/>
  <c r="AG332" i="5"/>
  <c r="AG333" i="5"/>
  <c r="AG334" i="5"/>
  <c r="AG335" i="5"/>
  <c r="AG336" i="5"/>
  <c r="AG337" i="5"/>
  <c r="AO337" i="5" s="1"/>
  <c r="BF337" i="5" s="1"/>
  <c r="AG338" i="5"/>
  <c r="AG339" i="5"/>
  <c r="AG340" i="5"/>
  <c r="AU340" i="5" s="1"/>
  <c r="AV340" i="5" s="1"/>
  <c r="AG341" i="5"/>
  <c r="AG342" i="5"/>
  <c r="AG343" i="5"/>
  <c r="AG344" i="5"/>
  <c r="AG345" i="5"/>
  <c r="AG346" i="5"/>
  <c r="AG347" i="5"/>
  <c r="AO347" i="5" s="1"/>
  <c r="BF347" i="5" s="1"/>
  <c r="AG348" i="5"/>
  <c r="AG349" i="5"/>
  <c r="AG350" i="5"/>
  <c r="AG351" i="5"/>
  <c r="AG352" i="5"/>
  <c r="AG353" i="5"/>
  <c r="AG354" i="5"/>
  <c r="AG355" i="5"/>
  <c r="AG356" i="5"/>
  <c r="AG357" i="5"/>
  <c r="AU357" i="5" s="1"/>
  <c r="AG358" i="5"/>
  <c r="AG359" i="5"/>
  <c r="AG360" i="5"/>
  <c r="AG361" i="5"/>
  <c r="AG362" i="5"/>
  <c r="AG363" i="5"/>
  <c r="AG364" i="5"/>
  <c r="AG365" i="5"/>
  <c r="AG366" i="5"/>
  <c r="AG367" i="5"/>
  <c r="AO367" i="5" s="1"/>
  <c r="AG368" i="5"/>
  <c r="AG369" i="5"/>
  <c r="AG370" i="5"/>
  <c r="AU370" i="5" s="1"/>
  <c r="AV370" i="5" s="1"/>
  <c r="AG371" i="5"/>
  <c r="AG372" i="5"/>
  <c r="AG373" i="5"/>
  <c r="AG374" i="5"/>
  <c r="AG375" i="5"/>
  <c r="AG376" i="5"/>
  <c r="AG377" i="5"/>
  <c r="AO377" i="5" s="1"/>
  <c r="AG378" i="5"/>
  <c r="AG379" i="5"/>
  <c r="AG380" i="5"/>
  <c r="AG381" i="5"/>
  <c r="AG382" i="5"/>
  <c r="AG383" i="5"/>
  <c r="AG384" i="5"/>
  <c r="AG385" i="5"/>
  <c r="AG386" i="5"/>
  <c r="AG387" i="5"/>
  <c r="AG388" i="5"/>
  <c r="AG389" i="5"/>
  <c r="AG390" i="5"/>
  <c r="AU390" i="5" s="1"/>
  <c r="AV390" i="5" s="1"/>
  <c r="AG391" i="5"/>
  <c r="AG392" i="5"/>
  <c r="AG393" i="5"/>
  <c r="AG394" i="5"/>
  <c r="AG395" i="5"/>
  <c r="AG396" i="5"/>
  <c r="AG397" i="5"/>
  <c r="AO397" i="5" s="1"/>
  <c r="AG398" i="5"/>
  <c r="AG399" i="5"/>
  <c r="AG400" i="5"/>
  <c r="AG401" i="5"/>
  <c r="AG402" i="5"/>
  <c r="AG403" i="5"/>
  <c r="AG404" i="5"/>
  <c r="AG405" i="5"/>
  <c r="AG406" i="5"/>
  <c r="AG407" i="5"/>
  <c r="AO407" i="5" s="1"/>
  <c r="BF407" i="5" s="1"/>
  <c r="AG408" i="5"/>
  <c r="AG409" i="5"/>
  <c r="AG410" i="5"/>
  <c r="AU410" i="5" s="1"/>
  <c r="BI410" i="5" s="1"/>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O437" i="5" s="1"/>
  <c r="AG438" i="5"/>
  <c r="AG439" i="5"/>
  <c r="AG440" i="5"/>
  <c r="AG441" i="5"/>
  <c r="AG442" i="5"/>
  <c r="AG443" i="5"/>
  <c r="AH2" i="5"/>
  <c r="AH3" i="5"/>
  <c r="AH4" i="5"/>
  <c r="AJ4" i="5" s="1"/>
  <c r="AH5" i="5"/>
  <c r="AJ5" i="5" s="1"/>
  <c r="AO5" i="5" s="1"/>
  <c r="BF5" i="5" s="1"/>
  <c r="AH6" i="5"/>
  <c r="AH7" i="5"/>
  <c r="AH8" i="5"/>
  <c r="AH9" i="5"/>
  <c r="AH10" i="5"/>
  <c r="AH11" i="5"/>
  <c r="AH12" i="5"/>
  <c r="AH13" i="5"/>
  <c r="AH14" i="5"/>
  <c r="AJ14" i="5" s="1"/>
  <c r="AH15" i="5"/>
  <c r="AJ15" i="5" s="1"/>
  <c r="AO15" i="5" s="1"/>
  <c r="AH16" i="5"/>
  <c r="AH17" i="5"/>
  <c r="AH18" i="5"/>
  <c r="AH19" i="5"/>
  <c r="AH20" i="5"/>
  <c r="AH21" i="5"/>
  <c r="AH22" i="5"/>
  <c r="AH23" i="5"/>
  <c r="AH24" i="5"/>
  <c r="AJ24" i="5" s="1"/>
  <c r="AH25" i="5"/>
  <c r="AJ25" i="5" s="1"/>
  <c r="AO25" i="5" s="1"/>
  <c r="BF25" i="5" s="1"/>
  <c r="AH26" i="5"/>
  <c r="AH27" i="5"/>
  <c r="AH28" i="5"/>
  <c r="AH29" i="5"/>
  <c r="AH30" i="5"/>
  <c r="AH31" i="5"/>
  <c r="AH32" i="5"/>
  <c r="AH33" i="5"/>
  <c r="AH34" i="5"/>
  <c r="AJ34" i="5" s="1"/>
  <c r="AH35" i="5"/>
  <c r="AJ35" i="5" s="1"/>
  <c r="AO35" i="5" s="1"/>
  <c r="AH36" i="5"/>
  <c r="AH37" i="5"/>
  <c r="AH38" i="5"/>
  <c r="AH39" i="5"/>
  <c r="AH40" i="5"/>
  <c r="AH41" i="5"/>
  <c r="AH42" i="5"/>
  <c r="AH43" i="5"/>
  <c r="AH44" i="5"/>
  <c r="AJ44" i="5" s="1"/>
  <c r="AH45" i="5"/>
  <c r="AJ45" i="5" s="1"/>
  <c r="AO45" i="5" s="1"/>
  <c r="AH46" i="5"/>
  <c r="AH47" i="5"/>
  <c r="AH48" i="5"/>
  <c r="AH49" i="5"/>
  <c r="AH50" i="5"/>
  <c r="AH51" i="5"/>
  <c r="AH52" i="5"/>
  <c r="AH53" i="5"/>
  <c r="AH54" i="5"/>
  <c r="AJ54" i="5" s="1"/>
  <c r="AH55" i="5"/>
  <c r="AJ55" i="5" s="1"/>
  <c r="AO55" i="5" s="1"/>
  <c r="BF55" i="5" s="1"/>
  <c r="AH56" i="5"/>
  <c r="AH57" i="5"/>
  <c r="AH58" i="5"/>
  <c r="AH59" i="5"/>
  <c r="AH60" i="5"/>
  <c r="AH61" i="5"/>
  <c r="AH62" i="5"/>
  <c r="AH63" i="5"/>
  <c r="AH64" i="5"/>
  <c r="AJ64" i="5" s="1"/>
  <c r="AH65" i="5"/>
  <c r="AJ65" i="5" s="1"/>
  <c r="AO65" i="5" s="1"/>
  <c r="BF65" i="5" s="1"/>
  <c r="AH66" i="5"/>
  <c r="AH67" i="5"/>
  <c r="AH68" i="5"/>
  <c r="AH69" i="5"/>
  <c r="AH70" i="5"/>
  <c r="AH71" i="5"/>
  <c r="AH72" i="5"/>
  <c r="AH73" i="5"/>
  <c r="AH74" i="5"/>
  <c r="AJ74" i="5" s="1"/>
  <c r="AH75" i="5"/>
  <c r="AJ75" i="5" s="1"/>
  <c r="AH76" i="5"/>
  <c r="AH77" i="5"/>
  <c r="AH78" i="5"/>
  <c r="AH79" i="5"/>
  <c r="AH80" i="5"/>
  <c r="AH81" i="5"/>
  <c r="AH82" i="5"/>
  <c r="AH83" i="5"/>
  <c r="AH84" i="5"/>
  <c r="AJ84" i="5" s="1"/>
  <c r="AH85" i="5"/>
  <c r="AJ85" i="5" s="1"/>
  <c r="AO85" i="5" s="1"/>
  <c r="BF85" i="5" s="1"/>
  <c r="AH86" i="5"/>
  <c r="AH87" i="5"/>
  <c r="AH88" i="5"/>
  <c r="AH89" i="5"/>
  <c r="AH90" i="5"/>
  <c r="AH91" i="5"/>
  <c r="AH92" i="5"/>
  <c r="AH93" i="5"/>
  <c r="AH94" i="5"/>
  <c r="AJ94" i="5" s="1"/>
  <c r="AH95" i="5"/>
  <c r="AJ95" i="5" s="1"/>
  <c r="AO95" i="5" s="1"/>
  <c r="AH96" i="5"/>
  <c r="AH97" i="5"/>
  <c r="AH98" i="5"/>
  <c r="AH99" i="5"/>
  <c r="AH100" i="5"/>
  <c r="AH101" i="5"/>
  <c r="AH102" i="5"/>
  <c r="AH103" i="5"/>
  <c r="AH104" i="5"/>
  <c r="AJ104" i="5" s="1"/>
  <c r="AH105" i="5"/>
  <c r="AJ105" i="5" s="1"/>
  <c r="AO105" i="5" s="1"/>
  <c r="AH106" i="5"/>
  <c r="AH107" i="5"/>
  <c r="AH108" i="5"/>
  <c r="AH109" i="5"/>
  <c r="AH110" i="5"/>
  <c r="AJ110" i="5" s="1"/>
  <c r="AH111" i="5"/>
  <c r="AH112" i="5"/>
  <c r="AH113" i="5"/>
  <c r="AH114" i="5"/>
  <c r="AJ114" i="5" s="1"/>
  <c r="AH115" i="5"/>
  <c r="AJ115" i="5" s="1"/>
  <c r="AO115" i="5" s="1"/>
  <c r="AH116" i="5"/>
  <c r="AH117" i="5"/>
  <c r="AH118" i="5"/>
  <c r="AH119" i="5"/>
  <c r="AH120" i="5"/>
  <c r="AH121" i="5"/>
  <c r="AH122" i="5"/>
  <c r="AH123" i="5"/>
  <c r="AH124" i="5"/>
  <c r="AJ124" i="5" s="1"/>
  <c r="AH125" i="5"/>
  <c r="AJ125" i="5" s="1"/>
  <c r="AH126" i="5"/>
  <c r="AH127" i="5"/>
  <c r="AH128" i="5"/>
  <c r="AH129" i="5"/>
  <c r="AH130" i="5"/>
  <c r="AH131" i="5"/>
  <c r="AH132" i="5"/>
  <c r="AH133" i="5"/>
  <c r="AH134" i="5"/>
  <c r="AJ134" i="5" s="1"/>
  <c r="AH135" i="5"/>
  <c r="AJ135" i="5" s="1"/>
  <c r="AO135" i="5" s="1"/>
  <c r="AH136" i="5"/>
  <c r="AH137" i="5"/>
  <c r="AH138" i="5"/>
  <c r="AH139" i="5"/>
  <c r="AH140" i="5"/>
  <c r="AH141" i="5"/>
  <c r="AH142" i="5"/>
  <c r="AH143" i="5"/>
  <c r="AH144" i="5"/>
  <c r="AJ144" i="5" s="1"/>
  <c r="AH145" i="5"/>
  <c r="AJ145" i="5" s="1"/>
  <c r="AO145" i="5" s="1"/>
  <c r="BF145" i="5" s="1"/>
  <c r="AH146" i="5"/>
  <c r="AH147" i="5"/>
  <c r="AH148" i="5"/>
  <c r="AH149" i="5"/>
  <c r="AH150" i="5"/>
  <c r="AH151" i="5"/>
  <c r="AH152" i="5"/>
  <c r="AH153" i="5"/>
  <c r="AH154" i="5"/>
  <c r="AJ154" i="5" s="1"/>
  <c r="AH155" i="5"/>
  <c r="AJ155" i="5" s="1"/>
  <c r="AO155" i="5" s="1"/>
  <c r="BF155" i="5" s="1"/>
  <c r="AH156" i="5"/>
  <c r="AH157" i="5"/>
  <c r="AH158" i="5"/>
  <c r="AH159" i="5"/>
  <c r="AH160" i="5"/>
  <c r="AJ160" i="5" s="1"/>
  <c r="AH161" i="5"/>
  <c r="AH162" i="5"/>
  <c r="AH163" i="5"/>
  <c r="AH164" i="5"/>
  <c r="AJ164" i="5" s="1"/>
  <c r="AH165" i="5"/>
  <c r="AJ165" i="5" s="1"/>
  <c r="AO165" i="5" s="1"/>
  <c r="BF165" i="5" s="1"/>
  <c r="AH166" i="5"/>
  <c r="AH167" i="5"/>
  <c r="AH168" i="5"/>
  <c r="AH169" i="5"/>
  <c r="AH170" i="5"/>
  <c r="AH171" i="5"/>
  <c r="AH172" i="5"/>
  <c r="AH173" i="5"/>
  <c r="AH174" i="5"/>
  <c r="AJ174" i="5" s="1"/>
  <c r="AH175" i="5"/>
  <c r="AJ175" i="5" s="1"/>
  <c r="AH176" i="5"/>
  <c r="AH177" i="5"/>
  <c r="AH178" i="5"/>
  <c r="AH179" i="5"/>
  <c r="AH180" i="5"/>
  <c r="AH181" i="5"/>
  <c r="AH182" i="5"/>
  <c r="AH183" i="5"/>
  <c r="AH184" i="5"/>
  <c r="AJ184" i="5" s="1"/>
  <c r="AH185" i="5"/>
  <c r="AJ185" i="5" s="1"/>
  <c r="AO185" i="5" s="1"/>
  <c r="BF185" i="5" s="1"/>
  <c r="AH186" i="5"/>
  <c r="AH187" i="5"/>
  <c r="AH188" i="5"/>
  <c r="AH189" i="5"/>
  <c r="AH190" i="5"/>
  <c r="AH191" i="5"/>
  <c r="AH192" i="5"/>
  <c r="AH193" i="5"/>
  <c r="AH194" i="5"/>
  <c r="AJ194" i="5" s="1"/>
  <c r="AH195" i="5"/>
  <c r="AJ195" i="5" s="1"/>
  <c r="AO195" i="5" s="1"/>
  <c r="BF195" i="5" s="1"/>
  <c r="AH196" i="5"/>
  <c r="AH197" i="5"/>
  <c r="AH198" i="5"/>
  <c r="AH199" i="5"/>
  <c r="AH200" i="5"/>
  <c r="AJ200" i="5" s="1"/>
  <c r="AH201" i="5"/>
  <c r="AH202" i="5"/>
  <c r="AH203" i="5"/>
  <c r="AH204" i="5"/>
  <c r="AJ204" i="5" s="1"/>
  <c r="AH205" i="5"/>
  <c r="AJ205" i="5" s="1"/>
  <c r="AO205" i="5" s="1"/>
  <c r="BF205" i="5" s="1"/>
  <c r="AH206" i="5"/>
  <c r="AH207" i="5"/>
  <c r="AH208" i="5"/>
  <c r="AH209" i="5"/>
  <c r="AH210" i="5"/>
  <c r="AJ210" i="5" s="1"/>
  <c r="AH211" i="5"/>
  <c r="AH212" i="5"/>
  <c r="AH213" i="5"/>
  <c r="AH214" i="5"/>
  <c r="AJ214" i="5" s="1"/>
  <c r="AH215" i="5"/>
  <c r="AJ215" i="5" s="1"/>
  <c r="AO215" i="5" s="1"/>
  <c r="AH216" i="5"/>
  <c r="AH217" i="5"/>
  <c r="AH218" i="5"/>
  <c r="AH219" i="5"/>
  <c r="AH220" i="5"/>
  <c r="AH221" i="5"/>
  <c r="AH222" i="5"/>
  <c r="AH223" i="5"/>
  <c r="AH224" i="5"/>
  <c r="AJ224" i="5" s="1"/>
  <c r="AH225" i="5"/>
  <c r="AJ225" i="5" s="1"/>
  <c r="AO225" i="5" s="1"/>
  <c r="BF225" i="5" s="1"/>
  <c r="AH226" i="5"/>
  <c r="AH227" i="5"/>
  <c r="AH228" i="5"/>
  <c r="AH229" i="5"/>
  <c r="AH230" i="5"/>
  <c r="AH231" i="5"/>
  <c r="AH232" i="5"/>
  <c r="AH233" i="5"/>
  <c r="AH234" i="5"/>
  <c r="AJ234" i="5" s="1"/>
  <c r="AH235" i="5"/>
  <c r="AJ235" i="5" s="1"/>
  <c r="AO235" i="5" s="1"/>
  <c r="AH236" i="5"/>
  <c r="AH237" i="5"/>
  <c r="AH238" i="5"/>
  <c r="AH239" i="5"/>
  <c r="AH240" i="5"/>
  <c r="AH241" i="5"/>
  <c r="AH242" i="5"/>
  <c r="AH243" i="5"/>
  <c r="AH244" i="5"/>
  <c r="AJ244" i="5" s="1"/>
  <c r="AH245" i="5"/>
  <c r="AJ245" i="5" s="1"/>
  <c r="AO245" i="5" s="1"/>
  <c r="BF245" i="5" s="1"/>
  <c r="AH246" i="5"/>
  <c r="AH247" i="5"/>
  <c r="AH248" i="5"/>
  <c r="AH249" i="5"/>
  <c r="AH250" i="5"/>
  <c r="AJ250" i="5" s="1"/>
  <c r="AH251" i="5"/>
  <c r="AH252" i="5"/>
  <c r="AH253" i="5"/>
  <c r="AH254" i="5"/>
  <c r="AJ254" i="5" s="1"/>
  <c r="AH255" i="5"/>
  <c r="AJ255" i="5" s="1"/>
  <c r="AO255" i="5" s="1"/>
  <c r="AH256" i="5"/>
  <c r="AH257" i="5"/>
  <c r="AH258" i="5"/>
  <c r="AH259" i="5"/>
  <c r="AH260" i="5"/>
  <c r="AJ260" i="5" s="1"/>
  <c r="AH261" i="5"/>
  <c r="AH262" i="5"/>
  <c r="AH263" i="5"/>
  <c r="AH264" i="5"/>
  <c r="AJ264" i="5" s="1"/>
  <c r="AH265" i="5"/>
  <c r="AJ265" i="5" s="1"/>
  <c r="AO265" i="5" s="1"/>
  <c r="BF265" i="5" s="1"/>
  <c r="AH266" i="5"/>
  <c r="AH267" i="5"/>
  <c r="AH268" i="5"/>
  <c r="AH269" i="5"/>
  <c r="AH270" i="5"/>
  <c r="AH271" i="5"/>
  <c r="AH272" i="5"/>
  <c r="AH273" i="5"/>
  <c r="AH274" i="5"/>
  <c r="AJ274" i="5" s="1"/>
  <c r="AH275" i="5"/>
  <c r="AJ275" i="5" s="1"/>
  <c r="AO275" i="5" s="1"/>
  <c r="BF275" i="5" s="1"/>
  <c r="AH276" i="5"/>
  <c r="AJ276" i="5" s="1"/>
  <c r="AH277" i="5"/>
  <c r="AH278" i="5"/>
  <c r="AH279" i="5"/>
  <c r="AH280" i="5"/>
  <c r="AH281" i="5"/>
  <c r="AH282" i="5"/>
  <c r="AH283" i="5"/>
  <c r="AH284" i="5"/>
  <c r="AJ284" i="5" s="1"/>
  <c r="AH285" i="5"/>
  <c r="AJ285" i="5" s="1"/>
  <c r="AO285" i="5" s="1"/>
  <c r="BF285" i="5" s="1"/>
  <c r="AH286" i="5"/>
  <c r="AH287" i="5"/>
  <c r="AH288" i="5"/>
  <c r="AH289" i="5"/>
  <c r="AH290" i="5"/>
  <c r="AH291" i="5"/>
  <c r="AH292" i="5"/>
  <c r="AH293" i="5"/>
  <c r="AH294" i="5"/>
  <c r="AJ294" i="5" s="1"/>
  <c r="AH295" i="5"/>
  <c r="AJ295" i="5" s="1"/>
  <c r="AO295" i="5" s="1"/>
  <c r="BF295" i="5" s="1"/>
  <c r="AH296" i="5"/>
  <c r="AH297" i="5"/>
  <c r="AH298" i="5"/>
  <c r="AH299" i="5"/>
  <c r="AH300" i="5"/>
  <c r="AJ300" i="5" s="1"/>
  <c r="AH301" i="5"/>
  <c r="AH302" i="5"/>
  <c r="AH303" i="5"/>
  <c r="AH304" i="5"/>
  <c r="AJ304" i="5" s="1"/>
  <c r="AH305" i="5"/>
  <c r="AJ305" i="5" s="1"/>
  <c r="AO305" i="5" s="1"/>
  <c r="AH306" i="5"/>
  <c r="AH307" i="5"/>
  <c r="AH308" i="5"/>
  <c r="AH309" i="5"/>
  <c r="AH310" i="5"/>
  <c r="AJ310" i="5" s="1"/>
  <c r="AH311" i="5"/>
  <c r="AH312" i="5"/>
  <c r="AH313" i="5"/>
  <c r="AH314" i="5"/>
  <c r="AJ314" i="5" s="1"/>
  <c r="AH315" i="5"/>
  <c r="AJ315" i="5" s="1"/>
  <c r="AO315" i="5" s="1"/>
  <c r="BF315" i="5" s="1"/>
  <c r="AH316" i="5"/>
  <c r="AH317" i="5"/>
  <c r="AH318" i="5"/>
  <c r="AH319" i="5"/>
  <c r="AH320" i="5"/>
  <c r="AJ320" i="5" s="1"/>
  <c r="AH321" i="5"/>
  <c r="AH322" i="5"/>
  <c r="AH323" i="5"/>
  <c r="AH324" i="5"/>
  <c r="AJ324" i="5" s="1"/>
  <c r="AH325" i="5"/>
  <c r="AJ325" i="5" s="1"/>
  <c r="AO325" i="5" s="1"/>
  <c r="BF325" i="5" s="1"/>
  <c r="AH326" i="5"/>
  <c r="AH327" i="5"/>
  <c r="AH328" i="5"/>
  <c r="AH329" i="5"/>
  <c r="AH330" i="5"/>
  <c r="AJ330" i="5" s="1"/>
  <c r="AH331" i="5"/>
  <c r="AH332" i="5"/>
  <c r="AH333" i="5"/>
  <c r="AH334" i="5"/>
  <c r="AJ334" i="5" s="1"/>
  <c r="AH335" i="5"/>
  <c r="AJ335" i="5" s="1"/>
  <c r="AO335" i="5" s="1"/>
  <c r="BF335" i="5" s="1"/>
  <c r="AH336" i="5"/>
  <c r="AH337" i="5"/>
  <c r="AH338" i="5"/>
  <c r="AH339" i="5"/>
  <c r="AH340" i="5"/>
  <c r="AJ340" i="5" s="1"/>
  <c r="AH341" i="5"/>
  <c r="AH342" i="5"/>
  <c r="AH343" i="5"/>
  <c r="AH344" i="5"/>
  <c r="AJ344" i="5" s="1"/>
  <c r="AH345" i="5"/>
  <c r="AJ345" i="5" s="1"/>
  <c r="AO345" i="5" s="1"/>
  <c r="BF345" i="5" s="1"/>
  <c r="AH346" i="5"/>
  <c r="AH347" i="5"/>
  <c r="AH348" i="5"/>
  <c r="AH349" i="5"/>
  <c r="AH350" i="5"/>
  <c r="AJ350" i="5" s="1"/>
  <c r="AH351" i="5"/>
  <c r="AH352" i="5"/>
  <c r="AH353" i="5"/>
  <c r="AH354" i="5"/>
  <c r="AJ354" i="5" s="1"/>
  <c r="AH355" i="5"/>
  <c r="AJ355" i="5" s="1"/>
  <c r="AO355" i="5" s="1"/>
  <c r="BF355" i="5" s="1"/>
  <c r="AH356" i="5"/>
  <c r="AJ356" i="5" s="1"/>
  <c r="AH357" i="5"/>
  <c r="AH358" i="5"/>
  <c r="AH359" i="5"/>
  <c r="AH360" i="5"/>
  <c r="AJ360" i="5" s="1"/>
  <c r="AH361" i="5"/>
  <c r="AH362" i="5"/>
  <c r="AH363" i="5"/>
  <c r="AH364" i="5"/>
  <c r="AJ364" i="5" s="1"/>
  <c r="AH365" i="5"/>
  <c r="AJ365" i="5" s="1"/>
  <c r="AO365" i="5" s="1"/>
  <c r="BF365" i="5" s="1"/>
  <c r="AH366" i="5"/>
  <c r="AJ366" i="5" s="1"/>
  <c r="AH367" i="5"/>
  <c r="AH368" i="5"/>
  <c r="AH369" i="5"/>
  <c r="AH370" i="5"/>
  <c r="AJ370" i="5" s="1"/>
  <c r="AH371" i="5"/>
  <c r="AH372" i="5"/>
  <c r="AH373" i="5"/>
  <c r="AH374" i="5"/>
  <c r="AJ374" i="5" s="1"/>
  <c r="AH375" i="5"/>
  <c r="AJ375" i="5" s="1"/>
  <c r="AO375" i="5" s="1"/>
  <c r="BF375" i="5" s="1"/>
  <c r="AH376" i="5"/>
  <c r="AH377" i="5"/>
  <c r="AH378" i="5"/>
  <c r="AH379" i="5"/>
  <c r="AH380" i="5"/>
  <c r="AJ380" i="5" s="1"/>
  <c r="AH381" i="5"/>
  <c r="AH382" i="5"/>
  <c r="AH383" i="5"/>
  <c r="AH384" i="5"/>
  <c r="AJ384" i="5" s="1"/>
  <c r="AH385" i="5"/>
  <c r="AJ385" i="5" s="1"/>
  <c r="AO385" i="5" s="1"/>
  <c r="BF385" i="5" s="1"/>
  <c r="AH386" i="5"/>
  <c r="AH387" i="5"/>
  <c r="AH388" i="5"/>
  <c r="AH389" i="5"/>
  <c r="AH390" i="5"/>
  <c r="AJ390" i="5" s="1"/>
  <c r="AH391" i="5"/>
  <c r="AH392" i="5"/>
  <c r="AH393" i="5"/>
  <c r="AH394" i="5"/>
  <c r="AJ394" i="5" s="1"/>
  <c r="AH395" i="5"/>
  <c r="AJ395" i="5" s="1"/>
  <c r="AO395" i="5" s="1"/>
  <c r="BF395" i="5" s="1"/>
  <c r="AH396" i="5"/>
  <c r="AH397" i="5"/>
  <c r="AH398" i="5"/>
  <c r="AH399" i="5"/>
  <c r="AH400" i="5"/>
  <c r="AJ400" i="5" s="1"/>
  <c r="AH401" i="5"/>
  <c r="AH402" i="5"/>
  <c r="AH403" i="5"/>
  <c r="AH404" i="5"/>
  <c r="AJ404" i="5" s="1"/>
  <c r="AH405" i="5"/>
  <c r="AJ405" i="5" s="1"/>
  <c r="AO405" i="5" s="1"/>
  <c r="BF405" i="5" s="1"/>
  <c r="AH406" i="5"/>
  <c r="AJ406" i="5" s="1"/>
  <c r="AH407" i="5"/>
  <c r="AH408" i="5"/>
  <c r="AH409" i="5"/>
  <c r="AH410" i="5"/>
  <c r="AJ410" i="5" s="1"/>
  <c r="AH411" i="5"/>
  <c r="AH412" i="5"/>
  <c r="AH413" i="5"/>
  <c r="AH414" i="5"/>
  <c r="AJ414" i="5" s="1"/>
  <c r="AH415" i="5"/>
  <c r="AJ415" i="5" s="1"/>
  <c r="AO415" i="5" s="1"/>
  <c r="BF415" i="5" s="1"/>
  <c r="AH416" i="5"/>
  <c r="AJ416" i="5" s="1"/>
  <c r="AH417" i="5"/>
  <c r="AH418" i="5"/>
  <c r="AH419" i="5"/>
  <c r="AH420" i="5"/>
  <c r="AJ420" i="5" s="1"/>
  <c r="AH421" i="5"/>
  <c r="AH422" i="5"/>
  <c r="AH423" i="5"/>
  <c r="AH424" i="5"/>
  <c r="AJ424" i="5" s="1"/>
  <c r="AH425" i="5"/>
  <c r="AJ425" i="5" s="1"/>
  <c r="AO425" i="5" s="1"/>
  <c r="BF425" i="5" s="1"/>
  <c r="AH426" i="5"/>
  <c r="AH427" i="5"/>
  <c r="AH428" i="5"/>
  <c r="AH429" i="5"/>
  <c r="AH430" i="5"/>
  <c r="AJ430" i="5" s="1"/>
  <c r="AH431" i="5"/>
  <c r="AJ431" i="5" s="1"/>
  <c r="AH432" i="5"/>
  <c r="AH433" i="5"/>
  <c r="AH434" i="5"/>
  <c r="AJ434" i="5" s="1"/>
  <c r="AH435" i="5"/>
  <c r="AJ435" i="5" s="1"/>
  <c r="AO435" i="5" s="1"/>
  <c r="BF435" i="5" s="1"/>
  <c r="AH436" i="5"/>
  <c r="AH437" i="5"/>
  <c r="AH438" i="5"/>
  <c r="AH439" i="5"/>
  <c r="AH440" i="5"/>
  <c r="AJ440" i="5" s="1"/>
  <c r="AH441" i="5"/>
  <c r="AH442" i="5"/>
  <c r="AH443" i="5"/>
  <c r="AI2" i="5"/>
  <c r="AI3" i="5"/>
  <c r="AK3" i="5" s="1"/>
  <c r="AI5" i="5"/>
  <c r="AI6" i="5"/>
  <c r="AK6" i="5" s="1"/>
  <c r="AI7" i="5"/>
  <c r="AI8" i="5"/>
  <c r="AK8" i="5" s="1"/>
  <c r="AI9" i="5"/>
  <c r="AK9" i="5" s="1"/>
  <c r="AI11" i="5"/>
  <c r="AI12" i="5"/>
  <c r="AK12" i="5" s="1"/>
  <c r="AI13" i="5"/>
  <c r="AK13" i="5" s="1"/>
  <c r="AI14" i="5"/>
  <c r="AK14" i="5" s="1"/>
  <c r="AI15" i="5"/>
  <c r="AI16" i="5"/>
  <c r="AI17" i="5"/>
  <c r="AK17" i="5" s="1"/>
  <c r="AI18" i="5"/>
  <c r="AK18" i="5" s="1"/>
  <c r="AI19" i="5"/>
  <c r="AI21" i="5"/>
  <c r="AI22" i="5"/>
  <c r="AI23" i="5"/>
  <c r="AK23" i="5" s="1"/>
  <c r="AI25" i="5"/>
  <c r="AK25" i="5" s="1"/>
  <c r="AI26" i="5"/>
  <c r="AI27" i="5"/>
  <c r="AI28" i="5"/>
  <c r="AK28" i="5" s="1"/>
  <c r="AI29" i="5"/>
  <c r="AI31" i="5"/>
  <c r="AK31" i="5" s="1"/>
  <c r="AI32" i="5"/>
  <c r="AI33" i="5"/>
  <c r="AK33" i="5" s="1"/>
  <c r="AI35" i="5"/>
  <c r="AI36" i="5"/>
  <c r="AK36" i="5" s="1"/>
  <c r="AI37" i="5"/>
  <c r="AK37" i="5" s="1"/>
  <c r="AI38" i="5"/>
  <c r="AK38" i="5" s="1"/>
  <c r="AI39" i="5"/>
  <c r="AK39" i="5" s="1"/>
  <c r="AI41" i="5"/>
  <c r="AI42" i="5"/>
  <c r="AK42" i="5" s="1"/>
  <c r="AI43" i="5"/>
  <c r="AI44" i="5"/>
  <c r="AI45" i="5"/>
  <c r="AI46" i="5"/>
  <c r="AI47" i="5"/>
  <c r="AI48" i="5"/>
  <c r="AK48" i="5" s="1"/>
  <c r="AI49" i="5"/>
  <c r="AI51" i="5"/>
  <c r="AK51" i="5" s="1"/>
  <c r="AI52" i="5"/>
  <c r="AI53" i="5"/>
  <c r="AK53" i="5" s="1"/>
  <c r="AI55" i="5"/>
  <c r="AK55" i="5" s="1"/>
  <c r="AI56" i="5"/>
  <c r="AI57" i="5"/>
  <c r="AI58" i="5"/>
  <c r="AK58" i="5" s="1"/>
  <c r="AI59" i="5"/>
  <c r="AI61" i="5"/>
  <c r="AI62" i="5"/>
  <c r="AI63" i="5"/>
  <c r="AK63" i="5" s="1"/>
  <c r="AI64" i="5"/>
  <c r="AK64" i="5" s="1"/>
  <c r="AI65" i="5"/>
  <c r="AI66" i="5"/>
  <c r="AI67" i="5"/>
  <c r="AK67" i="5" s="1"/>
  <c r="AI68" i="5"/>
  <c r="AK68" i="5" s="1"/>
  <c r="AI69" i="5"/>
  <c r="AK69" i="5" s="1"/>
  <c r="AI71" i="5"/>
  <c r="AI72" i="5"/>
  <c r="AI73" i="5"/>
  <c r="AK73" i="5" s="1"/>
  <c r="AI75" i="5"/>
  <c r="AK75" i="5" s="1"/>
  <c r="AI76" i="5"/>
  <c r="AI77" i="5"/>
  <c r="AK77" i="5" s="1"/>
  <c r="AI78" i="5"/>
  <c r="AK78" i="5" s="1"/>
  <c r="AI79" i="5"/>
  <c r="AI81" i="5"/>
  <c r="AK81" i="5" s="1"/>
  <c r="AI82" i="5"/>
  <c r="AI83" i="5"/>
  <c r="AI85" i="5"/>
  <c r="AI86" i="5"/>
  <c r="AK86" i="5" s="1"/>
  <c r="AI87" i="5"/>
  <c r="AK87" i="5" s="1"/>
  <c r="AI88" i="5"/>
  <c r="AK88" i="5" s="1"/>
  <c r="AI89" i="5"/>
  <c r="AI91" i="5"/>
  <c r="AK91" i="5" s="1"/>
  <c r="AI92" i="5"/>
  <c r="AI93" i="5"/>
  <c r="AI95" i="5"/>
  <c r="AI96" i="5"/>
  <c r="AI97" i="5"/>
  <c r="AK97" i="5" s="1"/>
  <c r="AI98" i="5"/>
  <c r="AK98" i="5" s="1"/>
  <c r="AI99" i="5"/>
  <c r="AK99" i="5" s="1"/>
  <c r="AI101" i="5"/>
  <c r="AK101" i="5" s="1"/>
  <c r="AI102" i="5"/>
  <c r="AI103" i="5"/>
  <c r="AK103" i="5" s="1"/>
  <c r="AI105" i="5"/>
  <c r="AI106" i="5"/>
  <c r="AK106" i="5" s="1"/>
  <c r="AI107" i="5"/>
  <c r="AI108" i="5"/>
  <c r="AK108" i="5" s="1"/>
  <c r="AI109" i="5"/>
  <c r="AI111" i="5"/>
  <c r="AI112" i="5"/>
  <c r="AK112" i="5" s="1"/>
  <c r="AI113" i="5"/>
  <c r="AK113" i="5" s="1"/>
  <c r="AI115" i="5"/>
  <c r="AI116" i="5"/>
  <c r="AI117" i="5"/>
  <c r="AK117" i="5" s="1"/>
  <c r="AI118" i="5"/>
  <c r="AK118" i="5" s="1"/>
  <c r="AI119" i="5"/>
  <c r="AK119" i="5" s="1"/>
  <c r="AI121" i="5"/>
  <c r="AI122" i="5"/>
  <c r="AK122" i="5" s="1"/>
  <c r="AI123" i="5"/>
  <c r="AK123" i="5" s="1"/>
  <c r="AI125" i="5"/>
  <c r="AK125" i="5" s="1"/>
  <c r="AI126" i="5"/>
  <c r="AI127" i="5"/>
  <c r="AI128" i="5"/>
  <c r="AK128" i="5" s="1"/>
  <c r="AI129" i="5"/>
  <c r="AI131" i="5"/>
  <c r="AI132" i="5"/>
  <c r="AI133" i="5"/>
  <c r="AK133" i="5" s="1"/>
  <c r="AI134" i="5"/>
  <c r="AI135" i="5"/>
  <c r="AK135" i="5" s="1"/>
  <c r="AI136" i="5"/>
  <c r="AK136" i="5" s="1"/>
  <c r="AI137" i="5"/>
  <c r="AK137" i="5" s="1"/>
  <c r="AI138" i="5"/>
  <c r="AK138" i="5" s="1"/>
  <c r="AI139" i="5"/>
  <c r="AI141" i="5"/>
  <c r="AI142" i="5"/>
  <c r="AI143" i="5"/>
  <c r="AI144" i="5"/>
  <c r="AK144" i="5" s="1"/>
  <c r="AI145" i="5"/>
  <c r="AK145" i="5" s="1"/>
  <c r="AI146" i="5"/>
  <c r="AI147" i="5"/>
  <c r="AK147" i="5" s="1"/>
  <c r="AI148" i="5"/>
  <c r="AK148" i="5" s="1"/>
  <c r="AI149" i="5"/>
  <c r="AI151" i="5"/>
  <c r="AK151" i="5" s="1"/>
  <c r="AI152" i="5"/>
  <c r="AI153" i="5"/>
  <c r="AI155" i="5"/>
  <c r="AI156" i="5"/>
  <c r="AK156" i="5" s="1"/>
  <c r="AI157" i="5"/>
  <c r="AK157" i="5" s="1"/>
  <c r="AI158" i="5"/>
  <c r="AK158" i="5" s="1"/>
  <c r="AI159" i="5"/>
  <c r="AI162" i="5"/>
  <c r="AI163" i="5"/>
  <c r="AK163" i="5" s="1"/>
  <c r="AI165" i="5"/>
  <c r="AI166" i="5"/>
  <c r="AI167" i="5"/>
  <c r="AI168" i="5"/>
  <c r="AI169" i="5"/>
  <c r="AK169" i="5" s="1"/>
  <c r="AI172" i="5"/>
  <c r="AK172" i="5" s="1"/>
  <c r="AI173" i="5"/>
  <c r="AK173" i="5" s="1"/>
  <c r="AI175" i="5"/>
  <c r="AK175" i="5" s="1"/>
  <c r="AI176" i="5"/>
  <c r="AI177" i="5"/>
  <c r="AI178" i="5"/>
  <c r="AI179" i="5"/>
  <c r="AK179" i="5" s="1"/>
  <c r="AI182" i="5"/>
  <c r="AK182" i="5" s="1"/>
  <c r="AI183" i="5"/>
  <c r="AI184" i="5"/>
  <c r="AI185" i="5"/>
  <c r="AI186" i="5"/>
  <c r="AI187" i="5"/>
  <c r="AK187" i="5" s="1"/>
  <c r="AI188" i="5"/>
  <c r="AI189" i="5"/>
  <c r="AI192" i="5"/>
  <c r="AI193" i="5"/>
  <c r="AI195" i="5"/>
  <c r="AI196" i="5"/>
  <c r="AK196" i="5" s="1"/>
  <c r="AI197" i="5"/>
  <c r="AI198" i="5"/>
  <c r="AK198" i="5" s="1"/>
  <c r="AI199" i="5"/>
  <c r="AK199" i="5" s="1"/>
  <c r="AI202" i="5"/>
  <c r="AI203" i="5"/>
  <c r="AI205" i="5"/>
  <c r="AI206" i="5"/>
  <c r="AK206" i="5" s="1"/>
  <c r="AI207" i="5"/>
  <c r="AI208" i="5"/>
  <c r="AK208" i="5" s="1"/>
  <c r="AI209" i="5"/>
  <c r="AI212" i="5"/>
  <c r="AI213" i="5"/>
  <c r="AI215" i="5"/>
  <c r="AK215" i="5" s="1"/>
  <c r="AI216" i="5"/>
  <c r="AI217" i="5"/>
  <c r="AK217" i="5" s="1"/>
  <c r="AI218" i="5"/>
  <c r="AK218" i="5" s="1"/>
  <c r="AI219" i="5"/>
  <c r="AK219" i="5" s="1"/>
  <c r="AI222" i="5"/>
  <c r="AK222" i="5" s="1"/>
  <c r="AI223" i="5"/>
  <c r="AI225" i="5"/>
  <c r="AK225" i="5" s="1"/>
  <c r="AI226" i="5"/>
  <c r="AI227" i="5"/>
  <c r="AK227" i="5" s="1"/>
  <c r="AI228" i="5"/>
  <c r="AK228" i="5" s="1"/>
  <c r="AI229" i="5"/>
  <c r="AI232" i="5"/>
  <c r="AK232" i="5" s="1"/>
  <c r="AI233" i="5"/>
  <c r="AI235" i="5"/>
  <c r="AI236" i="5"/>
  <c r="AI237" i="5"/>
  <c r="AK237" i="5" s="1"/>
  <c r="AI238" i="5"/>
  <c r="AK238" i="5" s="1"/>
  <c r="AI239" i="5"/>
  <c r="AK239" i="5" s="1"/>
  <c r="AI242" i="5"/>
  <c r="AI243" i="5"/>
  <c r="AI245" i="5"/>
  <c r="AI246" i="5"/>
  <c r="AK246" i="5" s="1"/>
  <c r="AI247" i="5"/>
  <c r="AI248" i="5"/>
  <c r="AI249" i="5"/>
  <c r="AI252" i="5"/>
  <c r="AI253" i="5"/>
  <c r="AK253" i="5" s="1"/>
  <c r="AI255" i="5"/>
  <c r="AK255" i="5" s="1"/>
  <c r="AI256" i="5"/>
  <c r="AI257" i="5"/>
  <c r="AK257" i="5" s="1"/>
  <c r="AI258" i="5"/>
  <c r="AK258" i="5" s="1"/>
  <c r="AI259" i="5"/>
  <c r="AI262" i="5"/>
  <c r="AI263" i="5"/>
  <c r="AI265" i="5"/>
  <c r="AK265" i="5" s="1"/>
  <c r="AI266" i="5"/>
  <c r="AI267" i="5"/>
  <c r="AK267" i="5" s="1"/>
  <c r="AI268" i="5"/>
  <c r="AK268" i="5" s="1"/>
  <c r="AI269" i="5"/>
  <c r="AK269" i="5" s="1"/>
  <c r="AI272" i="5"/>
  <c r="AK272" i="5" s="1"/>
  <c r="AI273" i="5"/>
  <c r="AI275" i="5"/>
  <c r="AI276" i="5"/>
  <c r="AI277" i="5"/>
  <c r="AI278" i="5"/>
  <c r="AK278" i="5" s="1"/>
  <c r="AI279" i="5"/>
  <c r="AI282" i="5"/>
  <c r="AI283" i="5"/>
  <c r="AK283" i="5" s="1"/>
  <c r="AI285" i="5"/>
  <c r="AI286" i="5"/>
  <c r="AI287" i="5"/>
  <c r="AK287" i="5" s="1"/>
  <c r="AI288" i="5"/>
  <c r="AI289" i="5"/>
  <c r="AK289" i="5" s="1"/>
  <c r="AI292" i="5"/>
  <c r="AI293" i="5"/>
  <c r="AI294" i="5"/>
  <c r="AK294" i="5" s="1"/>
  <c r="AI295" i="5"/>
  <c r="AI296" i="5"/>
  <c r="AI297" i="5"/>
  <c r="AI298" i="5"/>
  <c r="AK298" i="5" s="1"/>
  <c r="AI299" i="5"/>
  <c r="AI302" i="5"/>
  <c r="AK302" i="5" s="1"/>
  <c r="AI303" i="5"/>
  <c r="AI305" i="5"/>
  <c r="AK305" i="5" s="1"/>
  <c r="AI306" i="5"/>
  <c r="AK306" i="5" s="1"/>
  <c r="AI307" i="5"/>
  <c r="AI308" i="5"/>
  <c r="AK308" i="5" s="1"/>
  <c r="AI309" i="5"/>
  <c r="AI312" i="5"/>
  <c r="AI313" i="5"/>
  <c r="AI315" i="5"/>
  <c r="AK315" i="5" s="1"/>
  <c r="AI316" i="5"/>
  <c r="AI317" i="5"/>
  <c r="AK317" i="5" s="1"/>
  <c r="AI318" i="5"/>
  <c r="AK318" i="5" s="1"/>
  <c r="AI319" i="5"/>
  <c r="AK319" i="5" s="1"/>
  <c r="AI322" i="5"/>
  <c r="AK322" i="5" s="1"/>
  <c r="AI323" i="5"/>
  <c r="AI325" i="5"/>
  <c r="AI326" i="5"/>
  <c r="AI327" i="5"/>
  <c r="AI328" i="5"/>
  <c r="AK328" i="5" s="1"/>
  <c r="AI329" i="5"/>
  <c r="AK329" i="5" s="1"/>
  <c r="AI332" i="5"/>
  <c r="AI333" i="5"/>
  <c r="AK333" i="5" s="1"/>
  <c r="AI334" i="5"/>
  <c r="AK334" i="5" s="1"/>
  <c r="AI335" i="5"/>
  <c r="AK335" i="5" s="1"/>
  <c r="AI336" i="5"/>
  <c r="AI337" i="5"/>
  <c r="AI338" i="5"/>
  <c r="AK338" i="5" s="1"/>
  <c r="AI339" i="5"/>
  <c r="AI342" i="5"/>
  <c r="AI343" i="5"/>
  <c r="AK343" i="5" s="1"/>
  <c r="AI345" i="5"/>
  <c r="AK345" i="5" s="1"/>
  <c r="AI346" i="5"/>
  <c r="AK346" i="5" s="1"/>
  <c r="AI347" i="5"/>
  <c r="AI348" i="5"/>
  <c r="AK348" i="5" s="1"/>
  <c r="AI349" i="5"/>
  <c r="AI352" i="5"/>
  <c r="AK352" i="5" s="1"/>
  <c r="AI353" i="5"/>
  <c r="AI355" i="5"/>
  <c r="AI356" i="5"/>
  <c r="AI357" i="5"/>
  <c r="AI358" i="5"/>
  <c r="AK358" i="5" s="1"/>
  <c r="AI359" i="5"/>
  <c r="AK359" i="5" s="1"/>
  <c r="AI362" i="5"/>
  <c r="AI363" i="5"/>
  <c r="AK363" i="5" s="1"/>
  <c r="AI365" i="5"/>
  <c r="AK365" i="5" s="1"/>
  <c r="AI366" i="5"/>
  <c r="AI367" i="5"/>
  <c r="AI368" i="5"/>
  <c r="AK368" i="5" s="1"/>
  <c r="AI369" i="5"/>
  <c r="AI372" i="5"/>
  <c r="AI373" i="5"/>
  <c r="AI375" i="5"/>
  <c r="AK375" i="5" s="1"/>
  <c r="AI376" i="5"/>
  <c r="AI377" i="5"/>
  <c r="AK377" i="5" s="1"/>
  <c r="AI378" i="5"/>
  <c r="AK378" i="5" s="1"/>
  <c r="AI379" i="5"/>
  <c r="AK379" i="5" s="1"/>
  <c r="AI382" i="5"/>
  <c r="AK382" i="5" s="1"/>
  <c r="AI383" i="5"/>
  <c r="AI385" i="5"/>
  <c r="AI386" i="5"/>
  <c r="AI387" i="5"/>
  <c r="AK387" i="5" s="1"/>
  <c r="AI388" i="5"/>
  <c r="AK388" i="5" s="1"/>
  <c r="AI389" i="5"/>
  <c r="AK389" i="5" s="1"/>
  <c r="AI392" i="5"/>
  <c r="AK392" i="5" s="1"/>
  <c r="AI393" i="5"/>
  <c r="AK393" i="5" s="1"/>
  <c r="AI395" i="5"/>
  <c r="AK395" i="5" s="1"/>
  <c r="AI396" i="5"/>
  <c r="AK396" i="5" s="1"/>
  <c r="AI397" i="5"/>
  <c r="AK397" i="5" s="1"/>
  <c r="AI398" i="5"/>
  <c r="AK398" i="5" s="1"/>
  <c r="AI399" i="5"/>
  <c r="AK399" i="5" s="1"/>
  <c r="AI402" i="5"/>
  <c r="AI403" i="5"/>
  <c r="AK403" i="5" s="1"/>
  <c r="AI405" i="5"/>
  <c r="AI406" i="5"/>
  <c r="AK406" i="5" s="1"/>
  <c r="AI407" i="5"/>
  <c r="AI408" i="5"/>
  <c r="AK408" i="5" s="1"/>
  <c r="AI409" i="5"/>
  <c r="AI412" i="5"/>
  <c r="AI413" i="5"/>
  <c r="AK413" i="5" s="1"/>
  <c r="AI415" i="5"/>
  <c r="AK415" i="5" s="1"/>
  <c r="AI416" i="5"/>
  <c r="AI417" i="5"/>
  <c r="AK417" i="5" s="1"/>
  <c r="AI418" i="5"/>
  <c r="AK418" i="5" s="1"/>
  <c r="AI419" i="5"/>
  <c r="AI422" i="5"/>
  <c r="AK422" i="5" s="1"/>
  <c r="AI423" i="5"/>
  <c r="AI425" i="5"/>
  <c r="AI426" i="5"/>
  <c r="AK426" i="5" s="1"/>
  <c r="AI427" i="5"/>
  <c r="AK427" i="5" s="1"/>
  <c r="AI428" i="5"/>
  <c r="AK428" i="5" s="1"/>
  <c r="AI429" i="5"/>
  <c r="AK429" i="5" s="1"/>
  <c r="AI432" i="5"/>
  <c r="AK432" i="5" s="1"/>
  <c r="AI433" i="5"/>
  <c r="AI435" i="5"/>
  <c r="AI436" i="5"/>
  <c r="AI437" i="5"/>
  <c r="AI438" i="5"/>
  <c r="AK438" i="5" s="1"/>
  <c r="AI439" i="5"/>
  <c r="AK439" i="5" s="1"/>
  <c r="AI442" i="5"/>
  <c r="AI443" i="5"/>
  <c r="AK443" i="5" s="1"/>
  <c r="AJ2" i="5"/>
  <c r="AJ3" i="5"/>
  <c r="AJ6" i="5"/>
  <c r="AJ7" i="5"/>
  <c r="AJ10" i="5"/>
  <c r="AJ11" i="5"/>
  <c r="AJ13" i="5"/>
  <c r="AJ16" i="5"/>
  <c r="AJ17" i="5"/>
  <c r="AJ20" i="5"/>
  <c r="AJ21" i="5"/>
  <c r="AO21" i="5" s="1"/>
  <c r="AJ23" i="5"/>
  <c r="AJ26" i="5"/>
  <c r="AJ27" i="5"/>
  <c r="AJ30" i="5"/>
  <c r="AJ31" i="5"/>
  <c r="AJ33" i="5"/>
  <c r="AJ36" i="5"/>
  <c r="AJ37" i="5"/>
  <c r="AJ40" i="5"/>
  <c r="AJ41" i="5"/>
  <c r="AJ43" i="5"/>
  <c r="AJ46" i="5"/>
  <c r="AJ47" i="5"/>
  <c r="AJ50" i="5"/>
  <c r="AJ51" i="5"/>
  <c r="AJ52" i="5"/>
  <c r="AO52" i="5" s="1"/>
  <c r="BF52" i="5" s="1"/>
  <c r="AJ53" i="5"/>
  <c r="AJ56" i="5"/>
  <c r="AJ57" i="5"/>
  <c r="AJ60" i="5"/>
  <c r="AJ61" i="5"/>
  <c r="AO61" i="5" s="1"/>
  <c r="AJ63" i="5"/>
  <c r="AJ66" i="5"/>
  <c r="AJ67" i="5"/>
  <c r="AJ70" i="5"/>
  <c r="AJ71" i="5"/>
  <c r="AO71" i="5" s="1"/>
  <c r="AJ72" i="5"/>
  <c r="AO72" i="5" s="1"/>
  <c r="BF72" i="5" s="1"/>
  <c r="AJ73" i="5"/>
  <c r="AJ76" i="5"/>
  <c r="AJ77" i="5"/>
  <c r="AJ80" i="5"/>
  <c r="AJ81" i="5"/>
  <c r="AJ83" i="5"/>
  <c r="AJ86" i="5"/>
  <c r="AJ87" i="5"/>
  <c r="AJ90" i="5"/>
  <c r="AJ91" i="5"/>
  <c r="AJ93" i="5"/>
  <c r="AJ96" i="5"/>
  <c r="AJ97" i="5"/>
  <c r="AJ100" i="5"/>
  <c r="AJ101" i="5"/>
  <c r="AJ103" i="5"/>
  <c r="AJ106" i="5"/>
  <c r="AJ107" i="5"/>
  <c r="AJ111" i="5"/>
  <c r="AJ113" i="5"/>
  <c r="AJ116" i="5"/>
  <c r="AJ117" i="5"/>
  <c r="AJ120" i="5"/>
  <c r="AJ121" i="5"/>
  <c r="AJ123" i="5"/>
  <c r="AJ126" i="5"/>
  <c r="AJ127" i="5"/>
  <c r="AJ130" i="5"/>
  <c r="AJ131" i="5"/>
  <c r="AO131" i="5" s="1"/>
  <c r="AJ133" i="5"/>
  <c r="AJ136" i="5"/>
  <c r="AJ137" i="5"/>
  <c r="AJ140" i="5"/>
  <c r="AJ141" i="5"/>
  <c r="AJ143" i="5"/>
  <c r="AJ146" i="5"/>
  <c r="AJ147" i="5"/>
  <c r="AJ150" i="5"/>
  <c r="AJ151" i="5"/>
  <c r="AO151" i="5" s="1"/>
  <c r="AJ152" i="5"/>
  <c r="AO152" i="5" s="1"/>
  <c r="AJ153" i="5"/>
  <c r="AJ156" i="5"/>
  <c r="AJ157" i="5"/>
  <c r="AJ161" i="5"/>
  <c r="AJ163" i="5"/>
  <c r="AJ166" i="5"/>
  <c r="AJ167" i="5"/>
  <c r="AJ170" i="5"/>
  <c r="AJ171" i="5"/>
  <c r="AJ172" i="5"/>
  <c r="AJ173" i="5"/>
  <c r="AJ176" i="5"/>
  <c r="AJ177" i="5"/>
  <c r="AJ180" i="5"/>
  <c r="AJ181" i="5"/>
  <c r="AJ183" i="5"/>
  <c r="AJ186" i="5"/>
  <c r="AJ187" i="5"/>
  <c r="AJ190" i="5"/>
  <c r="AJ191" i="5"/>
  <c r="AO191" i="5" s="1"/>
  <c r="BF191" i="5" s="1"/>
  <c r="AJ193" i="5"/>
  <c r="AJ196" i="5"/>
  <c r="AJ197" i="5"/>
  <c r="AJ201" i="5"/>
  <c r="AO201" i="5" s="1"/>
  <c r="AJ203" i="5"/>
  <c r="AJ206" i="5"/>
  <c r="AJ207" i="5"/>
  <c r="AJ211" i="5"/>
  <c r="AO211" i="5" s="1"/>
  <c r="BF211" i="5" s="1"/>
  <c r="AJ213" i="5"/>
  <c r="AJ216" i="5"/>
  <c r="AJ217" i="5"/>
  <c r="AJ220" i="5"/>
  <c r="AJ221" i="5"/>
  <c r="AJ223" i="5"/>
  <c r="AJ226" i="5"/>
  <c r="AJ227" i="5"/>
  <c r="AJ230" i="5"/>
  <c r="AJ231" i="5"/>
  <c r="AO231" i="5" s="1"/>
  <c r="BF231" i="5" s="1"/>
  <c r="AJ233" i="5"/>
  <c r="AJ236" i="5"/>
  <c r="AJ237" i="5"/>
  <c r="AJ240" i="5"/>
  <c r="AJ241" i="5"/>
  <c r="AO241" i="5" s="1"/>
  <c r="AJ243" i="5"/>
  <c r="AJ246" i="5"/>
  <c r="AJ247" i="5"/>
  <c r="AJ251" i="5"/>
  <c r="AJ252" i="5"/>
  <c r="AJ253" i="5"/>
  <c r="AJ256" i="5"/>
  <c r="AJ257" i="5"/>
  <c r="AJ261" i="5"/>
  <c r="AO261" i="5" s="1"/>
  <c r="BF261" i="5" s="1"/>
  <c r="AJ263" i="5"/>
  <c r="AJ266" i="5"/>
  <c r="AJ267" i="5"/>
  <c r="AJ270" i="5"/>
  <c r="AJ271" i="5"/>
  <c r="AJ272" i="5"/>
  <c r="AJ273" i="5"/>
  <c r="AJ277" i="5"/>
  <c r="AJ280" i="5"/>
  <c r="AJ281" i="5"/>
  <c r="AO281" i="5" s="1"/>
  <c r="AJ283" i="5"/>
  <c r="AJ286" i="5"/>
  <c r="AJ287" i="5"/>
  <c r="AJ290" i="5"/>
  <c r="AJ291" i="5"/>
  <c r="AJ293" i="5"/>
  <c r="AJ296" i="5"/>
  <c r="AJ297" i="5"/>
  <c r="AJ301" i="5"/>
  <c r="AJ303" i="5"/>
  <c r="AJ306" i="5"/>
  <c r="AJ307" i="5"/>
  <c r="AJ311" i="5"/>
  <c r="AJ313" i="5"/>
  <c r="AJ316" i="5"/>
  <c r="AJ317" i="5"/>
  <c r="AJ321" i="5"/>
  <c r="AJ323" i="5"/>
  <c r="AJ326" i="5"/>
  <c r="AJ327" i="5"/>
  <c r="AJ331" i="5"/>
  <c r="AJ333" i="5"/>
  <c r="AJ336" i="5"/>
  <c r="AJ337" i="5"/>
  <c r="AJ341" i="5"/>
  <c r="AJ343" i="5"/>
  <c r="AJ346" i="5"/>
  <c r="AJ347" i="5"/>
  <c r="AJ351" i="5"/>
  <c r="AJ353" i="5"/>
  <c r="AJ357" i="5"/>
  <c r="AJ361" i="5"/>
  <c r="AJ363" i="5"/>
  <c r="AJ367" i="5"/>
  <c r="AJ371" i="5"/>
  <c r="AJ373" i="5"/>
  <c r="AJ376" i="5"/>
  <c r="AJ377" i="5"/>
  <c r="AJ381" i="5"/>
  <c r="AJ383" i="5"/>
  <c r="AJ386" i="5"/>
  <c r="AJ387" i="5"/>
  <c r="AJ391" i="5"/>
  <c r="AJ393" i="5"/>
  <c r="AJ396" i="5"/>
  <c r="AJ397" i="5"/>
  <c r="AJ401" i="5"/>
  <c r="AJ403" i="5"/>
  <c r="AJ407" i="5"/>
  <c r="AJ411" i="5"/>
  <c r="AJ413" i="5"/>
  <c r="AJ417" i="5"/>
  <c r="AJ421" i="5"/>
  <c r="AJ423" i="5"/>
  <c r="AJ426" i="5"/>
  <c r="AJ427" i="5"/>
  <c r="AJ433" i="5"/>
  <c r="AJ436" i="5"/>
  <c r="AJ437" i="5"/>
  <c r="AJ441" i="5"/>
  <c r="AJ443" i="5"/>
  <c r="AK4" i="5"/>
  <c r="AK5" i="5"/>
  <c r="AK7" i="5"/>
  <c r="AK11" i="5"/>
  <c r="AK15" i="5"/>
  <c r="AK16" i="5"/>
  <c r="AK19" i="5"/>
  <c r="AK21" i="5"/>
  <c r="AK22" i="5"/>
  <c r="AK26" i="5"/>
  <c r="AK27" i="5"/>
  <c r="AK29" i="5"/>
  <c r="AK32" i="5"/>
  <c r="AK35" i="5"/>
  <c r="AK41" i="5"/>
  <c r="AK43" i="5"/>
  <c r="AK44" i="5"/>
  <c r="AK45" i="5"/>
  <c r="AK46" i="5"/>
  <c r="AK47" i="5"/>
  <c r="AK49" i="5"/>
  <c r="AK52" i="5"/>
  <c r="AK54" i="5"/>
  <c r="AK56" i="5"/>
  <c r="AK57" i="5"/>
  <c r="AK59" i="5"/>
  <c r="AK61" i="5"/>
  <c r="AK65" i="5"/>
  <c r="AK66" i="5"/>
  <c r="AK71" i="5"/>
  <c r="AK72" i="5"/>
  <c r="AK74" i="5"/>
  <c r="AK76" i="5"/>
  <c r="AK79" i="5"/>
  <c r="AK82" i="5"/>
  <c r="AK83" i="5"/>
  <c r="AK85" i="5"/>
  <c r="AK89" i="5"/>
  <c r="AK93" i="5"/>
  <c r="AK95" i="5"/>
  <c r="AK96" i="5"/>
  <c r="AK105" i="5"/>
  <c r="AK107" i="5"/>
  <c r="AK109" i="5"/>
  <c r="AK111" i="5"/>
  <c r="AK114" i="5"/>
  <c r="AK115" i="5"/>
  <c r="AK116" i="5"/>
  <c r="AK121" i="5"/>
  <c r="AK126" i="5"/>
  <c r="AK127" i="5"/>
  <c r="AK129" i="5"/>
  <c r="AK131" i="5"/>
  <c r="AK132" i="5"/>
  <c r="AK134" i="5"/>
  <c r="AK139" i="5"/>
  <c r="AK141" i="5"/>
  <c r="AK142" i="5"/>
  <c r="AK143" i="5"/>
  <c r="AK146" i="5"/>
  <c r="AK149" i="5"/>
  <c r="AK152" i="5"/>
  <c r="AK153" i="5"/>
  <c r="AK154" i="5"/>
  <c r="AK155" i="5"/>
  <c r="AK159" i="5"/>
  <c r="AK161" i="5"/>
  <c r="AK162" i="5"/>
  <c r="AK165" i="5"/>
  <c r="AK166" i="5"/>
  <c r="AK167" i="5"/>
  <c r="AK168" i="5"/>
  <c r="AK171" i="5"/>
  <c r="AK176" i="5"/>
  <c r="AK177" i="5"/>
  <c r="AK178" i="5"/>
  <c r="AK181" i="5"/>
  <c r="AK183" i="5"/>
  <c r="AK185" i="5"/>
  <c r="AK186" i="5"/>
  <c r="AK188" i="5"/>
  <c r="AK189" i="5"/>
  <c r="AK191" i="5"/>
  <c r="AK192" i="5"/>
  <c r="AK193" i="5"/>
  <c r="AK195" i="5"/>
  <c r="AK197" i="5"/>
  <c r="AK201" i="5"/>
  <c r="AK202" i="5"/>
  <c r="AK203" i="5"/>
  <c r="AK205" i="5"/>
  <c r="AK207" i="5"/>
  <c r="AK209" i="5"/>
  <c r="AK211" i="5"/>
  <c r="AK212" i="5"/>
  <c r="AK213" i="5"/>
  <c r="AK214" i="5"/>
  <c r="AK216" i="5"/>
  <c r="AK221" i="5"/>
  <c r="AK223" i="5"/>
  <c r="AK226" i="5"/>
  <c r="AK229" i="5"/>
  <c r="AK231" i="5"/>
  <c r="AK233" i="5"/>
  <c r="AK235" i="5"/>
  <c r="AK236" i="5"/>
  <c r="AK241" i="5"/>
  <c r="AK242" i="5"/>
  <c r="AK243" i="5"/>
  <c r="AK245" i="5"/>
  <c r="AK247" i="5"/>
  <c r="AK248" i="5"/>
  <c r="AK249" i="5"/>
  <c r="AK251" i="5"/>
  <c r="AK252" i="5"/>
  <c r="AK256" i="5"/>
  <c r="AK259" i="5"/>
  <c r="AK261" i="5"/>
  <c r="AK262" i="5"/>
  <c r="AK263" i="5"/>
  <c r="AK264" i="5"/>
  <c r="AK266" i="5"/>
  <c r="AK271" i="5"/>
  <c r="AK273" i="5"/>
  <c r="AK275" i="5"/>
  <c r="AK276" i="5"/>
  <c r="AK277" i="5"/>
  <c r="AK279" i="5"/>
  <c r="AK281" i="5"/>
  <c r="AK285" i="5"/>
  <c r="AK286" i="5"/>
  <c r="AK288" i="5"/>
  <c r="AK291" i="5"/>
  <c r="AK292" i="5"/>
  <c r="AK293" i="5"/>
  <c r="AK295" i="5"/>
  <c r="AK296" i="5"/>
  <c r="AK297" i="5"/>
  <c r="AK299" i="5"/>
  <c r="AK301" i="5"/>
  <c r="AK303" i="5"/>
  <c r="AK307" i="5"/>
  <c r="AK309" i="5"/>
  <c r="AK312" i="5"/>
  <c r="AK313" i="5"/>
  <c r="AK316" i="5"/>
  <c r="AK323" i="5"/>
  <c r="AK325" i="5"/>
  <c r="AK326" i="5"/>
  <c r="AK327" i="5"/>
  <c r="AK332" i="5"/>
  <c r="AK336" i="5"/>
  <c r="AK337" i="5"/>
  <c r="AK339" i="5"/>
  <c r="AK342" i="5"/>
  <c r="AK347" i="5"/>
  <c r="AK349" i="5"/>
  <c r="AK353" i="5"/>
  <c r="AK355" i="5"/>
  <c r="AK356" i="5"/>
  <c r="AK357" i="5"/>
  <c r="AK362" i="5"/>
  <c r="AK366" i="5"/>
  <c r="AK367" i="5"/>
  <c r="AK369" i="5"/>
  <c r="AK372" i="5"/>
  <c r="AK373" i="5"/>
  <c r="AK376" i="5"/>
  <c r="AK383" i="5"/>
  <c r="AK385" i="5"/>
  <c r="AK386" i="5"/>
  <c r="AK394" i="5"/>
  <c r="AK402" i="5"/>
  <c r="AK405" i="5"/>
  <c r="AK407" i="5"/>
  <c r="AK409" i="5"/>
  <c r="AK412" i="5"/>
  <c r="AK414" i="5"/>
  <c r="AK416" i="5"/>
  <c r="AK419" i="5"/>
  <c r="AK423" i="5"/>
  <c r="AK425" i="5"/>
  <c r="AK433" i="5"/>
  <c r="AK434" i="5"/>
  <c r="AK435" i="5"/>
  <c r="AK436" i="5"/>
  <c r="AK437" i="5"/>
  <c r="AK442" i="5"/>
  <c r="AN2" i="5"/>
  <c r="AN3" i="5"/>
  <c r="AN4" i="5"/>
  <c r="AN5" i="5"/>
  <c r="AN6" i="5"/>
  <c r="AN7" i="5"/>
  <c r="AN8" i="5"/>
  <c r="AN9" i="5"/>
  <c r="AN10" i="5"/>
  <c r="AN11" i="5"/>
  <c r="AN12" i="5"/>
  <c r="AN13" i="5"/>
  <c r="AN14" i="5"/>
  <c r="AN15" i="5"/>
  <c r="AN16" i="5"/>
  <c r="AN17" i="5"/>
  <c r="AN18" i="5"/>
  <c r="AN19" i="5"/>
  <c r="AN20" i="5"/>
  <c r="AN21" i="5"/>
  <c r="AN22" i="5"/>
  <c r="AN23" i="5"/>
  <c r="AO23" i="5" s="1"/>
  <c r="AN24" i="5"/>
  <c r="AN25" i="5"/>
  <c r="AN26" i="5"/>
  <c r="AN27" i="5"/>
  <c r="AN28" i="5"/>
  <c r="AN29" i="5"/>
  <c r="AN30" i="5"/>
  <c r="AN31" i="5"/>
  <c r="AN32" i="5"/>
  <c r="AO32" i="5" s="1"/>
  <c r="BF32" i="5" s="1"/>
  <c r="AN33" i="5"/>
  <c r="AO33" i="5" s="1"/>
  <c r="BF33" i="5" s="1"/>
  <c r="AN34" i="5"/>
  <c r="AN35" i="5"/>
  <c r="AN36" i="5"/>
  <c r="AN37" i="5"/>
  <c r="AN38" i="5"/>
  <c r="AN39" i="5"/>
  <c r="AN40" i="5"/>
  <c r="AN41" i="5"/>
  <c r="AN42" i="5"/>
  <c r="AN43" i="5"/>
  <c r="AO43" i="5" s="1"/>
  <c r="AN44" i="5"/>
  <c r="AN45" i="5"/>
  <c r="AN46" i="5"/>
  <c r="AN47" i="5"/>
  <c r="AN48" i="5"/>
  <c r="AN49" i="5"/>
  <c r="AN50" i="5"/>
  <c r="AN51" i="5"/>
  <c r="AN52" i="5"/>
  <c r="AN53" i="5"/>
  <c r="AO53" i="5" s="1"/>
  <c r="AN54" i="5"/>
  <c r="AN55" i="5"/>
  <c r="AN56" i="5"/>
  <c r="AN57" i="5"/>
  <c r="AN58" i="5"/>
  <c r="AN59" i="5"/>
  <c r="AN60" i="5"/>
  <c r="AN61" i="5"/>
  <c r="AN62" i="5"/>
  <c r="AN63" i="5"/>
  <c r="AO63" i="5" s="1"/>
  <c r="BF63" i="5" s="1"/>
  <c r="AN64" i="5"/>
  <c r="AN65" i="5"/>
  <c r="AN66" i="5"/>
  <c r="AN67" i="5"/>
  <c r="AN68" i="5"/>
  <c r="AN69" i="5"/>
  <c r="AN70" i="5"/>
  <c r="AN71" i="5"/>
  <c r="AN72" i="5"/>
  <c r="AN73" i="5"/>
  <c r="AO73" i="5" s="1"/>
  <c r="AN74" i="5"/>
  <c r="AN75" i="5"/>
  <c r="AN76" i="5"/>
  <c r="AN77" i="5"/>
  <c r="AN78" i="5"/>
  <c r="AN79" i="5"/>
  <c r="AN80" i="5"/>
  <c r="AN81" i="5"/>
  <c r="AN82" i="5"/>
  <c r="AN83" i="5"/>
  <c r="AO83" i="5" s="1"/>
  <c r="BF83" i="5" s="1"/>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O123" i="5" s="1"/>
  <c r="BF123" i="5" s="1"/>
  <c r="AN124" i="5"/>
  <c r="AN125" i="5"/>
  <c r="AN126" i="5"/>
  <c r="AN127" i="5"/>
  <c r="AN128" i="5"/>
  <c r="AN129" i="5"/>
  <c r="AN130" i="5"/>
  <c r="AN131" i="5"/>
  <c r="AN132" i="5"/>
  <c r="AN133" i="5"/>
  <c r="AO133" i="5" s="1"/>
  <c r="AN134" i="5"/>
  <c r="AN135" i="5"/>
  <c r="AM135" i="5" s="1"/>
  <c r="AN136" i="5"/>
  <c r="AN137" i="5"/>
  <c r="AN138" i="5"/>
  <c r="AN139" i="5"/>
  <c r="AN140" i="5"/>
  <c r="AN141" i="5"/>
  <c r="AN142" i="5"/>
  <c r="AN143" i="5"/>
  <c r="AO143" i="5" s="1"/>
  <c r="BF143" i="5" s="1"/>
  <c r="AN144" i="5"/>
  <c r="AN145" i="5"/>
  <c r="AN146" i="5"/>
  <c r="AN147" i="5"/>
  <c r="AN148" i="5"/>
  <c r="AN149" i="5"/>
  <c r="AN150" i="5"/>
  <c r="AN151" i="5"/>
  <c r="AN152" i="5"/>
  <c r="AN153" i="5"/>
  <c r="AO153" i="5" s="1"/>
  <c r="AN154" i="5"/>
  <c r="AN155" i="5"/>
  <c r="AN156" i="5"/>
  <c r="AN157" i="5"/>
  <c r="AN158" i="5"/>
  <c r="AN159" i="5"/>
  <c r="AN160" i="5"/>
  <c r="AN161" i="5"/>
  <c r="AN162" i="5"/>
  <c r="AN163" i="5"/>
  <c r="AO163" i="5" s="1"/>
  <c r="BF163" i="5" s="1"/>
  <c r="AN164" i="5"/>
  <c r="AN165" i="5"/>
  <c r="AN166" i="5"/>
  <c r="AN167" i="5"/>
  <c r="AN168" i="5"/>
  <c r="AN169" i="5"/>
  <c r="AN170" i="5"/>
  <c r="AN171" i="5"/>
  <c r="AN172" i="5"/>
  <c r="AN173" i="5"/>
  <c r="AO173" i="5" s="1"/>
  <c r="AN174" i="5"/>
  <c r="AN175" i="5"/>
  <c r="AN176" i="5"/>
  <c r="AN177" i="5"/>
  <c r="AN178" i="5"/>
  <c r="AN179" i="5"/>
  <c r="AN180" i="5"/>
  <c r="AN181" i="5"/>
  <c r="AN182" i="5"/>
  <c r="AN183" i="5"/>
  <c r="AO183" i="5" s="1"/>
  <c r="BF183" i="5" s="1"/>
  <c r="AN184" i="5"/>
  <c r="AN185" i="5"/>
  <c r="AN186" i="5"/>
  <c r="AN187" i="5"/>
  <c r="AN188" i="5"/>
  <c r="AN189" i="5"/>
  <c r="AN190" i="5"/>
  <c r="AN191" i="5"/>
  <c r="AN192" i="5"/>
  <c r="AN193" i="5"/>
  <c r="AO193" i="5" s="1"/>
  <c r="BF193" i="5" s="1"/>
  <c r="AN194" i="5"/>
  <c r="AN195" i="5"/>
  <c r="AN196" i="5"/>
  <c r="AN197" i="5"/>
  <c r="AN198" i="5"/>
  <c r="AN199" i="5"/>
  <c r="AN200" i="5"/>
  <c r="AN201" i="5"/>
  <c r="AN202" i="5"/>
  <c r="AN203" i="5"/>
  <c r="AO203" i="5" s="1"/>
  <c r="BF203" i="5" s="1"/>
  <c r="AN204" i="5"/>
  <c r="AN205" i="5"/>
  <c r="AN206" i="5"/>
  <c r="AN207" i="5"/>
  <c r="AN208" i="5"/>
  <c r="AN209" i="5"/>
  <c r="AN210" i="5"/>
  <c r="AN211" i="5"/>
  <c r="AN212" i="5"/>
  <c r="AN213" i="5"/>
  <c r="AO213" i="5" s="1"/>
  <c r="BF213" i="5" s="1"/>
  <c r="AN214" i="5"/>
  <c r="AN215" i="5"/>
  <c r="AN216" i="5"/>
  <c r="AN217" i="5"/>
  <c r="AN218" i="5"/>
  <c r="AN219" i="5"/>
  <c r="AN220" i="5"/>
  <c r="AN221" i="5"/>
  <c r="AN222" i="5"/>
  <c r="AN223" i="5"/>
  <c r="AO223" i="5" s="1"/>
  <c r="BF223" i="5" s="1"/>
  <c r="AN224" i="5"/>
  <c r="AN225" i="5"/>
  <c r="AN226" i="5"/>
  <c r="AN227" i="5"/>
  <c r="AN228" i="5"/>
  <c r="AN229" i="5"/>
  <c r="AN230" i="5"/>
  <c r="AN231" i="5"/>
  <c r="AN232" i="5"/>
  <c r="AN233" i="5"/>
  <c r="AO233" i="5" s="1"/>
  <c r="BF233" i="5" s="1"/>
  <c r="AN234" i="5"/>
  <c r="AN235" i="5"/>
  <c r="AN236" i="5"/>
  <c r="AN237" i="5"/>
  <c r="AN238" i="5"/>
  <c r="AN239" i="5"/>
  <c r="AN240" i="5"/>
  <c r="AN241" i="5"/>
  <c r="AN242" i="5"/>
  <c r="AN243" i="5"/>
  <c r="AO243" i="5" s="1"/>
  <c r="BF243" i="5" s="1"/>
  <c r="AN244" i="5"/>
  <c r="AN245" i="5"/>
  <c r="AN246" i="5"/>
  <c r="AN247" i="5"/>
  <c r="AN248" i="5"/>
  <c r="AN249" i="5"/>
  <c r="AN250" i="5"/>
  <c r="AN251" i="5"/>
  <c r="AN252" i="5"/>
  <c r="AN253" i="5"/>
  <c r="AO253" i="5" s="1"/>
  <c r="BF253" i="5" s="1"/>
  <c r="AN254" i="5"/>
  <c r="AN255" i="5"/>
  <c r="AN256" i="5"/>
  <c r="AN257" i="5"/>
  <c r="AN258" i="5"/>
  <c r="AN259" i="5"/>
  <c r="AN260" i="5"/>
  <c r="AN261" i="5"/>
  <c r="AN262" i="5"/>
  <c r="AN263" i="5"/>
  <c r="AO263" i="5" s="1"/>
  <c r="BF263" i="5" s="1"/>
  <c r="AN264" i="5"/>
  <c r="AN265" i="5"/>
  <c r="AN266" i="5"/>
  <c r="AN267" i="5"/>
  <c r="AN268" i="5"/>
  <c r="AN269" i="5"/>
  <c r="AN270" i="5"/>
  <c r="AN271" i="5"/>
  <c r="AN272" i="5"/>
  <c r="AO272" i="5" s="1"/>
  <c r="BF272" i="5" s="1"/>
  <c r="AN273" i="5"/>
  <c r="AO273" i="5" s="1"/>
  <c r="BF273" i="5" s="1"/>
  <c r="AN274" i="5"/>
  <c r="AN275" i="5"/>
  <c r="AN276" i="5"/>
  <c r="AN277" i="5"/>
  <c r="AN278" i="5"/>
  <c r="AN279" i="5"/>
  <c r="AN280" i="5"/>
  <c r="AN281" i="5"/>
  <c r="AN282" i="5"/>
  <c r="AN283" i="5"/>
  <c r="AO283" i="5" s="1"/>
  <c r="AN284" i="5"/>
  <c r="AN285" i="5"/>
  <c r="AN286" i="5"/>
  <c r="AN287" i="5"/>
  <c r="AN288" i="5"/>
  <c r="AN289" i="5"/>
  <c r="AN290" i="5"/>
  <c r="AN291" i="5"/>
  <c r="AN292" i="5"/>
  <c r="AN293" i="5"/>
  <c r="AN294" i="5"/>
  <c r="AN295" i="5"/>
  <c r="AN296" i="5"/>
  <c r="AO296" i="5" s="1"/>
  <c r="BF296" i="5" s="1"/>
  <c r="AN297" i="5"/>
  <c r="AN298" i="5"/>
  <c r="AN299" i="5"/>
  <c r="AN300" i="5"/>
  <c r="AN301" i="5"/>
  <c r="AN302" i="5"/>
  <c r="AN303" i="5"/>
  <c r="AO303" i="5" s="1"/>
  <c r="AN304" i="5"/>
  <c r="AN305" i="5"/>
  <c r="AN306" i="5"/>
  <c r="AN307" i="5"/>
  <c r="AN308" i="5"/>
  <c r="AN309" i="5"/>
  <c r="AN310" i="5"/>
  <c r="AN311" i="5"/>
  <c r="AN312" i="5"/>
  <c r="AN313" i="5"/>
  <c r="AO313" i="5" s="1"/>
  <c r="BF313" i="5" s="1"/>
  <c r="AN314" i="5"/>
  <c r="AN315" i="5"/>
  <c r="AN316" i="5"/>
  <c r="AN317" i="5"/>
  <c r="AN318" i="5"/>
  <c r="AN319" i="5"/>
  <c r="AN320" i="5"/>
  <c r="AN321" i="5"/>
  <c r="AN322" i="5"/>
  <c r="AN323" i="5"/>
  <c r="AO323" i="5" s="1"/>
  <c r="AN324" i="5"/>
  <c r="AN325" i="5"/>
  <c r="AN326" i="5"/>
  <c r="AN327" i="5"/>
  <c r="AN328" i="5"/>
  <c r="AN329" i="5"/>
  <c r="AN330" i="5"/>
  <c r="AN331" i="5"/>
  <c r="AN332" i="5"/>
  <c r="AN333" i="5"/>
  <c r="AN334" i="5"/>
  <c r="AN335" i="5"/>
  <c r="AN336" i="5"/>
  <c r="AN337" i="5"/>
  <c r="AN338" i="5"/>
  <c r="AN339" i="5"/>
  <c r="AN340" i="5"/>
  <c r="AN341" i="5"/>
  <c r="AN342" i="5"/>
  <c r="AN343" i="5"/>
  <c r="AO343" i="5" s="1"/>
  <c r="AN344" i="5"/>
  <c r="AN345" i="5"/>
  <c r="AN346" i="5"/>
  <c r="AN347" i="5"/>
  <c r="AN348" i="5"/>
  <c r="AN349" i="5"/>
  <c r="AN350" i="5"/>
  <c r="AN351" i="5"/>
  <c r="AN352" i="5"/>
  <c r="AN353" i="5"/>
  <c r="AN354" i="5"/>
  <c r="AN355" i="5"/>
  <c r="AN356" i="5"/>
  <c r="AN357" i="5"/>
  <c r="AN358" i="5"/>
  <c r="AN359" i="5"/>
  <c r="AN360" i="5"/>
  <c r="AN361" i="5"/>
  <c r="AN362" i="5"/>
  <c r="AN363" i="5"/>
  <c r="AO363" i="5" s="1"/>
  <c r="BF363" i="5" s="1"/>
  <c r="AN364" i="5"/>
  <c r="AN365" i="5"/>
  <c r="AN366" i="5"/>
  <c r="AN367" i="5"/>
  <c r="AN368" i="5"/>
  <c r="AN369" i="5"/>
  <c r="AN370" i="5"/>
  <c r="AN371" i="5"/>
  <c r="AN372" i="5"/>
  <c r="AN373" i="5"/>
  <c r="AO373" i="5" s="1"/>
  <c r="BF373" i="5" s="1"/>
  <c r="AN374" i="5"/>
  <c r="AN375" i="5"/>
  <c r="AN376" i="5"/>
  <c r="AN377" i="5"/>
  <c r="AN378" i="5"/>
  <c r="AN379" i="5"/>
  <c r="AN380" i="5"/>
  <c r="AN381" i="5"/>
  <c r="AN382" i="5"/>
  <c r="AN383" i="5"/>
  <c r="AO383" i="5" s="1"/>
  <c r="BF383" i="5" s="1"/>
  <c r="AN384" i="5"/>
  <c r="AN385" i="5"/>
  <c r="AN386" i="5"/>
  <c r="AN387" i="5"/>
  <c r="AN388" i="5"/>
  <c r="AN389" i="5"/>
  <c r="AN390" i="5"/>
  <c r="AN391" i="5"/>
  <c r="AN392" i="5"/>
  <c r="AN393" i="5"/>
  <c r="AO393" i="5" s="1"/>
  <c r="BF393" i="5" s="1"/>
  <c r="AN394" i="5"/>
  <c r="AN395" i="5"/>
  <c r="AN396" i="5"/>
  <c r="AN397" i="5"/>
  <c r="AN398" i="5"/>
  <c r="AN399" i="5"/>
  <c r="AN400" i="5"/>
  <c r="AN401" i="5"/>
  <c r="AN402" i="5"/>
  <c r="AN403" i="5"/>
  <c r="AO403" i="5" s="1"/>
  <c r="BF403" i="5" s="1"/>
  <c r="AN404" i="5"/>
  <c r="AN405" i="5"/>
  <c r="AN406" i="5"/>
  <c r="AN407" i="5"/>
  <c r="AN408" i="5"/>
  <c r="AN409" i="5"/>
  <c r="AN410" i="5"/>
  <c r="AN411" i="5"/>
  <c r="AN412" i="5"/>
  <c r="AN413" i="5"/>
  <c r="AN414" i="5"/>
  <c r="AN415" i="5"/>
  <c r="AN416" i="5"/>
  <c r="AN417" i="5"/>
  <c r="AN418" i="5"/>
  <c r="AN419" i="5"/>
  <c r="AN420" i="5"/>
  <c r="AN421" i="5"/>
  <c r="AN422" i="5"/>
  <c r="AN423" i="5"/>
  <c r="AO423" i="5" s="1"/>
  <c r="BF423" i="5" s="1"/>
  <c r="AN424" i="5"/>
  <c r="AN425" i="5"/>
  <c r="AN426" i="5"/>
  <c r="AN427" i="5"/>
  <c r="AN428" i="5"/>
  <c r="AN429" i="5"/>
  <c r="AN430" i="5"/>
  <c r="AN431" i="5"/>
  <c r="AN432" i="5"/>
  <c r="AN433" i="5"/>
  <c r="AO433" i="5" s="1"/>
  <c r="BF433" i="5" s="1"/>
  <c r="AN434" i="5"/>
  <c r="AN435" i="5"/>
  <c r="AN436" i="5"/>
  <c r="AN437" i="5"/>
  <c r="AN438" i="5"/>
  <c r="AN439" i="5"/>
  <c r="AN440" i="5"/>
  <c r="AN441" i="5"/>
  <c r="AN442" i="5"/>
  <c r="AN443" i="5"/>
  <c r="AO443" i="5" s="1"/>
  <c r="AO12" i="5"/>
  <c r="BF12" i="5" s="1"/>
  <c r="AO22" i="5"/>
  <c r="AO41" i="5"/>
  <c r="AO82" i="5"/>
  <c r="AO91" i="5"/>
  <c r="AO121" i="5"/>
  <c r="BF121" i="5" s="1"/>
  <c r="AO122" i="5"/>
  <c r="BF122" i="5" s="1"/>
  <c r="AO141" i="5"/>
  <c r="AO161" i="5"/>
  <c r="AO172" i="5"/>
  <c r="AO181" i="5"/>
  <c r="AO182" i="5"/>
  <c r="AO192" i="5"/>
  <c r="AO232" i="5"/>
  <c r="AO242" i="5"/>
  <c r="AO251" i="5"/>
  <c r="BF251" i="5" s="1"/>
  <c r="AO252" i="5"/>
  <c r="BF252" i="5" s="1"/>
  <c r="AO291" i="5"/>
  <c r="AO301" i="5"/>
  <c r="BF301" i="5" s="1"/>
  <c r="AO302" i="5"/>
  <c r="AO321" i="5"/>
  <c r="AO341" i="5"/>
  <c r="AO361" i="5"/>
  <c r="AO381" i="5"/>
  <c r="BF381" i="5" s="1"/>
  <c r="AO401" i="5"/>
  <c r="AR7" i="5"/>
  <c r="AR16" i="5"/>
  <c r="AR26" i="5"/>
  <c r="AR55" i="5"/>
  <c r="AR56" i="5"/>
  <c r="AR107" i="5"/>
  <c r="AR112" i="5"/>
  <c r="AR113" i="5"/>
  <c r="AR135" i="5"/>
  <c r="AR155" i="5"/>
  <c r="AR196" i="5"/>
  <c r="AR197" i="5"/>
  <c r="AR207" i="5"/>
  <c r="AR236" i="5"/>
  <c r="AR267" i="5"/>
  <c r="AR294" i="5"/>
  <c r="AR377" i="5"/>
  <c r="AR397" i="5"/>
  <c r="AR406" i="5"/>
  <c r="AS52" i="5"/>
  <c r="AS55" i="5"/>
  <c r="AS135" i="5"/>
  <c r="AS154" i="5"/>
  <c r="AS191" i="5"/>
  <c r="AS203" i="5"/>
  <c r="AS207" i="5"/>
  <c r="AS306" i="5"/>
  <c r="AS316" i="5"/>
  <c r="AS323" i="5"/>
  <c r="AS386" i="5"/>
  <c r="AS415" i="5"/>
  <c r="AS423" i="5"/>
  <c r="AT3" i="5"/>
  <c r="AL3" i="5" s="1"/>
  <c r="AT4" i="5"/>
  <c r="AL4" i="5" s="1"/>
  <c r="AT5" i="5"/>
  <c r="AL5" i="5" s="1"/>
  <c r="AT6" i="5"/>
  <c r="AT7" i="5"/>
  <c r="AL7" i="5" s="1"/>
  <c r="AT9" i="5"/>
  <c r="AT12" i="5"/>
  <c r="AT13" i="5"/>
  <c r="AL13" i="5" s="1"/>
  <c r="AT14" i="5"/>
  <c r="AL14" i="5" s="1"/>
  <c r="AT15" i="5"/>
  <c r="AL15" i="5" s="1"/>
  <c r="AT16" i="5"/>
  <c r="AL16" i="5" s="1"/>
  <c r="AT17" i="5"/>
  <c r="AL17" i="5" s="1"/>
  <c r="AR17" i="5" s="1"/>
  <c r="AT20" i="5"/>
  <c r="AT21" i="5"/>
  <c r="AT22" i="5"/>
  <c r="AT23" i="5"/>
  <c r="AL23" i="5" s="1"/>
  <c r="AT24" i="5"/>
  <c r="AL24" i="5" s="1"/>
  <c r="AT25" i="5"/>
  <c r="AL25" i="5" s="1"/>
  <c r="AR25" i="5" s="1"/>
  <c r="AT26" i="5"/>
  <c r="AL26" i="5" s="1"/>
  <c r="AT27" i="5"/>
  <c r="AL27" i="5" s="1"/>
  <c r="AR27" i="5" s="1"/>
  <c r="AT31" i="5"/>
  <c r="AL31" i="5" s="1"/>
  <c r="AT33" i="5"/>
  <c r="AT35" i="5"/>
  <c r="AT36" i="5"/>
  <c r="AL36" i="5" s="1"/>
  <c r="AR36" i="5" s="1"/>
  <c r="AT37" i="5"/>
  <c r="AT41" i="5"/>
  <c r="AL41" i="5" s="1"/>
  <c r="AT43" i="5"/>
  <c r="AL43" i="5" s="1"/>
  <c r="AT44" i="5"/>
  <c r="AL44" i="5" s="1"/>
  <c r="AT45" i="5"/>
  <c r="AL45" i="5" s="1"/>
  <c r="AT46" i="5"/>
  <c r="AL46" i="5" s="1"/>
  <c r="AR46" i="5" s="1"/>
  <c r="AT47" i="5"/>
  <c r="AL47" i="5" s="1"/>
  <c r="AR47" i="5" s="1"/>
  <c r="AT50" i="5"/>
  <c r="AT52" i="5"/>
  <c r="AL52" i="5" s="1"/>
  <c r="AT53" i="5"/>
  <c r="AT54" i="5"/>
  <c r="AL54" i="5" s="1"/>
  <c r="AT55" i="5"/>
  <c r="AL55" i="5" s="1"/>
  <c r="AT56" i="5"/>
  <c r="AL56" i="5" s="1"/>
  <c r="AT57" i="5"/>
  <c r="AL57" i="5" s="1"/>
  <c r="AT61" i="5"/>
  <c r="AL61" i="5" s="1"/>
  <c r="AT63" i="5"/>
  <c r="AL63" i="5" s="1"/>
  <c r="AT64" i="5"/>
  <c r="AT65" i="5"/>
  <c r="AT66" i="5"/>
  <c r="AL66" i="5" s="1"/>
  <c r="AR66" i="5" s="1"/>
  <c r="AT67" i="5"/>
  <c r="AL67" i="5" s="1"/>
  <c r="AR67" i="5" s="1"/>
  <c r="AT71" i="5"/>
  <c r="AT73" i="5"/>
  <c r="AL73" i="5" s="1"/>
  <c r="AT74" i="5"/>
  <c r="AL74" i="5" s="1"/>
  <c r="AT75" i="5"/>
  <c r="AL75" i="5" s="1"/>
  <c r="AT76" i="5"/>
  <c r="AL76" i="5" s="1"/>
  <c r="AR76" i="5" s="1"/>
  <c r="AT77" i="5"/>
  <c r="AL77" i="5" s="1"/>
  <c r="AR77" i="5" s="1"/>
  <c r="AT82" i="5"/>
  <c r="AL82" i="5" s="1"/>
  <c r="AM82" i="5" s="1"/>
  <c r="AP82" i="5" s="1"/>
  <c r="AT83" i="5"/>
  <c r="AT84" i="5"/>
  <c r="BH84" i="5" s="1" a="1"/>
  <c r="BH84" i="5" s="1"/>
  <c r="AT85" i="5"/>
  <c r="AL85" i="5" s="1"/>
  <c r="AT86" i="5"/>
  <c r="AL86" i="5" s="1"/>
  <c r="AT87" i="5"/>
  <c r="AL87" i="5" s="1"/>
  <c r="AT91" i="5"/>
  <c r="AL91" i="5" s="1"/>
  <c r="AT93" i="5"/>
  <c r="AL93" i="5" s="1"/>
  <c r="AR93" i="5" s="1"/>
  <c r="AT94" i="5"/>
  <c r="AT95" i="5"/>
  <c r="AT96" i="5"/>
  <c r="AL96" i="5" s="1"/>
  <c r="AR96" i="5" s="1"/>
  <c r="AT97" i="5"/>
  <c r="AL97" i="5" s="1"/>
  <c r="AR97" i="5" s="1"/>
  <c r="AT103" i="5"/>
  <c r="AL103" i="5" s="1"/>
  <c r="AT104" i="5"/>
  <c r="AL104" i="5" s="1"/>
  <c r="AT105" i="5"/>
  <c r="AL105" i="5" s="1"/>
  <c r="AT106" i="5"/>
  <c r="AL106" i="5" s="1"/>
  <c r="AR106" i="5" s="1"/>
  <c r="AT107" i="5"/>
  <c r="AL107" i="5" s="1"/>
  <c r="AT112" i="5"/>
  <c r="AL112" i="5" s="1"/>
  <c r="AT113" i="5"/>
  <c r="AL113" i="5" s="1"/>
  <c r="AT114" i="5"/>
  <c r="AL114" i="5" s="1"/>
  <c r="AT115" i="5"/>
  <c r="AT116" i="5"/>
  <c r="AL116" i="5" s="1"/>
  <c r="AR116" i="5" s="1"/>
  <c r="AT117" i="5"/>
  <c r="AL117" i="5" s="1"/>
  <c r="AR117" i="5" s="1"/>
  <c r="AT120" i="5"/>
  <c r="AL120" i="5" s="1"/>
  <c r="AT121" i="5"/>
  <c r="AT123" i="5"/>
  <c r="AL123" i="5" s="1"/>
  <c r="AT124" i="5"/>
  <c r="AL124" i="5" s="1"/>
  <c r="AT125" i="5"/>
  <c r="AT126" i="5"/>
  <c r="AL126" i="5" s="1"/>
  <c r="AR126" i="5" s="1"/>
  <c r="AT127" i="5"/>
  <c r="AL127" i="5" s="1"/>
  <c r="AR127" i="5" s="1"/>
  <c r="AT130" i="5"/>
  <c r="AL130" i="5" s="1"/>
  <c r="AT131" i="5"/>
  <c r="AL131" i="5" s="1"/>
  <c r="AT133" i="5"/>
  <c r="AT134" i="5"/>
  <c r="AT135" i="5"/>
  <c r="AL135" i="5" s="1"/>
  <c r="AT136" i="5"/>
  <c r="AL136" i="5" s="1"/>
  <c r="AR136" i="5" s="1"/>
  <c r="AT137" i="5"/>
  <c r="AL137" i="5" s="1"/>
  <c r="AR137" i="5" s="1"/>
  <c r="AT140" i="5"/>
  <c r="AL140" i="5" s="1"/>
  <c r="AT141" i="5"/>
  <c r="AT143" i="5"/>
  <c r="AL143" i="5" s="1"/>
  <c r="AT144" i="5"/>
  <c r="AL144" i="5" s="1"/>
  <c r="AT145" i="5"/>
  <c r="AT146" i="5"/>
  <c r="AL146" i="5" s="1"/>
  <c r="AR146" i="5" s="1"/>
  <c r="AT147" i="5"/>
  <c r="AL147" i="5" s="1"/>
  <c r="AR147" i="5" s="1"/>
  <c r="AT150" i="5"/>
  <c r="AT151" i="5"/>
  <c r="AT152" i="5"/>
  <c r="AL152" i="5" s="1"/>
  <c r="AT153" i="5"/>
  <c r="AL153" i="5" s="1"/>
  <c r="AT154" i="5"/>
  <c r="AL154" i="5" s="1"/>
  <c r="AT155" i="5"/>
  <c r="AL155" i="5" s="1"/>
  <c r="AT156" i="5"/>
  <c r="AL156" i="5" s="1"/>
  <c r="AR156" i="5" s="1"/>
  <c r="AT157" i="5"/>
  <c r="AL157" i="5" s="1"/>
  <c r="AT161" i="5"/>
  <c r="AL161" i="5" s="1"/>
  <c r="AT163" i="5"/>
  <c r="AL163" i="5" s="1"/>
  <c r="AT164" i="5"/>
  <c r="AT165" i="5"/>
  <c r="AT166" i="5"/>
  <c r="AL166" i="5" s="1"/>
  <c r="AR166" i="5" s="1"/>
  <c r="AT167" i="5"/>
  <c r="AL167" i="5" s="1"/>
  <c r="AR167" i="5" s="1"/>
  <c r="AT170" i="5"/>
  <c r="AL170" i="5" s="1"/>
  <c r="AT171" i="5"/>
  <c r="AT173" i="5"/>
  <c r="AL173" i="5" s="1"/>
  <c r="AT175" i="5"/>
  <c r="AL175" i="5" s="1"/>
  <c r="AT176" i="5"/>
  <c r="AL176" i="5" s="1"/>
  <c r="AR176" i="5" s="1"/>
  <c r="AT177" i="5"/>
  <c r="AT181" i="5"/>
  <c r="AT182" i="5"/>
  <c r="AL182" i="5" s="1"/>
  <c r="AS182" i="5" s="1"/>
  <c r="AT183" i="5"/>
  <c r="AT184" i="5"/>
  <c r="AL184" i="5" s="1"/>
  <c r="AR184" i="5" s="1"/>
  <c r="AT185" i="5"/>
  <c r="AL185" i="5" s="1"/>
  <c r="AT186" i="5"/>
  <c r="AL186" i="5" s="1"/>
  <c r="AT187" i="5"/>
  <c r="AL187" i="5" s="1"/>
  <c r="AM187" i="5" s="1"/>
  <c r="AT190" i="5"/>
  <c r="AL190" i="5" s="1"/>
  <c r="AT191" i="5"/>
  <c r="AL191" i="5" s="1"/>
  <c r="AT192" i="5"/>
  <c r="AT193" i="5"/>
  <c r="AT194" i="5"/>
  <c r="AL194" i="5" s="1"/>
  <c r="AT195" i="5"/>
  <c r="AT196" i="5"/>
  <c r="AL196" i="5" s="1"/>
  <c r="AT197" i="5"/>
  <c r="AL197" i="5" s="1"/>
  <c r="AM197" i="5" s="1"/>
  <c r="AT200" i="5"/>
  <c r="AL200" i="5" s="1"/>
  <c r="AT201" i="5"/>
  <c r="AL201" i="5" s="1"/>
  <c r="AT203" i="5"/>
  <c r="AL203" i="5" s="1"/>
  <c r="AT204" i="5"/>
  <c r="AT205" i="5"/>
  <c r="AT206" i="5"/>
  <c r="AT207" i="5"/>
  <c r="AL207" i="5" s="1"/>
  <c r="AM207" i="5" s="1"/>
  <c r="AT210" i="5"/>
  <c r="AL210" i="5" s="1"/>
  <c r="AT211" i="5"/>
  <c r="AL211" i="5" s="1"/>
  <c r="AT213" i="5"/>
  <c r="AL213" i="5" s="1"/>
  <c r="AT214" i="5"/>
  <c r="AL214" i="5" s="1"/>
  <c r="AS214" i="5" s="1"/>
  <c r="AT215" i="5"/>
  <c r="AL215" i="5" s="1"/>
  <c r="AT216" i="5"/>
  <c r="AT217" i="5"/>
  <c r="AL217" i="5" s="1"/>
  <c r="AS217" i="5" s="1"/>
  <c r="AT220" i="5"/>
  <c r="AT221" i="5"/>
  <c r="AT223" i="5"/>
  <c r="AL223" i="5" s="1"/>
  <c r="AT224" i="5"/>
  <c r="AL224" i="5" s="1"/>
  <c r="AT225" i="5"/>
  <c r="AL225" i="5" s="1"/>
  <c r="AT226" i="5"/>
  <c r="AL226" i="5" s="1"/>
  <c r="AR226" i="5" s="1"/>
  <c r="AT227" i="5"/>
  <c r="AL227" i="5" s="1"/>
  <c r="AT231" i="5"/>
  <c r="AT232" i="5"/>
  <c r="AT233" i="5"/>
  <c r="AT235" i="5"/>
  <c r="AT236" i="5"/>
  <c r="AL236" i="5" s="1"/>
  <c r="AT237" i="5"/>
  <c r="AL237" i="5" s="1"/>
  <c r="AT240" i="5"/>
  <c r="AL240" i="5" s="1"/>
  <c r="AS240" i="5" s="1"/>
  <c r="AT241" i="5"/>
  <c r="AL241" i="5" s="1"/>
  <c r="AR241" i="5" s="1"/>
  <c r="AT243" i="5"/>
  <c r="AL243" i="5" s="1"/>
  <c r="AT244" i="5"/>
  <c r="AL244" i="5" s="1"/>
  <c r="AT245" i="5"/>
  <c r="BG245" i="5" s="1"/>
  <c r="AT246" i="5"/>
  <c r="AL246" i="5" s="1"/>
  <c r="AR246" i="5" s="1"/>
  <c r="AT247" i="5"/>
  <c r="AL247" i="5" s="1"/>
  <c r="AS247" i="5" s="1"/>
  <c r="AT251" i="5"/>
  <c r="AL251" i="5" s="1"/>
  <c r="AM251" i="5" s="1"/>
  <c r="AT253" i="5"/>
  <c r="AL253" i="5" s="1"/>
  <c r="AT254" i="5"/>
  <c r="AL254" i="5" s="1"/>
  <c r="AR254" i="5" s="1"/>
  <c r="AT255" i="5"/>
  <c r="AL255" i="5" s="1"/>
  <c r="AR255" i="5" s="1"/>
  <c r="AT256" i="5"/>
  <c r="AL256" i="5" s="1"/>
  <c r="AR256" i="5" s="1"/>
  <c r="AT257" i="5"/>
  <c r="AT261" i="5"/>
  <c r="AT263" i="5"/>
  <c r="AL263" i="5" s="1"/>
  <c r="AT264" i="5"/>
  <c r="AT265" i="5"/>
  <c r="AL265" i="5" s="1"/>
  <c r="AR265" i="5" s="1"/>
  <c r="AT266" i="5"/>
  <c r="AL266" i="5" s="1"/>
  <c r="AR266" i="5" s="1"/>
  <c r="AT267" i="5"/>
  <c r="AL267" i="5" s="1"/>
  <c r="AT270" i="5"/>
  <c r="AL270" i="5" s="1"/>
  <c r="AS270" i="5" s="1"/>
  <c r="AT271" i="5"/>
  <c r="AT273" i="5"/>
  <c r="AL273" i="5" s="1"/>
  <c r="AT275" i="5"/>
  <c r="AL275" i="5" s="1"/>
  <c r="AT276" i="5"/>
  <c r="AL276" i="5" s="1"/>
  <c r="AR276" i="5" s="1"/>
  <c r="AT277" i="5"/>
  <c r="AT281" i="5"/>
  <c r="AL281" i="5" s="1"/>
  <c r="AM281" i="5" s="1"/>
  <c r="AP281" i="5" s="1"/>
  <c r="AT283" i="5"/>
  <c r="AL283" i="5" s="1"/>
  <c r="AT284" i="5"/>
  <c r="AL284" i="5" s="1"/>
  <c r="AS284" i="5" s="1"/>
  <c r="AT285" i="5"/>
  <c r="AL285" i="5" s="1"/>
  <c r="AT286" i="5"/>
  <c r="AL286" i="5" s="1"/>
  <c r="AT287" i="5"/>
  <c r="AL287" i="5" s="1"/>
  <c r="AT290" i="5"/>
  <c r="AL290" i="5" s="1"/>
  <c r="AT291" i="5"/>
  <c r="AL291" i="5" s="1"/>
  <c r="AT292" i="5"/>
  <c r="AL292" i="5" s="1"/>
  <c r="AT293" i="5"/>
  <c r="AL293" i="5" s="1"/>
  <c r="AR293" i="5" s="1"/>
  <c r="AT294" i="5"/>
  <c r="AL294" i="5" s="1"/>
  <c r="AS294" i="5" s="1"/>
  <c r="AT295" i="5"/>
  <c r="AL295" i="5" s="1"/>
  <c r="AT296" i="5"/>
  <c r="AL296" i="5" s="1"/>
  <c r="AR296" i="5" s="1"/>
  <c r="AT297" i="5"/>
  <c r="AL297" i="5" s="1"/>
  <c r="AT300" i="5"/>
  <c r="AL300" i="5" s="1"/>
  <c r="AT301" i="5"/>
  <c r="AL301" i="5" s="1"/>
  <c r="AT302" i="5"/>
  <c r="AT303" i="5"/>
  <c r="AT304" i="5"/>
  <c r="AT305" i="5"/>
  <c r="AL305" i="5" s="1"/>
  <c r="AT306" i="5"/>
  <c r="AL306" i="5" s="1"/>
  <c r="AT307" i="5"/>
  <c r="AL307" i="5" s="1"/>
  <c r="AT310" i="5"/>
  <c r="AL310" i="5" s="1"/>
  <c r="AT311" i="5"/>
  <c r="AL311" i="5" s="1"/>
  <c r="AT313" i="5"/>
  <c r="AL313" i="5" s="1"/>
  <c r="AT314" i="5"/>
  <c r="AT315" i="5"/>
  <c r="AT316" i="5"/>
  <c r="AL316" i="5" s="1"/>
  <c r="AM316" i="5" s="1"/>
  <c r="AT317" i="5"/>
  <c r="AL317" i="5" s="1"/>
  <c r="AT320" i="5"/>
  <c r="AL320" i="5" s="1"/>
  <c r="AT321" i="5"/>
  <c r="AL321" i="5" s="1"/>
  <c r="AT323" i="5"/>
  <c r="AL323" i="5" s="1"/>
  <c r="AT325" i="5"/>
  <c r="AL325" i="5" s="1"/>
  <c r="AT326" i="5"/>
  <c r="AT327" i="5"/>
  <c r="AL327" i="5" s="1"/>
  <c r="AT331" i="5"/>
  <c r="AL331" i="5" s="1"/>
  <c r="AT333" i="5"/>
  <c r="AT335" i="5"/>
  <c r="AL335" i="5" s="1"/>
  <c r="AT336" i="5"/>
  <c r="AL336" i="5" s="1"/>
  <c r="AT337" i="5"/>
  <c r="AL337" i="5" s="1"/>
  <c r="AT340" i="5"/>
  <c r="AL340" i="5" s="1"/>
  <c r="AT341" i="5"/>
  <c r="AT342" i="5"/>
  <c r="AT343" i="5"/>
  <c r="AT345" i="5"/>
  <c r="AT346" i="5"/>
  <c r="AL346" i="5" s="1"/>
  <c r="AT347" i="5"/>
  <c r="AL347" i="5" s="1"/>
  <c r="AT351" i="5"/>
  <c r="AL351" i="5" s="1"/>
  <c r="AR351" i="5" s="1"/>
  <c r="AT353" i="5"/>
  <c r="AL353" i="5" s="1"/>
  <c r="AT354" i="5"/>
  <c r="AT355" i="5"/>
  <c r="AT356" i="5"/>
  <c r="AL356" i="5" s="1"/>
  <c r="AT357" i="5"/>
  <c r="AL357" i="5" s="1"/>
  <c r="AT361" i="5"/>
  <c r="AL361" i="5" s="1"/>
  <c r="AT363" i="5"/>
  <c r="AL363" i="5" s="1"/>
  <c r="AS363" i="5" s="1"/>
  <c r="AT365" i="5"/>
  <c r="AL365" i="5" s="1"/>
  <c r="AT366" i="5"/>
  <c r="AL366" i="5" s="1"/>
  <c r="AS366" i="5" s="1"/>
  <c r="AT367" i="5"/>
  <c r="AT370" i="5"/>
  <c r="AL370" i="5" s="1"/>
  <c r="AT371" i="5"/>
  <c r="AL371" i="5" s="1"/>
  <c r="AT373" i="5"/>
  <c r="AL373" i="5" s="1"/>
  <c r="AS373" i="5" s="1"/>
  <c r="AT375" i="5"/>
  <c r="AL375" i="5" s="1"/>
  <c r="AS375" i="5" s="1"/>
  <c r="AT376" i="5"/>
  <c r="AL376" i="5" s="1"/>
  <c r="AT377" i="5"/>
  <c r="AL377" i="5" s="1"/>
  <c r="AT381" i="5"/>
  <c r="AL381" i="5" s="1"/>
  <c r="AR381" i="5" s="1"/>
  <c r="AT382" i="5"/>
  <c r="AT383" i="5"/>
  <c r="AT384" i="5"/>
  <c r="AT385" i="5"/>
  <c r="AL385" i="5" s="1"/>
  <c r="AT386" i="5"/>
  <c r="AL386" i="5" s="1"/>
  <c r="AT387" i="5"/>
  <c r="AL387" i="5" s="1"/>
  <c r="AT390" i="5"/>
  <c r="AL390" i="5" s="1"/>
  <c r="AT391" i="5"/>
  <c r="AL391" i="5" s="1"/>
  <c r="AT393" i="5"/>
  <c r="AL393" i="5" s="1"/>
  <c r="AT394" i="5"/>
  <c r="AL394" i="5" s="1"/>
  <c r="AT395" i="5"/>
  <c r="AT396" i="5"/>
  <c r="AT397" i="5"/>
  <c r="AL397" i="5" s="1"/>
  <c r="AT400" i="5"/>
  <c r="AL400" i="5" s="1"/>
  <c r="AT401" i="5"/>
  <c r="AL401" i="5" s="1"/>
  <c r="AT403" i="5"/>
  <c r="AL403" i="5" s="1"/>
  <c r="AT405" i="5"/>
  <c r="AT406" i="5"/>
  <c r="AL406" i="5" s="1"/>
  <c r="AM406" i="5" s="1"/>
  <c r="AT407" i="5"/>
  <c r="AT410" i="5"/>
  <c r="AL410" i="5" s="1"/>
  <c r="AT411" i="5"/>
  <c r="AL411" i="5" s="1"/>
  <c r="AT413" i="5"/>
  <c r="AL413" i="5" s="1"/>
  <c r="AT414" i="5"/>
  <c r="AL414" i="5" s="1"/>
  <c r="AT415" i="5"/>
  <c r="AL415" i="5" s="1"/>
  <c r="AT416" i="5"/>
  <c r="AL416" i="5" s="1"/>
  <c r="AS416" i="5" s="1"/>
  <c r="AT417" i="5"/>
  <c r="AT420" i="5"/>
  <c r="AT421" i="5"/>
  <c r="AL421" i="5" s="1"/>
  <c r="AT422" i="5"/>
  <c r="AT423" i="5"/>
  <c r="AL423" i="5" s="1"/>
  <c r="AT425" i="5"/>
  <c r="AL425" i="5" s="1"/>
  <c r="AT426" i="5"/>
  <c r="AL426" i="5" s="1"/>
  <c r="AT427" i="5"/>
  <c r="AL427" i="5" s="1"/>
  <c r="AT432" i="5"/>
  <c r="AT433" i="5"/>
  <c r="AT434" i="5"/>
  <c r="AT435" i="5"/>
  <c r="AT436" i="5"/>
  <c r="AL436" i="5" s="1"/>
  <c r="AT437" i="5"/>
  <c r="AL437" i="5" s="1"/>
  <c r="AT440" i="5"/>
  <c r="AL440" i="5" s="1"/>
  <c r="AT443" i="5"/>
  <c r="AL443" i="5" s="1"/>
  <c r="AS443" i="5" s="1"/>
  <c r="AU2" i="5"/>
  <c r="AU3" i="5"/>
  <c r="AU4" i="5"/>
  <c r="AV4" i="5" s="1"/>
  <c r="AU5" i="5"/>
  <c r="AV5" i="5" s="1"/>
  <c r="AU15" i="5"/>
  <c r="AU23" i="5"/>
  <c r="AV23" i="5" s="1"/>
  <c r="AU25" i="5"/>
  <c r="AV25" i="5" s="1"/>
  <c r="AU31" i="5"/>
  <c r="AU41" i="5"/>
  <c r="AV41" i="5" s="1"/>
  <c r="AU43" i="5"/>
  <c r="AU44" i="5"/>
  <c r="AV44" i="5" s="1"/>
  <c r="AU45" i="5"/>
  <c r="AV45" i="5" s="1"/>
  <c r="AU52" i="5"/>
  <c r="AU53" i="5"/>
  <c r="AU54" i="5"/>
  <c r="AV54" i="5" s="1"/>
  <c r="AU55" i="5"/>
  <c r="AV55" i="5" s="1"/>
  <c r="AU61" i="5"/>
  <c r="AU73" i="5"/>
  <c r="AU75" i="5"/>
  <c r="AV75" i="5" s="1"/>
  <c r="AU85" i="5"/>
  <c r="AV85" i="5" s="1"/>
  <c r="AU91" i="5"/>
  <c r="AV91" i="5" s="1"/>
  <c r="AU93" i="5"/>
  <c r="AV93" i="5" s="1"/>
  <c r="AU103" i="5"/>
  <c r="AV103" i="5" s="1"/>
  <c r="AU104" i="5"/>
  <c r="AV104" i="5" s="1"/>
  <c r="AU105" i="5"/>
  <c r="AV105" i="5" s="1"/>
  <c r="AU112" i="5"/>
  <c r="AU114" i="5"/>
  <c r="AU123" i="5"/>
  <c r="AU131" i="5"/>
  <c r="AV131" i="5" s="1"/>
  <c r="AU135" i="5"/>
  <c r="AV135" i="5" s="1"/>
  <c r="AU140" i="5"/>
  <c r="AV140" i="5" s="1"/>
  <c r="AU143" i="5"/>
  <c r="AV143" i="5" s="1"/>
  <c r="AU144" i="5"/>
  <c r="AV144" i="5" s="1"/>
  <c r="AU152" i="5"/>
  <c r="AV152" i="5" s="1"/>
  <c r="AU153" i="5"/>
  <c r="AU154" i="5"/>
  <c r="AV154" i="5" s="1"/>
  <c r="AU155" i="5"/>
  <c r="AV155" i="5" s="1"/>
  <c r="AU161" i="5"/>
  <c r="AV161" i="5" s="1"/>
  <c r="AU173" i="5"/>
  <c r="AV173" i="5" s="1"/>
  <c r="AU175" i="5"/>
  <c r="AV175" i="5" s="1"/>
  <c r="AU181" i="5"/>
  <c r="BM181" i="5" s="1"/>
  <c r="AU182" i="5"/>
  <c r="AU184" i="5"/>
  <c r="AU185" i="5"/>
  <c r="AU191" i="5"/>
  <c r="AU194" i="5"/>
  <c r="AV194" i="5" s="1"/>
  <c r="AU203" i="5"/>
  <c r="AV203" i="5" s="1"/>
  <c r="AU211" i="5"/>
  <c r="AV211" i="5" s="1"/>
  <c r="AU214" i="5"/>
  <c r="AU215" i="5"/>
  <c r="AV215" i="5" s="1"/>
  <c r="AU217" i="5"/>
  <c r="AV217" i="5" s="1"/>
  <c r="AU220" i="5"/>
  <c r="AU223" i="5"/>
  <c r="AU241" i="5"/>
  <c r="AV241" i="5" s="1"/>
  <c r="AU243" i="5"/>
  <c r="AV243" i="5" s="1"/>
  <c r="AU244" i="5"/>
  <c r="AU251" i="5"/>
  <c r="AU252" i="5"/>
  <c r="AV252" i="5" s="1"/>
  <c r="AU253" i="5"/>
  <c r="AV253" i="5" s="1"/>
  <c r="AU254" i="5"/>
  <c r="AV254" i="5" s="1"/>
  <c r="AU255" i="5"/>
  <c r="AU265" i="5"/>
  <c r="AV265" i="5" s="1"/>
  <c r="AU273" i="5"/>
  <c r="AV273" i="5" s="1"/>
  <c r="AU275" i="5"/>
  <c r="AU281" i="5"/>
  <c r="AU283" i="5"/>
  <c r="AU284" i="5"/>
  <c r="AU285" i="5"/>
  <c r="AV285" i="5" s="1"/>
  <c r="AU287" i="5"/>
  <c r="AU290" i="5"/>
  <c r="BI290" i="5" s="1"/>
  <c r="AU291" i="5"/>
  <c r="AU292" i="5"/>
  <c r="AU293" i="5"/>
  <c r="AU294" i="5"/>
  <c r="AU295" i="5"/>
  <c r="AU305" i="5"/>
  <c r="AV305" i="5" s="1"/>
  <c r="AU307" i="5"/>
  <c r="AU310" i="5"/>
  <c r="BI310" i="5" s="1"/>
  <c r="AU311" i="5"/>
  <c r="AV311" i="5" s="1"/>
  <c r="AU321" i="5"/>
  <c r="AU323" i="5"/>
  <c r="AU331" i="5"/>
  <c r="AV331" i="5" s="1"/>
  <c r="AU335" i="5"/>
  <c r="AV335" i="5" s="1"/>
  <c r="AU351" i="5"/>
  <c r="AU352" i="5"/>
  <c r="AV352" i="5" s="1"/>
  <c r="AU353" i="5"/>
  <c r="AV353" i="5" s="1"/>
  <c r="AU361" i="5"/>
  <c r="AV361" i="5" s="1"/>
  <c r="AU365" i="5"/>
  <c r="AV365" i="5" s="1"/>
  <c r="AU381" i="5"/>
  <c r="AV381" i="5" s="1"/>
  <c r="AU385" i="5"/>
  <c r="AU391" i="5"/>
  <c r="AV391" i="5" s="1"/>
  <c r="AU393" i="5"/>
  <c r="AV393" i="5" s="1"/>
  <c r="AU394" i="5"/>
  <c r="AU397" i="5"/>
  <c r="AV397" i="5" s="1"/>
  <c r="AU400" i="5"/>
  <c r="BI400" i="5" s="1"/>
  <c r="AU401" i="5"/>
  <c r="AU411" i="5"/>
  <c r="AV411" i="5" s="1"/>
  <c r="AU415" i="5"/>
  <c r="AU440" i="5"/>
  <c r="AV440" i="5" s="1"/>
  <c r="AU442" i="5"/>
  <c r="AV442" i="5" s="1"/>
  <c r="AU443" i="5"/>
  <c r="AV443" i="5" s="1"/>
  <c r="AV15" i="5"/>
  <c r="AV43" i="5"/>
  <c r="AV61" i="5"/>
  <c r="AV73" i="5"/>
  <c r="AV112" i="5"/>
  <c r="AV114" i="5"/>
  <c r="AV123" i="5"/>
  <c r="AV182" i="5"/>
  <c r="AV185" i="5"/>
  <c r="AV191" i="5"/>
  <c r="AV214" i="5"/>
  <c r="AV255" i="5"/>
  <c r="AV275" i="5"/>
  <c r="AV281" i="5"/>
  <c r="AV293" i="5"/>
  <c r="AV295" i="5"/>
  <c r="AV323" i="5"/>
  <c r="AV385" i="5"/>
  <c r="AV415" i="5"/>
  <c r="AW2" i="5"/>
  <c r="AW3" i="5"/>
  <c r="AW4" i="5"/>
  <c r="AW5" i="5"/>
  <c r="AW6" i="5"/>
  <c r="AW7" i="5"/>
  <c r="AW8" i="5"/>
  <c r="AW9" i="5"/>
  <c r="AW10" i="5"/>
  <c r="AW11" i="5"/>
  <c r="AW12" i="5"/>
  <c r="AW13" i="5"/>
  <c r="AW14" i="5"/>
  <c r="AW15" i="5"/>
  <c r="AW16"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 r="AW249" i="5"/>
  <c r="AW250" i="5"/>
  <c r="AW251" i="5"/>
  <c r="AW252" i="5"/>
  <c r="AW253" i="5"/>
  <c r="AW254" i="5"/>
  <c r="AW255"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12" i="5"/>
  <c r="AW313" i="5"/>
  <c r="AW314" i="5"/>
  <c r="AW315" i="5"/>
  <c r="AW316" i="5"/>
  <c r="AW317" i="5"/>
  <c r="AW318" i="5"/>
  <c r="AW319" i="5"/>
  <c r="AW320" i="5"/>
  <c r="AW321" i="5"/>
  <c r="AW322" i="5"/>
  <c r="AW323" i="5"/>
  <c r="AW324" i="5"/>
  <c r="AW325" i="5"/>
  <c r="AW326" i="5"/>
  <c r="AW327" i="5"/>
  <c r="AW328" i="5"/>
  <c r="AW329" i="5"/>
  <c r="AW330" i="5"/>
  <c r="AW331" i="5"/>
  <c r="AW332" i="5"/>
  <c r="AW333" i="5"/>
  <c r="AW334" i="5"/>
  <c r="AW335" i="5"/>
  <c r="AW336" i="5"/>
  <c r="AW337" i="5"/>
  <c r="AW338" i="5"/>
  <c r="AW339" i="5"/>
  <c r="AW340" i="5"/>
  <c r="AW341" i="5"/>
  <c r="AW342" i="5"/>
  <c r="AW343" i="5"/>
  <c r="AW344" i="5"/>
  <c r="AW345" i="5"/>
  <c r="AW346" i="5"/>
  <c r="AW347" i="5"/>
  <c r="AW348" i="5"/>
  <c r="AW349" i="5"/>
  <c r="AW350" i="5"/>
  <c r="AW351" i="5"/>
  <c r="AW352" i="5"/>
  <c r="AW353" i="5"/>
  <c r="AW354" i="5"/>
  <c r="AW355" i="5"/>
  <c r="AW356" i="5"/>
  <c r="AW357" i="5"/>
  <c r="AW358" i="5"/>
  <c r="AW359" i="5"/>
  <c r="AW360" i="5"/>
  <c r="AW361" i="5"/>
  <c r="AW362" i="5"/>
  <c r="AW363" i="5"/>
  <c r="AW364" i="5"/>
  <c r="AW365" i="5"/>
  <c r="AW366" i="5"/>
  <c r="AW367" i="5"/>
  <c r="AW368" i="5"/>
  <c r="AW369" i="5"/>
  <c r="AW370" i="5"/>
  <c r="AW371" i="5"/>
  <c r="AW372" i="5"/>
  <c r="AW373" i="5"/>
  <c r="AW374" i="5"/>
  <c r="AW375" i="5"/>
  <c r="AW376" i="5"/>
  <c r="AW377" i="5"/>
  <c r="AW378" i="5"/>
  <c r="AW379" i="5"/>
  <c r="AW380" i="5"/>
  <c r="AW381" i="5"/>
  <c r="AW382" i="5"/>
  <c r="AW383" i="5"/>
  <c r="AW384" i="5"/>
  <c r="AW385" i="5"/>
  <c r="AW386" i="5"/>
  <c r="AW387" i="5"/>
  <c r="AW388" i="5"/>
  <c r="AW389" i="5"/>
  <c r="AW390" i="5"/>
  <c r="AW391" i="5"/>
  <c r="AW392" i="5"/>
  <c r="AW393" i="5"/>
  <c r="AW394" i="5"/>
  <c r="AW395" i="5"/>
  <c r="AW396" i="5"/>
  <c r="AW397" i="5"/>
  <c r="AW398" i="5"/>
  <c r="AW399" i="5"/>
  <c r="AW400" i="5"/>
  <c r="AW401" i="5"/>
  <c r="AW402" i="5"/>
  <c r="AW403" i="5"/>
  <c r="AW404" i="5"/>
  <c r="AW405" i="5"/>
  <c r="AW406" i="5"/>
  <c r="AW407" i="5"/>
  <c r="AW408" i="5"/>
  <c r="AW409" i="5"/>
  <c r="AW410" i="5"/>
  <c r="AW411" i="5"/>
  <c r="AW412" i="5"/>
  <c r="AW413" i="5"/>
  <c r="AW414" i="5"/>
  <c r="AW415" i="5"/>
  <c r="AW416" i="5"/>
  <c r="AW417" i="5"/>
  <c r="AW418" i="5"/>
  <c r="AW419" i="5"/>
  <c r="AW420" i="5"/>
  <c r="AW421" i="5"/>
  <c r="AW422" i="5"/>
  <c r="AW423" i="5"/>
  <c r="AW424" i="5"/>
  <c r="AW425" i="5"/>
  <c r="AW426" i="5"/>
  <c r="AW427" i="5"/>
  <c r="AW428" i="5"/>
  <c r="AW429" i="5"/>
  <c r="AW430" i="5"/>
  <c r="AW431" i="5"/>
  <c r="AW432" i="5"/>
  <c r="AW433" i="5"/>
  <c r="AW434" i="5"/>
  <c r="AW435" i="5"/>
  <c r="AW436" i="5"/>
  <c r="AW437" i="5"/>
  <c r="AW438" i="5"/>
  <c r="AW439" i="5"/>
  <c r="AW440" i="5"/>
  <c r="AW441" i="5"/>
  <c r="AW442" i="5"/>
  <c r="AW443" i="5"/>
  <c r="AX2" i="5"/>
  <c r="AX3" i="5"/>
  <c r="AX4" i="5"/>
  <c r="AX5" i="5"/>
  <c r="AX6" i="5"/>
  <c r="AX7" i="5"/>
  <c r="AX8" i="5"/>
  <c r="AX9" i="5"/>
  <c r="AX10" i="5"/>
  <c r="AX11" i="5"/>
  <c r="AX12" i="5"/>
  <c r="AX13" i="5"/>
  <c r="AX14" i="5"/>
  <c r="AX15" i="5"/>
  <c r="AX16" i="5"/>
  <c r="AX17" i="5"/>
  <c r="AX18" i="5"/>
  <c r="AX19" i="5"/>
  <c r="AX20" i="5"/>
  <c r="AX21" i="5"/>
  <c r="AX22" i="5"/>
  <c r="AX23" i="5"/>
  <c r="AX24" i="5"/>
  <c r="AX25" i="5"/>
  <c r="AX26" i="5"/>
  <c r="AX27" i="5"/>
  <c r="AX28" i="5"/>
  <c r="AX29" i="5"/>
  <c r="AX30" i="5"/>
  <c r="AX31" i="5"/>
  <c r="AX32" i="5"/>
  <c r="AX33" i="5"/>
  <c r="AX34" i="5"/>
  <c r="AX35" i="5"/>
  <c r="AX36" i="5"/>
  <c r="AX37" i="5"/>
  <c r="AX38" i="5"/>
  <c r="AX39" i="5"/>
  <c r="AX40" i="5"/>
  <c r="AX41" i="5"/>
  <c r="AX42" i="5"/>
  <c r="AX43" i="5"/>
  <c r="AX44" i="5"/>
  <c r="AX45" i="5"/>
  <c r="AX46" i="5"/>
  <c r="AX47" i="5"/>
  <c r="AX48" i="5"/>
  <c r="AX49" i="5"/>
  <c r="AX50" i="5"/>
  <c r="AX51" i="5"/>
  <c r="AX52" i="5"/>
  <c r="AX53" i="5"/>
  <c r="AX54" i="5"/>
  <c r="AX55" i="5"/>
  <c r="AX56" i="5"/>
  <c r="AX57" i="5"/>
  <c r="AX58" i="5"/>
  <c r="AX59" i="5"/>
  <c r="AX60" i="5"/>
  <c r="AX61" i="5"/>
  <c r="AX62" i="5"/>
  <c r="AX63" i="5"/>
  <c r="AX64" i="5"/>
  <c r="AX65" i="5"/>
  <c r="AX66" i="5"/>
  <c r="AX67" i="5"/>
  <c r="AX68" i="5"/>
  <c r="AX69" i="5"/>
  <c r="AX70" i="5"/>
  <c r="AX71" i="5"/>
  <c r="AX72" i="5"/>
  <c r="AX73" i="5"/>
  <c r="AX74" i="5"/>
  <c r="AX75" i="5"/>
  <c r="AX76" i="5"/>
  <c r="AX77" i="5"/>
  <c r="AX78" i="5"/>
  <c r="AX79" i="5"/>
  <c r="AX80" i="5"/>
  <c r="AX81" i="5"/>
  <c r="AX82" i="5"/>
  <c r="AX83" i="5"/>
  <c r="AX84" i="5"/>
  <c r="AX85" i="5"/>
  <c r="AX86" i="5"/>
  <c r="AX87" i="5"/>
  <c r="AX88" i="5"/>
  <c r="AX89" i="5"/>
  <c r="AX90" i="5"/>
  <c r="AX91" i="5"/>
  <c r="AX92" i="5"/>
  <c r="AX93" i="5"/>
  <c r="AX94" i="5"/>
  <c r="AX95" i="5"/>
  <c r="AX96" i="5"/>
  <c r="AX97" i="5"/>
  <c r="AX98" i="5"/>
  <c r="AX99" i="5"/>
  <c r="AX100" i="5"/>
  <c r="AX101" i="5"/>
  <c r="AX102" i="5"/>
  <c r="AX103" i="5"/>
  <c r="AX104" i="5"/>
  <c r="AX105" i="5"/>
  <c r="AX106" i="5"/>
  <c r="AX107" i="5"/>
  <c r="AX108" i="5"/>
  <c r="AX109" i="5"/>
  <c r="AX110" i="5"/>
  <c r="AX111" i="5"/>
  <c r="AX112" i="5"/>
  <c r="AX113" i="5"/>
  <c r="AX114" i="5"/>
  <c r="AX115" i="5"/>
  <c r="AX116" i="5"/>
  <c r="AX117" i="5"/>
  <c r="AX118" i="5"/>
  <c r="AX119" i="5"/>
  <c r="AX120" i="5"/>
  <c r="AX121" i="5"/>
  <c r="AX122" i="5"/>
  <c r="AX123" i="5"/>
  <c r="AX124" i="5"/>
  <c r="AX125" i="5"/>
  <c r="AX126" i="5"/>
  <c r="AX127" i="5"/>
  <c r="AX128" i="5"/>
  <c r="AX129" i="5"/>
  <c r="AX130" i="5"/>
  <c r="AX131" i="5"/>
  <c r="AX132" i="5"/>
  <c r="AX133" i="5"/>
  <c r="AX134" i="5"/>
  <c r="AX135" i="5"/>
  <c r="AX136" i="5"/>
  <c r="AX137" i="5"/>
  <c r="AX138" i="5"/>
  <c r="AX139" i="5"/>
  <c r="AX140" i="5"/>
  <c r="AX141" i="5"/>
  <c r="AX142" i="5"/>
  <c r="AX143" i="5"/>
  <c r="AX144" i="5"/>
  <c r="AX145" i="5"/>
  <c r="AX146" i="5"/>
  <c r="AX147" i="5"/>
  <c r="AX148" i="5"/>
  <c r="AX149" i="5"/>
  <c r="AX150" i="5"/>
  <c r="AX151" i="5"/>
  <c r="AX152" i="5"/>
  <c r="AX153" i="5"/>
  <c r="AX154" i="5"/>
  <c r="AX155" i="5"/>
  <c r="AX156" i="5"/>
  <c r="AX157" i="5"/>
  <c r="AX158" i="5"/>
  <c r="AX159" i="5"/>
  <c r="AX160" i="5"/>
  <c r="AX161" i="5"/>
  <c r="AX162" i="5"/>
  <c r="AX163" i="5"/>
  <c r="AX164" i="5"/>
  <c r="AX165" i="5"/>
  <c r="AX166" i="5"/>
  <c r="AX167" i="5"/>
  <c r="AX168" i="5"/>
  <c r="AX169" i="5"/>
  <c r="AX170" i="5"/>
  <c r="AX171" i="5"/>
  <c r="AX172" i="5"/>
  <c r="AX173" i="5"/>
  <c r="AX174" i="5"/>
  <c r="AX175" i="5"/>
  <c r="AX176" i="5"/>
  <c r="AX177" i="5"/>
  <c r="AX178" i="5"/>
  <c r="AX179" i="5"/>
  <c r="AX180" i="5"/>
  <c r="AX181" i="5"/>
  <c r="AX182" i="5"/>
  <c r="AX183" i="5"/>
  <c r="AX184" i="5"/>
  <c r="AX185" i="5"/>
  <c r="AX186" i="5"/>
  <c r="AX187" i="5"/>
  <c r="AX188" i="5"/>
  <c r="AX189" i="5"/>
  <c r="AX190" i="5"/>
  <c r="AX191" i="5"/>
  <c r="AX192" i="5"/>
  <c r="AX193" i="5"/>
  <c r="AX194" i="5"/>
  <c r="AX195" i="5"/>
  <c r="AX196" i="5"/>
  <c r="AX197" i="5"/>
  <c r="AX198" i="5"/>
  <c r="AX199" i="5"/>
  <c r="AX200" i="5"/>
  <c r="AX201" i="5"/>
  <c r="AX202" i="5"/>
  <c r="AX203" i="5"/>
  <c r="AX204" i="5"/>
  <c r="AX205" i="5"/>
  <c r="AX206" i="5"/>
  <c r="AX207" i="5"/>
  <c r="AX208" i="5"/>
  <c r="AX209" i="5"/>
  <c r="AX210" i="5"/>
  <c r="AX211" i="5"/>
  <c r="AX212" i="5"/>
  <c r="AX213" i="5"/>
  <c r="AX214" i="5"/>
  <c r="AX215" i="5"/>
  <c r="AX216" i="5"/>
  <c r="AX217" i="5"/>
  <c r="AX218" i="5"/>
  <c r="AX219" i="5"/>
  <c r="AX220" i="5"/>
  <c r="AX221" i="5"/>
  <c r="AX222" i="5"/>
  <c r="AX223" i="5"/>
  <c r="AX224" i="5"/>
  <c r="AX225" i="5"/>
  <c r="AX226" i="5"/>
  <c r="AX227" i="5"/>
  <c r="AX228" i="5"/>
  <c r="AX229" i="5"/>
  <c r="AX230" i="5"/>
  <c r="AX231" i="5"/>
  <c r="AX232" i="5"/>
  <c r="AX233" i="5"/>
  <c r="AX234" i="5"/>
  <c r="AX235" i="5"/>
  <c r="AX236" i="5"/>
  <c r="AX237" i="5"/>
  <c r="AX238" i="5"/>
  <c r="AX239" i="5"/>
  <c r="AX240" i="5"/>
  <c r="AX241" i="5"/>
  <c r="AX242" i="5"/>
  <c r="AX243" i="5"/>
  <c r="AX244" i="5"/>
  <c r="AX245" i="5"/>
  <c r="AX246" i="5"/>
  <c r="AX247" i="5"/>
  <c r="AX248" i="5"/>
  <c r="AX249" i="5"/>
  <c r="AX250" i="5"/>
  <c r="AX251" i="5"/>
  <c r="AX252" i="5"/>
  <c r="AX253" i="5"/>
  <c r="AX254" i="5"/>
  <c r="AX255" i="5"/>
  <c r="AX256" i="5"/>
  <c r="AX257" i="5"/>
  <c r="AX258" i="5"/>
  <c r="AX259" i="5"/>
  <c r="AX260" i="5"/>
  <c r="AX261" i="5"/>
  <c r="AX262" i="5"/>
  <c r="AX263" i="5"/>
  <c r="AX264" i="5"/>
  <c r="AX265" i="5"/>
  <c r="AX266" i="5"/>
  <c r="AX267" i="5"/>
  <c r="AX268" i="5"/>
  <c r="AX269" i="5"/>
  <c r="AX270" i="5"/>
  <c r="AX271" i="5"/>
  <c r="AX272" i="5"/>
  <c r="AX273" i="5"/>
  <c r="AX274" i="5"/>
  <c r="AX275" i="5"/>
  <c r="AX276" i="5"/>
  <c r="AX277" i="5"/>
  <c r="AX278" i="5"/>
  <c r="AX279" i="5"/>
  <c r="AX280" i="5"/>
  <c r="AX281" i="5"/>
  <c r="AX282" i="5"/>
  <c r="AX283" i="5"/>
  <c r="AX284" i="5"/>
  <c r="AX285" i="5"/>
  <c r="AX286" i="5"/>
  <c r="AX287" i="5"/>
  <c r="AX288" i="5"/>
  <c r="AX289" i="5"/>
  <c r="AX290" i="5"/>
  <c r="AX291" i="5"/>
  <c r="AX292" i="5"/>
  <c r="AX293" i="5"/>
  <c r="AX294" i="5"/>
  <c r="AX295" i="5"/>
  <c r="AX296" i="5"/>
  <c r="AX297" i="5"/>
  <c r="AX298" i="5"/>
  <c r="AX299" i="5"/>
  <c r="AX300" i="5"/>
  <c r="AX301" i="5"/>
  <c r="AX302" i="5"/>
  <c r="AX303" i="5"/>
  <c r="AX304" i="5"/>
  <c r="AX305" i="5"/>
  <c r="AX306" i="5"/>
  <c r="AX307" i="5"/>
  <c r="AX308" i="5"/>
  <c r="AX309" i="5"/>
  <c r="AX310" i="5"/>
  <c r="AX311" i="5"/>
  <c r="AX312" i="5"/>
  <c r="AX313" i="5"/>
  <c r="AX314" i="5"/>
  <c r="AX315" i="5"/>
  <c r="AX316" i="5"/>
  <c r="AX317" i="5"/>
  <c r="AX318" i="5"/>
  <c r="AX319" i="5"/>
  <c r="AX320" i="5"/>
  <c r="AX321" i="5"/>
  <c r="AX322" i="5"/>
  <c r="AX323" i="5"/>
  <c r="AX324" i="5"/>
  <c r="AX325" i="5"/>
  <c r="AX326" i="5"/>
  <c r="AX327" i="5"/>
  <c r="AX328" i="5"/>
  <c r="AX329" i="5"/>
  <c r="AX330" i="5"/>
  <c r="AX331" i="5"/>
  <c r="AX332" i="5"/>
  <c r="AX333" i="5"/>
  <c r="AX334" i="5"/>
  <c r="AX335" i="5"/>
  <c r="AX336" i="5"/>
  <c r="AX337" i="5"/>
  <c r="AX338" i="5"/>
  <c r="AX339" i="5"/>
  <c r="AX340" i="5"/>
  <c r="AX341" i="5"/>
  <c r="AX342" i="5"/>
  <c r="AX343" i="5"/>
  <c r="AX344" i="5"/>
  <c r="AX345" i="5"/>
  <c r="AX346" i="5"/>
  <c r="AX347" i="5"/>
  <c r="AX348" i="5"/>
  <c r="AX349" i="5"/>
  <c r="AX350" i="5"/>
  <c r="AX351" i="5"/>
  <c r="AX352" i="5"/>
  <c r="AX353" i="5"/>
  <c r="AX354" i="5"/>
  <c r="AX355" i="5"/>
  <c r="AX356" i="5"/>
  <c r="AX357" i="5"/>
  <c r="AX358" i="5"/>
  <c r="AX359" i="5"/>
  <c r="AX360" i="5"/>
  <c r="AX361" i="5"/>
  <c r="AX362" i="5"/>
  <c r="AX363" i="5"/>
  <c r="AX364" i="5"/>
  <c r="AX365" i="5"/>
  <c r="AX366" i="5"/>
  <c r="AX367" i="5"/>
  <c r="AX368" i="5"/>
  <c r="AX369" i="5"/>
  <c r="AX370" i="5"/>
  <c r="AX371" i="5"/>
  <c r="AX372" i="5"/>
  <c r="AX373" i="5"/>
  <c r="AX374" i="5"/>
  <c r="AX375" i="5"/>
  <c r="AX376" i="5"/>
  <c r="AX377" i="5"/>
  <c r="AX378" i="5"/>
  <c r="AX379" i="5"/>
  <c r="AX380" i="5"/>
  <c r="AX381" i="5"/>
  <c r="AX382" i="5"/>
  <c r="AX383" i="5"/>
  <c r="AX384" i="5"/>
  <c r="AX385" i="5"/>
  <c r="AX386" i="5"/>
  <c r="AX387" i="5"/>
  <c r="AX388" i="5"/>
  <c r="AX389" i="5"/>
  <c r="AX390" i="5"/>
  <c r="AX391" i="5"/>
  <c r="AX392" i="5"/>
  <c r="AX393" i="5"/>
  <c r="AX394" i="5"/>
  <c r="AX395" i="5"/>
  <c r="AX396" i="5"/>
  <c r="AX397" i="5"/>
  <c r="AX398" i="5"/>
  <c r="AX399" i="5"/>
  <c r="AX400" i="5"/>
  <c r="AX401" i="5"/>
  <c r="AX402" i="5"/>
  <c r="AX403" i="5"/>
  <c r="AX404" i="5"/>
  <c r="AX405" i="5"/>
  <c r="AX406" i="5"/>
  <c r="AX407" i="5"/>
  <c r="AX408" i="5"/>
  <c r="AX409" i="5"/>
  <c r="AX410" i="5"/>
  <c r="AX411" i="5"/>
  <c r="AX412" i="5"/>
  <c r="AX413" i="5"/>
  <c r="AX414" i="5"/>
  <c r="AX415" i="5"/>
  <c r="AX416" i="5"/>
  <c r="AX417" i="5"/>
  <c r="AX418" i="5"/>
  <c r="AX419" i="5"/>
  <c r="AX420" i="5"/>
  <c r="AX421" i="5"/>
  <c r="AX422" i="5"/>
  <c r="AX423" i="5"/>
  <c r="AX424" i="5"/>
  <c r="AX425" i="5"/>
  <c r="AX426" i="5"/>
  <c r="AX427" i="5"/>
  <c r="AX428" i="5"/>
  <c r="AX429" i="5"/>
  <c r="AX430" i="5"/>
  <c r="AX431" i="5"/>
  <c r="AX432" i="5"/>
  <c r="AX433" i="5"/>
  <c r="AX434" i="5"/>
  <c r="AX435" i="5"/>
  <c r="AX436" i="5"/>
  <c r="AX437" i="5"/>
  <c r="AX438" i="5"/>
  <c r="AX439" i="5"/>
  <c r="AX440" i="5"/>
  <c r="AX441" i="5"/>
  <c r="AX442" i="5"/>
  <c r="AX443" i="5"/>
  <c r="AY2" i="5"/>
  <c r="AY3" i="5"/>
  <c r="AY4" i="5"/>
  <c r="AY5" i="5"/>
  <c r="AY6" i="5"/>
  <c r="AY7" i="5"/>
  <c r="AY8" i="5"/>
  <c r="AY9" i="5"/>
  <c r="AY12" i="5"/>
  <c r="AY13" i="5"/>
  <c r="AY14" i="5"/>
  <c r="AY15" i="5"/>
  <c r="AY16" i="5"/>
  <c r="AY17" i="5"/>
  <c r="AY18" i="5"/>
  <c r="AY19" i="5"/>
  <c r="AY20" i="5"/>
  <c r="AY21" i="5"/>
  <c r="AY22" i="5"/>
  <c r="AY23" i="5"/>
  <c r="AY24" i="5"/>
  <c r="AY25" i="5"/>
  <c r="AY26" i="5"/>
  <c r="AY27" i="5"/>
  <c r="AY28" i="5"/>
  <c r="AY29" i="5"/>
  <c r="AY31" i="5"/>
  <c r="AY32" i="5"/>
  <c r="AY33" i="5"/>
  <c r="AY34" i="5"/>
  <c r="AY35" i="5"/>
  <c r="AY36" i="5"/>
  <c r="AY37" i="5"/>
  <c r="AY38" i="5"/>
  <c r="AY39" i="5"/>
  <c r="AY41" i="5"/>
  <c r="AY42" i="5"/>
  <c r="AY43" i="5"/>
  <c r="AY44" i="5"/>
  <c r="AY45" i="5"/>
  <c r="AY46" i="5"/>
  <c r="AY47" i="5"/>
  <c r="AY48" i="5"/>
  <c r="AY49" i="5"/>
  <c r="AY50" i="5"/>
  <c r="AY52" i="5"/>
  <c r="AY53" i="5"/>
  <c r="AY54" i="5"/>
  <c r="AY55" i="5"/>
  <c r="AY56" i="5"/>
  <c r="AY57" i="5"/>
  <c r="AY58" i="5"/>
  <c r="AY59" i="5"/>
  <c r="AY61" i="5"/>
  <c r="AY62" i="5"/>
  <c r="AY63" i="5"/>
  <c r="AY64" i="5"/>
  <c r="AY65" i="5"/>
  <c r="AY66" i="5"/>
  <c r="AY67" i="5"/>
  <c r="AY68" i="5"/>
  <c r="AY69" i="5"/>
  <c r="AY71" i="5"/>
  <c r="AY72" i="5"/>
  <c r="AY73" i="5"/>
  <c r="AY74" i="5"/>
  <c r="AY75" i="5"/>
  <c r="AY76" i="5"/>
  <c r="AY77" i="5"/>
  <c r="AY78" i="5"/>
  <c r="AY79" i="5"/>
  <c r="AY82" i="5"/>
  <c r="AY83" i="5"/>
  <c r="AY84" i="5"/>
  <c r="AY85" i="5"/>
  <c r="AY86" i="5"/>
  <c r="AY87" i="5"/>
  <c r="AY88" i="5"/>
  <c r="AY89" i="5"/>
  <c r="AY91" i="5"/>
  <c r="AY92" i="5"/>
  <c r="AY93" i="5"/>
  <c r="AY94" i="5"/>
  <c r="AY95" i="5"/>
  <c r="AY96" i="5"/>
  <c r="AY97" i="5"/>
  <c r="AY98" i="5"/>
  <c r="AY99" i="5"/>
  <c r="AY102" i="5"/>
  <c r="AY103" i="5"/>
  <c r="AY104" i="5"/>
  <c r="AY105" i="5"/>
  <c r="AY106" i="5"/>
  <c r="AY107" i="5"/>
  <c r="AY108" i="5"/>
  <c r="AY109" i="5"/>
  <c r="AY112" i="5"/>
  <c r="AY113" i="5"/>
  <c r="AY114" i="5"/>
  <c r="AY115" i="5"/>
  <c r="AY116" i="5"/>
  <c r="AY117" i="5"/>
  <c r="AY118" i="5"/>
  <c r="AY119" i="5"/>
  <c r="AY120" i="5"/>
  <c r="AY121" i="5"/>
  <c r="AY122" i="5"/>
  <c r="AY123" i="5"/>
  <c r="AY124" i="5"/>
  <c r="AY125" i="5"/>
  <c r="AY126" i="5"/>
  <c r="AY127" i="5"/>
  <c r="AY128" i="5"/>
  <c r="AY129" i="5"/>
  <c r="AY130" i="5"/>
  <c r="AY131" i="5"/>
  <c r="AY132" i="5"/>
  <c r="AY133" i="5"/>
  <c r="AY134" i="5"/>
  <c r="AY135" i="5"/>
  <c r="AY136" i="5"/>
  <c r="AY137" i="5"/>
  <c r="AY138" i="5"/>
  <c r="AY139" i="5"/>
  <c r="AY140" i="5"/>
  <c r="AY141" i="5"/>
  <c r="AY142" i="5"/>
  <c r="AY143" i="5"/>
  <c r="AY144" i="5"/>
  <c r="AY145" i="5"/>
  <c r="AY146" i="5"/>
  <c r="AY147" i="5"/>
  <c r="AY148" i="5"/>
  <c r="AY149" i="5"/>
  <c r="AY150" i="5"/>
  <c r="AY151" i="5"/>
  <c r="AY152" i="5"/>
  <c r="AY153" i="5"/>
  <c r="AY154" i="5"/>
  <c r="AY155" i="5"/>
  <c r="AY156" i="5"/>
  <c r="AY157" i="5"/>
  <c r="AY158" i="5"/>
  <c r="AY159" i="5"/>
  <c r="AY161" i="5"/>
  <c r="AY162" i="5"/>
  <c r="AY163" i="5"/>
  <c r="AY164" i="5"/>
  <c r="AY165" i="5"/>
  <c r="AY166" i="5"/>
  <c r="AY167" i="5"/>
  <c r="AY168" i="5"/>
  <c r="AY169" i="5"/>
  <c r="AY170" i="5"/>
  <c r="AY171" i="5"/>
  <c r="AY172" i="5"/>
  <c r="AY173" i="5"/>
  <c r="AY174" i="5"/>
  <c r="AY175" i="5"/>
  <c r="AY176" i="5"/>
  <c r="AY177" i="5"/>
  <c r="AY178" i="5"/>
  <c r="AY179" i="5"/>
  <c r="AY181" i="5"/>
  <c r="AY182" i="5"/>
  <c r="AY183" i="5"/>
  <c r="AY184" i="5"/>
  <c r="AY185" i="5"/>
  <c r="AY186" i="5"/>
  <c r="AY187" i="5"/>
  <c r="AY188" i="5"/>
  <c r="AY189" i="5"/>
  <c r="AY190" i="5"/>
  <c r="AY191" i="5"/>
  <c r="AY192" i="5"/>
  <c r="AY193" i="5"/>
  <c r="AY194" i="5"/>
  <c r="AY195" i="5"/>
  <c r="AY196" i="5"/>
  <c r="AY197" i="5"/>
  <c r="AY198" i="5"/>
  <c r="AY199" i="5"/>
  <c r="AY200" i="5"/>
  <c r="AY201" i="5"/>
  <c r="AY202" i="5"/>
  <c r="AY203" i="5"/>
  <c r="AY204" i="5"/>
  <c r="AY205" i="5"/>
  <c r="AY206" i="5"/>
  <c r="AY207" i="5"/>
  <c r="AY208" i="5"/>
  <c r="AY209" i="5"/>
  <c r="AY210" i="5"/>
  <c r="AY211" i="5"/>
  <c r="AY212" i="5"/>
  <c r="AY213" i="5"/>
  <c r="AY214" i="5"/>
  <c r="AY215" i="5"/>
  <c r="AY216" i="5"/>
  <c r="AY217" i="5"/>
  <c r="AY218" i="5"/>
  <c r="AY219" i="5"/>
  <c r="AY220" i="5"/>
  <c r="AY221" i="5"/>
  <c r="AY222" i="5"/>
  <c r="AY223" i="5"/>
  <c r="AY224" i="5"/>
  <c r="AY225" i="5"/>
  <c r="AY226" i="5"/>
  <c r="AY227" i="5"/>
  <c r="AY228" i="5"/>
  <c r="AY229" i="5"/>
  <c r="AY231" i="5"/>
  <c r="AY232" i="5"/>
  <c r="AY233" i="5"/>
  <c r="AY234" i="5"/>
  <c r="AY235" i="5"/>
  <c r="AY236" i="5"/>
  <c r="AY237" i="5"/>
  <c r="AY238" i="5"/>
  <c r="AY239" i="5"/>
  <c r="AY240" i="5"/>
  <c r="AY241" i="5"/>
  <c r="AY242" i="5"/>
  <c r="AY243" i="5"/>
  <c r="AY244" i="5"/>
  <c r="AY245" i="5"/>
  <c r="AY246" i="5"/>
  <c r="AY247" i="5"/>
  <c r="AY248" i="5"/>
  <c r="AY249" i="5"/>
  <c r="AY251" i="5"/>
  <c r="AY252" i="5"/>
  <c r="AY253" i="5"/>
  <c r="AY254" i="5"/>
  <c r="AY255" i="5"/>
  <c r="AY256" i="5"/>
  <c r="AY257" i="5"/>
  <c r="AY258" i="5"/>
  <c r="AY259" i="5"/>
  <c r="AY261" i="5"/>
  <c r="AY262" i="5"/>
  <c r="AY263" i="5"/>
  <c r="AY264" i="5"/>
  <c r="AY265" i="5"/>
  <c r="AY266" i="5"/>
  <c r="AY267" i="5"/>
  <c r="AY268" i="5"/>
  <c r="AY269" i="5"/>
  <c r="AY270" i="5"/>
  <c r="AY271" i="5"/>
  <c r="AY272" i="5"/>
  <c r="AY273" i="5"/>
  <c r="AY274" i="5"/>
  <c r="AY275" i="5"/>
  <c r="AY276" i="5"/>
  <c r="AY277" i="5"/>
  <c r="AY278" i="5"/>
  <c r="AY279" i="5"/>
  <c r="AY281" i="5"/>
  <c r="AY282" i="5"/>
  <c r="AY283" i="5"/>
  <c r="AY284" i="5"/>
  <c r="AY285" i="5"/>
  <c r="AY286" i="5"/>
  <c r="AY287" i="5"/>
  <c r="AY288" i="5"/>
  <c r="AY289" i="5"/>
  <c r="AY290" i="5"/>
  <c r="AY291" i="5"/>
  <c r="AY292" i="5"/>
  <c r="AY293" i="5"/>
  <c r="AY294" i="5"/>
  <c r="AY295" i="5"/>
  <c r="AY296" i="5"/>
  <c r="AY297" i="5"/>
  <c r="AY298" i="5"/>
  <c r="AY299" i="5"/>
  <c r="AY300" i="5"/>
  <c r="AY301" i="5"/>
  <c r="AY302" i="5"/>
  <c r="AY303" i="5"/>
  <c r="AY304" i="5"/>
  <c r="AY305" i="5"/>
  <c r="AY306" i="5"/>
  <c r="AY307" i="5"/>
  <c r="AY308" i="5"/>
  <c r="AY309" i="5"/>
  <c r="AY310" i="5"/>
  <c r="AY311" i="5"/>
  <c r="AY312" i="5"/>
  <c r="AY313" i="5"/>
  <c r="AY314" i="5"/>
  <c r="AY315" i="5"/>
  <c r="AY316" i="5"/>
  <c r="AY317" i="5"/>
  <c r="AY318" i="5"/>
  <c r="AY319" i="5"/>
  <c r="AY320" i="5"/>
  <c r="AY321" i="5"/>
  <c r="AY322" i="5"/>
  <c r="AY323" i="5"/>
  <c r="AY324" i="5"/>
  <c r="AY325" i="5"/>
  <c r="AY326" i="5"/>
  <c r="AY327" i="5"/>
  <c r="AY328" i="5"/>
  <c r="AY329" i="5"/>
  <c r="AY331" i="5"/>
  <c r="AY332" i="5"/>
  <c r="AY333" i="5"/>
  <c r="AY334" i="5"/>
  <c r="AY335" i="5"/>
  <c r="AY336" i="5"/>
  <c r="AY337" i="5"/>
  <c r="AY338" i="5"/>
  <c r="AY339" i="5"/>
  <c r="AY340" i="5"/>
  <c r="AY341" i="5"/>
  <c r="AY342" i="5"/>
  <c r="AY343" i="5"/>
  <c r="AY344" i="5"/>
  <c r="AY345" i="5"/>
  <c r="AY346" i="5"/>
  <c r="AY347" i="5"/>
  <c r="AY348" i="5"/>
  <c r="AY349" i="5"/>
  <c r="AY351" i="5"/>
  <c r="AY352" i="5"/>
  <c r="AY353" i="5"/>
  <c r="AY354" i="5"/>
  <c r="AY355" i="5"/>
  <c r="AY356" i="5"/>
  <c r="AY357" i="5"/>
  <c r="AY358" i="5"/>
  <c r="AY359" i="5"/>
  <c r="AY361" i="5"/>
  <c r="AY362" i="5"/>
  <c r="AY363" i="5"/>
  <c r="AY364" i="5"/>
  <c r="AY365" i="5"/>
  <c r="AY366" i="5"/>
  <c r="AY367" i="5"/>
  <c r="AY368" i="5"/>
  <c r="AY369" i="5"/>
  <c r="AY370" i="5"/>
  <c r="AY371" i="5"/>
  <c r="AY372" i="5"/>
  <c r="AY373" i="5"/>
  <c r="AY374" i="5"/>
  <c r="AY375" i="5"/>
  <c r="AY376" i="5"/>
  <c r="AY377" i="5"/>
  <c r="AY378" i="5"/>
  <c r="AY379" i="5"/>
  <c r="AY381" i="5"/>
  <c r="AY382" i="5"/>
  <c r="AY383" i="5"/>
  <c r="AY384" i="5"/>
  <c r="AY385" i="5"/>
  <c r="AY386" i="5"/>
  <c r="AY387" i="5"/>
  <c r="AY388" i="5"/>
  <c r="AY389" i="5"/>
  <c r="AY390" i="5"/>
  <c r="AY391" i="5"/>
  <c r="AY392" i="5"/>
  <c r="AY393" i="5"/>
  <c r="AY394" i="5"/>
  <c r="AY395" i="5"/>
  <c r="AY396" i="5"/>
  <c r="AY397" i="5"/>
  <c r="AY398" i="5"/>
  <c r="AY399" i="5"/>
  <c r="AY400" i="5"/>
  <c r="AY401" i="5"/>
  <c r="AY402" i="5"/>
  <c r="AY403" i="5"/>
  <c r="AY404" i="5"/>
  <c r="AY405" i="5"/>
  <c r="AY406" i="5"/>
  <c r="AY407" i="5"/>
  <c r="AY408" i="5"/>
  <c r="AY409" i="5"/>
  <c r="AY410" i="5"/>
  <c r="AY411" i="5"/>
  <c r="AY412" i="5"/>
  <c r="AY413" i="5"/>
  <c r="AY414" i="5"/>
  <c r="AY415" i="5"/>
  <c r="AY416" i="5"/>
  <c r="AY417" i="5"/>
  <c r="AY418" i="5"/>
  <c r="AY419" i="5"/>
  <c r="AY420" i="5"/>
  <c r="AY421" i="5"/>
  <c r="AY422" i="5"/>
  <c r="AY423" i="5"/>
  <c r="AY424" i="5"/>
  <c r="AY425" i="5"/>
  <c r="AY426" i="5"/>
  <c r="AY427" i="5"/>
  <c r="AY428" i="5"/>
  <c r="AY429" i="5"/>
  <c r="AY431" i="5"/>
  <c r="AY432" i="5"/>
  <c r="AY433" i="5"/>
  <c r="AY434" i="5"/>
  <c r="AY435" i="5"/>
  <c r="AY436" i="5"/>
  <c r="AY437" i="5"/>
  <c r="AY438" i="5"/>
  <c r="AY439" i="5"/>
  <c r="AY440" i="5"/>
  <c r="AY441" i="5"/>
  <c r="AY442" i="5"/>
  <c r="AY443" i="5"/>
  <c r="AZ2" i="5"/>
  <c r="AZ3" i="5"/>
  <c r="AZ4" i="5"/>
  <c r="AZ5" i="5"/>
  <c r="AZ6" i="5"/>
  <c r="AZ7" i="5"/>
  <c r="AZ8" i="5"/>
  <c r="AZ9" i="5"/>
  <c r="AZ12" i="5"/>
  <c r="AZ13" i="5"/>
  <c r="AZ14" i="5"/>
  <c r="AZ15" i="5"/>
  <c r="AZ16" i="5"/>
  <c r="AZ17" i="5"/>
  <c r="AZ18" i="5"/>
  <c r="AZ19" i="5"/>
  <c r="AZ20" i="5"/>
  <c r="AZ21" i="5"/>
  <c r="AZ22" i="5"/>
  <c r="AZ23" i="5"/>
  <c r="AZ24" i="5"/>
  <c r="AZ25" i="5"/>
  <c r="AZ26" i="5"/>
  <c r="AZ27" i="5"/>
  <c r="AZ28" i="5"/>
  <c r="AZ29" i="5"/>
  <c r="AZ31" i="5"/>
  <c r="AZ32" i="5"/>
  <c r="AZ33" i="5"/>
  <c r="AZ34" i="5"/>
  <c r="AZ35" i="5"/>
  <c r="AZ36" i="5"/>
  <c r="AZ37" i="5"/>
  <c r="AZ38" i="5"/>
  <c r="AZ39" i="5"/>
  <c r="AZ41" i="5"/>
  <c r="AZ42" i="5"/>
  <c r="AZ43" i="5"/>
  <c r="AZ44" i="5"/>
  <c r="AZ45" i="5"/>
  <c r="AZ46" i="5"/>
  <c r="AZ47" i="5"/>
  <c r="AZ48" i="5"/>
  <c r="AZ49" i="5"/>
  <c r="AZ50" i="5"/>
  <c r="AZ52" i="5"/>
  <c r="AZ53" i="5"/>
  <c r="AZ54" i="5"/>
  <c r="AZ55" i="5"/>
  <c r="AZ56" i="5"/>
  <c r="AZ57" i="5"/>
  <c r="AZ58" i="5"/>
  <c r="AZ59" i="5"/>
  <c r="AZ61" i="5"/>
  <c r="AZ62" i="5"/>
  <c r="AZ63" i="5"/>
  <c r="AZ64" i="5"/>
  <c r="AZ65" i="5"/>
  <c r="AZ66" i="5"/>
  <c r="AZ67" i="5"/>
  <c r="AZ68" i="5"/>
  <c r="AZ69" i="5"/>
  <c r="AZ71" i="5"/>
  <c r="AZ72" i="5"/>
  <c r="AZ73" i="5"/>
  <c r="AZ74" i="5"/>
  <c r="AZ75" i="5"/>
  <c r="AZ76" i="5"/>
  <c r="AZ77" i="5"/>
  <c r="AZ78" i="5"/>
  <c r="AZ79" i="5"/>
  <c r="AZ82" i="5"/>
  <c r="AZ83" i="5"/>
  <c r="AZ84" i="5"/>
  <c r="AZ85" i="5"/>
  <c r="AZ86" i="5"/>
  <c r="AZ87" i="5"/>
  <c r="AZ88" i="5"/>
  <c r="AZ89" i="5"/>
  <c r="AZ91" i="5"/>
  <c r="AZ92" i="5"/>
  <c r="AZ93" i="5"/>
  <c r="AZ94" i="5"/>
  <c r="AZ95" i="5"/>
  <c r="AZ96" i="5"/>
  <c r="AZ97" i="5"/>
  <c r="AZ98" i="5"/>
  <c r="AZ99" i="5"/>
  <c r="AZ102" i="5"/>
  <c r="AZ103" i="5"/>
  <c r="AZ104" i="5"/>
  <c r="AZ105" i="5"/>
  <c r="AZ106" i="5"/>
  <c r="AZ107" i="5"/>
  <c r="AZ108" i="5"/>
  <c r="AZ109" i="5"/>
  <c r="AZ112" i="5"/>
  <c r="AZ113" i="5"/>
  <c r="AZ114" i="5"/>
  <c r="AZ115" i="5"/>
  <c r="AZ116" i="5"/>
  <c r="AZ117" i="5"/>
  <c r="AZ118" i="5"/>
  <c r="AZ119" i="5"/>
  <c r="AZ120" i="5"/>
  <c r="AZ121" i="5"/>
  <c r="AZ122" i="5"/>
  <c r="AZ123" i="5"/>
  <c r="AZ124" i="5"/>
  <c r="AZ125" i="5"/>
  <c r="AZ126" i="5"/>
  <c r="AZ127" i="5"/>
  <c r="AZ128" i="5"/>
  <c r="AZ129" i="5"/>
  <c r="AZ130" i="5"/>
  <c r="AZ131" i="5"/>
  <c r="AZ132" i="5"/>
  <c r="AZ133" i="5"/>
  <c r="AZ134" i="5"/>
  <c r="AZ135" i="5"/>
  <c r="AZ136" i="5"/>
  <c r="AZ137" i="5"/>
  <c r="AZ138" i="5"/>
  <c r="AZ139" i="5"/>
  <c r="AZ140" i="5"/>
  <c r="AZ141" i="5"/>
  <c r="AZ142" i="5"/>
  <c r="AZ143" i="5"/>
  <c r="AZ144" i="5"/>
  <c r="AZ145" i="5"/>
  <c r="AZ146" i="5"/>
  <c r="AZ147" i="5"/>
  <c r="AZ148" i="5"/>
  <c r="AZ149" i="5"/>
  <c r="AZ150" i="5"/>
  <c r="AZ151" i="5"/>
  <c r="AZ152" i="5"/>
  <c r="AZ153" i="5"/>
  <c r="AZ154" i="5"/>
  <c r="AZ155" i="5"/>
  <c r="AZ156" i="5"/>
  <c r="AZ157" i="5"/>
  <c r="AZ158" i="5"/>
  <c r="AZ159" i="5"/>
  <c r="AZ161" i="5"/>
  <c r="AZ162" i="5"/>
  <c r="AZ163" i="5"/>
  <c r="AZ164" i="5"/>
  <c r="AZ165" i="5"/>
  <c r="AZ166" i="5"/>
  <c r="AZ167" i="5"/>
  <c r="AZ168" i="5"/>
  <c r="AZ169" i="5"/>
  <c r="AZ170" i="5"/>
  <c r="AZ171" i="5"/>
  <c r="AZ172" i="5"/>
  <c r="AZ173" i="5"/>
  <c r="AZ174" i="5"/>
  <c r="AZ175" i="5"/>
  <c r="AZ176" i="5"/>
  <c r="AZ177" i="5"/>
  <c r="AZ178" i="5"/>
  <c r="AZ179" i="5"/>
  <c r="AZ181"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1" i="5"/>
  <c r="AZ232" i="5"/>
  <c r="AZ233" i="5"/>
  <c r="AZ234" i="5"/>
  <c r="AZ235" i="5"/>
  <c r="AZ236" i="5"/>
  <c r="AZ237" i="5"/>
  <c r="AZ238" i="5"/>
  <c r="AZ239" i="5"/>
  <c r="AZ240" i="5"/>
  <c r="AZ241" i="5"/>
  <c r="AZ242" i="5"/>
  <c r="AZ243" i="5"/>
  <c r="AZ244" i="5"/>
  <c r="AZ245" i="5"/>
  <c r="AZ246" i="5"/>
  <c r="AZ247" i="5"/>
  <c r="AZ248" i="5"/>
  <c r="AZ249" i="5"/>
  <c r="AZ251" i="5"/>
  <c r="AZ252" i="5"/>
  <c r="AZ253" i="5"/>
  <c r="AZ254" i="5"/>
  <c r="AZ255" i="5"/>
  <c r="AZ256" i="5"/>
  <c r="AZ257" i="5"/>
  <c r="AZ258" i="5"/>
  <c r="AZ259" i="5"/>
  <c r="AZ261" i="5"/>
  <c r="AZ262" i="5"/>
  <c r="AZ263" i="5"/>
  <c r="AZ264" i="5"/>
  <c r="AZ265" i="5"/>
  <c r="AZ266" i="5"/>
  <c r="AZ267" i="5"/>
  <c r="AZ268" i="5"/>
  <c r="AZ269" i="5"/>
  <c r="AZ270" i="5"/>
  <c r="AZ271" i="5"/>
  <c r="AZ272" i="5"/>
  <c r="AZ273" i="5"/>
  <c r="AZ274" i="5"/>
  <c r="AZ275" i="5"/>
  <c r="AZ276" i="5"/>
  <c r="AZ277" i="5"/>
  <c r="AZ278" i="5"/>
  <c r="AZ279" i="5"/>
  <c r="AZ281" i="5"/>
  <c r="AZ282" i="5"/>
  <c r="AZ283" i="5"/>
  <c r="AZ284" i="5"/>
  <c r="AZ285" i="5"/>
  <c r="AZ286" i="5"/>
  <c r="AZ287" i="5"/>
  <c r="AZ288" i="5"/>
  <c r="AZ289" i="5"/>
  <c r="AZ290" i="5"/>
  <c r="AZ291" i="5"/>
  <c r="AZ292" i="5"/>
  <c r="AZ293" i="5"/>
  <c r="AZ294" i="5"/>
  <c r="AZ295" i="5"/>
  <c r="AZ296" i="5"/>
  <c r="AZ297" i="5"/>
  <c r="AZ298" i="5"/>
  <c r="AZ299" i="5"/>
  <c r="AZ300" i="5"/>
  <c r="AZ301" i="5"/>
  <c r="AZ302" i="5"/>
  <c r="AZ303" i="5"/>
  <c r="AZ304" i="5"/>
  <c r="AZ305" i="5"/>
  <c r="AZ306" i="5"/>
  <c r="AZ307" i="5"/>
  <c r="AZ308" i="5"/>
  <c r="AZ309" i="5"/>
  <c r="AZ310" i="5"/>
  <c r="AZ311" i="5"/>
  <c r="AZ312" i="5"/>
  <c r="AZ313" i="5"/>
  <c r="AZ314" i="5"/>
  <c r="AZ315" i="5"/>
  <c r="AZ316" i="5"/>
  <c r="AZ317" i="5"/>
  <c r="AZ318" i="5"/>
  <c r="AZ319" i="5"/>
  <c r="AZ320" i="5"/>
  <c r="AZ321" i="5"/>
  <c r="AZ322" i="5"/>
  <c r="AZ323" i="5"/>
  <c r="AZ324" i="5"/>
  <c r="AZ325" i="5"/>
  <c r="AZ326" i="5"/>
  <c r="AZ327" i="5"/>
  <c r="AZ328" i="5"/>
  <c r="AZ329" i="5"/>
  <c r="AZ331" i="5"/>
  <c r="AZ332" i="5"/>
  <c r="AZ333" i="5"/>
  <c r="AZ334" i="5"/>
  <c r="AZ335" i="5"/>
  <c r="AZ336" i="5"/>
  <c r="AZ337" i="5"/>
  <c r="AZ338" i="5"/>
  <c r="AZ339" i="5"/>
  <c r="AZ340" i="5"/>
  <c r="AZ341" i="5"/>
  <c r="AZ342" i="5"/>
  <c r="AZ343" i="5"/>
  <c r="AZ344" i="5"/>
  <c r="AZ345" i="5"/>
  <c r="AZ346" i="5"/>
  <c r="AZ347" i="5"/>
  <c r="AZ348" i="5"/>
  <c r="AZ349" i="5"/>
  <c r="AZ351" i="5"/>
  <c r="AZ352" i="5"/>
  <c r="AZ353" i="5"/>
  <c r="AZ354" i="5"/>
  <c r="AZ355" i="5"/>
  <c r="AZ356" i="5"/>
  <c r="AZ357" i="5"/>
  <c r="AZ358" i="5"/>
  <c r="AZ359" i="5"/>
  <c r="AZ361" i="5"/>
  <c r="AZ362" i="5"/>
  <c r="AZ363" i="5"/>
  <c r="AZ364" i="5"/>
  <c r="AZ365" i="5"/>
  <c r="AZ366" i="5"/>
  <c r="AZ367" i="5"/>
  <c r="AZ368" i="5"/>
  <c r="AZ369" i="5"/>
  <c r="AZ370" i="5"/>
  <c r="AZ371" i="5"/>
  <c r="AZ372" i="5"/>
  <c r="AZ373" i="5"/>
  <c r="AZ374" i="5"/>
  <c r="AZ375" i="5"/>
  <c r="AZ376" i="5"/>
  <c r="AZ377" i="5"/>
  <c r="AZ378" i="5"/>
  <c r="AZ379" i="5"/>
  <c r="AZ381" i="5"/>
  <c r="AZ382" i="5"/>
  <c r="AZ383" i="5"/>
  <c r="AZ384" i="5"/>
  <c r="AZ385" i="5"/>
  <c r="AZ386" i="5"/>
  <c r="AZ387" i="5"/>
  <c r="AZ388" i="5"/>
  <c r="AZ389" i="5"/>
  <c r="AZ390" i="5"/>
  <c r="AZ391" i="5"/>
  <c r="AZ392" i="5"/>
  <c r="AZ393" i="5"/>
  <c r="AZ394" i="5"/>
  <c r="AZ395" i="5"/>
  <c r="AZ396" i="5"/>
  <c r="AZ397" i="5"/>
  <c r="AZ398" i="5"/>
  <c r="AZ399" i="5"/>
  <c r="AZ400" i="5"/>
  <c r="AZ401" i="5"/>
  <c r="AZ402" i="5"/>
  <c r="AZ403" i="5"/>
  <c r="AZ404" i="5"/>
  <c r="AZ405" i="5"/>
  <c r="AZ406" i="5"/>
  <c r="AZ407" i="5"/>
  <c r="AZ408" i="5"/>
  <c r="AZ409" i="5"/>
  <c r="AZ410" i="5"/>
  <c r="AZ411" i="5"/>
  <c r="AZ412" i="5"/>
  <c r="AZ413" i="5"/>
  <c r="AZ414" i="5"/>
  <c r="AZ415" i="5"/>
  <c r="AZ416" i="5"/>
  <c r="AZ417" i="5"/>
  <c r="AZ418" i="5"/>
  <c r="AZ419" i="5"/>
  <c r="AZ420" i="5"/>
  <c r="AZ421" i="5"/>
  <c r="AZ422" i="5"/>
  <c r="AZ423" i="5"/>
  <c r="AZ424" i="5"/>
  <c r="AZ425" i="5"/>
  <c r="AZ426" i="5"/>
  <c r="AZ427" i="5"/>
  <c r="AZ428" i="5"/>
  <c r="AZ429" i="5"/>
  <c r="AZ431" i="5"/>
  <c r="AZ432" i="5"/>
  <c r="AZ433" i="5"/>
  <c r="AZ434" i="5"/>
  <c r="AZ435" i="5"/>
  <c r="AZ436" i="5"/>
  <c r="AZ437" i="5"/>
  <c r="AZ438" i="5"/>
  <c r="AZ439" i="5"/>
  <c r="AZ440" i="5"/>
  <c r="AZ441" i="5"/>
  <c r="AZ442" i="5"/>
  <c r="AZ443" i="5"/>
  <c r="BA2" i="5"/>
  <c r="BA3" i="5"/>
  <c r="BA4" i="5"/>
  <c r="BA5" i="5"/>
  <c r="BA6" i="5"/>
  <c r="BA7" i="5"/>
  <c r="BA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108" i="5"/>
  <c r="BA109" i="5"/>
  <c r="BA110" i="5"/>
  <c r="BA111" i="5"/>
  <c r="BA112" i="5"/>
  <c r="BA113" i="5"/>
  <c r="BA114" i="5"/>
  <c r="BA115" i="5"/>
  <c r="BA116" i="5"/>
  <c r="BA117" i="5"/>
  <c r="BA118" i="5"/>
  <c r="BA119" i="5"/>
  <c r="BA120" i="5"/>
  <c r="BA121" i="5"/>
  <c r="BA122" i="5"/>
  <c r="BA123" i="5"/>
  <c r="BA124" i="5"/>
  <c r="BA125" i="5"/>
  <c r="BA126" i="5"/>
  <c r="BA127" i="5"/>
  <c r="BA128" i="5"/>
  <c r="BA129" i="5"/>
  <c r="BA130" i="5"/>
  <c r="BA131" i="5"/>
  <c r="BA132" i="5"/>
  <c r="BA133" i="5"/>
  <c r="BA134" i="5"/>
  <c r="BA135" i="5"/>
  <c r="BA136" i="5"/>
  <c r="BA137" i="5"/>
  <c r="BA138" i="5"/>
  <c r="BA139" i="5"/>
  <c r="BA140" i="5"/>
  <c r="BA141" i="5"/>
  <c r="BA142" i="5"/>
  <c r="BA143" i="5"/>
  <c r="BA144" i="5"/>
  <c r="BA145" i="5"/>
  <c r="BA146" i="5"/>
  <c r="BA147" i="5"/>
  <c r="BA148" i="5"/>
  <c r="BA149" i="5"/>
  <c r="BA150" i="5"/>
  <c r="BA151" i="5"/>
  <c r="BA152" i="5"/>
  <c r="BA153" i="5"/>
  <c r="BA154" i="5"/>
  <c r="BA155" i="5"/>
  <c r="BA156" i="5"/>
  <c r="BA157" i="5"/>
  <c r="BA158" i="5"/>
  <c r="BA159" i="5"/>
  <c r="BA160" i="5"/>
  <c r="BA161" i="5"/>
  <c r="BA162" i="5"/>
  <c r="BA163" i="5"/>
  <c r="BA164" i="5"/>
  <c r="BA165" i="5"/>
  <c r="BA166" i="5"/>
  <c r="BA167" i="5"/>
  <c r="BA168" i="5"/>
  <c r="BA169" i="5"/>
  <c r="BA170" i="5"/>
  <c r="BA171" i="5"/>
  <c r="BA172" i="5"/>
  <c r="BA173" i="5"/>
  <c r="BA174" i="5"/>
  <c r="BA175" i="5"/>
  <c r="BA176" i="5"/>
  <c r="BA177" i="5"/>
  <c r="BA178" i="5"/>
  <c r="BA179" i="5"/>
  <c r="BA180" i="5"/>
  <c r="BA181"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276" i="5"/>
  <c r="BA277" i="5"/>
  <c r="BA278" i="5"/>
  <c r="BA279" i="5"/>
  <c r="BA280" i="5"/>
  <c r="BA281" i="5"/>
  <c r="BA282" i="5"/>
  <c r="BA283" i="5"/>
  <c r="BA284" i="5"/>
  <c r="BA285" i="5"/>
  <c r="BA286" i="5"/>
  <c r="BA287" i="5"/>
  <c r="BA288" i="5"/>
  <c r="BA289" i="5"/>
  <c r="BA290" i="5"/>
  <c r="BA291" i="5"/>
  <c r="BA292" i="5"/>
  <c r="BA293" i="5"/>
  <c r="BA294" i="5"/>
  <c r="BA295" i="5"/>
  <c r="BA296" i="5"/>
  <c r="BA297" i="5"/>
  <c r="BA298" i="5"/>
  <c r="BA299" i="5"/>
  <c r="BA300" i="5"/>
  <c r="BA301" i="5"/>
  <c r="BA302" i="5"/>
  <c r="BA303" i="5"/>
  <c r="BA304" i="5"/>
  <c r="BA305" i="5"/>
  <c r="BA306" i="5"/>
  <c r="BA307" i="5"/>
  <c r="BA308" i="5"/>
  <c r="BA309" i="5"/>
  <c r="BA310" i="5"/>
  <c r="BA311" i="5"/>
  <c r="BA312" i="5"/>
  <c r="BA313" i="5"/>
  <c r="BA314" i="5"/>
  <c r="BA315" i="5"/>
  <c r="BA316" i="5"/>
  <c r="BA317" i="5"/>
  <c r="BA318" i="5"/>
  <c r="BA319" i="5"/>
  <c r="BA320" i="5"/>
  <c r="BA321" i="5"/>
  <c r="BA322" i="5"/>
  <c r="BA323" i="5"/>
  <c r="BA324" i="5"/>
  <c r="BA325" i="5"/>
  <c r="BA326" i="5"/>
  <c r="BA327" i="5"/>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404" i="5"/>
  <c r="BA405" i="5"/>
  <c r="BA406" i="5"/>
  <c r="BA407" i="5"/>
  <c r="BA408" i="5"/>
  <c r="BA409" i="5"/>
  <c r="BA410" i="5"/>
  <c r="BA411" i="5"/>
  <c r="BA412" i="5"/>
  <c r="BA413" i="5"/>
  <c r="BA414" i="5"/>
  <c r="BA415" i="5"/>
  <c r="BA416" i="5"/>
  <c r="BA417" i="5"/>
  <c r="BA418" i="5"/>
  <c r="BA419" i="5"/>
  <c r="BA420" i="5"/>
  <c r="BA421" i="5"/>
  <c r="BA422" i="5"/>
  <c r="BA423" i="5"/>
  <c r="BA424" i="5"/>
  <c r="BA425" i="5"/>
  <c r="BA426" i="5"/>
  <c r="BA427" i="5"/>
  <c r="BA428" i="5"/>
  <c r="BA429" i="5"/>
  <c r="BA430" i="5"/>
  <c r="BA431" i="5"/>
  <c r="BA432" i="5"/>
  <c r="BA433" i="5"/>
  <c r="BA434" i="5"/>
  <c r="BA435" i="5"/>
  <c r="BA436" i="5"/>
  <c r="BA437" i="5"/>
  <c r="BA438" i="5"/>
  <c r="BA439" i="5"/>
  <c r="BA440" i="5"/>
  <c r="BA441" i="5"/>
  <c r="BA442" i="5"/>
  <c r="BA443" i="5"/>
  <c r="BF15" i="5"/>
  <c r="BF22" i="5"/>
  <c r="BF23" i="5"/>
  <c r="BF41" i="5"/>
  <c r="BF43" i="5"/>
  <c r="BF45" i="5"/>
  <c r="BF53" i="5"/>
  <c r="BF61" i="5"/>
  <c r="BF71" i="5"/>
  <c r="BF73" i="5"/>
  <c r="BF82" i="5"/>
  <c r="BF91" i="5"/>
  <c r="BF105" i="5"/>
  <c r="BF115" i="5"/>
  <c r="BF131" i="5"/>
  <c r="BF133" i="5"/>
  <c r="BF135" i="5"/>
  <c r="BF137" i="5"/>
  <c r="BF141" i="5"/>
  <c r="BF142" i="5"/>
  <c r="BF151" i="5"/>
  <c r="BF152" i="5"/>
  <c r="BF153" i="5"/>
  <c r="BF161" i="5"/>
  <c r="BF172" i="5"/>
  <c r="BF173" i="5"/>
  <c r="BF181" i="5"/>
  <c r="BF182" i="5"/>
  <c r="BF192" i="5"/>
  <c r="BF197" i="5"/>
  <c r="BF201" i="5"/>
  <c r="BF202" i="5"/>
  <c r="BF212" i="5"/>
  <c r="BF215" i="5"/>
  <c r="BF217" i="5"/>
  <c r="BF232" i="5"/>
  <c r="BF235" i="5"/>
  <c r="BF237" i="5"/>
  <c r="BF241" i="5"/>
  <c r="BF242" i="5"/>
  <c r="BF255" i="5"/>
  <c r="BF257" i="5"/>
  <c r="BF277" i="5"/>
  <c r="BF281" i="5"/>
  <c r="BF283" i="5"/>
  <c r="BF291" i="5"/>
  <c r="BF297" i="5"/>
  <c r="BF302" i="5"/>
  <c r="BF303" i="5"/>
  <c r="BF321" i="5"/>
  <c r="BF323" i="5"/>
  <c r="BF341" i="5"/>
  <c r="BF343" i="5"/>
  <c r="BF361" i="5"/>
  <c r="BF367" i="5"/>
  <c r="BF377" i="5"/>
  <c r="BF397" i="5"/>
  <c r="BF401" i="5"/>
  <c r="BF411" i="5"/>
  <c r="BF437" i="5"/>
  <c r="BF443" i="5"/>
  <c r="BG3" i="5"/>
  <c r="BG4" i="5"/>
  <c r="BG5" i="5"/>
  <c r="BG7" i="5"/>
  <c r="BG9" i="5"/>
  <c r="BG12" i="5"/>
  <c r="BG13" i="5"/>
  <c r="BG14" i="5"/>
  <c r="BG15" i="5"/>
  <c r="BG16" i="5"/>
  <c r="BG17" i="5"/>
  <c r="BG21" i="5"/>
  <c r="BG23" i="5"/>
  <c r="BG24" i="5"/>
  <c r="BG25" i="5"/>
  <c r="BG26" i="5"/>
  <c r="BG27" i="5"/>
  <c r="BG31" i="5"/>
  <c r="BG34" i="5"/>
  <c r="BG35" i="5"/>
  <c r="BG36" i="5"/>
  <c r="BG41" i="5"/>
  <c r="BG43" i="5"/>
  <c r="BG44" i="5"/>
  <c r="BG45" i="5"/>
  <c r="BG46" i="5"/>
  <c r="BG47" i="5"/>
  <c r="BG52" i="5"/>
  <c r="BG53" i="5"/>
  <c r="BG54" i="5"/>
  <c r="BG55" i="5"/>
  <c r="BG56" i="5"/>
  <c r="BG57" i="5"/>
  <c r="BG61" i="5"/>
  <c r="BG63" i="5"/>
  <c r="BG66" i="5"/>
  <c r="BG67" i="5"/>
  <c r="BG71" i="5"/>
  <c r="BG72" i="5"/>
  <c r="BG73" i="5"/>
  <c r="BG74" i="5"/>
  <c r="BG75" i="5"/>
  <c r="BG76" i="5"/>
  <c r="BG77" i="5"/>
  <c r="BG82" i="5"/>
  <c r="BG83" i="5"/>
  <c r="BG84" i="5"/>
  <c r="BG85" i="5"/>
  <c r="BG86" i="5"/>
  <c r="BG87" i="5"/>
  <c r="BG91" i="5"/>
  <c r="BG93" i="5"/>
  <c r="BG94" i="5"/>
  <c r="BG95" i="5"/>
  <c r="BG96" i="5"/>
  <c r="BG97" i="5"/>
  <c r="BG102" i="5"/>
  <c r="BG103" i="5"/>
  <c r="BG104" i="5"/>
  <c r="BG105" i="5"/>
  <c r="BG106" i="5"/>
  <c r="BG107" i="5"/>
  <c r="BG112" i="5"/>
  <c r="BG113" i="5"/>
  <c r="BG114" i="5"/>
  <c r="BG115" i="5"/>
  <c r="BG116" i="5"/>
  <c r="BG117" i="5"/>
  <c r="BG120" i="5"/>
  <c r="BG121" i="5"/>
  <c r="BG123" i="5"/>
  <c r="BG124" i="5"/>
  <c r="BG125" i="5"/>
  <c r="BG126" i="5"/>
  <c r="BG127" i="5"/>
  <c r="BG130" i="5"/>
  <c r="BG131" i="5"/>
  <c r="BG133" i="5"/>
  <c r="BG134" i="5"/>
  <c r="BG135" i="5"/>
  <c r="BG136" i="5"/>
  <c r="BG137" i="5"/>
  <c r="BG140" i="5"/>
  <c r="BG141" i="5"/>
  <c r="BG143" i="5"/>
  <c r="BG144" i="5"/>
  <c r="BG145" i="5"/>
  <c r="BG146" i="5"/>
  <c r="BG147" i="5"/>
  <c r="BG151" i="5"/>
  <c r="BG152" i="5"/>
  <c r="BG153" i="5"/>
  <c r="BG154" i="5"/>
  <c r="BG155" i="5"/>
  <c r="BG156" i="5"/>
  <c r="BG157" i="5"/>
  <c r="BG161" i="5"/>
  <c r="BG163" i="5"/>
  <c r="BG165" i="5"/>
  <c r="BG166" i="5"/>
  <c r="BG167" i="5"/>
  <c r="BG170" i="5"/>
  <c r="BG171" i="5"/>
  <c r="BG172" i="5"/>
  <c r="BG173" i="5"/>
  <c r="BG175" i="5"/>
  <c r="BG176" i="5"/>
  <c r="BG177" i="5"/>
  <c r="BG182" i="5"/>
  <c r="BG183" i="5"/>
  <c r="BG184" i="5"/>
  <c r="BG185" i="5"/>
  <c r="BG186" i="5"/>
  <c r="BG187" i="5"/>
  <c r="BG190" i="5"/>
  <c r="BG191" i="5"/>
  <c r="BG192" i="5"/>
  <c r="BG194" i="5"/>
  <c r="BG196" i="5"/>
  <c r="BG197" i="5"/>
  <c r="BG200" i="5"/>
  <c r="BG201" i="5"/>
  <c r="BG203" i="5"/>
  <c r="BG204" i="5"/>
  <c r="BG205" i="5"/>
  <c r="BG207" i="5"/>
  <c r="BG210" i="5"/>
  <c r="BG211" i="5"/>
  <c r="BG213" i="5"/>
  <c r="BG214" i="5"/>
  <c r="BG215" i="5"/>
  <c r="BG217" i="5"/>
  <c r="BG220" i="5"/>
  <c r="BG222" i="5"/>
  <c r="BG223" i="5"/>
  <c r="BG224" i="5"/>
  <c r="BG225" i="5"/>
  <c r="BG226" i="5"/>
  <c r="BG227" i="5"/>
  <c r="BG233" i="5"/>
  <c r="BG234" i="5"/>
  <c r="BG235" i="5"/>
  <c r="BG236" i="5"/>
  <c r="BG237" i="5"/>
  <c r="BG240" i="5"/>
  <c r="BG241" i="5"/>
  <c r="BG243" i="5"/>
  <c r="BG244" i="5"/>
  <c r="BG246" i="5"/>
  <c r="BG247" i="5"/>
  <c r="BG251" i="5"/>
  <c r="BG252" i="5"/>
  <c r="BG253" i="5"/>
  <c r="BG254" i="5"/>
  <c r="BG255" i="5"/>
  <c r="BG256" i="5"/>
  <c r="BG257" i="5"/>
  <c r="BG261" i="5"/>
  <c r="BG263" i="5"/>
  <c r="BG264" i="5"/>
  <c r="BG265" i="5"/>
  <c r="BG266" i="5"/>
  <c r="BG267" i="5"/>
  <c r="BG270" i="5"/>
  <c r="BG271" i="5"/>
  <c r="BG273" i="5"/>
  <c r="BG275" i="5"/>
  <c r="BG276" i="5"/>
  <c r="BG277" i="5"/>
  <c r="BG281" i="5"/>
  <c r="BG283" i="5"/>
  <c r="BG284" i="5"/>
  <c r="BG285" i="5"/>
  <c r="BG286" i="5"/>
  <c r="BG287" i="5"/>
  <c r="BG290" i="5"/>
  <c r="BG291" i="5"/>
  <c r="BG292" i="5"/>
  <c r="BG293" i="5"/>
  <c r="BG294" i="5"/>
  <c r="BG295" i="5"/>
  <c r="BG296" i="5"/>
  <c r="BG297" i="5"/>
  <c r="BG300" i="5"/>
  <c r="BG301" i="5"/>
  <c r="BG302" i="5"/>
  <c r="BG303" i="5"/>
  <c r="BG304" i="5"/>
  <c r="BG305" i="5"/>
  <c r="BG306" i="5"/>
  <c r="BG307" i="5"/>
  <c r="BG310" i="5"/>
  <c r="BG311" i="5"/>
  <c r="BG313" i="5"/>
  <c r="BG314" i="5"/>
  <c r="BG315" i="5"/>
  <c r="BG316" i="5"/>
  <c r="BG317" i="5"/>
  <c r="BG320" i="5"/>
  <c r="BG321" i="5"/>
  <c r="BG323" i="5"/>
  <c r="BG325" i="5"/>
  <c r="BG326" i="5"/>
  <c r="BG327" i="5"/>
  <c r="BG331" i="5"/>
  <c r="BG333" i="5"/>
  <c r="BG334" i="5"/>
  <c r="BG335" i="5"/>
  <c r="BG336" i="5"/>
  <c r="BG337" i="5"/>
  <c r="BG340" i="5"/>
  <c r="BG341" i="5"/>
  <c r="BG342" i="5"/>
  <c r="BG344" i="5"/>
  <c r="BG345" i="5"/>
  <c r="BG346" i="5"/>
  <c r="BG347" i="5"/>
  <c r="BG351" i="5"/>
  <c r="BG352" i="5"/>
  <c r="BG353" i="5"/>
  <c r="BG354" i="5"/>
  <c r="BG355" i="5"/>
  <c r="BG356" i="5"/>
  <c r="BG357" i="5"/>
  <c r="BG361" i="5"/>
  <c r="BG362" i="5"/>
  <c r="BG363" i="5"/>
  <c r="BG365" i="5"/>
  <c r="BG366" i="5"/>
  <c r="BG367" i="5"/>
  <c r="BG370" i="5"/>
  <c r="BG371" i="5"/>
  <c r="BG372" i="5"/>
  <c r="BG373" i="5"/>
  <c r="BG375" i="5"/>
  <c r="BG376" i="5"/>
  <c r="BG377" i="5"/>
  <c r="BG381" i="5"/>
  <c r="BG382" i="5"/>
  <c r="BG383" i="5"/>
  <c r="BG384" i="5"/>
  <c r="BG385" i="5"/>
  <c r="BG386" i="5"/>
  <c r="BG387" i="5"/>
  <c r="BG390" i="5"/>
  <c r="BG391" i="5"/>
  <c r="BG392" i="5"/>
  <c r="BG393" i="5"/>
  <c r="BG394" i="5"/>
  <c r="BG395" i="5"/>
  <c r="BG396" i="5"/>
  <c r="BG397" i="5"/>
  <c r="BG400" i="5"/>
  <c r="BG401" i="5"/>
  <c r="BG402" i="5"/>
  <c r="BG403" i="5"/>
  <c r="BG405" i="5"/>
  <c r="BG406" i="5"/>
  <c r="BG410" i="5"/>
  <c r="BG411" i="5"/>
  <c r="BG412" i="5"/>
  <c r="BG413" i="5"/>
  <c r="BG414" i="5"/>
  <c r="BG415" i="5"/>
  <c r="BG416" i="5"/>
  <c r="BG420" i="5"/>
  <c r="BG421" i="5"/>
  <c r="BG423" i="5"/>
  <c r="BG425" i="5"/>
  <c r="BG426" i="5"/>
  <c r="BG427" i="5"/>
  <c r="BG432" i="5"/>
  <c r="BG433" i="5"/>
  <c r="BG434" i="5"/>
  <c r="BG435" i="5"/>
  <c r="BG436" i="5"/>
  <c r="BG437" i="5"/>
  <c r="BG440" i="5"/>
  <c r="BG442" i="5"/>
  <c r="BG443" i="5"/>
  <c r="BH2" i="5" a="1"/>
  <c r="BH2" i="5" s="1"/>
  <c r="BH3" i="5" a="1"/>
  <c r="BH3" i="5" s="1"/>
  <c r="BH4" i="5" a="1"/>
  <c r="BH4" i="5" s="1"/>
  <c r="BH5" i="5" a="1"/>
  <c r="BH5" i="5" s="1"/>
  <c r="BH7" i="5" a="1"/>
  <c r="BH7" i="5" s="1"/>
  <c r="BH9" i="5" a="1"/>
  <c r="BH9" i="5"/>
  <c r="BH12" i="5" a="1"/>
  <c r="BH12" i="5" s="1"/>
  <c r="BH13" i="5" a="1"/>
  <c r="BH13" i="5"/>
  <c r="BH14" i="5" a="1"/>
  <c r="BH14" i="5" s="1"/>
  <c r="BH15" i="5" a="1"/>
  <c r="BH15" i="5" s="1"/>
  <c r="BH16" i="5" a="1"/>
  <c r="BH16" i="5"/>
  <c r="BH17" i="5" a="1"/>
  <c r="BH17" i="5" s="1"/>
  <c r="BH20" i="5" a="1"/>
  <c r="BH20" i="5" s="1"/>
  <c r="BH21" i="5" a="1"/>
  <c r="BH21" i="5" s="1"/>
  <c r="BH23" i="5" a="1"/>
  <c r="BH23" i="5" s="1"/>
  <c r="BH24" i="5" a="1"/>
  <c r="BH24" i="5"/>
  <c r="BH25" i="5" a="1"/>
  <c r="BH25" i="5" s="1"/>
  <c r="BH26" i="5" a="1"/>
  <c r="BH26" i="5"/>
  <c r="BH27" i="5" a="1"/>
  <c r="BH27" i="5" s="1"/>
  <c r="BH31" i="5" a="1"/>
  <c r="BH31" i="5" s="1"/>
  <c r="BH34" i="5" a="1"/>
  <c r="BH34" i="5"/>
  <c r="BH35" i="5" a="1"/>
  <c r="BH35" i="5" s="1"/>
  <c r="BH36" i="5" a="1"/>
  <c r="BH36" i="5" s="1"/>
  <c r="BH41" i="5" a="1"/>
  <c r="BH41" i="5" s="1"/>
  <c r="BH43" i="5" a="1"/>
  <c r="BH43" i="5" s="1"/>
  <c r="BH44" i="5" a="1"/>
  <c r="BH44" i="5"/>
  <c r="BH45" i="5" a="1"/>
  <c r="BH45" i="5" s="1"/>
  <c r="BH46" i="5" a="1"/>
  <c r="BH46" i="5"/>
  <c r="BH47" i="5" a="1"/>
  <c r="BH47" i="5" s="1"/>
  <c r="BH50" i="5" a="1"/>
  <c r="BH50" i="5" s="1"/>
  <c r="BH54" i="5" a="1"/>
  <c r="BH54" i="5"/>
  <c r="BH55" i="5" a="1"/>
  <c r="BH55" i="5" s="1"/>
  <c r="BH56" i="5" a="1"/>
  <c r="BH56" i="5"/>
  <c r="BH57" i="5" a="1"/>
  <c r="BH57" i="5" s="1"/>
  <c r="BH61" i="5" a="1"/>
  <c r="BH61" i="5"/>
  <c r="BH63" i="5" a="1"/>
  <c r="BH63" i="5"/>
  <c r="BH64" i="5" a="1"/>
  <c r="BH64" i="5"/>
  <c r="BH65" i="5" a="1"/>
  <c r="BH65" i="5" s="1"/>
  <c r="BH66" i="5" a="1"/>
  <c r="BH66" i="5"/>
  <c r="BH67" i="5" a="1"/>
  <c r="BH67" i="5" s="1"/>
  <c r="BH71" i="5" a="1"/>
  <c r="BH71" i="5" s="1"/>
  <c r="BH72" i="5" a="1"/>
  <c r="BH72" i="5" s="1"/>
  <c r="BH73" i="5" a="1"/>
  <c r="BH73" i="5" s="1"/>
  <c r="BH74" i="5" a="1"/>
  <c r="BH74" i="5" s="1"/>
  <c r="BH75" i="5" a="1"/>
  <c r="BH75" i="5" s="1"/>
  <c r="BH76" i="5" a="1"/>
  <c r="BH76" i="5" s="1"/>
  <c r="BH77" i="5" a="1"/>
  <c r="BH77" i="5" s="1"/>
  <c r="BH82" i="5" a="1"/>
  <c r="BH82" i="5" s="1"/>
  <c r="BH83" i="5" a="1"/>
  <c r="BH83" i="5" s="1"/>
  <c r="BH85" i="5" a="1"/>
  <c r="BH85" i="5" s="1"/>
  <c r="BH86" i="5" a="1"/>
  <c r="BH86" i="5"/>
  <c r="BH87" i="5" a="1"/>
  <c r="BH87" i="5" s="1"/>
  <c r="BH91" i="5" a="1"/>
  <c r="BH91" i="5"/>
  <c r="BH93" i="5" a="1"/>
  <c r="BH93" i="5"/>
  <c r="BH94" i="5" a="1"/>
  <c r="BH94" i="5" s="1"/>
  <c r="BH95" i="5" a="1"/>
  <c r="BH95" i="5" s="1"/>
  <c r="BH96" i="5" a="1"/>
  <c r="BH96" i="5"/>
  <c r="BH97" i="5" a="1"/>
  <c r="BH97" i="5" s="1"/>
  <c r="BH102" i="5" a="1"/>
  <c r="BH102" i="5" s="1"/>
  <c r="BH103" i="5" a="1"/>
  <c r="BH103" i="5" s="1"/>
  <c r="BH104" i="5" a="1"/>
  <c r="BH104" i="5" s="1"/>
  <c r="BH105" i="5" a="1"/>
  <c r="BH105" i="5" s="1"/>
  <c r="BH106" i="5" a="1"/>
  <c r="BH106" i="5" s="1"/>
  <c r="BH107" i="5" a="1"/>
  <c r="BH107" i="5" s="1"/>
  <c r="BH112" i="5" a="1"/>
  <c r="BH112" i="5" s="1"/>
  <c r="BH113" i="5" a="1"/>
  <c r="BH113" i="5" s="1"/>
  <c r="BH114" i="5" a="1"/>
  <c r="BH114" i="5" s="1"/>
  <c r="BH115" i="5" a="1"/>
  <c r="BH115" i="5" s="1"/>
  <c r="BH116" i="5" a="1"/>
  <c r="BH116" i="5"/>
  <c r="BH117" i="5" a="1"/>
  <c r="BH117" i="5" s="1"/>
  <c r="BH120" i="5" a="1"/>
  <c r="BH120" i="5" s="1"/>
  <c r="BH121" i="5" a="1"/>
  <c r="BH121" i="5"/>
  <c r="BH123" i="5" a="1"/>
  <c r="BH123" i="5"/>
  <c r="BH124" i="5" a="1"/>
  <c r="BH124" i="5" s="1"/>
  <c r="BH125" i="5" a="1"/>
  <c r="BH125" i="5" s="1"/>
  <c r="BH126" i="5" a="1"/>
  <c r="BH126" i="5"/>
  <c r="BH127" i="5" a="1"/>
  <c r="BH127" i="5" s="1"/>
  <c r="BH130" i="5" a="1"/>
  <c r="BH130" i="5" s="1"/>
  <c r="BH131" i="5" a="1"/>
  <c r="BH131" i="5"/>
  <c r="BH133" i="5" a="1"/>
  <c r="BH133" i="5" s="1"/>
  <c r="BH134" i="5" a="1"/>
  <c r="BH134" i="5" s="1"/>
  <c r="BH135" i="5" a="1"/>
  <c r="BH135" i="5" s="1"/>
  <c r="BH136" i="5" a="1"/>
  <c r="BH136" i="5"/>
  <c r="BH137" i="5" a="1"/>
  <c r="BH137" i="5" s="1"/>
  <c r="BH140" i="5" a="1"/>
  <c r="BH140" i="5" s="1"/>
  <c r="BH141" i="5" a="1"/>
  <c r="BH141" i="5"/>
  <c r="BH143" i="5" a="1"/>
  <c r="BH143" i="5" s="1"/>
  <c r="BH144" i="5" a="1"/>
  <c r="BH144" i="5" s="1"/>
  <c r="BH145" i="5" a="1"/>
  <c r="BH145" i="5" s="1"/>
  <c r="BH146" i="5" a="1"/>
  <c r="BH146" i="5"/>
  <c r="BH147" i="5" a="1"/>
  <c r="BH147" i="5" s="1"/>
  <c r="BH151" i="5" a="1"/>
  <c r="BH151" i="5"/>
  <c r="BH152" i="5" a="1"/>
  <c r="BH152" i="5" s="1"/>
  <c r="BH153" i="5" a="1"/>
  <c r="BH153" i="5"/>
  <c r="BH154" i="5" a="1"/>
  <c r="BH154" i="5" s="1"/>
  <c r="BH155" i="5" a="1"/>
  <c r="BH155" i="5" s="1"/>
  <c r="BH156" i="5" a="1"/>
  <c r="BH156" i="5"/>
  <c r="BH157" i="5" a="1"/>
  <c r="BH157" i="5" s="1"/>
  <c r="BH161" i="5" a="1"/>
  <c r="BH161" i="5"/>
  <c r="BH163" i="5" a="1"/>
  <c r="BH163" i="5"/>
  <c r="BH165" i="5" a="1"/>
  <c r="BH165" i="5" s="1"/>
  <c r="BH166" i="5" a="1"/>
  <c r="BH166" i="5"/>
  <c r="BH167" i="5" a="1"/>
  <c r="BH167" i="5" s="1"/>
  <c r="BH170" i="5" a="1"/>
  <c r="BH170" i="5" s="1"/>
  <c r="BH171" i="5" a="1"/>
  <c r="BH171" i="5"/>
  <c r="BH172" i="5" a="1"/>
  <c r="BH172" i="5" s="1"/>
  <c r="BH173" i="5" a="1"/>
  <c r="BH173" i="5" s="1"/>
  <c r="BH175" i="5" a="1"/>
  <c r="BH175" i="5" s="1"/>
  <c r="BH176" i="5" a="1"/>
  <c r="BH176" i="5" s="1"/>
  <c r="BH182" i="5" a="1"/>
  <c r="BH182" i="5" s="1"/>
  <c r="BH183" i="5" a="1"/>
  <c r="BH183" i="5" s="1"/>
  <c r="BH184" i="5" a="1"/>
  <c r="BH184" i="5" s="1"/>
  <c r="BH185" i="5" a="1"/>
  <c r="BH185" i="5" s="1"/>
  <c r="BH186" i="5" a="1"/>
  <c r="BH186" i="5" s="1"/>
  <c r="BH187" i="5" a="1"/>
  <c r="BH187" i="5" s="1"/>
  <c r="BH190" i="5" a="1"/>
  <c r="BH190" i="5" s="1"/>
  <c r="BH191" i="5" a="1"/>
  <c r="BH191" i="5"/>
  <c r="BH192" i="5" a="1"/>
  <c r="BH192" i="5" s="1"/>
  <c r="BH193" i="5" a="1"/>
  <c r="BH193" i="5" s="1"/>
  <c r="BH194" i="5" a="1"/>
  <c r="BH194" i="5" s="1"/>
  <c r="BH196" i="5" a="1"/>
  <c r="BH196" i="5" s="1"/>
  <c r="BH197" i="5" a="1"/>
  <c r="BH197" i="5" s="1"/>
  <c r="BH200" i="5" a="1"/>
  <c r="BH200" i="5" s="1"/>
  <c r="BH201" i="5" a="1"/>
  <c r="BH201" i="5"/>
  <c r="BH203" i="5" a="1"/>
  <c r="BH203" i="5" s="1"/>
  <c r="BH204" i="5" a="1"/>
  <c r="BH204" i="5" s="1"/>
  <c r="BH205" i="5" a="1"/>
  <c r="BH205" i="5" s="1"/>
  <c r="BH207" i="5" a="1"/>
  <c r="BH207" i="5" s="1"/>
  <c r="BH210" i="5" a="1"/>
  <c r="BH210" i="5" s="1"/>
  <c r="BH211" i="5" a="1"/>
  <c r="BH211" i="5"/>
  <c r="BH213" i="5" a="1"/>
  <c r="BH213" i="5" s="1"/>
  <c r="BH214" i="5" a="1"/>
  <c r="BH214" i="5" s="1"/>
  <c r="BH215" i="5" a="1"/>
  <c r="BH215" i="5" s="1"/>
  <c r="BH217" i="5" a="1"/>
  <c r="BH217" i="5" s="1"/>
  <c r="BH220" i="5" a="1"/>
  <c r="BH220" i="5" s="1"/>
  <c r="BH222" i="5" a="1"/>
  <c r="BH222" i="5" s="1"/>
  <c r="BH223" i="5" a="1"/>
  <c r="BH223" i="5" s="1"/>
  <c r="BH224" i="5" a="1"/>
  <c r="BH224" i="5" s="1"/>
  <c r="BH225" i="5" a="1"/>
  <c r="BH225" i="5" s="1"/>
  <c r="BH226" i="5" a="1"/>
  <c r="BH226" i="5" s="1"/>
  <c r="BH227" i="5" a="1"/>
  <c r="BH227" i="5" s="1"/>
  <c r="BH231" i="5" a="1"/>
  <c r="BH231" i="5"/>
  <c r="BH232" i="5" a="1"/>
  <c r="BH232" i="5" s="1"/>
  <c r="BH233" i="5" a="1"/>
  <c r="BH233" i="5"/>
  <c r="BH235" i="5" a="1"/>
  <c r="BH235" i="5" s="1"/>
  <c r="BH236" i="5" a="1"/>
  <c r="BH236" i="5" s="1"/>
  <c r="BH237" i="5" a="1"/>
  <c r="BH237" i="5" s="1"/>
  <c r="BH240" i="5" a="1"/>
  <c r="BH240" i="5" s="1"/>
  <c r="BH241" i="5" a="1"/>
  <c r="BH241" i="5"/>
  <c r="BH243" i="5" a="1"/>
  <c r="BH243" i="5"/>
  <c r="BH244" i="5" a="1"/>
  <c r="BH244" i="5" s="1"/>
  <c r="BH246" i="5" a="1"/>
  <c r="BH246" i="5"/>
  <c r="BH247" i="5" a="1"/>
  <c r="BH247" i="5" s="1"/>
  <c r="BH251" i="5" a="1"/>
  <c r="BH251" i="5"/>
  <c r="BH252" i="5" a="1"/>
  <c r="BH252" i="5" s="1"/>
  <c r="BH253" i="5" a="1"/>
  <c r="BH253" i="5"/>
  <c r="BH254" i="5" a="1"/>
  <c r="BH254" i="5" s="1"/>
  <c r="BH255" i="5" a="1"/>
  <c r="BH255" i="5" s="1"/>
  <c r="BH256" i="5" a="1"/>
  <c r="BH256" i="5"/>
  <c r="BH257" i="5" a="1"/>
  <c r="BH257" i="5" s="1"/>
  <c r="BH261" i="5" a="1"/>
  <c r="BH261" i="5"/>
  <c r="BH263" i="5" a="1"/>
  <c r="BH263" i="5" s="1"/>
  <c r="BH264" i="5" a="1"/>
  <c r="BH264" i="5" s="1"/>
  <c r="BH265" i="5" a="1"/>
  <c r="BH265" i="5" s="1"/>
  <c r="BH266" i="5" a="1"/>
  <c r="BH266" i="5" s="1"/>
  <c r="BH267" i="5" a="1"/>
  <c r="BH267" i="5" s="1"/>
  <c r="BH270" i="5" a="1"/>
  <c r="BH270" i="5" s="1"/>
  <c r="BH271" i="5" a="1"/>
  <c r="BH271" i="5"/>
  <c r="BH272" i="5" a="1"/>
  <c r="BH272" i="5" s="1"/>
  <c r="BH273" i="5" a="1"/>
  <c r="BH273" i="5" s="1"/>
  <c r="BH275" i="5" a="1"/>
  <c r="BH275" i="5" s="1"/>
  <c r="BH276" i="5" a="1"/>
  <c r="BH276" i="5"/>
  <c r="BH277" i="5" a="1"/>
  <c r="BH277" i="5" s="1"/>
  <c r="BH281" i="5" a="1"/>
  <c r="BH281" i="5" s="1"/>
  <c r="BH283" i="5" a="1"/>
  <c r="BH283" i="5"/>
  <c r="BH284" i="5" a="1"/>
  <c r="BH284" i="5" s="1"/>
  <c r="BH285" i="5" a="1"/>
  <c r="BH285" i="5" s="1"/>
  <c r="BH286" i="5" a="1"/>
  <c r="BH286" i="5"/>
  <c r="BH287" i="5" a="1"/>
  <c r="BH287" i="5" s="1"/>
  <c r="BH290" i="5" a="1"/>
  <c r="BH290" i="5" s="1"/>
  <c r="BH291" i="5" a="1"/>
  <c r="BH291" i="5"/>
  <c r="BH292" i="5" a="1"/>
  <c r="BH292" i="5" s="1"/>
  <c r="BH293" i="5" a="1"/>
  <c r="BH293" i="5"/>
  <c r="BH294" i="5" a="1"/>
  <c r="BH294" i="5" s="1"/>
  <c r="BH295" i="5" a="1"/>
  <c r="BH295" i="5" s="1"/>
  <c r="BH296" i="5" a="1"/>
  <c r="BH296" i="5"/>
  <c r="BH297" i="5" a="1"/>
  <c r="BH297" i="5" s="1"/>
  <c r="BH300" i="5" a="1"/>
  <c r="BH300" i="5" s="1"/>
  <c r="BH301" i="5" a="1"/>
  <c r="BH301" i="5"/>
  <c r="BH302" i="5" a="1"/>
  <c r="BH302" i="5" s="1"/>
  <c r="BH303" i="5" a="1"/>
  <c r="BH303" i="5" s="1"/>
  <c r="BH304" i="5" a="1"/>
  <c r="BH304" i="5" s="1"/>
  <c r="BH305" i="5" a="1"/>
  <c r="BH305" i="5" s="1"/>
  <c r="BH306" i="5" a="1"/>
  <c r="BH306" i="5" s="1"/>
  <c r="BH307" i="5" a="1"/>
  <c r="BH307" i="5" s="1"/>
  <c r="BH310" i="5" a="1"/>
  <c r="BH310" i="5" s="1"/>
  <c r="BH311" i="5" a="1"/>
  <c r="BH311" i="5"/>
  <c r="BH313" i="5" a="1"/>
  <c r="BH313" i="5" s="1"/>
  <c r="BH314" i="5" a="1"/>
  <c r="BH314" i="5" s="1"/>
  <c r="BH315" i="5" a="1"/>
  <c r="BH315" i="5" s="1"/>
  <c r="BH316" i="5" a="1"/>
  <c r="BH316" i="5"/>
  <c r="BH317" i="5" a="1"/>
  <c r="BH317" i="5" s="1"/>
  <c r="BH320" i="5" a="1"/>
  <c r="BH320" i="5" s="1"/>
  <c r="BH321" i="5" a="1"/>
  <c r="BH321" i="5"/>
  <c r="BH323" i="5" a="1"/>
  <c r="BH323" i="5"/>
  <c r="BH325" i="5" a="1"/>
  <c r="BH325" i="5" s="1"/>
  <c r="BH326" i="5" a="1"/>
  <c r="BH326" i="5" s="1"/>
  <c r="BH327" i="5" a="1"/>
  <c r="BH327" i="5" s="1"/>
  <c r="BH331" i="5" a="1"/>
  <c r="BH331" i="5"/>
  <c r="BH333" i="5" a="1"/>
  <c r="BH333" i="5" s="1"/>
  <c r="BH334" i="5" a="1"/>
  <c r="BH334" i="5" s="1"/>
  <c r="BH335" i="5" a="1"/>
  <c r="BH335" i="5" s="1"/>
  <c r="BH336" i="5" a="1"/>
  <c r="BH336" i="5"/>
  <c r="BH337" i="5" a="1"/>
  <c r="BH337" i="5" s="1"/>
  <c r="BH340" i="5" a="1"/>
  <c r="BH340" i="5" s="1"/>
  <c r="BH341" i="5" a="1"/>
  <c r="BH341" i="5"/>
  <c r="BH342" i="5" a="1"/>
  <c r="BH342" i="5" s="1"/>
  <c r="BH344" i="5" a="1"/>
  <c r="BH344" i="5" s="1"/>
  <c r="BH345" i="5" a="1"/>
  <c r="BH345" i="5" s="1"/>
  <c r="BH346" i="5" a="1"/>
  <c r="BH346" i="5" s="1"/>
  <c r="BH347" i="5" a="1"/>
  <c r="BH347" i="5" s="1"/>
  <c r="BH351" i="5" a="1"/>
  <c r="BH351" i="5" s="1"/>
  <c r="BH352" i="5" a="1"/>
  <c r="BH352" i="5" s="1"/>
  <c r="BH353" i="5" a="1"/>
  <c r="BH353" i="5" s="1"/>
  <c r="BH354" i="5" a="1"/>
  <c r="BH354" i="5" s="1"/>
  <c r="BH355" i="5" a="1"/>
  <c r="BH355" i="5" s="1"/>
  <c r="BH356" i="5" a="1"/>
  <c r="BH356" i="5" s="1"/>
  <c r="BH357" i="5" a="1"/>
  <c r="BH357" i="5" s="1"/>
  <c r="BH361" i="5" a="1"/>
  <c r="BH361" i="5"/>
  <c r="BH362" i="5" a="1"/>
  <c r="BH362" i="5" s="1"/>
  <c r="BH363" i="5" a="1"/>
  <c r="BH363" i="5"/>
  <c r="BH365" i="5" a="1"/>
  <c r="BH365" i="5" s="1"/>
  <c r="BH366" i="5" a="1"/>
  <c r="BH366" i="5" s="1"/>
  <c r="BH367" i="5" a="1"/>
  <c r="BH367" i="5" s="1"/>
  <c r="BH370" i="5" a="1"/>
  <c r="BH370" i="5" s="1"/>
  <c r="BH371" i="5" a="1"/>
  <c r="BH371" i="5"/>
  <c r="BH372" i="5" a="1"/>
  <c r="BH372" i="5" s="1"/>
  <c r="BH373" i="5" a="1"/>
  <c r="BH373" i="5" s="1"/>
  <c r="BH375" i="5" a="1"/>
  <c r="BH375" i="5" s="1"/>
  <c r="BH376" i="5" a="1"/>
  <c r="BH376" i="5" s="1"/>
  <c r="BH377" i="5" a="1"/>
  <c r="BH377" i="5" s="1"/>
  <c r="BH381" i="5" a="1"/>
  <c r="BH381" i="5"/>
  <c r="BH382" i="5" a="1"/>
  <c r="BH382" i="5" s="1"/>
  <c r="BH383" i="5" a="1"/>
  <c r="BH383" i="5"/>
  <c r="BH384" i="5" a="1"/>
  <c r="BH384" i="5" s="1"/>
  <c r="BH385" i="5" a="1"/>
  <c r="BH385" i="5" s="1"/>
  <c r="BH386" i="5" a="1"/>
  <c r="BH386" i="5" s="1"/>
  <c r="BH387" i="5" a="1"/>
  <c r="BH387" i="5" s="1"/>
  <c r="BH390" i="5" a="1"/>
  <c r="BH390" i="5" s="1"/>
  <c r="BH391" i="5" a="1"/>
  <c r="BH391" i="5" s="1"/>
  <c r="BH392" i="5" a="1"/>
  <c r="BH392" i="5" s="1"/>
  <c r="BH393" i="5" a="1"/>
  <c r="BH393" i="5" s="1"/>
  <c r="BH394" i="5" a="1"/>
  <c r="BH394" i="5" s="1"/>
  <c r="BH395" i="5" a="1"/>
  <c r="BH395" i="5" s="1"/>
  <c r="BH396" i="5" a="1"/>
  <c r="BH396" i="5" s="1"/>
  <c r="BH397" i="5" a="1"/>
  <c r="BH397" i="5" s="1"/>
  <c r="BH400" i="5" a="1"/>
  <c r="BH400" i="5" s="1"/>
  <c r="BH401" i="5" a="1"/>
  <c r="BH401" i="5"/>
  <c r="BH402" i="5" a="1"/>
  <c r="BH402" i="5" s="1"/>
  <c r="BH403" i="5" a="1"/>
  <c r="BH403" i="5"/>
  <c r="BH405" i="5" a="1"/>
  <c r="BH405" i="5" s="1"/>
  <c r="BH406" i="5" a="1"/>
  <c r="BH406" i="5" s="1"/>
  <c r="BH410" i="5" a="1"/>
  <c r="BH410" i="5" s="1"/>
  <c r="BH411" i="5" a="1"/>
  <c r="BH411" i="5"/>
  <c r="BH412" i="5" a="1"/>
  <c r="BH412" i="5" s="1"/>
  <c r="BH413" i="5" a="1"/>
  <c r="BH413" i="5" s="1"/>
  <c r="BH414" i="5" a="1"/>
  <c r="BH414" i="5" s="1"/>
  <c r="BH415" i="5" a="1"/>
  <c r="BH415" i="5" s="1"/>
  <c r="BH416" i="5" a="1"/>
  <c r="BH416" i="5" s="1"/>
  <c r="BH420" i="5" a="1"/>
  <c r="BH420" i="5" s="1"/>
  <c r="BH421" i="5" a="1"/>
  <c r="BH421" i="5" s="1"/>
  <c r="BH422" i="5" a="1"/>
  <c r="BH422" i="5" s="1"/>
  <c r="BH423" i="5" a="1"/>
  <c r="BH423" i="5" s="1"/>
  <c r="BH425" i="5" a="1"/>
  <c r="BH425" i="5" s="1"/>
  <c r="BH426" i="5" a="1"/>
  <c r="BH426" i="5"/>
  <c r="BH427" i="5" a="1"/>
  <c r="BH427" i="5" s="1"/>
  <c r="BH432" i="5" a="1"/>
  <c r="BH432" i="5" s="1"/>
  <c r="BH433" i="5" a="1"/>
  <c r="BH433" i="5" s="1"/>
  <c r="BH434" i="5" a="1"/>
  <c r="BH434" i="5" s="1"/>
  <c r="BH435" i="5" a="1"/>
  <c r="BH435" i="5" s="1"/>
  <c r="BH436" i="5" a="1"/>
  <c r="BH436" i="5" s="1"/>
  <c r="BH437" i="5" a="1"/>
  <c r="BH437" i="5" s="1"/>
  <c r="BH440" i="5" a="1"/>
  <c r="BH440" i="5" s="1"/>
  <c r="BH442" i="5" a="1"/>
  <c r="BH442" i="5" s="1"/>
  <c r="BH443" i="5" a="1"/>
  <c r="BH443" i="5" s="1"/>
  <c r="BI2" i="5"/>
  <c r="BI3" i="5"/>
  <c r="BI4" i="5"/>
  <c r="BI5" i="5"/>
  <c r="BI15" i="5"/>
  <c r="BI23" i="5"/>
  <c r="BI25" i="5"/>
  <c r="BI41" i="5"/>
  <c r="BI43" i="5"/>
  <c r="BI44" i="5"/>
  <c r="BI45" i="5"/>
  <c r="BI52" i="5"/>
  <c r="BI53" i="5"/>
  <c r="BI54" i="5"/>
  <c r="BI55" i="5"/>
  <c r="BI57" i="5"/>
  <c r="BI61" i="5"/>
  <c r="BI73" i="5"/>
  <c r="BI75" i="5"/>
  <c r="BI85" i="5"/>
  <c r="BI91" i="5"/>
  <c r="BI93" i="5"/>
  <c r="BI103" i="5"/>
  <c r="BI104" i="5"/>
  <c r="BI105" i="5"/>
  <c r="BI112" i="5"/>
  <c r="BI114" i="5"/>
  <c r="BI120" i="5"/>
  <c r="BI123" i="5"/>
  <c r="BI130" i="5"/>
  <c r="BI131" i="5"/>
  <c r="BI135" i="5"/>
  <c r="BI140" i="5"/>
  <c r="BI143" i="5"/>
  <c r="BI144" i="5"/>
  <c r="BI152" i="5"/>
  <c r="BI153" i="5"/>
  <c r="BI154" i="5"/>
  <c r="BI155" i="5"/>
  <c r="BI161" i="5"/>
  <c r="BI170" i="5"/>
  <c r="BI173" i="5"/>
  <c r="BI175" i="5"/>
  <c r="BI181" i="5"/>
  <c r="BI182" i="5"/>
  <c r="BI184" i="5"/>
  <c r="BI185" i="5"/>
  <c r="BI190" i="5"/>
  <c r="BI191" i="5"/>
  <c r="BI194" i="5"/>
  <c r="BI203" i="5"/>
  <c r="BI210" i="5"/>
  <c r="BI211" i="5"/>
  <c r="BI214" i="5"/>
  <c r="BI215" i="5"/>
  <c r="BI217" i="5"/>
  <c r="BI220" i="5"/>
  <c r="BI223" i="5"/>
  <c r="BI240" i="5"/>
  <c r="BI241" i="5"/>
  <c r="BI243" i="5"/>
  <c r="BI244" i="5"/>
  <c r="BI251" i="5"/>
  <c r="BI252" i="5"/>
  <c r="BI253" i="5"/>
  <c r="BI254" i="5"/>
  <c r="BI255" i="5"/>
  <c r="BI265" i="5"/>
  <c r="BI270" i="5"/>
  <c r="BI273" i="5"/>
  <c r="BI275" i="5"/>
  <c r="BI281" i="5"/>
  <c r="BI283" i="5"/>
  <c r="BI284" i="5"/>
  <c r="BI285" i="5"/>
  <c r="BI287" i="5"/>
  <c r="BI292" i="5"/>
  <c r="BI293" i="5"/>
  <c r="BI295" i="5"/>
  <c r="BI305" i="5"/>
  <c r="BI307" i="5"/>
  <c r="BI311" i="5"/>
  <c r="BI320" i="5"/>
  <c r="BI321" i="5"/>
  <c r="BI323" i="5"/>
  <c r="BI331" i="5"/>
  <c r="BI335" i="5"/>
  <c r="BI340" i="5"/>
  <c r="BI351" i="5"/>
  <c r="BI352" i="5"/>
  <c r="BI353" i="5"/>
  <c r="BI357" i="5"/>
  <c r="BI361" i="5"/>
  <c r="BI365" i="5"/>
  <c r="BI370" i="5"/>
  <c r="BI381" i="5"/>
  <c r="BI385" i="5"/>
  <c r="BI390" i="5"/>
  <c r="BI391" i="5"/>
  <c r="BI393" i="5"/>
  <c r="BI394" i="5"/>
  <c r="BI397" i="5"/>
  <c r="BI401" i="5"/>
  <c r="BI411" i="5"/>
  <c r="BI415" i="5"/>
  <c r="BI440" i="5"/>
  <c r="BI442" i="5"/>
  <c r="BI443" i="5"/>
  <c r="BL2" i="5"/>
  <c r="BL3" i="5"/>
  <c r="BL4" i="5"/>
  <c r="BL5" i="5"/>
  <c r="BL6" i="5"/>
  <c r="BL7" i="5"/>
  <c r="BL9" i="5"/>
  <c r="BL12" i="5"/>
  <c r="BL13" i="5"/>
  <c r="BL14" i="5"/>
  <c r="BL15" i="5"/>
  <c r="BL16" i="5"/>
  <c r="BL17" i="5"/>
  <c r="BL20" i="5"/>
  <c r="BL21" i="5"/>
  <c r="BL23" i="5"/>
  <c r="BL24" i="5"/>
  <c r="BL25" i="5"/>
  <c r="BL26" i="5"/>
  <c r="BL27" i="5"/>
  <c r="BL31" i="5"/>
  <c r="BL33" i="5"/>
  <c r="BL34" i="5"/>
  <c r="BL35" i="5"/>
  <c r="BL36" i="5"/>
  <c r="BL37" i="5"/>
  <c r="BL41" i="5"/>
  <c r="BL43" i="5"/>
  <c r="BL44" i="5"/>
  <c r="BL45" i="5"/>
  <c r="BL46" i="5"/>
  <c r="BL47" i="5"/>
  <c r="BL50" i="5"/>
  <c r="BL52" i="5"/>
  <c r="BL53" i="5"/>
  <c r="BL54" i="5"/>
  <c r="BL55" i="5"/>
  <c r="BL56" i="5"/>
  <c r="BL57" i="5"/>
  <c r="BL61" i="5"/>
  <c r="BL63" i="5"/>
  <c r="BL64" i="5"/>
  <c r="BL65" i="5"/>
  <c r="BL66" i="5"/>
  <c r="BL67" i="5"/>
  <c r="BL71" i="5"/>
  <c r="BL72" i="5"/>
  <c r="BL73" i="5"/>
  <c r="BL74" i="5"/>
  <c r="BL75" i="5"/>
  <c r="BL76" i="5"/>
  <c r="BL77" i="5"/>
  <c r="BL82" i="5"/>
  <c r="BL83" i="5"/>
  <c r="BL84" i="5"/>
  <c r="BL85" i="5"/>
  <c r="BL86" i="5"/>
  <c r="BL87" i="5"/>
  <c r="BL91" i="5"/>
  <c r="BL93" i="5"/>
  <c r="BL94" i="5"/>
  <c r="BL95" i="5"/>
  <c r="BL96" i="5"/>
  <c r="BL97" i="5"/>
  <c r="BL102" i="5"/>
  <c r="BL103" i="5"/>
  <c r="BL104" i="5"/>
  <c r="BL105" i="5"/>
  <c r="BL106" i="5"/>
  <c r="BL107" i="5"/>
  <c r="BL112" i="5"/>
  <c r="BL113" i="5"/>
  <c r="BL114" i="5"/>
  <c r="BL115" i="5"/>
  <c r="BL116" i="5"/>
  <c r="BL117" i="5"/>
  <c r="BL120" i="5"/>
  <c r="BL121" i="5"/>
  <c r="BL123" i="5"/>
  <c r="BL124" i="5"/>
  <c r="BL125" i="5"/>
  <c r="BL126" i="5"/>
  <c r="BL127" i="5"/>
  <c r="BL130" i="5"/>
  <c r="BL131" i="5"/>
  <c r="BL133" i="5"/>
  <c r="BL134" i="5"/>
  <c r="BL135" i="5"/>
  <c r="BL136" i="5"/>
  <c r="BL137" i="5"/>
  <c r="BL140" i="5"/>
  <c r="BL141" i="5"/>
  <c r="BL143" i="5"/>
  <c r="BL144" i="5"/>
  <c r="BL145" i="5"/>
  <c r="BL146" i="5"/>
  <c r="BL147" i="5"/>
  <c r="BL151" i="5"/>
  <c r="BL152" i="5"/>
  <c r="BL153" i="5"/>
  <c r="BL154" i="5"/>
  <c r="BL155" i="5"/>
  <c r="BL156" i="5"/>
  <c r="BL157" i="5"/>
  <c r="BL161" i="5"/>
  <c r="BL163" i="5"/>
  <c r="BL165" i="5"/>
  <c r="BL166" i="5"/>
  <c r="BL167" i="5"/>
  <c r="BL170" i="5"/>
  <c r="BL171" i="5"/>
  <c r="BL172" i="5"/>
  <c r="BL173" i="5"/>
  <c r="BL175" i="5"/>
  <c r="BL176" i="5"/>
  <c r="BL177" i="5"/>
  <c r="BL181" i="5"/>
  <c r="BL182" i="5"/>
  <c r="BL183" i="5"/>
  <c r="BL184" i="5"/>
  <c r="BL185" i="5"/>
  <c r="BL186" i="5"/>
  <c r="BL187" i="5"/>
  <c r="BL190" i="5"/>
  <c r="BL191" i="5"/>
  <c r="BL192" i="5"/>
  <c r="BL193" i="5"/>
  <c r="BL194" i="5"/>
  <c r="BL195" i="5"/>
  <c r="BL196" i="5"/>
  <c r="BL197" i="5"/>
  <c r="BL200" i="5"/>
  <c r="BL201" i="5"/>
  <c r="BL203" i="5"/>
  <c r="BL204" i="5"/>
  <c r="BL205" i="5"/>
  <c r="BL207" i="5"/>
  <c r="BL210" i="5"/>
  <c r="BL211" i="5"/>
  <c r="BL213" i="5"/>
  <c r="BL214" i="5"/>
  <c r="BL215" i="5"/>
  <c r="BL216" i="5"/>
  <c r="BL217" i="5"/>
  <c r="BL221" i="5"/>
  <c r="BL222" i="5"/>
  <c r="BL223" i="5"/>
  <c r="BL224" i="5"/>
  <c r="BL225" i="5"/>
  <c r="BL226" i="5"/>
  <c r="BL227" i="5"/>
  <c r="BL231" i="5"/>
  <c r="BL232" i="5"/>
  <c r="BL233" i="5"/>
  <c r="BL234" i="5"/>
  <c r="BL235" i="5"/>
  <c r="BL236" i="5"/>
  <c r="BL237" i="5"/>
  <c r="BL240" i="5"/>
  <c r="BL241" i="5"/>
  <c r="BL243" i="5"/>
  <c r="BL244" i="5"/>
  <c r="BL245" i="5"/>
  <c r="BL246" i="5"/>
  <c r="BL247" i="5"/>
  <c r="BL251" i="5"/>
  <c r="BL252" i="5"/>
  <c r="BL253" i="5"/>
  <c r="BL254" i="5"/>
  <c r="BL255" i="5"/>
  <c r="BL256" i="5"/>
  <c r="BL257" i="5"/>
  <c r="BL261" i="5"/>
  <c r="BL263" i="5"/>
  <c r="BL264" i="5"/>
  <c r="BL265" i="5"/>
  <c r="BL266" i="5"/>
  <c r="BL267" i="5"/>
  <c r="BL270" i="5"/>
  <c r="BL271" i="5"/>
  <c r="BL272" i="5"/>
  <c r="BL273" i="5"/>
  <c r="BL275" i="5"/>
  <c r="BL276" i="5"/>
  <c r="BL277" i="5"/>
  <c r="BL281" i="5"/>
  <c r="BL283" i="5"/>
  <c r="BL284" i="5"/>
  <c r="BL285" i="5"/>
  <c r="BL286" i="5"/>
  <c r="BL287" i="5"/>
  <c r="BL290" i="5"/>
  <c r="BL291" i="5"/>
  <c r="BL292" i="5"/>
  <c r="BL293" i="5"/>
  <c r="BL294" i="5"/>
  <c r="BL295" i="5"/>
  <c r="BL296" i="5"/>
  <c r="BL297" i="5"/>
  <c r="BL300" i="5"/>
  <c r="BL301" i="5"/>
  <c r="BL302" i="5"/>
  <c r="BL303" i="5"/>
  <c r="BL304" i="5"/>
  <c r="BL305" i="5"/>
  <c r="BL306" i="5"/>
  <c r="BL307" i="5"/>
  <c r="BL310" i="5"/>
  <c r="BL311" i="5"/>
  <c r="BL313" i="5"/>
  <c r="BL314" i="5"/>
  <c r="BL315" i="5"/>
  <c r="BL316" i="5"/>
  <c r="BL317" i="5"/>
  <c r="BL320" i="5"/>
  <c r="BL321" i="5"/>
  <c r="BL323" i="5"/>
  <c r="BL325" i="5"/>
  <c r="BL327" i="5"/>
  <c r="BL331" i="5"/>
  <c r="BL333" i="5"/>
  <c r="BL334" i="5"/>
  <c r="BL335" i="5"/>
  <c r="BL336" i="5"/>
  <c r="BL337" i="5"/>
  <c r="BL340" i="5"/>
  <c r="BL341" i="5"/>
  <c r="BL342" i="5"/>
  <c r="BL344" i="5"/>
  <c r="BL345" i="5"/>
  <c r="BL346" i="5"/>
  <c r="BL347" i="5"/>
  <c r="BL351" i="5"/>
  <c r="BL352" i="5"/>
  <c r="BL353" i="5"/>
  <c r="BL354" i="5"/>
  <c r="BL355" i="5"/>
  <c r="BL356" i="5"/>
  <c r="BL357" i="5"/>
  <c r="BL361" i="5"/>
  <c r="BL362" i="5"/>
  <c r="BL363" i="5"/>
  <c r="BL365" i="5"/>
  <c r="BL366" i="5"/>
  <c r="BL367" i="5"/>
  <c r="BL370" i="5"/>
  <c r="BL371" i="5"/>
  <c r="BL372" i="5"/>
  <c r="BL373" i="5"/>
  <c r="BL375" i="5"/>
  <c r="BL376" i="5"/>
  <c r="BL377" i="5"/>
  <c r="BL381" i="5"/>
  <c r="BL382" i="5"/>
  <c r="BL383" i="5"/>
  <c r="BL384" i="5"/>
  <c r="BL385" i="5"/>
  <c r="BL386" i="5"/>
  <c r="BL387" i="5"/>
  <c r="BL390" i="5"/>
  <c r="BL391" i="5"/>
  <c r="BL392" i="5"/>
  <c r="BL393" i="5"/>
  <c r="BL394" i="5"/>
  <c r="BL395" i="5"/>
  <c r="BL396" i="5"/>
  <c r="BL397" i="5"/>
  <c r="BL400" i="5"/>
  <c r="BL401" i="5"/>
  <c r="BL402" i="5"/>
  <c r="BL403" i="5"/>
  <c r="BL405" i="5"/>
  <c r="BL406" i="5"/>
  <c r="BL410" i="5"/>
  <c r="BL411" i="5"/>
  <c r="BL412" i="5"/>
  <c r="BL413" i="5"/>
  <c r="BL414" i="5"/>
  <c r="BL415" i="5"/>
  <c r="BL416" i="5"/>
  <c r="BL417" i="5"/>
  <c r="BL420" i="5"/>
  <c r="BL421" i="5"/>
  <c r="BL423" i="5"/>
  <c r="BL425" i="5"/>
  <c r="BL426" i="5"/>
  <c r="BL427" i="5"/>
  <c r="BL432" i="5"/>
  <c r="BL433" i="5"/>
  <c r="BL434" i="5"/>
  <c r="BL435" i="5"/>
  <c r="BL436" i="5"/>
  <c r="BL437" i="5"/>
  <c r="BL440" i="5"/>
  <c r="BL442" i="5"/>
  <c r="BL443" i="5"/>
  <c r="BM5" i="5"/>
  <c r="BM15" i="5"/>
  <c r="BM23" i="5"/>
  <c r="BM25" i="5"/>
  <c r="BM41" i="5"/>
  <c r="BM43" i="5"/>
  <c r="BM45" i="5"/>
  <c r="BM52" i="5"/>
  <c r="BM53" i="5"/>
  <c r="BM55" i="5"/>
  <c r="BM61" i="5"/>
  <c r="BM73" i="5"/>
  <c r="BM85" i="5"/>
  <c r="BM91" i="5"/>
  <c r="BM105" i="5"/>
  <c r="BM123" i="5"/>
  <c r="BM131" i="5"/>
  <c r="BM135" i="5"/>
  <c r="BM143" i="5"/>
  <c r="BM152" i="5"/>
  <c r="BM155" i="5"/>
  <c r="BM161" i="5"/>
  <c r="BM173" i="5"/>
  <c r="BM182" i="5"/>
  <c r="BM185" i="5"/>
  <c r="BM191" i="5"/>
  <c r="BM203" i="5"/>
  <c r="BM211" i="5"/>
  <c r="BM215" i="5"/>
  <c r="BM217" i="5"/>
  <c r="BM223" i="5"/>
  <c r="BM241" i="5"/>
  <c r="BM243" i="5"/>
  <c r="BM251" i="5"/>
  <c r="BM252" i="5"/>
  <c r="BM253" i="5"/>
  <c r="BM255" i="5"/>
  <c r="BM265" i="5"/>
  <c r="BM273" i="5"/>
  <c r="BM275" i="5"/>
  <c r="BM281" i="5"/>
  <c r="BM283" i="5"/>
  <c r="BM285" i="5"/>
  <c r="BM287" i="5"/>
  <c r="BM295" i="5"/>
  <c r="BM321" i="5"/>
  <c r="BM323" i="5"/>
  <c r="BM335" i="5"/>
  <c r="BM361" i="5"/>
  <c r="BM365" i="5"/>
  <c r="BM381" i="5"/>
  <c r="BM393" i="5"/>
  <c r="BM397" i="5"/>
  <c r="BM401" i="5"/>
  <c r="BM411" i="5"/>
  <c r="BM415" i="5"/>
  <c r="BM443" i="5"/>
  <c r="BO2" i="5"/>
  <c r="BO3" i="5"/>
  <c r="BO4" i="5"/>
  <c r="BO5" i="5"/>
  <c r="BO6" i="5"/>
  <c r="BO7" i="5"/>
  <c r="BO8" i="5"/>
  <c r="BO9" i="5"/>
  <c r="BO12" i="5"/>
  <c r="BO13" i="5"/>
  <c r="BO14" i="5"/>
  <c r="BO15" i="5"/>
  <c r="BO16" i="5"/>
  <c r="BO17" i="5"/>
  <c r="BO18" i="5"/>
  <c r="BO19" i="5"/>
  <c r="BO20" i="5"/>
  <c r="BO21" i="5"/>
  <c r="BO22" i="5"/>
  <c r="BO23" i="5"/>
  <c r="BO24" i="5"/>
  <c r="BO25" i="5"/>
  <c r="BO26" i="5"/>
  <c r="BO27" i="5"/>
  <c r="BO28" i="5"/>
  <c r="BO29" i="5"/>
  <c r="BO31" i="5"/>
  <c r="BO32" i="5"/>
  <c r="BO33" i="5"/>
  <c r="BO34" i="5"/>
  <c r="BO35" i="5"/>
  <c r="BO36" i="5"/>
  <c r="BO37" i="5"/>
  <c r="BO38" i="5"/>
  <c r="BO39" i="5"/>
  <c r="BO41" i="5"/>
  <c r="BO42" i="5"/>
  <c r="BO43" i="5"/>
  <c r="BO44" i="5"/>
  <c r="BO45" i="5"/>
  <c r="BO46" i="5"/>
  <c r="BO47" i="5"/>
  <c r="BO48" i="5"/>
  <c r="BO49" i="5"/>
  <c r="BO50" i="5"/>
  <c r="BO52" i="5"/>
  <c r="BO53" i="5"/>
  <c r="BO54" i="5"/>
  <c r="BO55" i="5"/>
  <c r="BO56" i="5"/>
  <c r="BO57" i="5"/>
  <c r="BO58" i="5"/>
  <c r="BO59" i="5"/>
  <c r="BO61" i="5"/>
  <c r="BO62" i="5"/>
  <c r="BO63" i="5"/>
  <c r="BO64" i="5"/>
  <c r="BO65" i="5"/>
  <c r="BO66" i="5"/>
  <c r="BO67" i="5"/>
  <c r="BO68" i="5"/>
  <c r="BO69" i="5"/>
  <c r="BO71" i="5"/>
  <c r="BO72" i="5"/>
  <c r="BO73" i="5"/>
  <c r="BO74" i="5"/>
  <c r="BO75" i="5"/>
  <c r="BO76" i="5"/>
  <c r="BO77" i="5"/>
  <c r="BO78" i="5"/>
  <c r="BO79" i="5"/>
  <c r="BO82" i="5"/>
  <c r="BO83" i="5"/>
  <c r="BO84" i="5"/>
  <c r="BO85" i="5"/>
  <c r="BO86" i="5"/>
  <c r="BO87" i="5"/>
  <c r="BO88" i="5"/>
  <c r="BO89" i="5"/>
  <c r="BO91" i="5"/>
  <c r="BO92" i="5"/>
  <c r="BO93" i="5"/>
  <c r="BO94" i="5"/>
  <c r="BO95" i="5"/>
  <c r="BO96" i="5"/>
  <c r="BO97" i="5"/>
  <c r="BO98" i="5"/>
  <c r="BO99" i="5"/>
  <c r="BO102" i="5"/>
  <c r="BO103" i="5"/>
  <c r="BO104" i="5"/>
  <c r="BO105" i="5"/>
  <c r="BO106" i="5"/>
  <c r="BO107" i="5"/>
  <c r="BO108" i="5"/>
  <c r="BO109" i="5"/>
  <c r="BO112" i="5"/>
  <c r="BO113" i="5"/>
  <c r="BO114" i="5"/>
  <c r="BO115" i="5"/>
  <c r="BO116" i="5"/>
  <c r="BO117" i="5"/>
  <c r="BO118" i="5"/>
  <c r="BO119" i="5"/>
  <c r="BO120" i="5"/>
  <c r="BO121" i="5"/>
  <c r="BO122" i="5"/>
  <c r="BO123" i="5"/>
  <c r="BO124" i="5"/>
  <c r="BO125" i="5"/>
  <c r="BO126" i="5"/>
  <c r="BO127" i="5"/>
  <c r="BO128" i="5"/>
  <c r="BO129" i="5"/>
  <c r="BO130" i="5"/>
  <c r="BO131" i="5"/>
  <c r="BO132" i="5"/>
  <c r="BO133" i="5"/>
  <c r="BO134" i="5"/>
  <c r="BO135" i="5"/>
  <c r="BO136" i="5"/>
  <c r="BO137" i="5"/>
  <c r="BO138" i="5"/>
  <c r="BO139" i="5"/>
  <c r="BO140" i="5"/>
  <c r="BO141" i="5"/>
  <c r="BO142" i="5"/>
  <c r="BO143" i="5"/>
  <c r="BO144" i="5"/>
  <c r="BO145" i="5"/>
  <c r="BO146" i="5"/>
  <c r="BO147" i="5"/>
  <c r="BO148" i="5"/>
  <c r="BO149" i="5"/>
  <c r="BO150" i="5"/>
  <c r="BO151" i="5"/>
  <c r="BO152" i="5"/>
  <c r="BO153" i="5"/>
  <c r="BO154" i="5"/>
  <c r="BO155" i="5"/>
  <c r="BO156" i="5"/>
  <c r="BO157" i="5"/>
  <c r="BO158" i="5"/>
  <c r="BO159" i="5"/>
  <c r="BO161" i="5"/>
  <c r="BO162" i="5"/>
  <c r="BO163" i="5"/>
  <c r="BO164" i="5"/>
  <c r="BO165" i="5"/>
  <c r="BO166" i="5"/>
  <c r="BO167" i="5"/>
  <c r="BO168" i="5"/>
  <c r="BO169" i="5"/>
  <c r="BO170" i="5"/>
  <c r="BO171" i="5"/>
  <c r="BO172" i="5"/>
  <c r="BO173" i="5"/>
  <c r="BO174" i="5"/>
  <c r="BO175" i="5"/>
  <c r="BO176" i="5"/>
  <c r="BO177" i="5"/>
  <c r="BO178" i="5"/>
  <c r="BO179" i="5"/>
  <c r="BO181" i="5"/>
  <c r="BO182" i="5"/>
  <c r="BO183" i="5"/>
  <c r="BO184" i="5"/>
  <c r="BO185" i="5"/>
  <c r="BO186" i="5"/>
  <c r="BO187" i="5"/>
  <c r="BO188" i="5"/>
  <c r="BO189" i="5"/>
  <c r="BO190" i="5"/>
  <c r="BO191" i="5"/>
  <c r="BO192" i="5"/>
  <c r="BO193" i="5"/>
  <c r="BO194" i="5"/>
  <c r="BO195" i="5"/>
  <c r="BO196" i="5"/>
  <c r="BO197" i="5"/>
  <c r="BO198" i="5"/>
  <c r="BO199" i="5"/>
  <c r="BO200" i="5"/>
  <c r="BO201" i="5"/>
  <c r="BO202" i="5"/>
  <c r="BO203" i="5"/>
  <c r="BO204" i="5"/>
  <c r="BO205" i="5"/>
  <c r="BO206" i="5"/>
  <c r="BO207" i="5"/>
  <c r="BO208" i="5"/>
  <c r="BO209" i="5"/>
  <c r="BO210" i="5"/>
  <c r="BO211" i="5"/>
  <c r="BO212" i="5"/>
  <c r="BO213" i="5"/>
  <c r="BO214" i="5"/>
  <c r="BO215" i="5"/>
  <c r="BO216" i="5"/>
  <c r="BO217" i="5"/>
  <c r="BO218" i="5"/>
  <c r="BO219" i="5"/>
  <c r="BO220" i="5"/>
  <c r="BO221" i="5"/>
  <c r="BO222" i="5"/>
  <c r="BO223" i="5"/>
  <c r="BO224" i="5"/>
  <c r="BO225" i="5"/>
  <c r="BO226" i="5"/>
  <c r="BO227" i="5"/>
  <c r="BO228" i="5"/>
  <c r="BO229" i="5"/>
  <c r="BO231" i="5"/>
  <c r="BO232" i="5"/>
  <c r="BO233" i="5"/>
  <c r="BO234" i="5"/>
  <c r="BO235" i="5"/>
  <c r="BO236" i="5"/>
  <c r="BO237" i="5"/>
  <c r="BO238" i="5"/>
  <c r="BO239" i="5"/>
  <c r="BO240" i="5"/>
  <c r="BO241" i="5"/>
  <c r="BO242" i="5"/>
  <c r="BO243" i="5"/>
  <c r="BO244" i="5"/>
  <c r="BO245" i="5"/>
  <c r="BO246" i="5"/>
  <c r="BO247" i="5"/>
  <c r="BO248" i="5"/>
  <c r="BO249" i="5"/>
  <c r="BO251" i="5"/>
  <c r="BO252" i="5"/>
  <c r="BO253" i="5"/>
  <c r="BO254" i="5"/>
  <c r="BO255" i="5"/>
  <c r="BO256" i="5"/>
  <c r="BO257" i="5"/>
  <c r="BO258" i="5"/>
  <c r="BO259" i="5"/>
  <c r="BO261" i="5"/>
  <c r="BO262" i="5"/>
  <c r="BO263" i="5"/>
  <c r="BO264" i="5"/>
  <c r="BO265" i="5"/>
  <c r="BO266" i="5"/>
  <c r="BO267" i="5"/>
  <c r="BO268" i="5"/>
  <c r="BO269" i="5"/>
  <c r="BO270" i="5"/>
  <c r="BO271" i="5"/>
  <c r="BO272" i="5"/>
  <c r="BO273" i="5"/>
  <c r="BO274" i="5"/>
  <c r="BO275" i="5"/>
  <c r="BO276" i="5"/>
  <c r="BO277" i="5"/>
  <c r="BO278" i="5"/>
  <c r="BO279" i="5"/>
  <c r="BO281" i="5"/>
  <c r="BO282" i="5"/>
  <c r="BO283" i="5"/>
  <c r="BO284" i="5"/>
  <c r="BO285" i="5"/>
  <c r="BO286" i="5"/>
  <c r="BO287" i="5"/>
  <c r="BO288" i="5"/>
  <c r="BO289" i="5"/>
  <c r="BO290" i="5"/>
  <c r="BO291" i="5"/>
  <c r="BO292" i="5"/>
  <c r="BO293" i="5"/>
  <c r="BO294" i="5"/>
  <c r="BO295" i="5"/>
  <c r="BO296" i="5"/>
  <c r="BO297" i="5"/>
  <c r="BO298" i="5"/>
  <c r="BO299" i="5"/>
  <c r="BO300" i="5"/>
  <c r="BO301" i="5"/>
  <c r="BO302" i="5"/>
  <c r="BO303" i="5"/>
  <c r="BO304" i="5"/>
  <c r="BO305" i="5"/>
  <c r="BO306" i="5"/>
  <c r="BO307" i="5"/>
  <c r="BO308" i="5"/>
  <c r="BO309" i="5"/>
  <c r="BO310" i="5"/>
  <c r="BO311" i="5"/>
  <c r="BO312" i="5"/>
  <c r="BO313" i="5"/>
  <c r="BO314" i="5"/>
  <c r="BO315" i="5"/>
  <c r="BO316" i="5"/>
  <c r="BO317" i="5"/>
  <c r="BO318" i="5"/>
  <c r="BO319" i="5"/>
  <c r="BO320" i="5"/>
  <c r="BO321" i="5"/>
  <c r="BO322" i="5"/>
  <c r="BO323" i="5"/>
  <c r="BO324" i="5"/>
  <c r="BO325" i="5"/>
  <c r="BO326" i="5"/>
  <c r="BO327" i="5"/>
  <c r="BO328" i="5"/>
  <c r="BO329" i="5"/>
  <c r="BO331" i="5"/>
  <c r="BO332" i="5"/>
  <c r="BO333" i="5"/>
  <c r="BO334" i="5"/>
  <c r="BO335" i="5"/>
  <c r="BO336" i="5"/>
  <c r="BO337" i="5"/>
  <c r="BO338" i="5"/>
  <c r="BO339" i="5"/>
  <c r="BO340" i="5"/>
  <c r="BO341" i="5"/>
  <c r="BO342" i="5"/>
  <c r="BO343" i="5"/>
  <c r="BO344" i="5"/>
  <c r="BO345" i="5"/>
  <c r="BO346" i="5"/>
  <c r="BO347" i="5"/>
  <c r="BO348" i="5"/>
  <c r="BO349" i="5"/>
  <c r="BO351" i="5"/>
  <c r="BO352" i="5"/>
  <c r="BO353" i="5"/>
  <c r="BO354" i="5"/>
  <c r="BO355" i="5"/>
  <c r="BO356" i="5"/>
  <c r="BO357" i="5"/>
  <c r="BO358" i="5"/>
  <c r="BO359" i="5"/>
  <c r="BO361" i="5"/>
  <c r="BO362" i="5"/>
  <c r="BO363" i="5"/>
  <c r="BO364" i="5"/>
  <c r="BO365" i="5"/>
  <c r="BO366" i="5"/>
  <c r="BO367" i="5"/>
  <c r="BO368" i="5"/>
  <c r="BO369" i="5"/>
  <c r="BO370" i="5"/>
  <c r="BO371" i="5"/>
  <c r="BO372" i="5"/>
  <c r="BO373" i="5"/>
  <c r="BO374" i="5"/>
  <c r="BO376" i="5"/>
  <c r="BO377" i="5"/>
  <c r="BO378" i="5"/>
  <c r="BO379" i="5"/>
  <c r="BO381" i="5"/>
  <c r="BO382" i="5"/>
  <c r="BO383" i="5"/>
  <c r="BO384" i="5"/>
  <c r="BO386" i="5"/>
  <c r="BO387" i="5"/>
  <c r="BO388" i="5"/>
  <c r="BO389" i="5"/>
  <c r="BO390" i="5"/>
  <c r="BO391" i="5"/>
  <c r="BO392" i="5"/>
  <c r="BO393" i="5"/>
  <c r="BO394" i="5"/>
  <c r="BO396" i="5"/>
  <c r="BO397" i="5"/>
  <c r="BO398" i="5"/>
  <c r="BO399" i="5"/>
  <c r="BO400" i="5"/>
  <c r="BO401" i="5"/>
  <c r="BO402" i="5"/>
  <c r="BO403" i="5"/>
  <c r="BO404" i="5"/>
  <c r="BO406" i="5"/>
  <c r="BO407" i="5"/>
  <c r="BO408" i="5"/>
  <c r="BO409" i="5"/>
  <c r="BO410" i="5"/>
  <c r="BO411" i="5"/>
  <c r="BO412" i="5"/>
  <c r="BO413" i="5"/>
  <c r="BO414" i="5"/>
  <c r="BO416" i="5"/>
  <c r="BO417" i="5"/>
  <c r="BO418" i="5"/>
  <c r="BO419" i="5"/>
  <c r="BO420" i="5"/>
  <c r="BO421" i="5"/>
  <c r="BO422" i="5"/>
  <c r="BO423" i="5"/>
  <c r="BO424" i="5"/>
  <c r="BO426" i="5"/>
  <c r="BO427" i="5"/>
  <c r="BO428" i="5"/>
  <c r="BO429" i="5"/>
  <c r="BO431" i="5"/>
  <c r="BO432" i="5"/>
  <c r="BO433" i="5"/>
  <c r="BO434" i="5"/>
  <c r="BO435" i="5"/>
  <c r="BO436" i="5"/>
  <c r="BO437" i="5"/>
  <c r="BO438" i="5"/>
  <c r="BO439" i="5"/>
  <c r="BO440" i="5"/>
  <c r="BO441" i="5"/>
  <c r="BO442" i="5"/>
  <c r="BO443" i="5"/>
  <c r="BP2" i="5"/>
  <c r="BP3" i="5"/>
  <c r="BP4" i="5"/>
  <c r="BP5" i="5"/>
  <c r="BP6" i="5"/>
  <c r="BP7" i="5"/>
  <c r="BP8" i="5"/>
  <c r="BP9" i="5"/>
  <c r="BP12" i="5"/>
  <c r="BP13" i="5"/>
  <c r="BP14" i="5"/>
  <c r="BP15" i="5"/>
  <c r="BP16" i="5"/>
  <c r="BP17" i="5"/>
  <c r="BP18" i="5"/>
  <c r="BP19" i="5"/>
  <c r="BP20" i="5"/>
  <c r="BP21" i="5"/>
  <c r="BP22" i="5"/>
  <c r="BP23" i="5"/>
  <c r="BP24" i="5"/>
  <c r="BP25" i="5"/>
  <c r="BP26" i="5"/>
  <c r="BP27" i="5"/>
  <c r="BP28" i="5"/>
  <c r="BP29" i="5"/>
  <c r="BP31" i="5"/>
  <c r="BP32" i="5"/>
  <c r="BP33" i="5"/>
  <c r="BP34" i="5"/>
  <c r="BP35" i="5"/>
  <c r="BP36" i="5"/>
  <c r="BP37" i="5"/>
  <c r="BP38" i="5"/>
  <c r="BP39" i="5"/>
  <c r="BP41" i="5"/>
  <c r="BP42" i="5"/>
  <c r="BP43" i="5"/>
  <c r="BP44" i="5"/>
  <c r="BP45" i="5"/>
  <c r="BP46" i="5"/>
  <c r="BP47" i="5"/>
  <c r="BP48" i="5"/>
  <c r="BP49" i="5"/>
  <c r="BP50" i="5"/>
  <c r="BP52" i="5"/>
  <c r="BP53" i="5"/>
  <c r="BP54" i="5"/>
  <c r="BP55" i="5"/>
  <c r="BP56" i="5"/>
  <c r="BP57" i="5"/>
  <c r="BP58" i="5"/>
  <c r="BP59" i="5"/>
  <c r="BP61" i="5"/>
  <c r="BP62" i="5"/>
  <c r="BP63" i="5"/>
  <c r="BP64" i="5"/>
  <c r="BP65" i="5"/>
  <c r="BP66" i="5"/>
  <c r="BP67" i="5"/>
  <c r="BP68" i="5"/>
  <c r="BP69" i="5"/>
  <c r="BP71" i="5"/>
  <c r="BP72" i="5"/>
  <c r="BP73" i="5"/>
  <c r="BP74" i="5"/>
  <c r="BP75" i="5"/>
  <c r="BP76" i="5"/>
  <c r="BP77" i="5"/>
  <c r="BP78" i="5"/>
  <c r="BP79" i="5"/>
  <c r="BP82" i="5"/>
  <c r="BP83" i="5"/>
  <c r="BP84" i="5"/>
  <c r="BP85" i="5"/>
  <c r="BP86" i="5"/>
  <c r="BP87" i="5"/>
  <c r="BP88" i="5"/>
  <c r="BP89" i="5"/>
  <c r="BP91" i="5"/>
  <c r="BP92" i="5"/>
  <c r="BP93" i="5"/>
  <c r="BP94" i="5"/>
  <c r="BP95" i="5"/>
  <c r="BP96" i="5"/>
  <c r="BP97" i="5"/>
  <c r="BP98" i="5"/>
  <c r="BP99" i="5"/>
  <c r="BP102" i="5"/>
  <c r="BP103" i="5"/>
  <c r="BP104" i="5"/>
  <c r="BP105" i="5"/>
  <c r="BP106" i="5"/>
  <c r="BP107" i="5"/>
  <c r="BP108" i="5"/>
  <c r="BP109" i="5"/>
  <c r="BP112" i="5"/>
  <c r="BP113" i="5"/>
  <c r="BP114" i="5"/>
  <c r="BP115" i="5"/>
  <c r="BP116" i="5"/>
  <c r="BP117" i="5"/>
  <c r="BP118" i="5"/>
  <c r="BP119" i="5"/>
  <c r="BP120" i="5"/>
  <c r="BP121" i="5"/>
  <c r="BP122" i="5"/>
  <c r="BP123" i="5"/>
  <c r="BP124" i="5"/>
  <c r="BP125" i="5"/>
  <c r="BP126" i="5"/>
  <c r="BP127" i="5"/>
  <c r="BP128" i="5"/>
  <c r="BP129" i="5"/>
  <c r="BP130" i="5"/>
  <c r="BP131" i="5"/>
  <c r="BP132" i="5"/>
  <c r="BP133" i="5"/>
  <c r="BP134" i="5"/>
  <c r="BP135" i="5"/>
  <c r="BP136" i="5"/>
  <c r="BP137" i="5"/>
  <c r="BP138" i="5"/>
  <c r="BP139" i="5"/>
  <c r="BP140" i="5"/>
  <c r="BP141" i="5"/>
  <c r="BP142" i="5"/>
  <c r="BP143" i="5"/>
  <c r="BP144" i="5"/>
  <c r="BP145" i="5"/>
  <c r="BP146" i="5"/>
  <c r="BP147" i="5"/>
  <c r="BP148" i="5"/>
  <c r="BP149" i="5"/>
  <c r="BP150" i="5"/>
  <c r="BP151" i="5"/>
  <c r="BP152" i="5"/>
  <c r="BP153" i="5"/>
  <c r="BP154" i="5"/>
  <c r="BP155" i="5"/>
  <c r="BP156" i="5"/>
  <c r="BP157" i="5"/>
  <c r="BP158" i="5"/>
  <c r="BP159" i="5"/>
  <c r="BP161" i="5"/>
  <c r="BP162" i="5"/>
  <c r="BP163" i="5"/>
  <c r="BP164" i="5"/>
  <c r="BP165" i="5"/>
  <c r="BP166" i="5"/>
  <c r="BP167" i="5"/>
  <c r="BP168" i="5"/>
  <c r="BP169" i="5"/>
  <c r="BP170" i="5"/>
  <c r="BP171" i="5"/>
  <c r="BP172" i="5"/>
  <c r="BP173" i="5"/>
  <c r="BP174" i="5"/>
  <c r="BP175" i="5"/>
  <c r="BP176" i="5"/>
  <c r="BP177" i="5"/>
  <c r="BP178" i="5"/>
  <c r="BP179" i="5"/>
  <c r="BP181" i="5"/>
  <c r="BP182" i="5"/>
  <c r="BP183" i="5"/>
  <c r="BP184" i="5"/>
  <c r="BP185" i="5"/>
  <c r="BP186" i="5"/>
  <c r="BP187" i="5"/>
  <c r="BP188" i="5"/>
  <c r="BP189" i="5"/>
  <c r="BP190" i="5"/>
  <c r="BP191" i="5"/>
  <c r="BP192" i="5"/>
  <c r="BP193" i="5"/>
  <c r="BP194" i="5"/>
  <c r="BP195" i="5"/>
  <c r="BP196" i="5"/>
  <c r="BP197" i="5"/>
  <c r="BP198" i="5"/>
  <c r="BP199" i="5"/>
  <c r="BP200" i="5"/>
  <c r="BP201" i="5"/>
  <c r="BP202" i="5"/>
  <c r="BP203" i="5"/>
  <c r="BP204" i="5"/>
  <c r="BP205" i="5"/>
  <c r="BP206" i="5"/>
  <c r="BP207" i="5"/>
  <c r="BP208" i="5"/>
  <c r="BP209" i="5"/>
  <c r="BP210" i="5"/>
  <c r="BP211" i="5"/>
  <c r="BP212" i="5"/>
  <c r="BP213" i="5"/>
  <c r="BP214" i="5"/>
  <c r="BP215" i="5"/>
  <c r="BP216" i="5"/>
  <c r="BP217" i="5"/>
  <c r="BP218" i="5"/>
  <c r="BP219" i="5"/>
  <c r="BP220" i="5"/>
  <c r="BP221" i="5"/>
  <c r="BP222" i="5"/>
  <c r="BP223" i="5"/>
  <c r="BP224" i="5"/>
  <c r="BP225" i="5"/>
  <c r="BP226" i="5"/>
  <c r="BP227" i="5"/>
  <c r="BP228" i="5"/>
  <c r="BP229" i="5"/>
  <c r="BP231" i="5"/>
  <c r="BP232" i="5"/>
  <c r="BP233" i="5"/>
  <c r="BP234" i="5"/>
  <c r="BP235" i="5"/>
  <c r="BP236" i="5"/>
  <c r="BP237" i="5"/>
  <c r="BP238" i="5"/>
  <c r="BP239" i="5"/>
  <c r="BP240" i="5"/>
  <c r="BP241" i="5"/>
  <c r="BP242" i="5"/>
  <c r="BP243" i="5"/>
  <c r="BP244" i="5"/>
  <c r="BP245" i="5"/>
  <c r="BP246" i="5"/>
  <c r="BP247" i="5"/>
  <c r="BP248" i="5"/>
  <c r="BP249" i="5"/>
  <c r="BP251" i="5"/>
  <c r="BP252" i="5"/>
  <c r="BP253" i="5"/>
  <c r="BP254" i="5"/>
  <c r="BP255" i="5"/>
  <c r="BP256" i="5"/>
  <c r="BP257" i="5"/>
  <c r="BP258" i="5"/>
  <c r="BP259" i="5"/>
  <c r="BP261" i="5"/>
  <c r="BP262" i="5"/>
  <c r="BP263" i="5"/>
  <c r="BP264" i="5"/>
  <c r="BP265" i="5"/>
  <c r="BP266" i="5"/>
  <c r="BP267" i="5"/>
  <c r="BP268" i="5"/>
  <c r="BP269" i="5"/>
  <c r="BP270" i="5"/>
  <c r="BP271" i="5"/>
  <c r="BP272" i="5"/>
  <c r="BP273" i="5"/>
  <c r="BP274" i="5"/>
  <c r="BP275" i="5"/>
  <c r="BP276" i="5"/>
  <c r="BP277" i="5"/>
  <c r="BP278" i="5"/>
  <c r="BP279" i="5"/>
  <c r="BP281" i="5"/>
  <c r="BP282" i="5"/>
  <c r="BP283" i="5"/>
  <c r="BP284" i="5"/>
  <c r="BP285" i="5"/>
  <c r="BP286" i="5"/>
  <c r="BP287" i="5"/>
  <c r="BP288" i="5"/>
  <c r="BP289" i="5"/>
  <c r="BP290" i="5"/>
  <c r="BP291" i="5"/>
  <c r="BP292" i="5"/>
  <c r="BP293" i="5"/>
  <c r="BP294" i="5"/>
  <c r="BP295" i="5"/>
  <c r="BP296" i="5"/>
  <c r="BP297" i="5"/>
  <c r="BP298" i="5"/>
  <c r="BP299" i="5"/>
  <c r="BP300" i="5"/>
  <c r="BP301" i="5"/>
  <c r="BP302" i="5"/>
  <c r="BP303" i="5"/>
  <c r="BP304" i="5"/>
  <c r="BP305" i="5"/>
  <c r="BP306" i="5"/>
  <c r="BP307" i="5"/>
  <c r="BP308" i="5"/>
  <c r="BP309" i="5"/>
  <c r="BP310" i="5"/>
  <c r="BP311" i="5"/>
  <c r="BP312" i="5"/>
  <c r="BP313" i="5"/>
  <c r="BP314" i="5"/>
  <c r="BP315" i="5"/>
  <c r="BP316" i="5"/>
  <c r="BP317" i="5"/>
  <c r="BP318" i="5"/>
  <c r="BP319" i="5"/>
  <c r="BP320" i="5"/>
  <c r="BP321" i="5"/>
  <c r="BP322" i="5"/>
  <c r="BP323" i="5"/>
  <c r="BP324" i="5"/>
  <c r="BP325" i="5"/>
  <c r="BP326" i="5"/>
  <c r="BP327" i="5"/>
  <c r="BP328" i="5"/>
  <c r="BP329" i="5"/>
  <c r="BP331" i="5"/>
  <c r="BP332" i="5"/>
  <c r="BP333" i="5"/>
  <c r="BP334" i="5"/>
  <c r="BP335" i="5"/>
  <c r="BP336" i="5"/>
  <c r="BP337" i="5"/>
  <c r="BP338" i="5"/>
  <c r="BP339" i="5"/>
  <c r="BP340" i="5"/>
  <c r="BP341" i="5"/>
  <c r="BP342" i="5"/>
  <c r="BP343" i="5"/>
  <c r="BP344" i="5"/>
  <c r="BP345" i="5"/>
  <c r="BP346" i="5"/>
  <c r="BP347" i="5"/>
  <c r="BP348" i="5"/>
  <c r="BP349" i="5"/>
  <c r="BP351" i="5"/>
  <c r="BP352" i="5"/>
  <c r="BP353" i="5"/>
  <c r="BP354" i="5"/>
  <c r="BP355" i="5"/>
  <c r="BP356" i="5"/>
  <c r="BP357" i="5"/>
  <c r="BP358" i="5"/>
  <c r="BP359" i="5"/>
  <c r="BP361" i="5"/>
  <c r="BP362" i="5"/>
  <c r="BP363" i="5"/>
  <c r="BP364" i="5"/>
  <c r="BP365" i="5"/>
  <c r="BP366" i="5"/>
  <c r="BP367" i="5"/>
  <c r="BP368" i="5"/>
  <c r="BP369" i="5"/>
  <c r="BP370" i="5"/>
  <c r="BP371" i="5"/>
  <c r="BP372" i="5"/>
  <c r="BP373" i="5"/>
  <c r="BP374" i="5"/>
  <c r="BP375" i="5"/>
  <c r="BP376" i="5"/>
  <c r="BP377" i="5"/>
  <c r="BP378" i="5"/>
  <c r="BP379" i="5"/>
  <c r="BP381" i="5"/>
  <c r="BP382" i="5"/>
  <c r="BP383" i="5"/>
  <c r="BP384" i="5"/>
  <c r="BP385" i="5"/>
  <c r="BP386" i="5"/>
  <c r="BP387" i="5"/>
  <c r="BP388" i="5"/>
  <c r="BP389" i="5"/>
  <c r="BP390" i="5"/>
  <c r="BP391" i="5"/>
  <c r="BP392" i="5"/>
  <c r="BP393" i="5"/>
  <c r="BP394" i="5"/>
  <c r="BP395" i="5"/>
  <c r="BP396" i="5"/>
  <c r="BP397" i="5"/>
  <c r="BP398" i="5"/>
  <c r="BP399" i="5"/>
  <c r="BP400" i="5"/>
  <c r="BP401" i="5"/>
  <c r="BP402" i="5"/>
  <c r="BP403" i="5"/>
  <c r="BP404" i="5"/>
  <c r="BP405" i="5"/>
  <c r="BP406" i="5"/>
  <c r="BP407" i="5"/>
  <c r="BP408" i="5"/>
  <c r="BP409" i="5"/>
  <c r="BP410" i="5"/>
  <c r="BP411" i="5"/>
  <c r="BP412" i="5"/>
  <c r="BP413" i="5"/>
  <c r="BP414" i="5"/>
  <c r="BP415" i="5"/>
  <c r="BP416" i="5"/>
  <c r="BP417" i="5"/>
  <c r="BP418" i="5"/>
  <c r="BP419" i="5"/>
  <c r="BP420" i="5"/>
  <c r="BP421" i="5"/>
  <c r="BP422" i="5"/>
  <c r="BP423" i="5"/>
  <c r="BP424" i="5"/>
  <c r="BP425" i="5"/>
  <c r="BP426" i="5"/>
  <c r="BP427" i="5"/>
  <c r="BP428" i="5"/>
  <c r="BP429" i="5"/>
  <c r="BP431" i="5"/>
  <c r="BP432" i="5"/>
  <c r="BP433" i="5"/>
  <c r="BP434" i="5"/>
  <c r="BP435" i="5"/>
  <c r="BP436" i="5"/>
  <c r="BP437" i="5"/>
  <c r="BP438" i="5"/>
  <c r="BP439" i="5"/>
  <c r="BP440" i="5"/>
  <c r="BP441" i="5"/>
  <c r="BP442" i="5"/>
  <c r="BP443" i="5"/>
  <c r="BW5" i="5"/>
  <c r="BW12" i="5"/>
  <c r="BW15" i="5"/>
  <c r="BY15" i="5" s="1"/>
  <c r="BW22" i="5"/>
  <c r="BW23" i="5"/>
  <c r="BW25" i="5"/>
  <c r="CA25" i="5" s="1"/>
  <c r="BW32" i="5"/>
  <c r="BY32" i="5" s="1"/>
  <c r="BW33" i="5"/>
  <c r="BY33" i="5" s="1"/>
  <c r="BW35" i="5"/>
  <c r="BW41" i="5"/>
  <c r="BW43" i="5"/>
  <c r="BW45" i="5"/>
  <c r="BW52" i="5"/>
  <c r="BW53" i="5"/>
  <c r="BW55" i="5"/>
  <c r="CA55" i="5" s="1"/>
  <c r="BW61" i="5"/>
  <c r="BY61" i="5" s="1"/>
  <c r="BW63" i="5"/>
  <c r="BW65" i="5"/>
  <c r="BW71" i="5"/>
  <c r="BY71" i="5" s="1"/>
  <c r="BW72" i="5"/>
  <c r="BY72" i="5" s="1"/>
  <c r="BW73" i="5"/>
  <c r="BW82" i="5"/>
  <c r="BW83" i="5"/>
  <c r="BW85" i="5"/>
  <c r="BW91" i="5"/>
  <c r="BW95" i="5"/>
  <c r="BY95" i="5" s="1"/>
  <c r="BW105" i="5"/>
  <c r="BW115" i="5"/>
  <c r="BW121" i="5"/>
  <c r="BW122" i="5"/>
  <c r="BW123" i="5"/>
  <c r="BW127" i="5"/>
  <c r="BW131" i="5"/>
  <c r="BW133" i="5"/>
  <c r="BW135" i="5"/>
  <c r="BW137" i="5"/>
  <c r="BW141" i="5"/>
  <c r="BY141" i="5" s="1"/>
  <c r="BW142" i="5"/>
  <c r="BY142" i="5" s="1"/>
  <c r="BW143" i="5"/>
  <c r="BY143" i="5" s="1"/>
  <c r="BW145" i="5"/>
  <c r="BW151" i="5"/>
  <c r="BW152" i="5"/>
  <c r="BW153" i="5"/>
  <c r="BW155" i="5"/>
  <c r="CA155" i="5" s="1"/>
  <c r="BW157" i="5"/>
  <c r="BW161" i="5"/>
  <c r="BY161" i="5" s="1"/>
  <c r="BW163" i="5"/>
  <c r="BY163" i="5" s="1"/>
  <c r="BW165" i="5"/>
  <c r="BW167" i="5"/>
  <c r="BW172" i="5"/>
  <c r="CA172" i="5" s="1"/>
  <c r="BW173" i="5"/>
  <c r="BW177" i="5"/>
  <c r="BW181" i="5"/>
  <c r="BY181" i="5" s="1"/>
  <c r="BW182" i="5"/>
  <c r="BW183" i="5"/>
  <c r="BW185" i="5"/>
  <c r="BW191" i="5"/>
  <c r="CA191" i="5" s="1"/>
  <c r="BW192" i="5"/>
  <c r="CA192" i="5" s="1"/>
  <c r="BW193" i="5"/>
  <c r="BW195" i="5"/>
  <c r="BW197" i="5"/>
  <c r="BW201" i="5"/>
  <c r="BW202" i="5"/>
  <c r="BW203" i="5"/>
  <c r="BW205" i="5"/>
  <c r="CA205" i="5" s="1"/>
  <c r="BW211" i="5"/>
  <c r="CA211" i="5" s="1"/>
  <c r="BW212" i="5"/>
  <c r="BW213" i="5"/>
  <c r="BW215" i="5"/>
  <c r="BW217" i="5"/>
  <c r="BW223" i="5"/>
  <c r="BY223" i="5" s="1"/>
  <c r="BW225" i="5"/>
  <c r="CA225" i="5" s="1"/>
  <c r="BW227" i="5"/>
  <c r="CA227" i="5" s="1"/>
  <c r="BW231" i="5"/>
  <c r="BW232" i="5"/>
  <c r="BW233" i="5"/>
  <c r="CA233" i="5" s="1"/>
  <c r="BW235" i="5"/>
  <c r="BW237" i="5"/>
  <c r="BW241" i="5"/>
  <c r="BW242" i="5"/>
  <c r="BW243" i="5"/>
  <c r="BW245" i="5"/>
  <c r="BW247" i="5"/>
  <c r="BW251" i="5"/>
  <c r="BW253" i="5"/>
  <c r="BW255" i="5"/>
  <c r="BW257" i="5"/>
  <c r="BW261" i="5"/>
  <c r="BW263" i="5"/>
  <c r="BY263" i="5" s="1"/>
  <c r="BW265" i="5"/>
  <c r="BY265" i="5" s="1"/>
  <c r="BW267" i="5"/>
  <c r="BW272" i="5"/>
  <c r="BW273" i="5"/>
  <c r="BY273" i="5" s="1"/>
  <c r="BW275" i="5"/>
  <c r="BW277" i="5"/>
  <c r="CA277" i="5" s="1"/>
  <c r="BW281" i="5"/>
  <c r="BW283" i="5"/>
  <c r="BY283" i="5" s="1"/>
  <c r="BW285" i="5"/>
  <c r="BW287" i="5"/>
  <c r="BW291" i="5"/>
  <c r="BW295" i="5"/>
  <c r="BW296" i="5"/>
  <c r="CA296" i="5" s="1"/>
  <c r="BW297" i="5"/>
  <c r="CA297" i="5" s="1"/>
  <c r="BW302" i="5"/>
  <c r="BW303" i="5"/>
  <c r="BW305" i="5"/>
  <c r="BW313" i="5"/>
  <c r="BW315" i="5"/>
  <c r="CA315" i="5" s="1"/>
  <c r="BW321" i="5"/>
  <c r="BW323" i="5"/>
  <c r="BW325" i="5"/>
  <c r="BW327" i="5"/>
  <c r="BW335" i="5"/>
  <c r="BW337" i="5"/>
  <c r="BW341" i="5"/>
  <c r="BW343" i="5"/>
  <c r="BY343" i="5" s="1"/>
  <c r="BW345" i="5"/>
  <c r="CA345" i="5" s="1"/>
  <c r="BW347" i="5"/>
  <c r="CA347" i="5" s="1"/>
  <c r="BW355" i="5"/>
  <c r="BW361" i="5"/>
  <c r="CA361" i="5" s="1"/>
  <c r="BW363" i="5"/>
  <c r="CA363" i="5" s="1"/>
  <c r="BW365" i="5"/>
  <c r="BW367" i="5"/>
  <c r="BW373" i="5"/>
  <c r="BW375" i="5"/>
  <c r="BW377" i="5"/>
  <c r="CA377" i="5" s="1"/>
  <c r="BW381" i="5"/>
  <c r="CA381" i="5" s="1"/>
  <c r="BW383" i="5"/>
  <c r="BW385" i="5"/>
  <c r="BW393" i="5"/>
  <c r="BY393" i="5" s="1"/>
  <c r="BW395" i="5"/>
  <c r="BW397" i="5"/>
  <c r="BW401" i="5"/>
  <c r="BW403" i="5"/>
  <c r="BW405" i="5"/>
  <c r="BW407" i="5"/>
  <c r="BW411" i="5"/>
  <c r="BW415" i="5"/>
  <c r="BW423" i="5"/>
  <c r="BW425" i="5"/>
  <c r="BW433" i="5"/>
  <c r="BW435" i="5"/>
  <c r="BY435" i="5" s="1"/>
  <c r="BW437" i="5"/>
  <c r="CA437" i="5" s="1"/>
  <c r="BW443" i="5"/>
  <c r="BX2" i="5"/>
  <c r="BX3" i="5"/>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52" i="5"/>
  <c r="BX53" i="5"/>
  <c r="BX54" i="5"/>
  <c r="BX55" i="5"/>
  <c r="BX56" i="5"/>
  <c r="BX57" i="5"/>
  <c r="BX58" i="5"/>
  <c r="BX59" i="5"/>
  <c r="BX60" i="5"/>
  <c r="BX61" i="5"/>
  <c r="BX62" i="5"/>
  <c r="BX63" i="5"/>
  <c r="BX64" i="5"/>
  <c r="BX65" i="5"/>
  <c r="BX66" i="5"/>
  <c r="BX67" i="5"/>
  <c r="BX68" i="5"/>
  <c r="BX69" i="5"/>
  <c r="BX70" i="5"/>
  <c r="BX71" i="5"/>
  <c r="BX72" i="5"/>
  <c r="BX73" i="5"/>
  <c r="BX74" i="5"/>
  <c r="BX75" i="5"/>
  <c r="BX76" i="5"/>
  <c r="BX77" i="5"/>
  <c r="BX78" i="5"/>
  <c r="BX79" i="5"/>
  <c r="BX80" i="5"/>
  <c r="BX81" i="5"/>
  <c r="BX82" i="5"/>
  <c r="BX83" i="5"/>
  <c r="BX84" i="5"/>
  <c r="BX85" i="5"/>
  <c r="BX86" i="5"/>
  <c r="BX87" i="5"/>
  <c r="BX88" i="5"/>
  <c r="BX89" i="5"/>
  <c r="BX90" i="5"/>
  <c r="BX91" i="5"/>
  <c r="BX92" i="5"/>
  <c r="BX93" i="5"/>
  <c r="BX94" i="5"/>
  <c r="BX95" i="5"/>
  <c r="BX96" i="5"/>
  <c r="BX97" i="5"/>
  <c r="BX98" i="5"/>
  <c r="BX99" i="5"/>
  <c r="BX100" i="5"/>
  <c r="BX101" i="5"/>
  <c r="BX102" i="5"/>
  <c r="BX103" i="5"/>
  <c r="BX104" i="5"/>
  <c r="BX105" i="5"/>
  <c r="BX106" i="5"/>
  <c r="BX107" i="5"/>
  <c r="BX108" i="5"/>
  <c r="BX109" i="5"/>
  <c r="BX110" i="5"/>
  <c r="BX111" i="5"/>
  <c r="BX112" i="5"/>
  <c r="BX113" i="5"/>
  <c r="BX114" i="5"/>
  <c r="BX115" i="5"/>
  <c r="BX116" i="5"/>
  <c r="BX117" i="5"/>
  <c r="BX118" i="5"/>
  <c r="BX119" i="5"/>
  <c r="BX120" i="5"/>
  <c r="BX121" i="5"/>
  <c r="BX122" i="5"/>
  <c r="BX123" i="5"/>
  <c r="BX124" i="5"/>
  <c r="BX125" i="5"/>
  <c r="BX126" i="5"/>
  <c r="BX127" i="5"/>
  <c r="BY127" i="5" s="1"/>
  <c r="BX128" i="5"/>
  <c r="BX129" i="5"/>
  <c r="BX130" i="5"/>
  <c r="BX131" i="5"/>
  <c r="BX132" i="5"/>
  <c r="BX133" i="5"/>
  <c r="BX134" i="5"/>
  <c r="BX135" i="5"/>
  <c r="BX136" i="5"/>
  <c r="BX137" i="5"/>
  <c r="BX138" i="5"/>
  <c r="BX139" i="5"/>
  <c r="BX140" i="5"/>
  <c r="BX141" i="5"/>
  <c r="BX142" i="5"/>
  <c r="BX143" i="5"/>
  <c r="BX144" i="5"/>
  <c r="BX145" i="5"/>
  <c r="BX146" i="5"/>
  <c r="BX147" i="5"/>
  <c r="BX148" i="5"/>
  <c r="BX149" i="5"/>
  <c r="BX150" i="5"/>
  <c r="BX151" i="5"/>
  <c r="BX152" i="5"/>
  <c r="BX153" i="5"/>
  <c r="BX154" i="5"/>
  <c r="BX155" i="5"/>
  <c r="BX156" i="5"/>
  <c r="BX157" i="5"/>
  <c r="BY157" i="5" s="1"/>
  <c r="BX158" i="5"/>
  <c r="BX159" i="5"/>
  <c r="BX160" i="5"/>
  <c r="BX161" i="5"/>
  <c r="BX162" i="5"/>
  <c r="BX163" i="5"/>
  <c r="BX164" i="5"/>
  <c r="BX165" i="5"/>
  <c r="BX166" i="5"/>
  <c r="BX167" i="5"/>
  <c r="BX168" i="5"/>
  <c r="BX169" i="5"/>
  <c r="BX170" i="5"/>
  <c r="BX171" i="5"/>
  <c r="BX172" i="5"/>
  <c r="BX173" i="5"/>
  <c r="BX174" i="5"/>
  <c r="BX175" i="5"/>
  <c r="BX176" i="5"/>
  <c r="BX177" i="5"/>
  <c r="BX178" i="5"/>
  <c r="BX179" i="5"/>
  <c r="BX180" i="5"/>
  <c r="BX181" i="5"/>
  <c r="BX182" i="5"/>
  <c r="BX183" i="5"/>
  <c r="BX184" i="5"/>
  <c r="BX185" i="5"/>
  <c r="BX186" i="5"/>
  <c r="BX187" i="5"/>
  <c r="BX188" i="5"/>
  <c r="BX189" i="5"/>
  <c r="BX190" i="5"/>
  <c r="BX191" i="5"/>
  <c r="BY191" i="5" s="1"/>
  <c r="BX192" i="5"/>
  <c r="BX193" i="5"/>
  <c r="BX194" i="5"/>
  <c r="BX195" i="5"/>
  <c r="BX196" i="5"/>
  <c r="BX197" i="5"/>
  <c r="BX198" i="5"/>
  <c r="BX199" i="5"/>
  <c r="BX200" i="5"/>
  <c r="BX201" i="5"/>
  <c r="BX202" i="5"/>
  <c r="BY202" i="5" s="1"/>
  <c r="BX203" i="5"/>
  <c r="BX204" i="5"/>
  <c r="BX205" i="5"/>
  <c r="BX206" i="5"/>
  <c r="BX207" i="5"/>
  <c r="BX208" i="5"/>
  <c r="BX209" i="5"/>
  <c r="BX210" i="5"/>
  <c r="BX211" i="5"/>
  <c r="BX212" i="5"/>
  <c r="BX213" i="5"/>
  <c r="BX214" i="5"/>
  <c r="BX215" i="5"/>
  <c r="BX216" i="5"/>
  <c r="BX217" i="5"/>
  <c r="BX218" i="5"/>
  <c r="BX219" i="5"/>
  <c r="BX220" i="5"/>
  <c r="BX221" i="5"/>
  <c r="BX222" i="5"/>
  <c r="BX223" i="5"/>
  <c r="BX224" i="5"/>
  <c r="BX225" i="5"/>
  <c r="BX226" i="5"/>
  <c r="BX227" i="5"/>
  <c r="BX228" i="5"/>
  <c r="BX229" i="5"/>
  <c r="BX230" i="5"/>
  <c r="BX231" i="5"/>
  <c r="BY231" i="5" s="1"/>
  <c r="BX232" i="5"/>
  <c r="BX233" i="5"/>
  <c r="BX234" i="5"/>
  <c r="BX235" i="5"/>
  <c r="BX236" i="5"/>
  <c r="BX237" i="5"/>
  <c r="BY237" i="5" s="1"/>
  <c r="BX238" i="5"/>
  <c r="BX239" i="5"/>
  <c r="BX240" i="5"/>
  <c r="BX241" i="5"/>
  <c r="BX242" i="5"/>
  <c r="BX243" i="5"/>
  <c r="BX244" i="5"/>
  <c r="BX245" i="5"/>
  <c r="BX246" i="5"/>
  <c r="BX247" i="5"/>
  <c r="BY247" i="5" s="1"/>
  <c r="BX248" i="5"/>
  <c r="BX249" i="5"/>
  <c r="BX250" i="5"/>
  <c r="BX251" i="5"/>
  <c r="BY251" i="5" s="1"/>
  <c r="BX252" i="5"/>
  <c r="BX253" i="5"/>
  <c r="BX254" i="5"/>
  <c r="BX255" i="5"/>
  <c r="BX256" i="5"/>
  <c r="BX257" i="5"/>
  <c r="BY257" i="5" s="1"/>
  <c r="BX258" i="5"/>
  <c r="BX259" i="5"/>
  <c r="BX260" i="5"/>
  <c r="BX261" i="5"/>
  <c r="BY261" i="5" s="1"/>
  <c r="BX262" i="5"/>
  <c r="BX263" i="5"/>
  <c r="BX264" i="5"/>
  <c r="BX265" i="5"/>
  <c r="BX266" i="5"/>
  <c r="BX267" i="5"/>
  <c r="BX268" i="5"/>
  <c r="BX269" i="5"/>
  <c r="BX270" i="5"/>
  <c r="BX271" i="5"/>
  <c r="BX272" i="5"/>
  <c r="BX273" i="5"/>
  <c r="BX274" i="5"/>
  <c r="BX275" i="5"/>
  <c r="BX276" i="5"/>
  <c r="BX277" i="5"/>
  <c r="BX278" i="5"/>
  <c r="BX279" i="5"/>
  <c r="BX280" i="5"/>
  <c r="BX281" i="5"/>
  <c r="BX282" i="5"/>
  <c r="BX283" i="5"/>
  <c r="BX284" i="5"/>
  <c r="BX285" i="5"/>
  <c r="BX286" i="5"/>
  <c r="BX287" i="5"/>
  <c r="BY287" i="5" s="1"/>
  <c r="BX288" i="5"/>
  <c r="BX289" i="5"/>
  <c r="BX290" i="5"/>
  <c r="BX291" i="5"/>
  <c r="BY291" i="5" s="1"/>
  <c r="BX292" i="5"/>
  <c r="BX293" i="5"/>
  <c r="BX294" i="5"/>
  <c r="BX295" i="5"/>
  <c r="BX296" i="5"/>
  <c r="BY296" i="5" s="1"/>
  <c r="BX297" i="5"/>
  <c r="BY297" i="5" s="1"/>
  <c r="BX298" i="5"/>
  <c r="BX299" i="5"/>
  <c r="BX300" i="5"/>
  <c r="BX301" i="5"/>
  <c r="BX302" i="5"/>
  <c r="BY302" i="5" s="1"/>
  <c r="BX303" i="5"/>
  <c r="BX304" i="5"/>
  <c r="BX305" i="5"/>
  <c r="BX306" i="5"/>
  <c r="BX307" i="5"/>
  <c r="BX308" i="5"/>
  <c r="BX309" i="5"/>
  <c r="BX310" i="5"/>
  <c r="BX311" i="5"/>
  <c r="BX312" i="5"/>
  <c r="BX313" i="5"/>
  <c r="BX314" i="5"/>
  <c r="BX315" i="5"/>
  <c r="BX316" i="5"/>
  <c r="BX317" i="5"/>
  <c r="BX318" i="5"/>
  <c r="BX319" i="5"/>
  <c r="BX320" i="5"/>
  <c r="BX321" i="5"/>
  <c r="BY321" i="5" s="1"/>
  <c r="BX322" i="5"/>
  <c r="BX323" i="5"/>
  <c r="BX324" i="5"/>
  <c r="BX325" i="5"/>
  <c r="BX326" i="5"/>
  <c r="BX327" i="5"/>
  <c r="BX328" i="5"/>
  <c r="BX329" i="5"/>
  <c r="BX330" i="5"/>
  <c r="BX331" i="5"/>
  <c r="BX332" i="5"/>
  <c r="BX333" i="5"/>
  <c r="BX334" i="5"/>
  <c r="BX335" i="5"/>
  <c r="BX336" i="5"/>
  <c r="BX337" i="5"/>
  <c r="BX338" i="5"/>
  <c r="BX339" i="5"/>
  <c r="BX340" i="5"/>
  <c r="BX341" i="5"/>
  <c r="BX342" i="5"/>
  <c r="BX343" i="5"/>
  <c r="BX344" i="5"/>
  <c r="BX345" i="5"/>
  <c r="BX346" i="5"/>
  <c r="BX347" i="5"/>
  <c r="BX348" i="5"/>
  <c r="BX349" i="5"/>
  <c r="BX350" i="5"/>
  <c r="BX351" i="5"/>
  <c r="BX352" i="5"/>
  <c r="BX353" i="5"/>
  <c r="BX354" i="5"/>
  <c r="BX355" i="5"/>
  <c r="BX356" i="5"/>
  <c r="BX357" i="5"/>
  <c r="BX358" i="5"/>
  <c r="BX359" i="5"/>
  <c r="BX360" i="5"/>
  <c r="BX361" i="5"/>
  <c r="BX362" i="5"/>
  <c r="BX363" i="5"/>
  <c r="BX364" i="5"/>
  <c r="BX365" i="5"/>
  <c r="BX366" i="5"/>
  <c r="BX367" i="5"/>
  <c r="BY367" i="5" s="1"/>
  <c r="BX368" i="5"/>
  <c r="BX369" i="5"/>
  <c r="BX370" i="5"/>
  <c r="BX371" i="5"/>
  <c r="BX372" i="5"/>
  <c r="BX373" i="5"/>
  <c r="BX374" i="5"/>
  <c r="BX375" i="5"/>
  <c r="BX376" i="5"/>
  <c r="BX377" i="5"/>
  <c r="BX378" i="5"/>
  <c r="BX379" i="5"/>
  <c r="BX380" i="5"/>
  <c r="BX381" i="5"/>
  <c r="BX382" i="5"/>
  <c r="BX383" i="5"/>
  <c r="BX384" i="5"/>
  <c r="BX385" i="5"/>
  <c r="BX386" i="5"/>
  <c r="BX387" i="5"/>
  <c r="BX388" i="5"/>
  <c r="BX389" i="5"/>
  <c r="BX390" i="5"/>
  <c r="BX391" i="5"/>
  <c r="BX392" i="5"/>
  <c r="BX393" i="5"/>
  <c r="BX394" i="5"/>
  <c r="BX395" i="5"/>
  <c r="BX396" i="5"/>
  <c r="BX397" i="5"/>
  <c r="BX398" i="5"/>
  <c r="BX399" i="5"/>
  <c r="BX400" i="5"/>
  <c r="BX401" i="5"/>
  <c r="BY401" i="5" s="1"/>
  <c r="BX402" i="5"/>
  <c r="BX403" i="5"/>
  <c r="BX404" i="5"/>
  <c r="BX405" i="5"/>
  <c r="BX406" i="5"/>
  <c r="BX407" i="5"/>
  <c r="BX408" i="5"/>
  <c r="BX409" i="5"/>
  <c r="BX410" i="5"/>
  <c r="BX411" i="5"/>
  <c r="BX412" i="5"/>
  <c r="BX413" i="5"/>
  <c r="BX414" i="5"/>
  <c r="BX415" i="5"/>
  <c r="BX416" i="5"/>
  <c r="BX417" i="5"/>
  <c r="BX418" i="5"/>
  <c r="BX419" i="5"/>
  <c r="BX420" i="5"/>
  <c r="BX421" i="5"/>
  <c r="BX422" i="5"/>
  <c r="BX423" i="5"/>
  <c r="BX424" i="5"/>
  <c r="BX425" i="5"/>
  <c r="BX426" i="5"/>
  <c r="BX427" i="5"/>
  <c r="BX428" i="5"/>
  <c r="BX429" i="5"/>
  <c r="BX430" i="5"/>
  <c r="BX431" i="5"/>
  <c r="BX432" i="5"/>
  <c r="BX433" i="5"/>
  <c r="BX434" i="5"/>
  <c r="BX435" i="5"/>
  <c r="BX436" i="5"/>
  <c r="BX437" i="5"/>
  <c r="BX438" i="5"/>
  <c r="BX439" i="5"/>
  <c r="BX440" i="5"/>
  <c r="BX441" i="5"/>
  <c r="BX442" i="5"/>
  <c r="BX443" i="5"/>
  <c r="BY25" i="5"/>
  <c r="BY41" i="5"/>
  <c r="BY55" i="5"/>
  <c r="BY65" i="5"/>
  <c r="BY115" i="5"/>
  <c r="BY121" i="5"/>
  <c r="BY122" i="5"/>
  <c r="BY131" i="5"/>
  <c r="BY135" i="5"/>
  <c r="BY151" i="5"/>
  <c r="BY153" i="5"/>
  <c r="BY155" i="5"/>
  <c r="BY165" i="5"/>
  <c r="BY167" i="5"/>
  <c r="BY172" i="5"/>
  <c r="BY177" i="5"/>
  <c r="BY183" i="5"/>
  <c r="BY192" i="5"/>
  <c r="BY195" i="5"/>
  <c r="BY197" i="5"/>
  <c r="BY203" i="5"/>
  <c r="BY205" i="5"/>
  <c r="BY211" i="5"/>
  <c r="BY213" i="5"/>
  <c r="BY215" i="5"/>
  <c r="BY217" i="5"/>
  <c r="BY225" i="5"/>
  <c r="BY227" i="5"/>
  <c r="BY232" i="5"/>
  <c r="BY233" i="5"/>
  <c r="BY235" i="5"/>
  <c r="BY253" i="5"/>
  <c r="BY267" i="5"/>
  <c r="BY272" i="5"/>
  <c r="BY275" i="5"/>
  <c r="BY277" i="5"/>
  <c r="BY303" i="5"/>
  <c r="BY305" i="5"/>
  <c r="BY313" i="5"/>
  <c r="BY315" i="5"/>
  <c r="BY323" i="5"/>
  <c r="BY327" i="5"/>
  <c r="BY335" i="5"/>
  <c r="BY337" i="5"/>
  <c r="BY345" i="5"/>
  <c r="BY347" i="5"/>
  <c r="BY355" i="5"/>
  <c r="BY363" i="5"/>
  <c r="BY375" i="5"/>
  <c r="BY377" i="5"/>
  <c r="BY381" i="5"/>
  <c r="BY383" i="5"/>
  <c r="BY385" i="5"/>
  <c r="BY395" i="5"/>
  <c r="BY397" i="5"/>
  <c r="BY403" i="5"/>
  <c r="BY405" i="5"/>
  <c r="BY415" i="5"/>
  <c r="BY423" i="5"/>
  <c r="BY425" i="5"/>
  <c r="BY433" i="5"/>
  <c r="BY443" i="5"/>
  <c r="CA12" i="5"/>
  <c r="CA15" i="5"/>
  <c r="CA22" i="5"/>
  <c r="CA32" i="5"/>
  <c r="CA33" i="5"/>
  <c r="CA41" i="5"/>
  <c r="CA63" i="5"/>
  <c r="CA65" i="5"/>
  <c r="CA71" i="5"/>
  <c r="CA72" i="5"/>
  <c r="CA83" i="5"/>
  <c r="CA95" i="5"/>
  <c r="CA115" i="5"/>
  <c r="CA121" i="5"/>
  <c r="CA122" i="5"/>
  <c r="CA127" i="5"/>
  <c r="CA131" i="5"/>
  <c r="CA133" i="5"/>
  <c r="CA135" i="5"/>
  <c r="CA141" i="5"/>
  <c r="CA142" i="5"/>
  <c r="CA143" i="5"/>
  <c r="CA151" i="5"/>
  <c r="CA152" i="5"/>
  <c r="CA153" i="5"/>
  <c r="CA157" i="5"/>
  <c r="CA161" i="5"/>
  <c r="CA163" i="5"/>
  <c r="CA165" i="5"/>
  <c r="CA167" i="5"/>
  <c r="CA177" i="5"/>
  <c r="CA181" i="5"/>
  <c r="CA183" i="5"/>
  <c r="CA195" i="5"/>
  <c r="CA197" i="5"/>
  <c r="CA201" i="5"/>
  <c r="CA202" i="5"/>
  <c r="CA203" i="5"/>
  <c r="CA213" i="5"/>
  <c r="CA215" i="5"/>
  <c r="CA217" i="5"/>
  <c r="CA231" i="5"/>
  <c r="CA232" i="5"/>
  <c r="CA235" i="5"/>
  <c r="CA237" i="5"/>
  <c r="CA241" i="5"/>
  <c r="CA247" i="5"/>
  <c r="CA251" i="5"/>
  <c r="CA253" i="5"/>
  <c r="CA257" i="5"/>
  <c r="CA261" i="5"/>
  <c r="CA265" i="5"/>
  <c r="CA267" i="5"/>
  <c r="CA272" i="5"/>
  <c r="CA273" i="5"/>
  <c r="CA275" i="5"/>
  <c r="CA283" i="5"/>
  <c r="CA287" i="5"/>
  <c r="CA291" i="5"/>
  <c r="CA302" i="5"/>
  <c r="CA303" i="5"/>
  <c r="CA305" i="5"/>
  <c r="CA313" i="5"/>
  <c r="CA321" i="5"/>
  <c r="CA323" i="5"/>
  <c r="CA327" i="5"/>
  <c r="CA335" i="5"/>
  <c r="CA337" i="5"/>
  <c r="CA341" i="5"/>
  <c r="CA343" i="5"/>
  <c r="CA355" i="5"/>
  <c r="CA367" i="5"/>
  <c r="CA375" i="5"/>
  <c r="CA383" i="5"/>
  <c r="CA385" i="5"/>
  <c r="CA395" i="5"/>
  <c r="CA397" i="5"/>
  <c r="CA401" i="5"/>
  <c r="CA403" i="5"/>
  <c r="CA405" i="5"/>
  <c r="CA407" i="5"/>
  <c r="CA411" i="5"/>
  <c r="CA415" i="5"/>
  <c r="CA423" i="5"/>
  <c r="CA425" i="5"/>
  <c r="CA433" i="5"/>
  <c r="CA435" i="5"/>
  <c r="CA443" i="5"/>
  <c r="CB2" i="5" a="1"/>
  <c r="CB2" i="5" s="1"/>
  <c r="CB3" i="5" a="1"/>
  <c r="CB3" i="5" s="1"/>
  <c r="CB4" i="5" a="1"/>
  <c r="CB4" i="5"/>
  <c r="CB5" i="5" a="1"/>
  <c r="CB5" i="5" s="1"/>
  <c r="CB6" i="5" a="1"/>
  <c r="CB6" i="5" s="1"/>
  <c r="CB7" i="5" a="1"/>
  <c r="CB7" i="5" s="1"/>
  <c r="CB8" i="5" a="1"/>
  <c r="CB8" i="5"/>
  <c r="CB9" i="5" a="1"/>
  <c r="CB9" i="5" s="1"/>
  <c r="CB10" i="5" a="1"/>
  <c r="CB10" i="5" s="1"/>
  <c r="CB11" i="5" a="1"/>
  <c r="CB11" i="5" s="1"/>
  <c r="CB12" i="5" a="1"/>
  <c r="CB12" i="5" s="1"/>
  <c r="CB13" i="5" a="1"/>
  <c r="CB13" i="5"/>
  <c r="CB14" i="5" a="1"/>
  <c r="CB14" i="5" s="1"/>
  <c r="CB15" i="5" a="1"/>
  <c r="CB15" i="5" s="1"/>
  <c r="CB16" i="5" a="1"/>
  <c r="CB16" i="5" s="1"/>
  <c r="CB17" i="5" a="1"/>
  <c r="CB17" i="5" s="1"/>
  <c r="CB18" i="5" a="1"/>
  <c r="CB18" i="5" s="1"/>
  <c r="CB19" i="5" a="1"/>
  <c r="CB19" i="5"/>
  <c r="CB20" i="5" a="1"/>
  <c r="CB20" i="5" s="1"/>
  <c r="CB21" i="5" a="1"/>
  <c r="CB21" i="5" s="1"/>
  <c r="CB22" i="5" a="1"/>
  <c r="CB22" i="5" s="1"/>
  <c r="CB23" i="5" a="1"/>
  <c r="CB23" i="5" s="1"/>
  <c r="CB24" i="5" a="1"/>
  <c r="CB24" i="5"/>
  <c r="CB25" i="5" a="1"/>
  <c r="CB25" i="5" s="1"/>
  <c r="CB26" i="5" a="1"/>
  <c r="CB26" i="5" s="1"/>
  <c r="CB27" i="5" a="1"/>
  <c r="CB27" i="5" s="1"/>
  <c r="CB28" i="5" a="1"/>
  <c r="CB28" i="5" s="1"/>
  <c r="CB29" i="5" a="1"/>
  <c r="CB29" i="5" s="1"/>
  <c r="CB30" i="5" a="1"/>
  <c r="CB30" i="5" s="1"/>
  <c r="CB31" i="5" a="1"/>
  <c r="CB31" i="5" s="1"/>
  <c r="CB32" i="5" a="1"/>
  <c r="CB32" i="5" s="1"/>
  <c r="CB33" i="5" a="1"/>
  <c r="CB33" i="5" s="1"/>
  <c r="CB34" i="5" a="1"/>
  <c r="CB34" i="5"/>
  <c r="CB35" i="5" a="1"/>
  <c r="CB35" i="5" s="1"/>
  <c r="CB36" i="5" a="1"/>
  <c r="CB36" i="5" s="1"/>
  <c r="CB37" i="5" a="1"/>
  <c r="CB37" i="5" s="1"/>
  <c r="CB38" i="5" a="1"/>
  <c r="CB38" i="5"/>
  <c r="CB39" i="5" a="1"/>
  <c r="CB39" i="5"/>
  <c r="CB40" i="5" a="1"/>
  <c r="CB40" i="5" s="1"/>
  <c r="CB41" i="5" a="1"/>
  <c r="CB41" i="5" s="1"/>
  <c r="CB42" i="5" a="1"/>
  <c r="CB42" i="5" s="1"/>
  <c r="CB43" i="5" a="1"/>
  <c r="CB43" i="5"/>
  <c r="CB44" i="5" a="1"/>
  <c r="CB44" i="5"/>
  <c r="CB45" i="5" a="1"/>
  <c r="CB45" i="5" s="1"/>
  <c r="CB46" i="5" a="1"/>
  <c r="CB46" i="5" s="1"/>
  <c r="CB47" i="5" a="1"/>
  <c r="CB47" i="5" s="1"/>
  <c r="CB48" i="5" a="1"/>
  <c r="CB48" i="5" s="1"/>
  <c r="CB49" i="5" a="1"/>
  <c r="CB49" i="5"/>
  <c r="CB50" i="5" a="1"/>
  <c r="CB50" i="5" s="1"/>
  <c r="CB51" i="5" a="1"/>
  <c r="CB51" i="5"/>
  <c r="CB52" i="5" a="1"/>
  <c r="CB52" i="5" s="1"/>
  <c r="CB53" i="5" a="1"/>
  <c r="CB53" i="5" s="1"/>
  <c r="CB54" i="5" a="1"/>
  <c r="CB54" i="5" s="1"/>
  <c r="CB55" i="5" a="1"/>
  <c r="CB55" i="5" s="1"/>
  <c r="CB56" i="5" a="1"/>
  <c r="CB56" i="5"/>
  <c r="CB57" i="5" a="1"/>
  <c r="CB57" i="5" s="1"/>
  <c r="CB58" i="5" a="1"/>
  <c r="CB58" i="5"/>
  <c r="CB59" i="5" a="1"/>
  <c r="CB59" i="5"/>
  <c r="CB60" i="5" a="1"/>
  <c r="CB60" i="5" s="1"/>
  <c r="CB61" i="5" a="1"/>
  <c r="CB61" i="5" s="1"/>
  <c r="CB62" i="5" a="1"/>
  <c r="CB62" i="5" s="1"/>
  <c r="CB63" i="5" a="1"/>
  <c r="CB63" i="5"/>
  <c r="CB64" i="5" a="1"/>
  <c r="CB64" i="5" s="1"/>
  <c r="CB65" i="5" a="1"/>
  <c r="CB65" i="5"/>
  <c r="CB66" i="5" a="1"/>
  <c r="CB66" i="5" s="1"/>
  <c r="CB67" i="5" a="1"/>
  <c r="CB67" i="5" s="1"/>
  <c r="CB68" i="5" a="1"/>
  <c r="CB68" i="5" s="1"/>
  <c r="CB69" i="5" a="1"/>
  <c r="CB69" i="5"/>
  <c r="CB70" i="5" a="1"/>
  <c r="CB70" i="5" s="1"/>
  <c r="CB71" i="5" a="1"/>
  <c r="CB71" i="5" s="1"/>
  <c r="CB72" i="5" a="1"/>
  <c r="CB72" i="5" s="1"/>
  <c r="CB73" i="5" a="1"/>
  <c r="CB73" i="5"/>
  <c r="CB74" i="5" a="1"/>
  <c r="CB74" i="5" s="1"/>
  <c r="CB75" i="5" a="1"/>
  <c r="CB75" i="5" s="1"/>
  <c r="CB76" i="5" a="1"/>
  <c r="CB76" i="5"/>
  <c r="CB77" i="5" a="1"/>
  <c r="CB77" i="5" s="1"/>
  <c r="CB78" i="5" a="1"/>
  <c r="CB78" i="5" s="1"/>
  <c r="CB79" i="5" a="1"/>
  <c r="CB79" i="5"/>
  <c r="CB80" i="5" a="1"/>
  <c r="CB80" i="5" s="1"/>
  <c r="CB81" i="5" a="1"/>
  <c r="CB81" i="5" s="1"/>
  <c r="CB82" i="5" a="1"/>
  <c r="CB82" i="5" s="1"/>
  <c r="CB83" i="5" a="1"/>
  <c r="CB83" i="5"/>
  <c r="CB84" i="5" a="1"/>
  <c r="CB84" i="5" s="1"/>
  <c r="CB85" i="5" a="1"/>
  <c r="CB85" i="5" s="1"/>
  <c r="CB86" i="5" a="1"/>
  <c r="CB86" i="5" s="1"/>
  <c r="CB87" i="5" a="1"/>
  <c r="CB87" i="5" s="1"/>
  <c r="CB88" i="5" a="1"/>
  <c r="CB88" i="5" s="1"/>
  <c r="CB89" i="5" a="1"/>
  <c r="CB89" i="5" s="1"/>
  <c r="CB90" i="5" a="1"/>
  <c r="CB90" i="5" s="1"/>
  <c r="CB91" i="5" a="1"/>
  <c r="CB91" i="5" s="1"/>
  <c r="CB92" i="5" a="1"/>
  <c r="CB92" i="5" s="1"/>
  <c r="CB93" i="5" a="1"/>
  <c r="CB93" i="5" s="1"/>
  <c r="CB94" i="5" a="1"/>
  <c r="CB94" i="5" s="1"/>
  <c r="CB95" i="5" a="1"/>
  <c r="CB95" i="5" s="1"/>
  <c r="CB96" i="5" a="1"/>
  <c r="CB96" i="5" s="1"/>
  <c r="CB97" i="5" a="1"/>
  <c r="CB97" i="5" s="1"/>
  <c r="CB98" i="5" a="1"/>
  <c r="CB98" i="5"/>
  <c r="CB99" i="5" a="1"/>
  <c r="CB99" i="5" s="1"/>
  <c r="BQ99" i="5" s="1" a="1"/>
  <c r="BQ99" i="5" s="1"/>
  <c r="BS99" i="5" s="1"/>
  <c r="CB100" i="5" a="1"/>
  <c r="CB100" i="5" s="1"/>
  <c r="CB101" i="5" a="1"/>
  <c r="CB101" i="5" s="1"/>
  <c r="CB102" i="5" a="1"/>
  <c r="CB102" i="5" s="1"/>
  <c r="CB103" i="5" a="1"/>
  <c r="CB103" i="5" s="1"/>
  <c r="CB104" i="5" a="1"/>
  <c r="CB104" i="5" s="1"/>
  <c r="CB105" i="5" a="1"/>
  <c r="CB105" i="5" s="1"/>
  <c r="CB106" i="5" a="1"/>
  <c r="CB106" i="5" s="1"/>
  <c r="CB107" i="5" a="1"/>
  <c r="CB107" i="5" s="1"/>
  <c r="CB108" i="5" a="1"/>
  <c r="CB108" i="5"/>
  <c r="CB109" i="5" a="1"/>
  <c r="CB109" i="5" s="1"/>
  <c r="CB110" i="5" a="1"/>
  <c r="CB110" i="5" s="1"/>
  <c r="CB111" i="5" a="1"/>
  <c r="CB111" i="5" s="1"/>
  <c r="CB112" i="5" a="1"/>
  <c r="CB112" i="5" s="1"/>
  <c r="CB113" i="5" a="1"/>
  <c r="CB113" i="5"/>
  <c r="CB114" i="5" a="1"/>
  <c r="CB114" i="5" s="1"/>
  <c r="CB115" i="5" a="1"/>
  <c r="CB115" i="5" s="1"/>
  <c r="CB116" i="5" a="1"/>
  <c r="CB116" i="5" s="1"/>
  <c r="CB117" i="5" a="1"/>
  <c r="CB117" i="5" s="1"/>
  <c r="BR117" i="5" s="1" a="1"/>
  <c r="BR117" i="5" s="1"/>
  <c r="CB118" i="5" a="1"/>
  <c r="CB118" i="5"/>
  <c r="CB119" i="5" a="1"/>
  <c r="CB119" i="5" s="1"/>
  <c r="CB120" i="5" a="1"/>
  <c r="CB120" i="5" s="1"/>
  <c r="CB121" i="5" a="1"/>
  <c r="CB121" i="5" s="1"/>
  <c r="CB122" i="5" a="1"/>
  <c r="CB122" i="5" s="1"/>
  <c r="CB123" i="5" a="1"/>
  <c r="CB123" i="5" s="1"/>
  <c r="CB124" i="5" a="1"/>
  <c r="CB124" i="5" s="1"/>
  <c r="CB125" i="5" a="1"/>
  <c r="CB125" i="5" s="1"/>
  <c r="CB126" i="5" a="1"/>
  <c r="CB126" i="5"/>
  <c r="CB127" i="5" a="1"/>
  <c r="CB127" i="5" s="1"/>
  <c r="CB128" i="5" a="1"/>
  <c r="CB128" i="5" s="1"/>
  <c r="CB129" i="5" a="1"/>
  <c r="CB129" i="5" s="1"/>
  <c r="CB130" i="5" a="1"/>
  <c r="CB130" i="5" s="1"/>
  <c r="CB131" i="5" a="1"/>
  <c r="CB131" i="5" s="1"/>
  <c r="CB132" i="5" a="1"/>
  <c r="CB132" i="5" s="1"/>
  <c r="CB133" i="5" a="1"/>
  <c r="CB133" i="5"/>
  <c r="CB134" i="5" a="1"/>
  <c r="CB134" i="5"/>
  <c r="CB135" i="5" a="1"/>
  <c r="CB135" i="5"/>
  <c r="CB136" i="5" a="1"/>
  <c r="CB136" i="5" s="1"/>
  <c r="CB137" i="5" a="1"/>
  <c r="CB137" i="5" s="1"/>
  <c r="CB138" i="5" a="1"/>
  <c r="CB138" i="5" s="1"/>
  <c r="CB139" i="5" a="1"/>
  <c r="CB139" i="5" s="1"/>
  <c r="CB140" i="5" a="1"/>
  <c r="CB140" i="5" s="1"/>
  <c r="CB141" i="5" a="1"/>
  <c r="CB141" i="5" s="1"/>
  <c r="CB142" i="5" a="1"/>
  <c r="CB142" i="5" s="1"/>
  <c r="CB143" i="5" a="1"/>
  <c r="CB143" i="5" s="1"/>
  <c r="CB144" i="5" a="1"/>
  <c r="CB144" i="5" s="1"/>
  <c r="CB145" i="5" a="1"/>
  <c r="CB145" i="5"/>
  <c r="CB146" i="5" a="1"/>
  <c r="CB146" i="5" s="1"/>
  <c r="CB147" i="5" a="1"/>
  <c r="CB147" i="5" s="1"/>
  <c r="CB148" i="5" a="1"/>
  <c r="CB148" i="5" s="1"/>
  <c r="CB149" i="5" a="1"/>
  <c r="CB149" i="5" s="1"/>
  <c r="CB150" i="5" a="1"/>
  <c r="CB150" i="5" s="1"/>
  <c r="CB151" i="5" a="1"/>
  <c r="CB151" i="5"/>
  <c r="CB152" i="5" a="1"/>
  <c r="CB152" i="5" s="1"/>
  <c r="CB153" i="5" a="1"/>
  <c r="CB153" i="5" s="1"/>
  <c r="CB154" i="5" a="1"/>
  <c r="CB154" i="5"/>
  <c r="CB155" i="5" a="1"/>
  <c r="CB155" i="5" s="1"/>
  <c r="CB156" i="5" a="1"/>
  <c r="CB156" i="5" s="1"/>
  <c r="CB157" i="5" a="1"/>
  <c r="CB157" i="5" s="1"/>
  <c r="CB158" i="5" a="1"/>
  <c r="CB158" i="5" s="1"/>
  <c r="CB159" i="5" a="1"/>
  <c r="CB159" i="5" s="1"/>
  <c r="CB160" i="5" a="1"/>
  <c r="CB160" i="5" s="1"/>
  <c r="CB161" i="5" a="1"/>
  <c r="CB161" i="5" s="1"/>
  <c r="CB162" i="5" a="1"/>
  <c r="CB162" i="5" s="1"/>
  <c r="CB163" i="5" a="1"/>
  <c r="CB163" i="5" s="1"/>
  <c r="CB164" i="5" a="1"/>
  <c r="CB164" i="5" s="1"/>
  <c r="CB165" i="5" a="1"/>
  <c r="CB165" i="5"/>
  <c r="CB166" i="5" a="1"/>
  <c r="CB166" i="5" s="1"/>
  <c r="CB167" i="5" a="1"/>
  <c r="CB167" i="5" s="1"/>
  <c r="CB168" i="5" a="1"/>
  <c r="CB168" i="5"/>
  <c r="CB169" i="5" a="1"/>
  <c r="CB169" i="5" s="1"/>
  <c r="CB170" i="5" a="1"/>
  <c r="CB170" i="5" s="1"/>
  <c r="CB171" i="5" a="1"/>
  <c r="CB171" i="5" s="1"/>
  <c r="CB172" i="5" a="1"/>
  <c r="CB172" i="5" s="1"/>
  <c r="CB173" i="5" a="1"/>
  <c r="CB173" i="5"/>
  <c r="CB174" i="5" a="1"/>
  <c r="CB174" i="5" s="1"/>
  <c r="CB175" i="5" a="1"/>
  <c r="CB175" i="5" s="1"/>
  <c r="CB176" i="5" a="1"/>
  <c r="CB176" i="5"/>
  <c r="CB177" i="5" a="1"/>
  <c r="CB177" i="5" s="1"/>
  <c r="CB178" i="5" a="1"/>
  <c r="CB178" i="5" s="1"/>
  <c r="CB179" i="5" a="1"/>
  <c r="CB179" i="5" s="1"/>
  <c r="CB180" i="5" a="1"/>
  <c r="CB180" i="5" s="1"/>
  <c r="CB181" i="5" a="1"/>
  <c r="CB181" i="5" s="1"/>
  <c r="CB182" i="5" a="1"/>
  <c r="CB182" i="5" s="1"/>
  <c r="CB183" i="5" a="1"/>
  <c r="CB183" i="5" s="1"/>
  <c r="CB184" i="5" a="1"/>
  <c r="CB184" i="5"/>
  <c r="CB185" i="5" a="1"/>
  <c r="CB185" i="5" s="1"/>
  <c r="CB186" i="5" a="1"/>
  <c r="CB186" i="5" s="1"/>
  <c r="CB187" i="5" a="1"/>
  <c r="CB187" i="5" s="1"/>
  <c r="CB188" i="5" a="1"/>
  <c r="CB188" i="5"/>
  <c r="CB189" i="5" a="1"/>
  <c r="CB189" i="5" s="1"/>
  <c r="CB190" i="5" a="1"/>
  <c r="CB190" i="5" s="1"/>
  <c r="CB191" i="5" a="1"/>
  <c r="CB191" i="5" s="1"/>
  <c r="CB192" i="5" a="1"/>
  <c r="CB192" i="5" s="1"/>
  <c r="CB193" i="5" a="1"/>
  <c r="CB193" i="5" s="1"/>
  <c r="CB194" i="5" a="1"/>
  <c r="CB194" i="5" s="1"/>
  <c r="CB195" i="5" a="1"/>
  <c r="CB195" i="5" s="1"/>
  <c r="CB196" i="5" a="1"/>
  <c r="CB196" i="5" s="1"/>
  <c r="CB197" i="5" a="1"/>
  <c r="CB197" i="5" s="1"/>
  <c r="CB198" i="5" a="1"/>
  <c r="CB198" i="5" s="1"/>
  <c r="CB199" i="5" a="1"/>
  <c r="CB199" i="5" s="1"/>
  <c r="CB200" i="5" a="1"/>
  <c r="CB200" i="5" s="1"/>
  <c r="CB201" i="5" a="1"/>
  <c r="CB201" i="5" s="1"/>
  <c r="CB202" i="5" a="1"/>
  <c r="CB202" i="5" s="1"/>
  <c r="CB203" i="5" a="1"/>
  <c r="CB203" i="5"/>
  <c r="CB204" i="5" a="1"/>
  <c r="CB204" i="5" s="1"/>
  <c r="CB205" i="5" a="1"/>
  <c r="CB205" i="5" s="1"/>
  <c r="CB206" i="5" a="1"/>
  <c r="CB206" i="5" s="1"/>
  <c r="CB207" i="5" a="1"/>
  <c r="CB207" i="5" s="1"/>
  <c r="CB208" i="5" a="1"/>
  <c r="CB208" i="5" s="1"/>
  <c r="CB209" i="5" a="1"/>
  <c r="CB209" i="5" s="1"/>
  <c r="CB210" i="5" a="1"/>
  <c r="CB210" i="5" s="1"/>
  <c r="CB211" i="5" a="1"/>
  <c r="CB211" i="5" s="1"/>
  <c r="CB212" i="5" a="1"/>
  <c r="CB212" i="5" s="1"/>
  <c r="CB213" i="5" a="1"/>
  <c r="CB213" i="5" s="1"/>
  <c r="CB214" i="5" a="1"/>
  <c r="CB214" i="5" s="1"/>
  <c r="CB215" i="5" a="1"/>
  <c r="CB215" i="5"/>
  <c r="CB216" i="5" a="1"/>
  <c r="CB216" i="5" s="1"/>
  <c r="CB217" i="5" a="1"/>
  <c r="CB217" i="5" s="1"/>
  <c r="CB218" i="5" a="1"/>
  <c r="CB218" i="5" s="1"/>
  <c r="CB219" i="5" a="1"/>
  <c r="CB219" i="5" s="1"/>
  <c r="CB220" i="5" a="1"/>
  <c r="CB220" i="5" s="1"/>
  <c r="CB221" i="5" a="1"/>
  <c r="CB221" i="5" s="1"/>
  <c r="CB222" i="5" a="1"/>
  <c r="CB222" i="5" s="1"/>
  <c r="CB223" i="5" a="1"/>
  <c r="CB223" i="5"/>
  <c r="CB224" i="5" a="1"/>
  <c r="CB224" i="5" s="1"/>
  <c r="CB225" i="5" a="1"/>
  <c r="CB225" i="5" s="1"/>
  <c r="CB226" i="5" a="1"/>
  <c r="CB226" i="5"/>
  <c r="CB227" i="5" a="1"/>
  <c r="CB227" i="5" s="1"/>
  <c r="CB228" i="5" a="1"/>
  <c r="CB228" i="5" s="1"/>
  <c r="CB229" i="5" a="1"/>
  <c r="CB229" i="5"/>
  <c r="CB230" i="5" a="1"/>
  <c r="CB230" i="5" s="1"/>
  <c r="CB231" i="5" a="1"/>
  <c r="CB231" i="5" s="1"/>
  <c r="CB232" i="5" a="1"/>
  <c r="CB232" i="5" s="1"/>
  <c r="CB233" i="5" a="1"/>
  <c r="CB233" i="5"/>
  <c r="CB234" i="5" a="1"/>
  <c r="CB234" i="5" s="1"/>
  <c r="CB235" i="5" a="1"/>
  <c r="CB235" i="5" s="1"/>
  <c r="CB236" i="5" a="1"/>
  <c r="CB236" i="5" s="1"/>
  <c r="CB237" i="5" a="1"/>
  <c r="CB237" i="5" s="1"/>
  <c r="CB238" i="5" a="1"/>
  <c r="CB238" i="5" s="1"/>
  <c r="CB239" i="5" a="1"/>
  <c r="CB239" i="5" s="1"/>
  <c r="CB240" i="5" a="1"/>
  <c r="CB240" i="5"/>
  <c r="CB241" i="5" a="1"/>
  <c r="CB241" i="5" s="1"/>
  <c r="CB242" i="5" a="1"/>
  <c r="CB242" i="5" s="1"/>
  <c r="CB243" i="5" a="1"/>
  <c r="CB243" i="5"/>
  <c r="CB244" i="5" a="1"/>
  <c r="CB244" i="5" s="1"/>
  <c r="CB245" i="5" a="1"/>
  <c r="CB245" i="5" s="1"/>
  <c r="CB246" i="5" a="1"/>
  <c r="CB246" i="5" s="1"/>
  <c r="CB247" i="5" a="1"/>
  <c r="CB247" i="5" s="1"/>
  <c r="CB248" i="5" a="1"/>
  <c r="CB248" i="5" s="1"/>
  <c r="CB249" i="5" a="1"/>
  <c r="CB249" i="5" s="1"/>
  <c r="CB250" i="5" a="1"/>
  <c r="CB250" i="5" s="1"/>
  <c r="CB251" i="5" a="1"/>
  <c r="CB251" i="5" s="1"/>
  <c r="CB252" i="5" a="1"/>
  <c r="CB252" i="5" s="1"/>
  <c r="CB253" i="5" a="1"/>
  <c r="CB253" i="5" s="1"/>
  <c r="CB254" i="5" a="1"/>
  <c r="CB254" i="5" s="1"/>
  <c r="CB255" i="5" a="1"/>
  <c r="CB255" i="5" s="1"/>
  <c r="CB256" i="5" a="1"/>
  <c r="CB256" i="5"/>
  <c r="CB257" i="5" a="1"/>
  <c r="CB257" i="5" s="1"/>
  <c r="CB258" i="5" a="1"/>
  <c r="CB258" i="5" s="1"/>
  <c r="CB259" i="5" a="1"/>
  <c r="CB259" i="5" s="1"/>
  <c r="CB260" i="5" a="1"/>
  <c r="CB260" i="5" s="1"/>
  <c r="CB261" i="5" a="1"/>
  <c r="CB261" i="5" s="1"/>
  <c r="CB262" i="5" a="1"/>
  <c r="CB262" i="5" s="1"/>
  <c r="CB263" i="5" a="1"/>
  <c r="CB263" i="5" s="1"/>
  <c r="CB264" i="5" a="1"/>
  <c r="CB264" i="5" s="1"/>
  <c r="CB265" i="5" a="1"/>
  <c r="CB265" i="5" s="1"/>
  <c r="CB266" i="5" a="1"/>
  <c r="CB266" i="5" s="1"/>
  <c r="CB267" i="5" a="1"/>
  <c r="CB267" i="5" s="1"/>
  <c r="CB268" i="5" a="1"/>
  <c r="CB268" i="5"/>
  <c r="CB269" i="5" a="1"/>
  <c r="CB269" i="5" s="1"/>
  <c r="CB270" i="5" a="1"/>
  <c r="CB270" i="5" s="1"/>
  <c r="CB271" i="5" a="1"/>
  <c r="CB271" i="5" s="1"/>
  <c r="CB272" i="5" a="1"/>
  <c r="CB272" i="5" s="1"/>
  <c r="CB273" i="5" a="1"/>
  <c r="CB273" i="5" s="1"/>
  <c r="CB274" i="5" a="1"/>
  <c r="CB274" i="5" s="1"/>
  <c r="CB275" i="5" a="1"/>
  <c r="CB275" i="5" s="1"/>
  <c r="CB276" i="5" a="1"/>
  <c r="CB276" i="5"/>
  <c r="CB277" i="5" a="1"/>
  <c r="CB277" i="5" s="1"/>
  <c r="CB278" i="5" a="1"/>
  <c r="CB278" i="5" s="1"/>
  <c r="CB279" i="5" a="1"/>
  <c r="CB279" i="5"/>
  <c r="CB280" i="5" a="1"/>
  <c r="CB280" i="5" s="1"/>
  <c r="CB281" i="5" a="1"/>
  <c r="CB281" i="5" s="1"/>
  <c r="CB282" i="5" a="1"/>
  <c r="CB282" i="5" s="1"/>
  <c r="CB283" i="5" a="1"/>
  <c r="CB283" i="5"/>
  <c r="CB284" i="5" a="1"/>
  <c r="CB284" i="5" s="1"/>
  <c r="CB285" i="5" a="1"/>
  <c r="CB285" i="5" s="1"/>
  <c r="CB286" i="5" a="1"/>
  <c r="CB286" i="5" s="1"/>
  <c r="CB287" i="5" a="1"/>
  <c r="CB287" i="5" s="1"/>
  <c r="CB288" i="5" a="1"/>
  <c r="CB288" i="5" s="1"/>
  <c r="CB289" i="5" a="1"/>
  <c r="CB289" i="5" s="1"/>
  <c r="CB290" i="5" a="1"/>
  <c r="CB290" i="5"/>
  <c r="CB291" i="5" a="1"/>
  <c r="CB291" i="5" s="1"/>
  <c r="CB292" i="5" a="1"/>
  <c r="CB292" i="5" s="1"/>
  <c r="CB293" i="5" a="1"/>
  <c r="CB293" i="5"/>
  <c r="CB294" i="5" a="1"/>
  <c r="CB294" i="5" s="1"/>
  <c r="CB295" i="5" a="1"/>
  <c r="CB295" i="5" s="1"/>
  <c r="CB296" i="5" a="1"/>
  <c r="CB296" i="5" s="1"/>
  <c r="CB297" i="5" a="1"/>
  <c r="CB297" i="5" s="1"/>
  <c r="CB298" i="5" a="1"/>
  <c r="CB298" i="5" s="1"/>
  <c r="CB299" i="5" a="1"/>
  <c r="CB299" i="5" s="1"/>
  <c r="CB300" i="5" a="1"/>
  <c r="CB300" i="5" s="1"/>
  <c r="CB301" i="5" a="1"/>
  <c r="CB301" i="5" s="1"/>
  <c r="CB302" i="5" a="1"/>
  <c r="CB302" i="5" s="1"/>
  <c r="CB303" i="5" a="1"/>
  <c r="CB303" i="5" s="1"/>
  <c r="CB304" i="5" a="1"/>
  <c r="CB304" i="5"/>
  <c r="CB305" i="5" a="1"/>
  <c r="CB305" i="5" s="1"/>
  <c r="CB306" i="5" a="1"/>
  <c r="CB306" i="5"/>
  <c r="CB307" i="5" a="1"/>
  <c r="CB307" i="5" s="1"/>
  <c r="CB308" i="5" a="1"/>
  <c r="CB308" i="5" s="1"/>
  <c r="CB309" i="5" a="1"/>
  <c r="CB309" i="5" s="1"/>
  <c r="CB310" i="5" a="1"/>
  <c r="CB310" i="5" s="1"/>
  <c r="CB311" i="5" a="1"/>
  <c r="CB311" i="5" s="1"/>
  <c r="CB312" i="5" a="1"/>
  <c r="CB312" i="5" s="1"/>
  <c r="CB313" i="5" a="1"/>
  <c r="CB313" i="5" s="1"/>
  <c r="CB314" i="5" a="1"/>
  <c r="CB314" i="5" s="1"/>
  <c r="CB315" i="5" a="1"/>
  <c r="CB315" i="5" s="1"/>
  <c r="CB316" i="5" a="1"/>
  <c r="CB316" i="5" s="1"/>
  <c r="CB317" i="5" a="1"/>
  <c r="CB317" i="5" s="1"/>
  <c r="CB318" i="5" a="1"/>
  <c r="CB318" i="5"/>
  <c r="CB319" i="5" a="1"/>
  <c r="CB319" i="5" s="1"/>
  <c r="CB320" i="5" a="1"/>
  <c r="CB320" i="5" s="1"/>
  <c r="CB321" i="5" a="1"/>
  <c r="CB321" i="5" s="1"/>
  <c r="CB322" i="5" a="1"/>
  <c r="CB322" i="5" s="1"/>
  <c r="CB323" i="5" a="1"/>
  <c r="CB323" i="5" s="1"/>
  <c r="CB324" i="5" a="1"/>
  <c r="CB324" i="5"/>
  <c r="CB325" i="5" a="1"/>
  <c r="CB325" i="5" s="1"/>
  <c r="CB326" i="5" a="1"/>
  <c r="CB326" i="5" s="1"/>
  <c r="CB327" i="5" a="1"/>
  <c r="CB327" i="5" s="1"/>
  <c r="CB328" i="5" a="1"/>
  <c r="CB328" i="5"/>
  <c r="CB329" i="5" a="1"/>
  <c r="CB329" i="5" s="1"/>
  <c r="CB330" i="5" a="1"/>
  <c r="CB330" i="5" s="1"/>
  <c r="CB331" i="5" a="1"/>
  <c r="CB331" i="5" s="1"/>
  <c r="CB332" i="5" a="1"/>
  <c r="CB332" i="5" s="1"/>
  <c r="CB333" i="5" a="1"/>
  <c r="CB333" i="5" s="1"/>
  <c r="CB334" i="5" a="1"/>
  <c r="CB334" i="5" s="1"/>
  <c r="CB335" i="5" a="1"/>
  <c r="CB335" i="5"/>
  <c r="CB336" i="5" a="1"/>
  <c r="CB336" i="5" s="1"/>
  <c r="CB337" i="5" a="1"/>
  <c r="CB337" i="5" s="1"/>
  <c r="CB338" i="5" a="1"/>
  <c r="CB338" i="5" s="1"/>
  <c r="CB339" i="5" a="1"/>
  <c r="CB339" i="5" s="1"/>
  <c r="CB340" i="5" a="1"/>
  <c r="CB340" i="5" s="1"/>
  <c r="CB341" i="5" a="1"/>
  <c r="CB341" i="5" s="1"/>
  <c r="CB342" i="5" a="1"/>
  <c r="CB342" i="5" s="1"/>
  <c r="CB343" i="5" a="1"/>
  <c r="CB343" i="5" s="1"/>
  <c r="CB344" i="5" a="1"/>
  <c r="CB344" i="5" s="1"/>
  <c r="CB345" i="5" a="1"/>
  <c r="CB345" i="5" s="1"/>
  <c r="CB346" i="5" a="1"/>
  <c r="CB346" i="5" s="1"/>
  <c r="CB347" i="5" a="1"/>
  <c r="CB347" i="5" s="1"/>
  <c r="CB348" i="5" a="1"/>
  <c r="CB348" i="5" s="1"/>
  <c r="CB349" i="5" a="1"/>
  <c r="CB349" i="5" s="1"/>
  <c r="CB350" i="5" a="1"/>
  <c r="CB350" i="5" s="1"/>
  <c r="CB351" i="5" a="1"/>
  <c r="CB351" i="5" s="1"/>
  <c r="CB352" i="5" a="1"/>
  <c r="CB352" i="5" s="1"/>
  <c r="CB353" i="5" a="1"/>
  <c r="CB353" i="5"/>
  <c r="CB354" i="5" a="1"/>
  <c r="CB354" i="5" s="1"/>
  <c r="CB355" i="5" a="1"/>
  <c r="CB355" i="5" s="1"/>
  <c r="CB356" i="5" a="1"/>
  <c r="CB356" i="5"/>
  <c r="CB357" i="5" a="1"/>
  <c r="CB357" i="5" s="1"/>
  <c r="CB358" i="5" a="1"/>
  <c r="CB358" i="5" s="1"/>
  <c r="CB359" i="5" a="1"/>
  <c r="CB359" i="5" s="1"/>
  <c r="CB360" i="5" a="1"/>
  <c r="CB360" i="5" s="1"/>
  <c r="CB361" i="5" a="1"/>
  <c r="CB361" i="5" s="1"/>
  <c r="CB362" i="5" a="1"/>
  <c r="CB362" i="5" s="1"/>
  <c r="CB363" i="5" a="1"/>
  <c r="CB363" i="5" s="1"/>
  <c r="CB364" i="5" a="1"/>
  <c r="CB364" i="5" s="1"/>
  <c r="CB365" i="5" a="1"/>
  <c r="CB365" i="5" s="1"/>
  <c r="CB366" i="5" a="1"/>
  <c r="CB366" i="5" s="1"/>
  <c r="CB367" i="5" a="1"/>
  <c r="CB367" i="5" s="1"/>
  <c r="CB368" i="5" a="1"/>
  <c r="CB368" i="5"/>
  <c r="CB369" i="5" a="1"/>
  <c r="CB369" i="5" s="1"/>
  <c r="CB370" i="5" a="1"/>
  <c r="CB370" i="5" s="1"/>
  <c r="CB371" i="5" a="1"/>
  <c r="CB371" i="5" s="1"/>
  <c r="CB372" i="5" a="1"/>
  <c r="CB372" i="5" s="1"/>
  <c r="CB373" i="5" a="1"/>
  <c r="CB373" i="5" s="1"/>
  <c r="CB374" i="5" a="1"/>
  <c r="CB374" i="5"/>
  <c r="CB375" i="5" a="1"/>
  <c r="CB375" i="5" s="1"/>
  <c r="CB376" i="5" a="1"/>
  <c r="CB376" i="5" s="1"/>
  <c r="CB377" i="5" a="1"/>
  <c r="CB377" i="5" s="1"/>
  <c r="CB378" i="5" a="1"/>
  <c r="CB378" i="5" s="1"/>
  <c r="CB379" i="5" a="1"/>
  <c r="CB379" i="5"/>
  <c r="CB380" i="5" a="1"/>
  <c r="CB380" i="5" s="1"/>
  <c r="CB381" i="5" a="1"/>
  <c r="CB381" i="5" s="1"/>
  <c r="CB382" i="5" a="1"/>
  <c r="CB382" i="5" s="1"/>
  <c r="CB383" i="5" a="1"/>
  <c r="CB383" i="5" s="1"/>
  <c r="CB384" i="5" a="1"/>
  <c r="CB384" i="5" s="1"/>
  <c r="CB385" i="5" a="1"/>
  <c r="CB385" i="5" s="1"/>
  <c r="CB386" i="5" a="1"/>
  <c r="CB386" i="5" s="1"/>
  <c r="CB387" i="5" a="1"/>
  <c r="CB387" i="5" s="1"/>
  <c r="CB388" i="5" a="1"/>
  <c r="CB388" i="5" s="1"/>
  <c r="CB389" i="5" a="1"/>
  <c r="CB389" i="5" s="1"/>
  <c r="CB390" i="5" a="1"/>
  <c r="CB390" i="5" s="1"/>
  <c r="CB391" i="5" a="1"/>
  <c r="CB391" i="5" s="1"/>
  <c r="CB392" i="5" a="1"/>
  <c r="CB392" i="5" s="1"/>
  <c r="CB393" i="5" a="1"/>
  <c r="CB393" i="5" s="1"/>
  <c r="CB394" i="5" a="1"/>
  <c r="CB394" i="5" s="1"/>
  <c r="CB395" i="5" a="1"/>
  <c r="CB395" i="5" s="1"/>
  <c r="CB396" i="5" a="1"/>
  <c r="CB396" i="5"/>
  <c r="CB397" i="5" a="1"/>
  <c r="CB397" i="5" s="1"/>
  <c r="CB398" i="5" a="1"/>
  <c r="CB398" i="5" s="1"/>
  <c r="CB399" i="5" a="1"/>
  <c r="CB399" i="5" s="1"/>
  <c r="CB400" i="5" a="1"/>
  <c r="CB400" i="5" s="1"/>
  <c r="CB401" i="5" a="1"/>
  <c r="CB401" i="5"/>
  <c r="CB402" i="5" a="1"/>
  <c r="CB402" i="5" s="1"/>
  <c r="CB403" i="5" a="1"/>
  <c r="CB403" i="5" s="1"/>
  <c r="CB404" i="5" a="1"/>
  <c r="CB404" i="5"/>
  <c r="CB405" i="5" a="1"/>
  <c r="CB405" i="5" s="1"/>
  <c r="CB406" i="5" a="1"/>
  <c r="CB406" i="5"/>
  <c r="CB407" i="5" a="1"/>
  <c r="CB407" i="5" s="1"/>
  <c r="CB408" i="5" a="1"/>
  <c r="CB408" i="5" s="1"/>
  <c r="CB409" i="5" a="1"/>
  <c r="CB409" i="5" s="1"/>
  <c r="CB410" i="5" a="1"/>
  <c r="CB410" i="5" s="1"/>
  <c r="CB411" i="5" a="1"/>
  <c r="CB411" i="5" s="1"/>
  <c r="CB412" i="5" a="1"/>
  <c r="CB412" i="5" s="1"/>
  <c r="CB413" i="5" a="1"/>
  <c r="CB413" i="5" s="1"/>
  <c r="CB414" i="5" a="1"/>
  <c r="CB414" i="5" s="1"/>
  <c r="CB415" i="5" a="1"/>
  <c r="CB415" i="5" s="1"/>
  <c r="CB416" i="5" a="1"/>
  <c r="CB416" i="5" s="1"/>
  <c r="CB417" i="5" a="1"/>
  <c r="CB417" i="5" s="1"/>
  <c r="CB418" i="5" a="1"/>
  <c r="CB418" i="5" s="1"/>
  <c r="CB419" i="5" a="1"/>
  <c r="CB419" i="5" s="1"/>
  <c r="CB420" i="5" a="1"/>
  <c r="CB420" i="5" s="1"/>
  <c r="CB421" i="5" a="1"/>
  <c r="CB421" i="5" s="1"/>
  <c r="CB422" i="5" a="1"/>
  <c r="CB422" i="5" s="1"/>
  <c r="CB423" i="5" a="1"/>
  <c r="CB423" i="5" s="1"/>
  <c r="CB424" i="5" a="1"/>
  <c r="CB424" i="5"/>
  <c r="CB425" i="5" a="1"/>
  <c r="CB425" i="5" s="1"/>
  <c r="CB426" i="5" a="1"/>
  <c r="CB426" i="5"/>
  <c r="CB427" i="5" a="1"/>
  <c r="CB427" i="5" s="1"/>
  <c r="CB428" i="5" a="1"/>
  <c r="CB428" i="5" s="1"/>
  <c r="CB429" i="5" a="1"/>
  <c r="CB429" i="5" s="1"/>
  <c r="CB430" i="5" a="1"/>
  <c r="CB430" i="5" s="1"/>
  <c r="CB431" i="5" a="1"/>
  <c r="CB431" i="5" s="1"/>
  <c r="CB432" i="5" a="1"/>
  <c r="CB432" i="5" s="1"/>
  <c r="CB433" i="5" a="1"/>
  <c r="CB433" i="5" s="1"/>
  <c r="CB434" i="5" a="1"/>
  <c r="CB434" i="5" s="1"/>
  <c r="CB435" i="5" a="1"/>
  <c r="CB435" i="5" s="1"/>
  <c r="CB436" i="5" a="1"/>
  <c r="CB436" i="5" s="1"/>
  <c r="CB437" i="5" a="1"/>
  <c r="CB437" i="5" s="1"/>
  <c r="CB438" i="5" a="1"/>
  <c r="CB438" i="5" s="1"/>
  <c r="CB439" i="5" a="1"/>
  <c r="CB439" i="5" s="1"/>
  <c r="CB440" i="5" a="1"/>
  <c r="CB440" i="5"/>
  <c r="CB441" i="5" a="1"/>
  <c r="CB441" i="5" s="1"/>
  <c r="CB442" i="5" a="1"/>
  <c r="CB442" i="5" s="1"/>
  <c r="CB443" i="5" a="1"/>
  <c r="CB443" i="5" s="1"/>
  <c r="CC2" i="5" a="1"/>
  <c r="CC2" i="5" s="1"/>
  <c r="CC3" i="5" a="1"/>
  <c r="CC3" i="5" s="1"/>
  <c r="CC4" i="5" a="1"/>
  <c r="CC4" i="5"/>
  <c r="CC5" i="5" a="1"/>
  <c r="CC5" i="5" s="1"/>
  <c r="CC6" i="5" a="1"/>
  <c r="CC6" i="5" s="1"/>
  <c r="CC7" i="5" a="1"/>
  <c r="CC7" i="5" s="1"/>
  <c r="CC8" i="5" a="1"/>
  <c r="CC8" i="5" s="1"/>
  <c r="CC9" i="5" a="1"/>
  <c r="CC9" i="5"/>
  <c r="CC10" i="5" a="1"/>
  <c r="CC10" i="5" s="1"/>
  <c r="CC11" i="5" a="1"/>
  <c r="CC11" i="5" s="1"/>
  <c r="CC12" i="5" a="1"/>
  <c r="CC12" i="5"/>
  <c r="CC13" i="5" a="1"/>
  <c r="CC13" i="5" s="1"/>
  <c r="CC14" i="5" a="1"/>
  <c r="CC14" i="5" s="1"/>
  <c r="CC15" i="5" a="1"/>
  <c r="CC15" i="5" s="1"/>
  <c r="CC16" i="5" a="1"/>
  <c r="CC16" i="5" s="1"/>
  <c r="CC17" i="5" a="1"/>
  <c r="CC17" i="5" s="1"/>
  <c r="CC18" i="5" a="1"/>
  <c r="CC18" i="5" s="1"/>
  <c r="CC19" i="5" a="1"/>
  <c r="CC19" i="5" s="1"/>
  <c r="CC20" i="5" a="1"/>
  <c r="CC20" i="5" s="1"/>
  <c r="CC21" i="5" a="1"/>
  <c r="CC21" i="5" s="1"/>
  <c r="CC22" i="5" a="1"/>
  <c r="CC22" i="5" s="1"/>
  <c r="CC23" i="5" a="1"/>
  <c r="CC23" i="5" s="1"/>
  <c r="CC24" i="5" a="1"/>
  <c r="CC24" i="5" s="1"/>
  <c r="CC25" i="5" a="1"/>
  <c r="CC25" i="5" s="1"/>
  <c r="CC26" i="5" a="1"/>
  <c r="CC26" i="5"/>
  <c r="CC27" i="5" a="1"/>
  <c r="CC27" i="5" s="1"/>
  <c r="CC28" i="5" a="1"/>
  <c r="CC28" i="5" s="1"/>
  <c r="CC29" i="5" a="1"/>
  <c r="CC29" i="5" s="1"/>
  <c r="CC30" i="5" a="1"/>
  <c r="CC30" i="5" s="1"/>
  <c r="CC31" i="5" a="1"/>
  <c r="CC31" i="5" s="1"/>
  <c r="CC32" i="5" a="1"/>
  <c r="CC32" i="5" s="1"/>
  <c r="CC33" i="5" a="1"/>
  <c r="CC33" i="5" s="1"/>
  <c r="CC34" i="5" a="1"/>
  <c r="CC34" i="5" s="1"/>
  <c r="CC35" i="5" a="1"/>
  <c r="CC35" i="5" s="1"/>
  <c r="CC36" i="5" a="1"/>
  <c r="CC36" i="5" s="1"/>
  <c r="CC37" i="5" a="1"/>
  <c r="CC37" i="5"/>
  <c r="CC38" i="5" a="1"/>
  <c r="CC38" i="5" s="1"/>
  <c r="CC39" i="5" a="1"/>
  <c r="CC39" i="5" s="1"/>
  <c r="CC40" i="5" a="1"/>
  <c r="CC40" i="5" s="1"/>
  <c r="CC41" i="5" a="1"/>
  <c r="CC41" i="5" s="1"/>
  <c r="CC42" i="5" a="1"/>
  <c r="CC42" i="5" s="1"/>
  <c r="CC43" i="5" a="1"/>
  <c r="CC43" i="5" s="1"/>
  <c r="CC44" i="5" a="1"/>
  <c r="CC44" i="5" s="1"/>
  <c r="CC45" i="5" a="1"/>
  <c r="CC45" i="5" s="1"/>
  <c r="CC46" i="5" a="1"/>
  <c r="CC46" i="5" s="1"/>
  <c r="CC47" i="5" a="1"/>
  <c r="CC47" i="5" s="1"/>
  <c r="CC48" i="5" a="1"/>
  <c r="CC48" i="5" s="1"/>
  <c r="CC49" i="5" a="1"/>
  <c r="CC49" i="5" s="1"/>
  <c r="CC50" i="5" a="1"/>
  <c r="CC50" i="5" s="1"/>
  <c r="CC51" i="5" a="1"/>
  <c r="CC51" i="5" s="1"/>
  <c r="CC52" i="5" a="1"/>
  <c r="CC52" i="5" s="1"/>
  <c r="CC53" i="5" a="1"/>
  <c r="CC53" i="5" s="1"/>
  <c r="CC54" i="5" a="1"/>
  <c r="CC54" i="5" s="1"/>
  <c r="CC55" i="5" a="1"/>
  <c r="CC55" i="5" s="1"/>
  <c r="CC56" i="5" a="1"/>
  <c r="CC56" i="5"/>
  <c r="CC57" i="5" a="1"/>
  <c r="CC57" i="5" s="1"/>
  <c r="CC58" i="5" a="1"/>
  <c r="CC58" i="5" s="1"/>
  <c r="CC59" i="5" a="1"/>
  <c r="CC59" i="5"/>
  <c r="CC60" i="5" a="1"/>
  <c r="CC60" i="5" s="1"/>
  <c r="CC61" i="5" a="1"/>
  <c r="CC61" i="5" s="1"/>
  <c r="CC62" i="5" a="1"/>
  <c r="CC62" i="5" s="1"/>
  <c r="CC63" i="5" a="1"/>
  <c r="CC63" i="5" s="1"/>
  <c r="CC64" i="5" a="1"/>
  <c r="CC64" i="5" s="1"/>
  <c r="CC65" i="5" a="1"/>
  <c r="CC65" i="5" s="1"/>
  <c r="CC66" i="5" a="1"/>
  <c r="CC66" i="5" s="1"/>
  <c r="CC67" i="5" a="1"/>
  <c r="CC67" i="5" s="1"/>
  <c r="CC68" i="5" a="1"/>
  <c r="CC68" i="5" s="1"/>
  <c r="CC69" i="5" a="1"/>
  <c r="CC69" i="5" s="1"/>
  <c r="CC70" i="5" a="1"/>
  <c r="CC70" i="5" s="1"/>
  <c r="CC71" i="5" a="1"/>
  <c r="CC71" i="5" s="1"/>
  <c r="CC72" i="5" a="1"/>
  <c r="CC72" i="5" s="1"/>
  <c r="CC73" i="5" a="1"/>
  <c r="CC73" i="5"/>
  <c r="CC74" i="5" a="1"/>
  <c r="CC74" i="5" s="1"/>
  <c r="CC75" i="5" a="1"/>
  <c r="CC75" i="5" s="1"/>
  <c r="CC76" i="5" a="1"/>
  <c r="CC76" i="5" s="1"/>
  <c r="CC77" i="5" a="1"/>
  <c r="CC77" i="5" s="1"/>
  <c r="CC78" i="5" a="1"/>
  <c r="CC78" i="5" s="1"/>
  <c r="CC79" i="5" a="1"/>
  <c r="CC79" i="5" s="1"/>
  <c r="CC80" i="5" a="1"/>
  <c r="CC80" i="5" s="1"/>
  <c r="CC81" i="5" a="1"/>
  <c r="CC81" i="5" s="1"/>
  <c r="CC82" i="5" a="1"/>
  <c r="CC82" i="5" s="1"/>
  <c r="CC83" i="5" a="1"/>
  <c r="CC83" i="5" s="1"/>
  <c r="CC84" i="5" a="1"/>
  <c r="CC84" i="5"/>
  <c r="CC85" i="5" a="1"/>
  <c r="CC85" i="5" s="1"/>
  <c r="CC86" i="5" a="1"/>
  <c r="CC86" i="5"/>
  <c r="CC87" i="5" a="1"/>
  <c r="CC87" i="5"/>
  <c r="CC88" i="5" a="1"/>
  <c r="CC88" i="5" s="1"/>
  <c r="CC89" i="5" a="1"/>
  <c r="CC89" i="5"/>
  <c r="CC90" i="5" a="1"/>
  <c r="CC90" i="5" s="1"/>
  <c r="CC91" i="5" a="1"/>
  <c r="CC91" i="5" s="1"/>
  <c r="CC92" i="5" a="1"/>
  <c r="CC92" i="5" s="1"/>
  <c r="CC93" i="5" a="1"/>
  <c r="CC93" i="5"/>
  <c r="CC94" i="5" a="1"/>
  <c r="CC94" i="5" s="1"/>
  <c r="CC95" i="5" a="1"/>
  <c r="CC95" i="5" s="1"/>
  <c r="CC96" i="5" a="1"/>
  <c r="CC96" i="5" s="1"/>
  <c r="CC97" i="5" a="1"/>
  <c r="CC97" i="5" s="1"/>
  <c r="CC98" i="5" a="1"/>
  <c r="CC98" i="5"/>
  <c r="CC99" i="5" a="1"/>
  <c r="CC99" i="5" s="1"/>
  <c r="CC100" i="5" a="1"/>
  <c r="CC100" i="5" s="1"/>
  <c r="CC101" i="5" a="1"/>
  <c r="CC101" i="5"/>
  <c r="CC102" i="5" a="1"/>
  <c r="CC102" i="5" s="1"/>
  <c r="CC103" i="5" a="1"/>
  <c r="CC103" i="5" s="1"/>
  <c r="CC104" i="5" a="1"/>
  <c r="CC104" i="5" s="1"/>
  <c r="CC105" i="5" a="1"/>
  <c r="CC105" i="5" s="1"/>
  <c r="CC106" i="5" a="1"/>
  <c r="CC106" i="5" s="1"/>
  <c r="CC107" i="5" a="1"/>
  <c r="CC107" i="5" s="1"/>
  <c r="CC108" i="5" a="1"/>
  <c r="CC108" i="5" s="1"/>
  <c r="CC109" i="5" a="1"/>
  <c r="CC109" i="5"/>
  <c r="CC110" i="5" a="1"/>
  <c r="CC110" i="5" s="1"/>
  <c r="CC111" i="5" a="1"/>
  <c r="CC111" i="5" s="1"/>
  <c r="CC112" i="5" a="1"/>
  <c r="CC112" i="5" s="1"/>
  <c r="CC113" i="5" a="1"/>
  <c r="CC113" i="5" s="1"/>
  <c r="CC114" i="5" a="1"/>
  <c r="CC114" i="5" s="1"/>
  <c r="CC115" i="5" a="1"/>
  <c r="CC115" i="5" s="1"/>
  <c r="CC116" i="5" a="1"/>
  <c r="CC116" i="5" s="1"/>
  <c r="CC117" i="5" a="1"/>
  <c r="CC117" i="5" s="1"/>
  <c r="CC118" i="5" a="1"/>
  <c r="CC118" i="5" s="1"/>
  <c r="CC119" i="5" a="1"/>
  <c r="CC119" i="5" s="1"/>
  <c r="CC120" i="5" a="1"/>
  <c r="CC120" i="5" s="1"/>
  <c r="CC121" i="5" a="1"/>
  <c r="CC121" i="5" s="1"/>
  <c r="CC122" i="5" a="1"/>
  <c r="CC122" i="5" s="1"/>
  <c r="CC123" i="5" a="1"/>
  <c r="CC123" i="5" s="1"/>
  <c r="CC124" i="5" a="1"/>
  <c r="CC124" i="5" s="1"/>
  <c r="CC125" i="5" a="1"/>
  <c r="CC125" i="5" s="1"/>
  <c r="CC126" i="5" a="1"/>
  <c r="CC126" i="5" s="1"/>
  <c r="CC127" i="5" a="1"/>
  <c r="CC127" i="5" s="1"/>
  <c r="CC128" i="5" a="1"/>
  <c r="CC128" i="5" s="1"/>
  <c r="CC129" i="5" a="1"/>
  <c r="CC129" i="5" s="1"/>
  <c r="CC130" i="5" a="1"/>
  <c r="CC130" i="5" s="1"/>
  <c r="CC131" i="5" a="1"/>
  <c r="CC131" i="5" s="1"/>
  <c r="CC132" i="5" a="1"/>
  <c r="CC132" i="5" s="1"/>
  <c r="CC133" i="5" a="1"/>
  <c r="CC133" i="5" s="1"/>
  <c r="CC134" i="5" a="1"/>
  <c r="CC134" i="5" s="1"/>
  <c r="CC135" i="5" a="1"/>
  <c r="CC135" i="5" s="1"/>
  <c r="CC136" i="5" a="1"/>
  <c r="CC136" i="5" s="1"/>
  <c r="CC137" i="5" a="1"/>
  <c r="CC137" i="5"/>
  <c r="CC138" i="5" a="1"/>
  <c r="CC138" i="5" s="1"/>
  <c r="CC139" i="5" a="1"/>
  <c r="CC139" i="5" s="1"/>
  <c r="CC140" i="5" a="1"/>
  <c r="CC140" i="5" s="1"/>
  <c r="CC141" i="5" a="1"/>
  <c r="CC141" i="5" s="1"/>
  <c r="CC142" i="5" a="1"/>
  <c r="CC142" i="5" s="1"/>
  <c r="CC143" i="5" a="1"/>
  <c r="CC143" i="5" s="1"/>
  <c r="CC144" i="5" a="1"/>
  <c r="CC144" i="5" s="1"/>
  <c r="CC145" i="5" a="1"/>
  <c r="CC145" i="5" s="1"/>
  <c r="CC146" i="5" a="1"/>
  <c r="CC146" i="5" s="1"/>
  <c r="CC147" i="5" a="1"/>
  <c r="CC147" i="5" s="1"/>
  <c r="CC148" i="5" a="1"/>
  <c r="CC148" i="5"/>
  <c r="CC149" i="5" a="1"/>
  <c r="CC149" i="5" s="1"/>
  <c r="CC150" i="5" a="1"/>
  <c r="CC150" i="5" s="1"/>
  <c r="CC151" i="5" a="1"/>
  <c r="CC151" i="5"/>
  <c r="CC152" i="5" a="1"/>
  <c r="CC152" i="5" s="1"/>
  <c r="CC153" i="5" a="1"/>
  <c r="CC153" i="5"/>
  <c r="CC154" i="5" a="1"/>
  <c r="CC154" i="5" s="1"/>
  <c r="CC155" i="5" a="1"/>
  <c r="CC155" i="5" s="1"/>
  <c r="CC156" i="5" a="1"/>
  <c r="CC156" i="5" s="1"/>
  <c r="CC157" i="5" a="1"/>
  <c r="CC157" i="5" s="1"/>
  <c r="CC158" i="5" a="1"/>
  <c r="CC158" i="5" s="1"/>
  <c r="CC159" i="5" a="1"/>
  <c r="CC159" i="5" s="1"/>
  <c r="CC160" i="5" a="1"/>
  <c r="CC160" i="5" s="1"/>
  <c r="CC161" i="5" a="1"/>
  <c r="CC161" i="5" s="1"/>
  <c r="CC162" i="5" a="1"/>
  <c r="CC162" i="5" s="1"/>
  <c r="CO205" i="5" s="1" a="1"/>
  <c r="CO205" i="5" s="1"/>
  <c r="CC163" i="5" a="1"/>
  <c r="CC163" i="5" s="1"/>
  <c r="CC164" i="5" a="1"/>
  <c r="CC164" i="5"/>
  <c r="CC165" i="5" a="1"/>
  <c r="CC165" i="5" s="1"/>
  <c r="CC166" i="5" a="1"/>
  <c r="CC166" i="5" s="1"/>
  <c r="CC167" i="5" a="1"/>
  <c r="CC167" i="5" s="1"/>
  <c r="CC168" i="5" a="1"/>
  <c r="CC168" i="5" s="1"/>
  <c r="CC169" i="5" a="1"/>
  <c r="CC169" i="5" s="1"/>
  <c r="CC170" i="5" a="1"/>
  <c r="CC170" i="5" s="1"/>
  <c r="CC171" i="5" a="1"/>
  <c r="CC171" i="5" s="1"/>
  <c r="CC172" i="5" a="1"/>
  <c r="CC172" i="5" s="1"/>
  <c r="CC173" i="5" a="1"/>
  <c r="CC173" i="5"/>
  <c r="CC174" i="5" a="1"/>
  <c r="CC174" i="5" s="1"/>
  <c r="CC175" i="5" a="1"/>
  <c r="CC175" i="5" s="1"/>
  <c r="CC176" i="5" a="1"/>
  <c r="CC176" i="5"/>
  <c r="CC177" i="5" a="1"/>
  <c r="CC177" i="5" s="1"/>
  <c r="CC178" i="5" a="1"/>
  <c r="CC178" i="5" s="1"/>
  <c r="CC179" i="5" a="1"/>
  <c r="CC179" i="5" s="1"/>
  <c r="CC180" i="5" a="1"/>
  <c r="CC180" i="5" s="1"/>
  <c r="CC181" i="5" a="1"/>
  <c r="CC181" i="5"/>
  <c r="CC182" i="5" a="1"/>
  <c r="CC182" i="5" s="1"/>
  <c r="CC183" i="5" a="1"/>
  <c r="CC183" i="5" s="1"/>
  <c r="CC184" i="5" a="1"/>
  <c r="CC184" i="5"/>
  <c r="CC185" i="5" a="1"/>
  <c r="CC185" i="5" s="1"/>
  <c r="CC186" i="5" a="1"/>
  <c r="CC186" i="5" s="1"/>
  <c r="CC187" i="5" a="1"/>
  <c r="CC187" i="5"/>
  <c r="CC188" i="5" a="1"/>
  <c r="CC188" i="5" s="1"/>
  <c r="CC189" i="5" a="1"/>
  <c r="CC189" i="5" s="1"/>
  <c r="CC190" i="5" a="1"/>
  <c r="CC190" i="5" s="1"/>
  <c r="CC191" i="5" a="1"/>
  <c r="CC191" i="5" s="1"/>
  <c r="CC192" i="5" a="1"/>
  <c r="CC192" i="5"/>
  <c r="CC193" i="5" a="1"/>
  <c r="CC193" i="5" s="1"/>
  <c r="CC194" i="5" a="1"/>
  <c r="CC194" i="5" s="1"/>
  <c r="CC195" i="5" a="1"/>
  <c r="CC195" i="5" s="1"/>
  <c r="CC196" i="5" a="1"/>
  <c r="CC196" i="5" s="1"/>
  <c r="CC197" i="5" a="1"/>
  <c r="CC197" i="5" s="1"/>
  <c r="CC198" i="5" a="1"/>
  <c r="CC198" i="5" s="1"/>
  <c r="CC199" i="5" a="1"/>
  <c r="CC199" i="5" s="1"/>
  <c r="CC200" i="5" a="1"/>
  <c r="CC200" i="5" s="1"/>
  <c r="CC201" i="5" a="1"/>
  <c r="CC201" i="5" s="1"/>
  <c r="CC202" i="5" a="1"/>
  <c r="CC202" i="5" s="1"/>
  <c r="CC203" i="5" a="1"/>
  <c r="CC203" i="5" s="1"/>
  <c r="CC204" i="5" a="1"/>
  <c r="CC204" i="5"/>
  <c r="CC205" i="5" a="1"/>
  <c r="CC205" i="5" s="1"/>
  <c r="CC206" i="5" a="1"/>
  <c r="CC206" i="5" s="1"/>
  <c r="CC207" i="5" a="1"/>
  <c r="CC207" i="5" s="1"/>
  <c r="CC208" i="5" a="1"/>
  <c r="CC208" i="5" s="1"/>
  <c r="CC209" i="5" a="1"/>
  <c r="CC209" i="5"/>
  <c r="CC210" i="5" a="1"/>
  <c r="CC210" i="5" s="1"/>
  <c r="CC211" i="5" a="1"/>
  <c r="CC211" i="5" s="1"/>
  <c r="CC212" i="5" a="1"/>
  <c r="CC212" i="5"/>
  <c r="CC213" i="5" a="1"/>
  <c r="CC213" i="5" s="1"/>
  <c r="CC214" i="5" a="1"/>
  <c r="CC214" i="5" s="1"/>
  <c r="CC215" i="5" a="1"/>
  <c r="CC215" i="5" s="1"/>
  <c r="CC216" i="5" a="1"/>
  <c r="CC216" i="5" s="1"/>
  <c r="CC217" i="5" a="1"/>
  <c r="CC217" i="5" s="1"/>
  <c r="CC218" i="5" a="1"/>
  <c r="CC218" i="5" s="1"/>
  <c r="CC219" i="5" a="1"/>
  <c r="CC219" i="5" s="1"/>
  <c r="CC220" i="5" a="1"/>
  <c r="CC220" i="5" s="1"/>
  <c r="CC221" i="5" a="1"/>
  <c r="CC221" i="5" s="1"/>
  <c r="CC222" i="5" a="1"/>
  <c r="CC222" i="5" s="1"/>
  <c r="CC223" i="5" a="1"/>
  <c r="CC223" i="5" s="1"/>
  <c r="CC224" i="5" a="1"/>
  <c r="CC224" i="5" s="1"/>
  <c r="CC225" i="5" a="1"/>
  <c r="CC225" i="5" s="1"/>
  <c r="CC226" i="5" a="1"/>
  <c r="CC226" i="5" s="1"/>
  <c r="CC227" i="5" a="1"/>
  <c r="CC227" i="5" s="1"/>
  <c r="CC228" i="5" a="1"/>
  <c r="CC228" i="5" s="1"/>
  <c r="CC229" i="5" a="1"/>
  <c r="CC229" i="5" s="1"/>
  <c r="CC230" i="5" a="1"/>
  <c r="CC230" i="5" s="1"/>
  <c r="CC231" i="5" a="1"/>
  <c r="CC231" i="5" s="1"/>
  <c r="CC232" i="5" a="1"/>
  <c r="CC232" i="5"/>
  <c r="CC233" i="5" a="1"/>
  <c r="CC233" i="5" s="1"/>
  <c r="CC234" i="5" a="1"/>
  <c r="CC234" i="5" s="1"/>
  <c r="CC235" i="5" a="1"/>
  <c r="CC235" i="5" s="1"/>
  <c r="CC236" i="5" a="1"/>
  <c r="CC236" i="5" s="1"/>
  <c r="CC237" i="5" a="1"/>
  <c r="CC237" i="5" s="1"/>
  <c r="CC238" i="5" a="1"/>
  <c r="CC238" i="5" s="1"/>
  <c r="CC239" i="5" a="1"/>
  <c r="CC239" i="5" s="1"/>
  <c r="CC240" i="5" a="1"/>
  <c r="CC240" i="5" s="1"/>
  <c r="CC241" i="5" a="1"/>
  <c r="CC241" i="5" s="1"/>
  <c r="CC242" i="5" a="1"/>
  <c r="CC242" i="5" s="1"/>
  <c r="CC243" i="5" a="1"/>
  <c r="CC243" i="5" s="1"/>
  <c r="CC244" i="5" a="1"/>
  <c r="CC244" i="5" s="1"/>
  <c r="CC245" i="5" a="1"/>
  <c r="CC245" i="5" s="1"/>
  <c r="CC246" i="5" a="1"/>
  <c r="CC246" i="5" s="1"/>
  <c r="CC247" i="5" a="1"/>
  <c r="CC247" i="5" s="1"/>
  <c r="CC248" i="5" a="1"/>
  <c r="CC248" i="5"/>
  <c r="CC249" i="5" a="1"/>
  <c r="CC249" i="5" s="1"/>
  <c r="CC250" i="5" a="1"/>
  <c r="CC250" i="5" s="1"/>
  <c r="CC251" i="5" a="1"/>
  <c r="CC251" i="5" s="1"/>
  <c r="CC252" i="5" a="1"/>
  <c r="CC252" i="5" s="1"/>
  <c r="CC253" i="5" a="1"/>
  <c r="CC253" i="5" s="1"/>
  <c r="CC254" i="5" a="1"/>
  <c r="CC254" i="5"/>
  <c r="CC255" i="5" a="1"/>
  <c r="CC255" i="5" s="1"/>
  <c r="CC256" i="5" a="1"/>
  <c r="CC256" i="5" s="1"/>
  <c r="CC257" i="5" a="1"/>
  <c r="CC257" i="5" s="1"/>
  <c r="CC258" i="5" a="1"/>
  <c r="CC258" i="5" s="1"/>
  <c r="CC259" i="5" a="1"/>
  <c r="CC259" i="5"/>
  <c r="CC260" i="5" a="1"/>
  <c r="CC260" i="5" s="1"/>
  <c r="CC261" i="5" a="1"/>
  <c r="CC261" i="5" s="1"/>
  <c r="CC262" i="5" a="1"/>
  <c r="CC262" i="5"/>
  <c r="CC263" i="5" a="1"/>
  <c r="CC263" i="5" s="1"/>
  <c r="CC264" i="5" a="1"/>
  <c r="CC264" i="5" s="1"/>
  <c r="CC265" i="5" a="1"/>
  <c r="CC265" i="5" s="1"/>
  <c r="CC266" i="5" a="1"/>
  <c r="CC266" i="5" s="1"/>
  <c r="CC267" i="5" a="1"/>
  <c r="CC267" i="5" s="1"/>
  <c r="CC268" i="5" a="1"/>
  <c r="CC268" i="5" s="1"/>
  <c r="CC269" i="5" a="1"/>
  <c r="CC269" i="5" s="1"/>
  <c r="CC270" i="5" a="1"/>
  <c r="CC270" i="5" s="1"/>
  <c r="CC271" i="5" a="1"/>
  <c r="CC271" i="5" s="1"/>
  <c r="CC272" i="5" a="1"/>
  <c r="CC272" i="5" s="1"/>
  <c r="CC273" i="5" a="1"/>
  <c r="CC273" i="5" s="1"/>
  <c r="CC274" i="5" a="1"/>
  <c r="CC274" i="5" s="1"/>
  <c r="CC275" i="5" a="1"/>
  <c r="CC275" i="5" s="1"/>
  <c r="CC276" i="5" a="1"/>
  <c r="CC276" i="5" s="1"/>
  <c r="CC277" i="5" a="1"/>
  <c r="CC277" i="5" s="1"/>
  <c r="CC278" i="5" a="1"/>
  <c r="CC278" i="5" s="1"/>
  <c r="CC279" i="5" a="1"/>
  <c r="CC279" i="5" s="1"/>
  <c r="CC280" i="5" a="1"/>
  <c r="CC280" i="5" s="1"/>
  <c r="CC281" i="5" a="1"/>
  <c r="CC281" i="5" s="1"/>
  <c r="CC282" i="5" a="1"/>
  <c r="CC282" i="5" s="1"/>
  <c r="CC283" i="5" a="1"/>
  <c r="CC283" i="5" s="1"/>
  <c r="CC284" i="5" a="1"/>
  <c r="CC284" i="5" s="1"/>
  <c r="CC285" i="5" a="1"/>
  <c r="CC285" i="5" s="1"/>
  <c r="CC286" i="5" a="1"/>
  <c r="CC286" i="5" s="1"/>
  <c r="CC287" i="5" a="1"/>
  <c r="CC287" i="5"/>
  <c r="CC288" i="5" a="1"/>
  <c r="CC288" i="5" s="1"/>
  <c r="CC289" i="5" a="1"/>
  <c r="CC289" i="5" s="1"/>
  <c r="CC290" i="5" a="1"/>
  <c r="CC290" i="5" s="1"/>
  <c r="CC291" i="5" a="1"/>
  <c r="CC291" i="5" s="1"/>
  <c r="CC292" i="5" a="1"/>
  <c r="CC292" i="5" s="1"/>
  <c r="CC293" i="5" a="1"/>
  <c r="CC293" i="5" s="1"/>
  <c r="CC294" i="5" a="1"/>
  <c r="CC294" i="5" s="1"/>
  <c r="CC295" i="5" a="1"/>
  <c r="CC295" i="5" s="1"/>
  <c r="CC296" i="5" a="1"/>
  <c r="CC296" i="5" s="1"/>
  <c r="CC297" i="5" a="1"/>
  <c r="CC297" i="5" s="1"/>
  <c r="CC298" i="5" a="1"/>
  <c r="CC298" i="5" s="1"/>
  <c r="CC299" i="5" a="1"/>
  <c r="CC299" i="5" s="1"/>
  <c r="CC300" i="5" a="1"/>
  <c r="CC300" i="5" s="1"/>
  <c r="CC301" i="5" a="1"/>
  <c r="CC301" i="5" s="1"/>
  <c r="CC302" i="5" a="1"/>
  <c r="CC302" i="5" s="1"/>
  <c r="CC303" i="5" a="1"/>
  <c r="CC303" i="5" s="1"/>
  <c r="CC304" i="5" a="1"/>
  <c r="CC304" i="5" s="1"/>
  <c r="CC305" i="5" a="1"/>
  <c r="CC305" i="5" s="1"/>
  <c r="CC306" i="5" a="1"/>
  <c r="CC306" i="5" s="1"/>
  <c r="CC307" i="5" a="1"/>
  <c r="CC307" i="5"/>
  <c r="CC308" i="5" a="1"/>
  <c r="CC308" i="5" s="1"/>
  <c r="CC309" i="5" a="1"/>
  <c r="CC309" i="5"/>
  <c r="CC310" i="5" a="1"/>
  <c r="CC310" i="5" s="1"/>
  <c r="CC311" i="5" a="1"/>
  <c r="CC311" i="5" s="1"/>
  <c r="CC312" i="5" a="1"/>
  <c r="CC312" i="5"/>
  <c r="CC313" i="5" a="1"/>
  <c r="CC313" i="5" s="1"/>
  <c r="CC314" i="5" a="1"/>
  <c r="CC314" i="5"/>
  <c r="CC315" i="5" a="1"/>
  <c r="CC315" i="5" s="1"/>
  <c r="CC316" i="5" a="1"/>
  <c r="CC316" i="5" s="1"/>
  <c r="CC317" i="5" a="1"/>
  <c r="CC317" i="5" s="1"/>
  <c r="CC318" i="5" a="1"/>
  <c r="CC318" i="5" s="1"/>
  <c r="CC319" i="5" a="1"/>
  <c r="CC319" i="5" s="1"/>
  <c r="CC320" i="5" a="1"/>
  <c r="CC320" i="5" s="1"/>
  <c r="CC321" i="5" a="1"/>
  <c r="CC321" i="5"/>
  <c r="CC322" i="5" a="1"/>
  <c r="CC322" i="5" s="1"/>
  <c r="CC323" i="5" a="1"/>
  <c r="CC323" i="5" s="1"/>
  <c r="CC324" i="5" a="1"/>
  <c r="CC324" i="5" s="1"/>
  <c r="CC325" i="5" a="1"/>
  <c r="CC325" i="5" s="1"/>
  <c r="CC326" i="5" a="1"/>
  <c r="CC326" i="5"/>
  <c r="CC327" i="5" a="1"/>
  <c r="CC327" i="5" s="1"/>
  <c r="CC328" i="5" a="1"/>
  <c r="CC328" i="5" s="1"/>
  <c r="CC329" i="5" a="1"/>
  <c r="CC329" i="5"/>
  <c r="CC330" i="5" a="1"/>
  <c r="CC330" i="5" s="1"/>
  <c r="CC331" i="5" a="1"/>
  <c r="CC331" i="5" s="1"/>
  <c r="CC332" i="5" a="1"/>
  <c r="CC332" i="5"/>
  <c r="CC333" i="5" a="1"/>
  <c r="CC333" i="5" s="1"/>
  <c r="CC334" i="5" a="1"/>
  <c r="CC334" i="5"/>
  <c r="CC335" i="5" a="1"/>
  <c r="CC335" i="5" s="1"/>
  <c r="CC336" i="5" a="1"/>
  <c r="CC336" i="5"/>
  <c r="CC337" i="5" a="1"/>
  <c r="CC337" i="5" s="1"/>
  <c r="CC338" i="5" a="1"/>
  <c r="CC338" i="5" s="1"/>
  <c r="CC339" i="5" a="1"/>
  <c r="CC339" i="5" s="1"/>
  <c r="CC340" i="5" a="1"/>
  <c r="CC340" i="5" s="1"/>
  <c r="CC341" i="5" a="1"/>
  <c r="CC341" i="5" s="1"/>
  <c r="CC342" i="5" a="1"/>
  <c r="CC342" i="5" s="1"/>
  <c r="CC343" i="5" a="1"/>
  <c r="CC343" i="5"/>
  <c r="CC344" i="5" a="1"/>
  <c r="CC344" i="5" s="1"/>
  <c r="CC345" i="5" a="1"/>
  <c r="CC345" i="5" s="1"/>
  <c r="CC346" i="5" a="1"/>
  <c r="CC346" i="5"/>
  <c r="CC347" i="5" a="1"/>
  <c r="CC347" i="5" s="1"/>
  <c r="CC348" i="5" a="1"/>
  <c r="CC348" i="5"/>
  <c r="CC349" i="5" a="1"/>
  <c r="CC349" i="5" s="1"/>
  <c r="CC350" i="5" a="1"/>
  <c r="CC350" i="5" s="1"/>
  <c r="CC351" i="5" a="1"/>
  <c r="CC351" i="5" s="1"/>
  <c r="CC352" i="5" a="1"/>
  <c r="CC352" i="5" s="1"/>
  <c r="CC353" i="5" a="1"/>
  <c r="CC353" i="5" s="1"/>
  <c r="CC354" i="5" a="1"/>
  <c r="CC354" i="5" s="1"/>
  <c r="CC355" i="5" a="1"/>
  <c r="CC355" i="5" s="1"/>
  <c r="CC356" i="5" a="1"/>
  <c r="CC356" i="5" s="1"/>
  <c r="CC357" i="5" a="1"/>
  <c r="CC357" i="5" s="1"/>
  <c r="CC358" i="5" a="1"/>
  <c r="CC358" i="5" s="1"/>
  <c r="CC359" i="5" a="1"/>
  <c r="CC359" i="5" s="1"/>
  <c r="CC360" i="5" a="1"/>
  <c r="CC360" i="5" s="1"/>
  <c r="CC361" i="5" a="1"/>
  <c r="CC361" i="5" s="1"/>
  <c r="CC362" i="5" a="1"/>
  <c r="CC362" i="5" s="1"/>
  <c r="CC363" i="5" a="1"/>
  <c r="CC363" i="5" s="1"/>
  <c r="CC364" i="5" a="1"/>
  <c r="CC364" i="5" s="1"/>
  <c r="CC365" i="5" a="1"/>
  <c r="CC365" i="5" s="1"/>
  <c r="CC366" i="5" a="1"/>
  <c r="CC366" i="5" s="1"/>
  <c r="CC367" i="5" a="1"/>
  <c r="CC367" i="5" s="1"/>
  <c r="CC368" i="5" a="1"/>
  <c r="CC368" i="5"/>
  <c r="CC369" i="5" a="1"/>
  <c r="CC369" i="5" s="1"/>
  <c r="CC370" i="5" a="1"/>
  <c r="CC370" i="5" s="1"/>
  <c r="CC371" i="5" a="1"/>
  <c r="CC371" i="5" s="1"/>
  <c r="CC372" i="5" a="1"/>
  <c r="CC372" i="5" s="1"/>
  <c r="CC373" i="5" a="1"/>
  <c r="CC373" i="5" s="1"/>
  <c r="CC374" i="5" a="1"/>
  <c r="CC374" i="5" s="1"/>
  <c r="CC375" i="5" a="1"/>
  <c r="CC375" i="5" s="1"/>
  <c r="CC376" i="5" a="1"/>
  <c r="CC376" i="5" s="1"/>
  <c r="CC377" i="5" a="1"/>
  <c r="CC377" i="5" s="1"/>
  <c r="CC378" i="5" a="1"/>
  <c r="CC378" i="5" s="1"/>
  <c r="CC379" i="5" a="1"/>
  <c r="CC379" i="5"/>
  <c r="CC380" i="5" a="1"/>
  <c r="CC380" i="5" s="1"/>
  <c r="CC381" i="5" a="1"/>
  <c r="CC381" i="5" s="1"/>
  <c r="CC382" i="5" a="1"/>
  <c r="CC382" i="5"/>
  <c r="CC383" i="5" a="1"/>
  <c r="CC383" i="5" s="1"/>
  <c r="CC384" i="5" a="1"/>
  <c r="CC384" i="5"/>
  <c r="CC385" i="5" a="1"/>
  <c r="CC385" i="5" s="1"/>
  <c r="CC386" i="5" a="1"/>
  <c r="CC386" i="5"/>
  <c r="CC387" i="5" a="1"/>
  <c r="CC387" i="5" s="1"/>
  <c r="CC388" i="5" a="1"/>
  <c r="CC388" i="5" s="1"/>
  <c r="CC389" i="5" a="1"/>
  <c r="CC389" i="5"/>
  <c r="CC390" i="5" a="1"/>
  <c r="CC390" i="5" s="1"/>
  <c r="CC391" i="5" a="1"/>
  <c r="CC391" i="5" s="1"/>
  <c r="CC392" i="5" a="1"/>
  <c r="CC392" i="5" s="1"/>
  <c r="CC393" i="5" a="1"/>
  <c r="CC393" i="5" s="1"/>
  <c r="CC394" i="5" a="1"/>
  <c r="CC394" i="5" s="1"/>
  <c r="CC395" i="5" a="1"/>
  <c r="CC395" i="5" s="1"/>
  <c r="CC396" i="5" a="1"/>
  <c r="CC396" i="5" s="1"/>
  <c r="CC397" i="5" a="1"/>
  <c r="CC397" i="5"/>
  <c r="CC398" i="5" a="1"/>
  <c r="CC398" i="5" s="1"/>
  <c r="CC399" i="5" a="1"/>
  <c r="CC399" i="5" s="1"/>
  <c r="CC400" i="5" a="1"/>
  <c r="CC400" i="5" s="1"/>
  <c r="CC401" i="5" a="1"/>
  <c r="CC401" i="5"/>
  <c r="CC402" i="5" a="1"/>
  <c r="CC402" i="5" s="1"/>
  <c r="CC403" i="5" a="1"/>
  <c r="CC403" i="5" s="1"/>
  <c r="CC404" i="5" a="1"/>
  <c r="CC404" i="5" s="1"/>
  <c r="CC405" i="5" a="1"/>
  <c r="CC405" i="5" s="1"/>
  <c r="CC406" i="5" a="1"/>
  <c r="CC406" i="5" s="1"/>
  <c r="CC407" i="5" a="1"/>
  <c r="CC407" i="5" s="1"/>
  <c r="CC408" i="5" a="1"/>
  <c r="CC408" i="5"/>
  <c r="CC409" i="5" a="1"/>
  <c r="CC409" i="5"/>
  <c r="CC410" i="5" a="1"/>
  <c r="CC410" i="5" s="1"/>
  <c r="CC411" i="5" a="1"/>
  <c r="CC411" i="5" s="1"/>
  <c r="CC412" i="5" a="1"/>
  <c r="CC412" i="5"/>
  <c r="CC413" i="5" a="1"/>
  <c r="CC413" i="5" s="1"/>
  <c r="CC414" i="5" a="1"/>
  <c r="CC414" i="5" s="1"/>
  <c r="CC415" i="5" a="1"/>
  <c r="CC415" i="5" s="1"/>
  <c r="CC416" i="5" a="1"/>
  <c r="CC416" i="5" s="1"/>
  <c r="CC417" i="5" a="1"/>
  <c r="CC417" i="5" s="1"/>
  <c r="CC418" i="5" a="1"/>
  <c r="CC418" i="5" s="1"/>
  <c r="CC419" i="5" a="1"/>
  <c r="CC419" i="5" s="1"/>
  <c r="CC420" i="5" a="1"/>
  <c r="CC420" i="5" s="1"/>
  <c r="CC421" i="5" a="1"/>
  <c r="CC421" i="5" s="1"/>
  <c r="CC422" i="5" a="1"/>
  <c r="CC422" i="5" s="1"/>
  <c r="CC423" i="5" a="1"/>
  <c r="CC423" i="5" s="1"/>
  <c r="CC424" i="5" a="1"/>
  <c r="CC424" i="5" s="1"/>
  <c r="CC425" i="5" a="1"/>
  <c r="CC425" i="5" s="1"/>
  <c r="CC426" i="5" a="1"/>
  <c r="CC426" i="5" s="1"/>
  <c r="CC427" i="5" a="1"/>
  <c r="CC427" i="5" s="1"/>
  <c r="CC428" i="5" a="1"/>
  <c r="CC428" i="5" s="1"/>
  <c r="CC429" i="5" a="1"/>
  <c r="CC429" i="5" s="1"/>
  <c r="CC430" i="5" a="1"/>
  <c r="CC430" i="5" s="1"/>
  <c r="CC431" i="5" a="1"/>
  <c r="CC431" i="5" s="1"/>
  <c r="CC432" i="5" a="1"/>
  <c r="CC432" i="5"/>
  <c r="CC433" i="5" a="1"/>
  <c r="CC433" i="5" s="1"/>
  <c r="CC434" i="5" a="1"/>
  <c r="CC434" i="5" s="1"/>
  <c r="CC435" i="5" a="1"/>
  <c r="CC435" i="5" s="1"/>
  <c r="CC436" i="5" a="1"/>
  <c r="CC436" i="5"/>
  <c r="CC437" i="5" a="1"/>
  <c r="CC437" i="5" s="1"/>
  <c r="CC438" i="5" a="1"/>
  <c r="CC438" i="5" s="1"/>
  <c r="CC439" i="5" a="1"/>
  <c r="CC439" i="5" s="1"/>
  <c r="CC440" i="5" a="1"/>
  <c r="CC440" i="5" s="1"/>
  <c r="CC441" i="5" a="1"/>
  <c r="CC441" i="5" s="1"/>
  <c r="CC442" i="5" a="1"/>
  <c r="CC442" i="5" s="1"/>
  <c r="CC443" i="5" a="1"/>
  <c r="CC443" i="5" s="1"/>
  <c r="CD2" i="5" a="1"/>
  <c r="CD2" i="5" s="1"/>
  <c r="CD3" i="5" a="1"/>
  <c r="CD3" i="5" s="1"/>
  <c r="CD4" i="5" a="1"/>
  <c r="CD4" i="5" s="1"/>
  <c r="CD5" i="5" a="1"/>
  <c r="CD5" i="5" s="1"/>
  <c r="CD6" i="5" a="1"/>
  <c r="CD6" i="5" s="1"/>
  <c r="CD7" i="5" a="1"/>
  <c r="CD7" i="5" s="1"/>
  <c r="CH7" i="5" s="1"/>
  <c r="CD8" i="5" a="1"/>
  <c r="CD8" i="5" s="1"/>
  <c r="CD9" i="5" a="1"/>
  <c r="CD9" i="5" s="1"/>
  <c r="CD10" i="5" a="1"/>
  <c r="CD10" i="5" s="1"/>
  <c r="CD11" i="5" a="1"/>
  <c r="CD11" i="5" s="1"/>
  <c r="CD12" i="5" a="1"/>
  <c r="CD12" i="5" s="1"/>
  <c r="CD13" i="5" a="1"/>
  <c r="CD13" i="5" s="1"/>
  <c r="CD14" i="5" a="1"/>
  <c r="CD14" i="5" s="1"/>
  <c r="CD15" i="5" a="1"/>
  <c r="CD15" i="5" s="1"/>
  <c r="CH15" i="5" s="1"/>
  <c r="CD16" i="5" a="1"/>
  <c r="CD16" i="5" s="1"/>
  <c r="CD17" i="5" a="1"/>
  <c r="CD17" i="5"/>
  <c r="CD18" i="5" a="1"/>
  <c r="CD18" i="5" s="1"/>
  <c r="CD19" i="5" a="1"/>
  <c r="CD19" i="5" s="1"/>
  <c r="CD20" i="5" a="1"/>
  <c r="CD20" i="5"/>
  <c r="CD21" i="5" a="1"/>
  <c r="CD21" i="5" s="1"/>
  <c r="CD22" i="5" a="1"/>
  <c r="CD22" i="5" s="1"/>
  <c r="CD23" i="5" a="1"/>
  <c r="CD23" i="5" s="1"/>
  <c r="CD24" i="5" a="1"/>
  <c r="CD24" i="5" s="1"/>
  <c r="CD25" i="5" a="1"/>
  <c r="CD25" i="5" s="1"/>
  <c r="CD26" i="5" a="1"/>
  <c r="CD26" i="5" s="1"/>
  <c r="CD27" i="5" a="1"/>
  <c r="CD27" i="5" s="1"/>
  <c r="CD28" i="5" a="1"/>
  <c r="CD28" i="5" s="1"/>
  <c r="CD29" i="5" a="1"/>
  <c r="CD29" i="5" s="1"/>
  <c r="CD30" i="5" a="1"/>
  <c r="CD30" i="5" s="1"/>
  <c r="CD31" i="5" a="1"/>
  <c r="CD31" i="5" s="1"/>
  <c r="CD32" i="5" a="1"/>
  <c r="CD32" i="5" s="1"/>
  <c r="CD33" i="5" a="1"/>
  <c r="CD33" i="5" s="1"/>
  <c r="CD34" i="5" a="1"/>
  <c r="CD34" i="5" s="1"/>
  <c r="CD35" i="5" a="1"/>
  <c r="CD35" i="5" s="1"/>
  <c r="CD36" i="5" a="1"/>
  <c r="CD36" i="5" s="1"/>
  <c r="CH36" i="5" s="1"/>
  <c r="CD37" i="5" a="1"/>
  <c r="CD37" i="5" s="1"/>
  <c r="CD38" i="5" a="1"/>
  <c r="CD38" i="5" s="1"/>
  <c r="CD39" i="5" a="1"/>
  <c r="CD39" i="5" s="1"/>
  <c r="CD40" i="5" a="1"/>
  <c r="CD40" i="5"/>
  <c r="CD41" i="5" a="1"/>
  <c r="CD41" i="5" s="1"/>
  <c r="CD42" i="5" a="1"/>
  <c r="CD42" i="5"/>
  <c r="CD43" i="5" a="1"/>
  <c r="CD43" i="5" s="1"/>
  <c r="CH43" i="5" s="1"/>
  <c r="CD44" i="5" a="1"/>
  <c r="CD44" i="5"/>
  <c r="CD45" i="5" a="1"/>
  <c r="CD45" i="5" s="1"/>
  <c r="CD46" i="5" a="1"/>
  <c r="CD46" i="5" s="1"/>
  <c r="CD47" i="5" a="1"/>
  <c r="CD47" i="5"/>
  <c r="CD48" i="5" a="1"/>
  <c r="CD48" i="5" s="1"/>
  <c r="CD49" i="5" a="1"/>
  <c r="CD49" i="5" s="1"/>
  <c r="CD50" i="5" a="1"/>
  <c r="CD50" i="5" s="1"/>
  <c r="CD51" i="5" a="1"/>
  <c r="CD51" i="5"/>
  <c r="CD52" i="5" a="1"/>
  <c r="CD52" i="5" s="1"/>
  <c r="CD53" i="5" a="1"/>
  <c r="CD53" i="5" s="1"/>
  <c r="CD54" i="5" a="1"/>
  <c r="CD54" i="5" s="1"/>
  <c r="CD55" i="5" a="1"/>
  <c r="CD55" i="5"/>
  <c r="CD56" i="5" a="1"/>
  <c r="CD56" i="5" s="1"/>
  <c r="CD57" i="5" a="1"/>
  <c r="CD57" i="5" s="1"/>
  <c r="CH57" i="5" s="1"/>
  <c r="CD58" i="5" a="1"/>
  <c r="CD58" i="5" s="1"/>
  <c r="CD59" i="5" a="1"/>
  <c r="CD59" i="5" s="1"/>
  <c r="CH59" i="5" s="1"/>
  <c r="CD60" i="5" a="1"/>
  <c r="CD60" i="5" s="1"/>
  <c r="CD61" i="5" a="1"/>
  <c r="CD61" i="5" s="1"/>
  <c r="CD62" i="5" a="1"/>
  <c r="CD62" i="5"/>
  <c r="CD63" i="5" a="1"/>
  <c r="CD63" i="5" s="1"/>
  <c r="CD64" i="5" a="1"/>
  <c r="CD64" i="5"/>
  <c r="CH64" i="5" s="1"/>
  <c r="CD65" i="5" a="1"/>
  <c r="CD65" i="5" s="1"/>
  <c r="CD66" i="5" a="1"/>
  <c r="CD66" i="5" s="1"/>
  <c r="CD67" i="5" a="1"/>
  <c r="CD67" i="5"/>
  <c r="CD68" i="5" a="1"/>
  <c r="CD68" i="5" s="1"/>
  <c r="CD69" i="5" a="1"/>
  <c r="CD69" i="5" s="1"/>
  <c r="CD70" i="5" a="1"/>
  <c r="CD70" i="5" s="1"/>
  <c r="CD71" i="5" a="1"/>
  <c r="CD71" i="5" s="1"/>
  <c r="CD72" i="5" a="1"/>
  <c r="CD72" i="5" s="1"/>
  <c r="CD73" i="5" a="1"/>
  <c r="CD73" i="5" s="1"/>
  <c r="CD74" i="5" a="1"/>
  <c r="CD74" i="5" s="1"/>
  <c r="CD75" i="5" a="1"/>
  <c r="CD75" i="5" s="1"/>
  <c r="CD76" i="5" a="1"/>
  <c r="CD76" i="5" s="1"/>
  <c r="CD77" i="5" a="1"/>
  <c r="CD77" i="5" s="1"/>
  <c r="CD78" i="5" a="1"/>
  <c r="CD78" i="5" s="1"/>
  <c r="CD79" i="5" a="1"/>
  <c r="CD79" i="5" s="1"/>
  <c r="CD80" i="5" a="1"/>
  <c r="CD80" i="5" s="1"/>
  <c r="CD81" i="5" a="1"/>
  <c r="CD81" i="5" s="1"/>
  <c r="CD82" i="5" a="1"/>
  <c r="CD82" i="5" s="1"/>
  <c r="CD83" i="5" a="1"/>
  <c r="CD83" i="5" s="1"/>
  <c r="CD84" i="5" a="1"/>
  <c r="CD84" i="5" s="1"/>
  <c r="CH84" i="5" s="1"/>
  <c r="CD85" i="5" a="1"/>
  <c r="CD85" i="5" s="1"/>
  <c r="CD86" i="5" a="1"/>
  <c r="CD86" i="5" s="1"/>
  <c r="CD87" i="5" a="1"/>
  <c r="CD87" i="5" s="1"/>
  <c r="CH87" i="5" s="1"/>
  <c r="CD88" i="5" a="1"/>
  <c r="CD88" i="5" s="1"/>
  <c r="CD89" i="5" a="1"/>
  <c r="CD89" i="5" s="1"/>
  <c r="CD90" i="5" a="1"/>
  <c r="CD90" i="5"/>
  <c r="CD91" i="5" a="1"/>
  <c r="CD91" i="5" s="1"/>
  <c r="CD92" i="5" a="1"/>
  <c r="CD92" i="5" s="1"/>
  <c r="CD93" i="5" a="1"/>
  <c r="CD93" i="5" s="1"/>
  <c r="CH93" i="5" s="1"/>
  <c r="CD94" i="5" a="1"/>
  <c r="CD94" i="5"/>
  <c r="CD95" i="5" a="1"/>
  <c r="CD95" i="5" s="1"/>
  <c r="CD96" i="5" a="1"/>
  <c r="CD96" i="5" s="1"/>
  <c r="CD97" i="5" a="1"/>
  <c r="CD97" i="5"/>
  <c r="CD98" i="5" a="1"/>
  <c r="CD98" i="5" s="1"/>
  <c r="CD99" i="5" a="1"/>
  <c r="CD99" i="5" s="1"/>
  <c r="CD100" i="5" a="1"/>
  <c r="CD100" i="5" s="1"/>
  <c r="CD101" i="5" a="1"/>
  <c r="CD101" i="5"/>
  <c r="CD102" i="5" a="1"/>
  <c r="CD102" i="5" s="1"/>
  <c r="CH102" i="5" s="1"/>
  <c r="CD103" i="5" a="1"/>
  <c r="CD103" i="5" s="1"/>
  <c r="CD104" i="5" a="1"/>
  <c r="CD104" i="5" s="1"/>
  <c r="CD105" i="5" a="1"/>
  <c r="CD105" i="5"/>
  <c r="CD106" i="5" a="1"/>
  <c r="CD106" i="5" s="1"/>
  <c r="CD107" i="5" a="1"/>
  <c r="CD107" i="5" s="1"/>
  <c r="CH107" i="5" s="1"/>
  <c r="CD108" i="5" a="1"/>
  <c r="CD108" i="5" s="1"/>
  <c r="CD109" i="5" a="1"/>
  <c r="CD109" i="5" s="1"/>
  <c r="CD110" i="5" a="1"/>
  <c r="CD110" i="5" s="1"/>
  <c r="CD111" i="5" a="1"/>
  <c r="CD111" i="5" s="1"/>
  <c r="CD112" i="5" a="1"/>
  <c r="CD112" i="5"/>
  <c r="CD113" i="5" a="1"/>
  <c r="CD113" i="5" s="1"/>
  <c r="CD114" i="5" a="1"/>
  <c r="CD114" i="5"/>
  <c r="CI114" i="5" s="1"/>
  <c r="CD115" i="5" a="1"/>
  <c r="CD115" i="5" s="1"/>
  <c r="CD116" i="5" a="1"/>
  <c r="CD116" i="5" s="1"/>
  <c r="CD117" i="5" a="1"/>
  <c r="CD117" i="5" s="1"/>
  <c r="CD118" i="5" a="1"/>
  <c r="CD118" i="5" s="1"/>
  <c r="CD119" i="5" a="1"/>
  <c r="CD119" i="5" s="1"/>
  <c r="CD120" i="5" a="1"/>
  <c r="CD120" i="5" s="1"/>
  <c r="CD121" i="5" a="1"/>
  <c r="CD121" i="5" s="1"/>
  <c r="CD122" i="5" a="1"/>
  <c r="CD122" i="5" s="1"/>
  <c r="CD123" i="5" a="1"/>
  <c r="CD123" i="5" s="1"/>
  <c r="CD124" i="5" a="1"/>
  <c r="CD124" i="5" s="1"/>
  <c r="CD125" i="5" a="1"/>
  <c r="CD125" i="5" s="1"/>
  <c r="CD126" i="5" a="1"/>
  <c r="CD126" i="5" s="1"/>
  <c r="CD127" i="5" a="1"/>
  <c r="CD127" i="5" s="1"/>
  <c r="CD128" i="5" a="1"/>
  <c r="CD128" i="5" s="1"/>
  <c r="CD129" i="5" a="1"/>
  <c r="CD129" i="5" s="1"/>
  <c r="CD130" i="5" a="1"/>
  <c r="CD130" i="5" s="1"/>
  <c r="CD131" i="5" a="1"/>
  <c r="CD131" i="5" s="1"/>
  <c r="CD132" i="5" a="1"/>
  <c r="CD132" i="5" s="1"/>
  <c r="CD133" i="5" a="1"/>
  <c r="CD133" i="5" s="1"/>
  <c r="CD134" i="5" a="1"/>
  <c r="CD134" i="5" s="1"/>
  <c r="CD135" i="5" a="1"/>
  <c r="CD135" i="5" s="1"/>
  <c r="CD136" i="5" a="1"/>
  <c r="CD136" i="5" s="1"/>
  <c r="CD137" i="5" a="1"/>
  <c r="CD137" i="5" s="1"/>
  <c r="CD138" i="5" a="1"/>
  <c r="CD138" i="5" s="1"/>
  <c r="CD139" i="5" a="1"/>
  <c r="CD139" i="5" s="1"/>
  <c r="CD140" i="5" a="1"/>
  <c r="CD140" i="5"/>
  <c r="CD141" i="5" a="1"/>
  <c r="CD141" i="5" s="1"/>
  <c r="CD142" i="5" a="1"/>
  <c r="CD142" i="5" s="1"/>
  <c r="CD143" i="5" a="1"/>
  <c r="CD143" i="5" s="1"/>
  <c r="CD144" i="5" a="1"/>
  <c r="CD144" i="5"/>
  <c r="CD145" i="5" a="1"/>
  <c r="CD145" i="5" s="1"/>
  <c r="CD146" i="5" a="1"/>
  <c r="CD146" i="5" s="1"/>
  <c r="CD147" i="5" a="1"/>
  <c r="CD147" i="5"/>
  <c r="CD148" i="5" a="1"/>
  <c r="CD148" i="5" s="1"/>
  <c r="CD149" i="5" a="1"/>
  <c r="CD149" i="5" s="1"/>
  <c r="CD150" i="5" a="1"/>
  <c r="CD150" i="5" s="1"/>
  <c r="CD151" i="5" a="1"/>
  <c r="CD151" i="5"/>
  <c r="CD152" i="5" a="1"/>
  <c r="CD152" i="5" s="1"/>
  <c r="CD153" i="5" a="1"/>
  <c r="CD153" i="5" s="1"/>
  <c r="CD154" i="5" a="1"/>
  <c r="CD154" i="5" s="1"/>
  <c r="CD155" i="5" a="1"/>
  <c r="CD155" i="5"/>
  <c r="CD156" i="5" a="1"/>
  <c r="CD156" i="5" s="1"/>
  <c r="CD157" i="5" a="1"/>
  <c r="CD157" i="5" s="1"/>
  <c r="CD158" i="5" a="1"/>
  <c r="CD158" i="5" s="1"/>
  <c r="CD159" i="5" a="1"/>
  <c r="CD159" i="5"/>
  <c r="CD160" i="5" a="1"/>
  <c r="CD160" i="5" s="1"/>
  <c r="CD161" i="5" a="1"/>
  <c r="CD161" i="5" s="1"/>
  <c r="CD162" i="5" a="1"/>
  <c r="CD162" i="5"/>
  <c r="CD163" i="5" a="1"/>
  <c r="CD163" i="5" s="1"/>
  <c r="CD164" i="5" a="1"/>
  <c r="CD164" i="5"/>
  <c r="CD165" i="5" a="1"/>
  <c r="CD165" i="5" s="1"/>
  <c r="CD166" i="5" a="1"/>
  <c r="CD166" i="5"/>
  <c r="CH166" i="5" s="1"/>
  <c r="CD167" i="5" a="1"/>
  <c r="CD167" i="5" s="1"/>
  <c r="CD168" i="5" a="1"/>
  <c r="CD168" i="5" s="1"/>
  <c r="CD169" i="5" a="1"/>
  <c r="CD169" i="5" s="1"/>
  <c r="CD170" i="5" a="1"/>
  <c r="CD170" i="5" s="1"/>
  <c r="CD171" i="5" a="1"/>
  <c r="CD171" i="5" s="1"/>
  <c r="CD172" i="5" a="1"/>
  <c r="CD172" i="5" s="1"/>
  <c r="CD173" i="5" a="1"/>
  <c r="CD173" i="5" s="1"/>
  <c r="CD174" i="5" a="1"/>
  <c r="CD174" i="5" s="1"/>
  <c r="CD175" i="5" a="1"/>
  <c r="CD175" i="5" s="1"/>
  <c r="CH175" i="5" s="1"/>
  <c r="CD176" i="5" a="1"/>
  <c r="CD176" i="5" s="1"/>
  <c r="CD177" i="5" a="1"/>
  <c r="CD177" i="5" s="1"/>
  <c r="CD178" i="5" a="1"/>
  <c r="CD178" i="5" s="1"/>
  <c r="CD179" i="5" a="1"/>
  <c r="CD179" i="5" s="1"/>
  <c r="CD180" i="5" a="1"/>
  <c r="CD180" i="5" s="1"/>
  <c r="CD181" i="5" a="1"/>
  <c r="CD181" i="5" s="1"/>
  <c r="CD182" i="5" a="1"/>
  <c r="CD182" i="5" s="1"/>
  <c r="CD183" i="5" a="1"/>
  <c r="CD183" i="5" s="1"/>
  <c r="CD184" i="5" a="1"/>
  <c r="CD184" i="5" s="1"/>
  <c r="CH184" i="5" s="1"/>
  <c r="CD185" i="5" a="1"/>
  <c r="CD185" i="5" s="1"/>
  <c r="CD186" i="5" a="1"/>
  <c r="CD186" i="5" s="1"/>
  <c r="CH186" i="5" s="1"/>
  <c r="CD187" i="5" a="1"/>
  <c r="CD187" i="5" s="1"/>
  <c r="CD188" i="5" a="1"/>
  <c r="CD188" i="5" s="1"/>
  <c r="CD189" i="5" a="1"/>
  <c r="CD189" i="5" s="1"/>
  <c r="CD190" i="5" a="1"/>
  <c r="CD190" i="5"/>
  <c r="CD191" i="5" a="1"/>
  <c r="CD191" i="5" s="1"/>
  <c r="CD192" i="5" a="1"/>
  <c r="CD192" i="5" s="1"/>
  <c r="CD193" i="5" a="1"/>
  <c r="CD193" i="5" s="1"/>
  <c r="CH193" i="5" s="1"/>
  <c r="CD194" i="5" a="1"/>
  <c r="CD194" i="5"/>
  <c r="CD195" i="5" a="1"/>
  <c r="CD195" i="5" s="1"/>
  <c r="CD196" i="5" a="1"/>
  <c r="CD196" i="5" s="1"/>
  <c r="CD197" i="5" a="1"/>
  <c r="CD197" i="5"/>
  <c r="CD198" i="5" a="1"/>
  <c r="CD198" i="5" s="1"/>
  <c r="CD199" i="5" a="1"/>
  <c r="CD199" i="5" s="1"/>
  <c r="CD200" i="5" a="1"/>
  <c r="CD200" i="5" s="1"/>
  <c r="CD201" i="5" a="1"/>
  <c r="CD201" i="5"/>
  <c r="CD202" i="5" a="1"/>
  <c r="CD202" i="5" s="1"/>
  <c r="CD203" i="5" a="1"/>
  <c r="CD203" i="5" s="1"/>
  <c r="CD204" i="5" a="1"/>
  <c r="CD204" i="5" s="1"/>
  <c r="CD205" i="5" a="1"/>
  <c r="CD205" i="5"/>
  <c r="CD206" i="5" a="1"/>
  <c r="CD206" i="5" s="1"/>
  <c r="CD207" i="5" a="1"/>
  <c r="CD207" i="5" s="1"/>
  <c r="CD208" i="5" a="1"/>
  <c r="CD208" i="5" s="1"/>
  <c r="CD209" i="5" a="1"/>
  <c r="CD209" i="5" s="1"/>
  <c r="CD210" i="5" a="1"/>
  <c r="CD210" i="5" s="1"/>
  <c r="CD211" i="5" a="1"/>
  <c r="CD211" i="5" s="1"/>
  <c r="CD212" i="5" a="1"/>
  <c r="CD212" i="5"/>
  <c r="CD213" i="5" a="1"/>
  <c r="CD213" i="5" s="1"/>
  <c r="CD214" i="5" a="1"/>
  <c r="CD214" i="5"/>
  <c r="CD215" i="5" a="1"/>
  <c r="CD215" i="5" s="1"/>
  <c r="CD216" i="5" a="1"/>
  <c r="CD216" i="5" s="1"/>
  <c r="CD217" i="5" a="1"/>
  <c r="CD217" i="5" s="1"/>
  <c r="CH217" i="5" s="1"/>
  <c r="CD218" i="5" a="1"/>
  <c r="CD218" i="5" s="1"/>
  <c r="CD219" i="5" a="1"/>
  <c r="CD219" i="5" s="1"/>
  <c r="CD220" i="5" a="1"/>
  <c r="CD220" i="5" s="1"/>
  <c r="CD221" i="5" a="1"/>
  <c r="CD221" i="5" s="1"/>
  <c r="CD222" i="5" a="1"/>
  <c r="CD222" i="5" s="1"/>
  <c r="CD223" i="5" a="1"/>
  <c r="CD223" i="5" s="1"/>
  <c r="CD224" i="5" a="1"/>
  <c r="CD224" i="5" s="1"/>
  <c r="CD225" i="5" a="1"/>
  <c r="CD225" i="5" s="1"/>
  <c r="CI225" i="5" s="1"/>
  <c r="CD226" i="5" a="1"/>
  <c r="CD226" i="5" s="1"/>
  <c r="CD227" i="5" a="1"/>
  <c r="CD227" i="5" s="1"/>
  <c r="CH227" i="5" s="1"/>
  <c r="CD228" i="5" a="1"/>
  <c r="CD228" i="5" s="1"/>
  <c r="CD229" i="5" a="1"/>
  <c r="CD229" i="5" s="1"/>
  <c r="CD230" i="5" a="1"/>
  <c r="CD230" i="5" s="1"/>
  <c r="CD231" i="5" a="1"/>
  <c r="CD231" i="5" s="1"/>
  <c r="CD232" i="5" a="1"/>
  <c r="CD232" i="5" s="1"/>
  <c r="CD233" i="5" a="1"/>
  <c r="CD233" i="5" s="1"/>
  <c r="CD234" i="5" a="1"/>
  <c r="CD234" i="5" s="1"/>
  <c r="CD235" i="5" a="1"/>
  <c r="CD235" i="5" s="1"/>
  <c r="CD236" i="5" a="1"/>
  <c r="CD236" i="5" s="1"/>
  <c r="CH236" i="5" s="1"/>
  <c r="CD237" i="5" a="1"/>
  <c r="CD237" i="5" s="1"/>
  <c r="CH237" i="5" s="1"/>
  <c r="CD238" i="5" a="1"/>
  <c r="CD238" i="5" s="1"/>
  <c r="CD239" i="5" a="1"/>
  <c r="CD239" i="5" s="1"/>
  <c r="CD240" i="5" a="1"/>
  <c r="CD240" i="5"/>
  <c r="CD241" i="5" a="1"/>
  <c r="CD241" i="5" s="1"/>
  <c r="CD242" i="5" a="1"/>
  <c r="CD242" i="5" s="1"/>
  <c r="CD243" i="5" a="1"/>
  <c r="CD243" i="5" s="1"/>
  <c r="CD244" i="5" a="1"/>
  <c r="CD244" i="5"/>
  <c r="CD245" i="5" a="1"/>
  <c r="CD245" i="5" s="1"/>
  <c r="CD246" i="5" a="1"/>
  <c r="CD246" i="5" s="1"/>
  <c r="CD247" i="5" a="1"/>
  <c r="CD247" i="5"/>
  <c r="CD248" i="5" a="1"/>
  <c r="CD248" i="5" s="1"/>
  <c r="CD249" i="5" a="1"/>
  <c r="CD249" i="5" s="1"/>
  <c r="CD250" i="5" a="1"/>
  <c r="CD250" i="5" s="1"/>
  <c r="CD251" i="5" a="1"/>
  <c r="CD251" i="5"/>
  <c r="CI251" i="5" s="1"/>
  <c r="CD252" i="5" a="1"/>
  <c r="CD252" i="5" s="1"/>
  <c r="CD253" i="5" a="1"/>
  <c r="CD253" i="5" s="1"/>
  <c r="CD254" i="5" a="1"/>
  <c r="CD254" i="5" s="1"/>
  <c r="CD255" i="5" a="1"/>
  <c r="CD255" i="5"/>
  <c r="CD256" i="5" a="1"/>
  <c r="CD256" i="5" s="1"/>
  <c r="CD257" i="5" a="1"/>
  <c r="CD257" i="5" s="1"/>
  <c r="CD258" i="5" a="1"/>
  <c r="CD258" i="5" s="1"/>
  <c r="CD259" i="5" a="1"/>
  <c r="CD259" i="5"/>
  <c r="CH259" i="5" s="1"/>
  <c r="CD260" i="5" a="1"/>
  <c r="CD260" i="5" s="1"/>
  <c r="CD261" i="5" a="1"/>
  <c r="CD261" i="5" s="1"/>
  <c r="CD262" i="5" a="1"/>
  <c r="CD262" i="5"/>
  <c r="CD263" i="5" a="1"/>
  <c r="CD263" i="5" s="1"/>
  <c r="CD264" i="5" a="1"/>
  <c r="CD264" i="5"/>
  <c r="CD265" i="5" a="1"/>
  <c r="CD265" i="5" s="1"/>
  <c r="CD266" i="5" a="1"/>
  <c r="CD266" i="5"/>
  <c r="CD267" i="5" a="1"/>
  <c r="CD267" i="5" s="1"/>
  <c r="CD268" i="5" a="1"/>
  <c r="CD268" i="5" s="1"/>
  <c r="CD269" i="5" a="1"/>
  <c r="CD269" i="5" s="1"/>
  <c r="CD270" i="5" a="1"/>
  <c r="CD270" i="5" s="1"/>
  <c r="CD271" i="5" a="1"/>
  <c r="CD271" i="5" s="1"/>
  <c r="CD272" i="5" a="1"/>
  <c r="CD272" i="5" s="1"/>
  <c r="CD273" i="5" a="1"/>
  <c r="CD273" i="5" s="1"/>
  <c r="CD274" i="5" a="1"/>
  <c r="CD274" i="5" s="1"/>
  <c r="CD275" i="5" a="1"/>
  <c r="CD275" i="5" s="1"/>
  <c r="CD276" i="5" a="1"/>
  <c r="CD276" i="5" s="1"/>
  <c r="CD277" i="5" a="1"/>
  <c r="CD277" i="5" s="1"/>
  <c r="CD278" i="5" a="1"/>
  <c r="CD278" i="5" s="1"/>
  <c r="CD279" i="5" a="1"/>
  <c r="CD279" i="5" s="1"/>
  <c r="CD280" i="5" a="1"/>
  <c r="CD280" i="5" s="1"/>
  <c r="CD281" i="5" a="1"/>
  <c r="CD281" i="5" s="1"/>
  <c r="CD282" i="5" a="1"/>
  <c r="CD282" i="5" s="1"/>
  <c r="CD283" i="5" a="1"/>
  <c r="CD283" i="5" s="1"/>
  <c r="CD284" i="5" a="1"/>
  <c r="CD284" i="5" s="1"/>
  <c r="CD285" i="5" a="1"/>
  <c r="CD285" i="5" s="1"/>
  <c r="CD286" i="5" a="1"/>
  <c r="CD286" i="5" s="1"/>
  <c r="CH286" i="5" s="1"/>
  <c r="CD287" i="5" a="1"/>
  <c r="CD287" i="5" s="1"/>
  <c r="CD288" i="5" a="1"/>
  <c r="CD288" i="5" s="1"/>
  <c r="CD289" i="5" a="1"/>
  <c r="CD289" i="5" s="1"/>
  <c r="CD290" i="5" a="1"/>
  <c r="CD290" i="5"/>
  <c r="CD291" i="5" a="1"/>
  <c r="CD291" i="5" s="1"/>
  <c r="CD292" i="5" a="1"/>
  <c r="CD292" i="5" s="1"/>
  <c r="CD293" i="5" a="1"/>
  <c r="CD293" i="5" s="1"/>
  <c r="CD294" i="5" a="1"/>
  <c r="CD294" i="5"/>
  <c r="CH294" i="5" s="1"/>
  <c r="CD295" i="5" a="1"/>
  <c r="CD295" i="5" s="1"/>
  <c r="CD296" i="5" a="1"/>
  <c r="CD296" i="5" s="1"/>
  <c r="CD297" i="5" a="1"/>
  <c r="CD297" i="5"/>
  <c r="CD298" i="5" a="1"/>
  <c r="CD298" i="5" s="1"/>
  <c r="CD299" i="5" a="1"/>
  <c r="CD299" i="5" s="1"/>
  <c r="CD300" i="5" a="1"/>
  <c r="CD300" i="5" s="1"/>
  <c r="CD301" i="5" a="1"/>
  <c r="CD301" i="5"/>
  <c r="CD302" i="5" a="1"/>
  <c r="CD302" i="5" s="1"/>
  <c r="CH302" i="5" s="1"/>
  <c r="CD303" i="5" a="1"/>
  <c r="CD303" i="5" s="1"/>
  <c r="CD304" i="5" a="1"/>
  <c r="CD304" i="5" s="1"/>
  <c r="CD305" i="5" a="1"/>
  <c r="CD305" i="5"/>
  <c r="CD306" i="5" a="1"/>
  <c r="CD306" i="5" s="1"/>
  <c r="CD307" i="5" a="1"/>
  <c r="CD307" i="5" s="1"/>
  <c r="CD308" i="5" a="1"/>
  <c r="CD308" i="5" s="1"/>
  <c r="CD309" i="5" a="1"/>
  <c r="CD309" i="5"/>
  <c r="CH309" i="5" s="1"/>
  <c r="CD310" i="5" a="1"/>
  <c r="CD310" i="5" s="1"/>
  <c r="CD311" i="5" a="1"/>
  <c r="CD311" i="5" s="1"/>
  <c r="CD312" i="5" a="1"/>
  <c r="CD312" i="5"/>
  <c r="CD313" i="5" a="1"/>
  <c r="CD313" i="5" s="1"/>
  <c r="CD314" i="5" a="1"/>
  <c r="CD314" i="5"/>
  <c r="CD315" i="5" a="1"/>
  <c r="CD315" i="5" s="1"/>
  <c r="CD316" i="5" a="1"/>
  <c r="CD316" i="5"/>
  <c r="CD317" i="5" a="1"/>
  <c r="CD317" i="5" s="1"/>
  <c r="CH317" i="5" s="1"/>
  <c r="CD318" i="5" a="1"/>
  <c r="CD318" i="5" s="1"/>
  <c r="CD319" i="5" a="1"/>
  <c r="CD319" i="5" s="1"/>
  <c r="CD320" i="5" a="1"/>
  <c r="CD320" i="5" s="1"/>
  <c r="CD321" i="5" a="1"/>
  <c r="CD321" i="5" s="1"/>
  <c r="CD322" i="5" a="1"/>
  <c r="CD322" i="5" s="1"/>
  <c r="CD323" i="5" a="1"/>
  <c r="CD323" i="5" s="1"/>
  <c r="CD324" i="5" a="1"/>
  <c r="CD324" i="5" s="1"/>
  <c r="CD325" i="5" a="1"/>
  <c r="CD325" i="5" s="1"/>
  <c r="CD326" i="5" a="1"/>
  <c r="CD326" i="5" s="1"/>
  <c r="CD327" i="5" a="1"/>
  <c r="CD327" i="5" s="1"/>
  <c r="CH327" i="5" s="1"/>
  <c r="CD328" i="5" a="1"/>
  <c r="CD328" i="5" s="1"/>
  <c r="CD329" i="5" a="1"/>
  <c r="CD329" i="5" s="1"/>
  <c r="CD330" i="5" a="1"/>
  <c r="CD330" i="5" s="1"/>
  <c r="CD331" i="5" a="1"/>
  <c r="CD331" i="5" s="1"/>
  <c r="CD332" i="5" a="1"/>
  <c r="CD332" i="5" s="1"/>
  <c r="CD333" i="5" a="1"/>
  <c r="CD333" i="5" s="1"/>
  <c r="CD334" i="5" a="1"/>
  <c r="CD334" i="5" s="1"/>
  <c r="CD335" i="5" a="1"/>
  <c r="CD335" i="5" s="1"/>
  <c r="CD336" i="5" a="1"/>
  <c r="CD336" i="5" s="1"/>
  <c r="CD337" i="5" a="1"/>
  <c r="CD337" i="5" s="1"/>
  <c r="CI337" i="5" s="1"/>
  <c r="CD338" i="5" a="1"/>
  <c r="CD338" i="5" s="1"/>
  <c r="CD339" i="5" a="1"/>
  <c r="CD339" i="5" s="1"/>
  <c r="CD340" i="5" a="1"/>
  <c r="CD340" i="5"/>
  <c r="CD341" i="5" a="1"/>
  <c r="CD341" i="5" s="1"/>
  <c r="CD342" i="5" a="1"/>
  <c r="CD342" i="5" s="1"/>
  <c r="CD343" i="5" a="1"/>
  <c r="CD343" i="5" s="1"/>
  <c r="CD344" i="5" a="1"/>
  <c r="CD344" i="5"/>
  <c r="CD345" i="5" a="1"/>
  <c r="CD345" i="5" s="1"/>
  <c r="CD346" i="5" a="1"/>
  <c r="CD346" i="5" s="1"/>
  <c r="CD347" i="5" a="1"/>
  <c r="CD347" i="5"/>
  <c r="CD348" i="5" a="1"/>
  <c r="CD348" i="5" s="1"/>
  <c r="CD349" i="5" a="1"/>
  <c r="CD349" i="5" s="1"/>
  <c r="CD350" i="5" a="1"/>
  <c r="CD350" i="5" s="1"/>
  <c r="CD351" i="5" a="1"/>
  <c r="CD351" i="5"/>
  <c r="CD352" i="5" a="1"/>
  <c r="CD352" i="5" s="1"/>
  <c r="CD353" i="5" a="1"/>
  <c r="CD353" i="5" s="1"/>
  <c r="CD354" i="5" a="1"/>
  <c r="CD354" i="5" s="1"/>
  <c r="CD355" i="5" a="1"/>
  <c r="CD355" i="5"/>
  <c r="CD356" i="5" a="1"/>
  <c r="CD356" i="5" s="1"/>
  <c r="CD357" i="5" a="1"/>
  <c r="CD357" i="5" s="1"/>
  <c r="CD358" i="5" a="1"/>
  <c r="CD358" i="5" s="1"/>
  <c r="CD359" i="5" a="1"/>
  <c r="CD359" i="5" s="1"/>
  <c r="CD360" i="5" a="1"/>
  <c r="CD360" i="5" s="1"/>
  <c r="CD361" i="5" a="1"/>
  <c r="CD361" i="5" s="1"/>
  <c r="CD362" i="5" a="1"/>
  <c r="CD362" i="5"/>
  <c r="CD363" i="5" a="1"/>
  <c r="CD363" i="5" s="1"/>
  <c r="CD364" i="5" a="1"/>
  <c r="CD364" i="5"/>
  <c r="CD365" i="5" a="1"/>
  <c r="CD365" i="5" s="1"/>
  <c r="CD366" i="5" a="1"/>
  <c r="CD366" i="5" s="1"/>
  <c r="CD367" i="5" a="1"/>
  <c r="CD367" i="5" s="1"/>
  <c r="CD368" i="5" a="1"/>
  <c r="CD368" i="5" s="1"/>
  <c r="CD369" i="5" a="1"/>
  <c r="CD369" i="5" s="1"/>
  <c r="CD370" i="5" a="1"/>
  <c r="CD370" i="5" s="1"/>
  <c r="CD371" i="5" a="1"/>
  <c r="CD371" i="5" s="1"/>
  <c r="CD372" i="5" a="1"/>
  <c r="CD372" i="5" s="1"/>
  <c r="CD373" i="5" a="1"/>
  <c r="CD373" i="5" s="1"/>
  <c r="CD374" i="5" a="1"/>
  <c r="CD374" i="5" s="1"/>
  <c r="CD375" i="5" a="1"/>
  <c r="CD375" i="5" s="1"/>
  <c r="CD376" i="5" a="1"/>
  <c r="CD376" i="5" s="1"/>
  <c r="CD377" i="5" a="1"/>
  <c r="CD377" i="5" s="1"/>
  <c r="CD378" i="5" a="1"/>
  <c r="CD378" i="5" s="1"/>
  <c r="CD379" i="5" a="1"/>
  <c r="CD379" i="5" s="1"/>
  <c r="CD380" i="5" a="1"/>
  <c r="CD380" i="5" s="1"/>
  <c r="CD381" i="5" a="1"/>
  <c r="CD381" i="5" s="1"/>
  <c r="CD382" i="5" a="1"/>
  <c r="CD382" i="5" s="1"/>
  <c r="CD383" i="5" a="1"/>
  <c r="CD383" i="5" s="1"/>
  <c r="CD384" i="5" a="1"/>
  <c r="CD384" i="5" s="1"/>
  <c r="CD385" i="5" a="1"/>
  <c r="CD385" i="5" s="1"/>
  <c r="CD386" i="5" a="1"/>
  <c r="CD386" i="5" s="1"/>
  <c r="CD387" i="5" a="1"/>
  <c r="CD387" i="5" s="1"/>
  <c r="CD388" i="5" a="1"/>
  <c r="CD388" i="5" s="1"/>
  <c r="CD389" i="5" a="1"/>
  <c r="CD389" i="5" s="1"/>
  <c r="CD390" i="5" a="1"/>
  <c r="CD390" i="5"/>
  <c r="CD391" i="5" a="1"/>
  <c r="CD391" i="5" s="1"/>
  <c r="CD392" i="5" a="1"/>
  <c r="CD392" i="5" s="1"/>
  <c r="CD393" i="5" a="1"/>
  <c r="CD393" i="5" s="1"/>
  <c r="CD394" i="5" a="1"/>
  <c r="CD394" i="5"/>
  <c r="CD395" i="5" a="1"/>
  <c r="CD395" i="5" s="1"/>
  <c r="CD396" i="5" a="1"/>
  <c r="CD396" i="5" s="1"/>
  <c r="CD397" i="5" a="1"/>
  <c r="CD397" i="5"/>
  <c r="CD398" i="5" a="1"/>
  <c r="CD398" i="5" s="1"/>
  <c r="CD399" i="5" a="1"/>
  <c r="CD399" i="5" s="1"/>
  <c r="CD400" i="5" a="1"/>
  <c r="CD400" i="5" s="1"/>
  <c r="CD401" i="5" a="1"/>
  <c r="CD401" i="5"/>
  <c r="CD402" i="5" a="1"/>
  <c r="CD402" i="5" s="1"/>
  <c r="CD403" i="5" a="1"/>
  <c r="CD403" i="5" s="1"/>
  <c r="CD404" i="5" a="1"/>
  <c r="CD404" i="5"/>
  <c r="CD405" i="5" a="1"/>
  <c r="CD405" i="5" s="1"/>
  <c r="CD406" i="5" a="1"/>
  <c r="CD406" i="5"/>
  <c r="CD407" i="5" a="1"/>
  <c r="CD407" i="5" s="1"/>
  <c r="CD408" i="5" a="1"/>
  <c r="CD408" i="5" s="1"/>
  <c r="CD409" i="5" a="1"/>
  <c r="CD409" i="5" s="1"/>
  <c r="CD410" i="5" a="1"/>
  <c r="CD410" i="5" s="1"/>
  <c r="CD411" i="5" a="1"/>
  <c r="CD411" i="5"/>
  <c r="CD412" i="5" a="1"/>
  <c r="CD412" i="5" s="1"/>
  <c r="CD413" i="5" a="1"/>
  <c r="CD413" i="5" s="1"/>
  <c r="CD414" i="5" a="1"/>
  <c r="CD414" i="5"/>
  <c r="CD415" i="5" a="1"/>
  <c r="CD415" i="5" s="1"/>
  <c r="CD416" i="5" a="1"/>
  <c r="CD416" i="5" s="1"/>
  <c r="CD417" i="5" a="1"/>
  <c r="CD417" i="5" s="1"/>
  <c r="CD418" i="5" a="1"/>
  <c r="CD418" i="5" s="1"/>
  <c r="CD419" i="5" a="1"/>
  <c r="CD419" i="5" s="1"/>
  <c r="CD420" i="5" a="1"/>
  <c r="CD420" i="5" s="1"/>
  <c r="CD421" i="5" a="1"/>
  <c r="CD421" i="5" s="1"/>
  <c r="CD422" i="5" a="1"/>
  <c r="CD422" i="5" s="1"/>
  <c r="CD423" i="5" a="1"/>
  <c r="CD423" i="5" s="1"/>
  <c r="CD424" i="5" a="1"/>
  <c r="CD424" i="5" s="1"/>
  <c r="CD425" i="5" a="1"/>
  <c r="CD425" i="5"/>
  <c r="CD426" i="5" a="1"/>
  <c r="CD426" i="5"/>
  <c r="CD427" i="5" a="1"/>
  <c r="CD427" i="5" s="1"/>
  <c r="CD428" i="5" a="1"/>
  <c r="CD428" i="5" s="1"/>
  <c r="CD429" i="5" a="1"/>
  <c r="CD429" i="5" s="1"/>
  <c r="CD430" i="5" a="1"/>
  <c r="CD430" i="5" s="1"/>
  <c r="CD431" i="5" a="1"/>
  <c r="CD431" i="5"/>
  <c r="CD432" i="5" a="1"/>
  <c r="CD432" i="5" s="1"/>
  <c r="CD433" i="5" a="1"/>
  <c r="CD433" i="5" s="1"/>
  <c r="CD434" i="5" a="1"/>
  <c r="CD434" i="5" s="1"/>
  <c r="CD435" i="5" a="1"/>
  <c r="CD435" i="5"/>
  <c r="CD436" i="5" a="1"/>
  <c r="CD436" i="5" s="1"/>
  <c r="CI436" i="5" s="1"/>
  <c r="CD437" i="5" a="1"/>
  <c r="CD437" i="5" s="1"/>
  <c r="CD438" i="5" a="1"/>
  <c r="CD438" i="5" s="1"/>
  <c r="CD439" i="5" a="1"/>
  <c r="CD439" i="5" s="1"/>
  <c r="CD440" i="5" a="1"/>
  <c r="CD440" i="5" s="1"/>
  <c r="CD441" i="5" a="1"/>
  <c r="CD441" i="5" s="1"/>
  <c r="CD442" i="5" a="1"/>
  <c r="CD442" i="5" s="1"/>
  <c r="CD443" i="5" a="1"/>
  <c r="CD443" i="5" s="1"/>
  <c r="CE2" i="5" a="1"/>
  <c r="CE2" i="5" s="1"/>
  <c r="CE3" i="5" a="1"/>
  <c r="CE3" i="5" s="1"/>
  <c r="CE4" i="5" a="1"/>
  <c r="CE4" i="5" s="1"/>
  <c r="CE5" i="5" a="1"/>
  <c r="CE5" i="5" s="1"/>
  <c r="CI5" i="5" s="1"/>
  <c r="CE6" i="5" a="1"/>
  <c r="CE6" i="5" s="1"/>
  <c r="CE7" i="5" a="1"/>
  <c r="CE7" i="5" s="1"/>
  <c r="CE8" i="5" a="1"/>
  <c r="CE8" i="5" s="1"/>
  <c r="CE9" i="5" a="1"/>
  <c r="CE9" i="5" s="1"/>
  <c r="CH9" i="5" s="1"/>
  <c r="CE10" i="5" a="1"/>
  <c r="CE10" i="5" s="1"/>
  <c r="CE11" i="5" a="1"/>
  <c r="CE11" i="5" s="1"/>
  <c r="CE12" i="5" a="1"/>
  <c r="CE12" i="5" s="1"/>
  <c r="CE13" i="5" a="1"/>
  <c r="CE13" i="5" s="1"/>
  <c r="CE14" i="5" a="1"/>
  <c r="CE14" i="5"/>
  <c r="CE15" i="5" a="1"/>
  <c r="CE15" i="5" s="1"/>
  <c r="CE16" i="5" a="1"/>
  <c r="CE16" i="5" s="1"/>
  <c r="CI16" i="5" s="1"/>
  <c r="CE17" i="5" a="1"/>
  <c r="CE17" i="5" s="1"/>
  <c r="CE18" i="5" a="1"/>
  <c r="CE18" i="5" s="1"/>
  <c r="CE19" i="5" a="1"/>
  <c r="CE19" i="5" s="1"/>
  <c r="CH19" i="5" s="1"/>
  <c r="CE20" i="5" a="1"/>
  <c r="CE20" i="5" s="1"/>
  <c r="CE21" i="5" a="1"/>
  <c r="CE21" i="5" s="1"/>
  <c r="CE22" i="5" a="1"/>
  <c r="CE22" i="5" s="1"/>
  <c r="CI22" i="5" s="1"/>
  <c r="CE23" i="5" a="1"/>
  <c r="CE23" i="5" s="1"/>
  <c r="CE24" i="5" a="1"/>
  <c r="CE24" i="5"/>
  <c r="CE25" i="5" a="1"/>
  <c r="CE25" i="5" s="1"/>
  <c r="CE26" i="5" a="1"/>
  <c r="CE26" i="5" s="1"/>
  <c r="CE27" i="5" a="1"/>
  <c r="CE27" i="5" s="1"/>
  <c r="CE28" i="5" a="1"/>
  <c r="CE28" i="5" s="1"/>
  <c r="CE29" i="5" a="1"/>
  <c r="CE29" i="5" s="1"/>
  <c r="CH29" i="5" s="1"/>
  <c r="CE30" i="5" a="1"/>
  <c r="CE30" i="5" s="1"/>
  <c r="CE31" i="5" a="1"/>
  <c r="CE31" i="5" s="1"/>
  <c r="CE32" i="5" a="1"/>
  <c r="CE32" i="5" s="1"/>
  <c r="CE33" i="5" a="1"/>
  <c r="CE33" i="5"/>
  <c r="CH33" i="5" s="1"/>
  <c r="CE34" i="5" a="1"/>
  <c r="CE34" i="5" s="1"/>
  <c r="CI34" i="5" s="1"/>
  <c r="CE35" i="5" a="1"/>
  <c r="CE35" i="5"/>
  <c r="CH35" i="5" s="1"/>
  <c r="CE36" i="5" a="1"/>
  <c r="CE36" i="5" s="1"/>
  <c r="CE37" i="5" a="1"/>
  <c r="CE37" i="5"/>
  <c r="CE38" i="5" a="1"/>
  <c r="CE38" i="5" s="1"/>
  <c r="CE39" i="5" a="1"/>
  <c r="CE39" i="5" s="1"/>
  <c r="CH39" i="5" s="1"/>
  <c r="CE40" i="5" a="1"/>
  <c r="CE40" i="5" s="1"/>
  <c r="CE41" i="5" a="1"/>
  <c r="CE41" i="5" s="1"/>
  <c r="CI41" i="5" s="1"/>
  <c r="CE42" i="5" a="1"/>
  <c r="CE42" i="5"/>
  <c r="CE43" i="5" a="1"/>
  <c r="CE43" i="5" s="1"/>
  <c r="CE44" i="5" a="1"/>
  <c r="CE44" i="5" s="1"/>
  <c r="CE45" i="5" a="1"/>
  <c r="CE45" i="5" s="1"/>
  <c r="CE46" i="5" a="1"/>
  <c r="CE46" i="5" s="1"/>
  <c r="CE47" i="5" a="1"/>
  <c r="CE47" i="5" s="1"/>
  <c r="CE48" i="5" a="1"/>
  <c r="CE48" i="5" s="1"/>
  <c r="CE49" i="5" a="1"/>
  <c r="CE49" i="5" s="1"/>
  <c r="CH49" i="5" s="1"/>
  <c r="CE50" i="5" a="1"/>
  <c r="CE50" i="5" s="1"/>
  <c r="CE51" i="5" a="1"/>
  <c r="CE51" i="5" s="1"/>
  <c r="CE52" i="5" a="1"/>
  <c r="CE52" i="5" s="1"/>
  <c r="CE53" i="5" a="1"/>
  <c r="CE53" i="5" s="1"/>
  <c r="CE54" i="5" a="1"/>
  <c r="CE54" i="5"/>
  <c r="CI54" i="5" s="1"/>
  <c r="CE55" i="5" a="1"/>
  <c r="CE55" i="5"/>
  <c r="CH55" i="5" s="1"/>
  <c r="CE56" i="5" a="1"/>
  <c r="CE56" i="5" s="1"/>
  <c r="CE57" i="5" a="1"/>
  <c r="CE57" i="5" s="1"/>
  <c r="CE58" i="5" a="1"/>
  <c r="CE58" i="5" s="1"/>
  <c r="CE59" i="5" a="1"/>
  <c r="CE59" i="5" s="1"/>
  <c r="CE60" i="5" a="1"/>
  <c r="CE60" i="5" s="1"/>
  <c r="CE61" i="5" a="1"/>
  <c r="CE61" i="5" s="1"/>
  <c r="CE62" i="5" a="1"/>
  <c r="CE62" i="5"/>
  <c r="CI62" i="5" s="1"/>
  <c r="CE63" i="5" a="1"/>
  <c r="CE63" i="5"/>
  <c r="CH63" i="5" s="1"/>
  <c r="CE64" i="5" a="1"/>
  <c r="CE64" i="5" s="1"/>
  <c r="CE65" i="5" a="1"/>
  <c r="CE65" i="5" s="1"/>
  <c r="CE66" i="5" a="1"/>
  <c r="CE66" i="5" s="1"/>
  <c r="CE67" i="5" a="1"/>
  <c r="CE67" i="5" s="1"/>
  <c r="CE68" i="5" a="1"/>
  <c r="CE68" i="5" s="1"/>
  <c r="CE69" i="5" a="1"/>
  <c r="CE69" i="5"/>
  <c r="CH69" i="5" s="1"/>
  <c r="CE70" i="5" a="1"/>
  <c r="CE70" i="5" s="1"/>
  <c r="CE71" i="5" a="1"/>
  <c r="CE71" i="5" s="1"/>
  <c r="CE72" i="5" a="1"/>
  <c r="CE72" i="5" s="1"/>
  <c r="CE73" i="5" a="1"/>
  <c r="CE73" i="5" s="1"/>
  <c r="CE74" i="5" a="1"/>
  <c r="CE74" i="5" s="1"/>
  <c r="CI74" i="5" s="1"/>
  <c r="CE75" i="5" a="1"/>
  <c r="CE75" i="5"/>
  <c r="CH75" i="5" s="1"/>
  <c r="CE76" i="5" a="1"/>
  <c r="CE76" i="5" s="1"/>
  <c r="CI76" i="5" s="1"/>
  <c r="CE77" i="5" a="1"/>
  <c r="CE77" i="5" s="1"/>
  <c r="CE78" i="5" a="1"/>
  <c r="CE78" i="5" s="1"/>
  <c r="CE79" i="5" a="1"/>
  <c r="CE79" i="5" s="1"/>
  <c r="CE80" i="5" a="1"/>
  <c r="CE80" i="5" s="1"/>
  <c r="CE81" i="5" a="1"/>
  <c r="CE81" i="5" s="1"/>
  <c r="CE82" i="5" a="1"/>
  <c r="CE82" i="5"/>
  <c r="CE83" i="5" a="1"/>
  <c r="CE83" i="5" s="1"/>
  <c r="CE84" i="5" a="1"/>
  <c r="CE84" i="5" s="1"/>
  <c r="CI84" i="5" s="1"/>
  <c r="CE85" i="5" a="1"/>
  <c r="CE85" i="5"/>
  <c r="CE86" i="5" a="1"/>
  <c r="CE86" i="5" s="1"/>
  <c r="CE87" i="5" a="1"/>
  <c r="CE87" i="5" s="1"/>
  <c r="CI87" i="5" s="1"/>
  <c r="CE88" i="5" a="1"/>
  <c r="CE88" i="5" s="1"/>
  <c r="CE89" i="5" a="1"/>
  <c r="CE89" i="5" s="1"/>
  <c r="CE90" i="5" a="1"/>
  <c r="CE90" i="5" s="1"/>
  <c r="CE91" i="5" a="1"/>
  <c r="CE91" i="5" s="1"/>
  <c r="CE92" i="5" a="1"/>
  <c r="CE92" i="5" s="1"/>
  <c r="CE93" i="5" a="1"/>
  <c r="CE93" i="5" s="1"/>
  <c r="CI93" i="5" s="1"/>
  <c r="CE94" i="5" a="1"/>
  <c r="CE94" i="5" s="1"/>
  <c r="CE95" i="5" a="1"/>
  <c r="CE95" i="5" s="1"/>
  <c r="CE96" i="5" a="1"/>
  <c r="CE96" i="5" s="1"/>
  <c r="CH96" i="5" s="1"/>
  <c r="CE97" i="5" a="1"/>
  <c r="CE97" i="5"/>
  <c r="CH97" i="5" s="1"/>
  <c r="CE98" i="5" a="1"/>
  <c r="CE98" i="5" s="1"/>
  <c r="CE99" i="5" a="1"/>
  <c r="CE99" i="5" s="1"/>
  <c r="CE100" i="5" a="1"/>
  <c r="CE100" i="5" s="1"/>
  <c r="CE101" i="5" a="1"/>
  <c r="CE101" i="5" s="1"/>
  <c r="CE102" i="5" a="1"/>
  <c r="CE102" i="5"/>
  <c r="CI102" i="5" s="1"/>
  <c r="CE103" i="5" a="1"/>
  <c r="CE103" i="5"/>
  <c r="CH103" i="5" s="1"/>
  <c r="CE104" i="5" a="1"/>
  <c r="CE104" i="5" s="1"/>
  <c r="CE105" i="5" a="1"/>
  <c r="CE105" i="5" s="1"/>
  <c r="CE106" i="5" a="1"/>
  <c r="CE106" i="5" s="1"/>
  <c r="CE107" i="5" a="1"/>
  <c r="CE107" i="5" s="1"/>
  <c r="CE108" i="5" a="1"/>
  <c r="CE108" i="5" s="1"/>
  <c r="CE109" i="5" a="1"/>
  <c r="CE109" i="5" s="1"/>
  <c r="CE110" i="5" a="1"/>
  <c r="CE110" i="5" s="1"/>
  <c r="CE111" i="5" a="1"/>
  <c r="CE111" i="5" s="1"/>
  <c r="CE112" i="5" a="1"/>
  <c r="CE112" i="5"/>
  <c r="CE113" i="5" a="1"/>
  <c r="CE113" i="5" s="1"/>
  <c r="CE114" i="5" a="1"/>
  <c r="CE114" i="5" s="1"/>
  <c r="CE115" i="5" a="1"/>
  <c r="CE115" i="5"/>
  <c r="CH115" i="5" s="1"/>
  <c r="CE116" i="5" a="1"/>
  <c r="CE116" i="5" s="1"/>
  <c r="CE117" i="5" a="1"/>
  <c r="CE117" i="5" s="1"/>
  <c r="CE118" i="5" a="1"/>
  <c r="CE118" i="5" s="1"/>
  <c r="CE119" i="5" a="1"/>
  <c r="CE119" i="5" s="1"/>
  <c r="CE120" i="5" a="1"/>
  <c r="CE120" i="5" s="1"/>
  <c r="CE121" i="5" a="1"/>
  <c r="CE121" i="5" s="1"/>
  <c r="CE122" i="5" a="1"/>
  <c r="CE122" i="5"/>
  <c r="CE123" i="5" a="1"/>
  <c r="CE123" i="5" s="1"/>
  <c r="CE124" i="5" a="1"/>
  <c r="CE124" i="5" s="1"/>
  <c r="CE125" i="5" a="1"/>
  <c r="CE125" i="5" s="1"/>
  <c r="CE126" i="5" a="1"/>
  <c r="CE126" i="5" s="1"/>
  <c r="CE127" i="5" a="1"/>
  <c r="CE127" i="5" s="1"/>
  <c r="CH127" i="5" s="1"/>
  <c r="CE128" i="5" a="1"/>
  <c r="CE128" i="5" s="1"/>
  <c r="CE129" i="5" a="1"/>
  <c r="CE129" i="5" s="1"/>
  <c r="CE130" i="5" a="1"/>
  <c r="CE130" i="5" s="1"/>
  <c r="CE131" i="5" a="1"/>
  <c r="CE131" i="5" s="1"/>
  <c r="CE132" i="5" a="1"/>
  <c r="CE132" i="5" s="1"/>
  <c r="CE133" i="5" a="1"/>
  <c r="CE133" i="5" s="1"/>
  <c r="CE134" i="5" a="1"/>
  <c r="CE134" i="5" s="1"/>
  <c r="CE135" i="5" a="1"/>
  <c r="CE135" i="5" s="1"/>
  <c r="CE136" i="5" a="1"/>
  <c r="CE136" i="5" s="1"/>
  <c r="CH136" i="5" s="1"/>
  <c r="CE137" i="5" a="1"/>
  <c r="CE137" i="5" s="1"/>
  <c r="CI137" i="5" s="1"/>
  <c r="CE138" i="5" a="1"/>
  <c r="CE138" i="5" s="1"/>
  <c r="CE139" i="5" a="1"/>
  <c r="CE139" i="5" s="1"/>
  <c r="CE140" i="5" a="1"/>
  <c r="CE140" i="5" s="1"/>
  <c r="CE141" i="5" a="1"/>
  <c r="CE141" i="5" s="1"/>
  <c r="CE142" i="5" a="1"/>
  <c r="CE142" i="5" s="1"/>
  <c r="CE143" i="5" a="1"/>
  <c r="CE143" i="5"/>
  <c r="CE144" i="5" a="1"/>
  <c r="CE144" i="5" s="1"/>
  <c r="CE145" i="5" a="1"/>
  <c r="CE145" i="5" s="1"/>
  <c r="CE146" i="5" a="1"/>
  <c r="CE146" i="5" s="1"/>
  <c r="CE147" i="5" a="1"/>
  <c r="CE147" i="5"/>
  <c r="CE148" i="5" a="1"/>
  <c r="CE148" i="5" s="1"/>
  <c r="CE149" i="5" a="1"/>
  <c r="CE149" i="5" s="1"/>
  <c r="CE150" i="5" a="1"/>
  <c r="CE150" i="5" s="1"/>
  <c r="CI150" i="5" s="1"/>
  <c r="CE151" i="5" a="1"/>
  <c r="CE151" i="5" s="1"/>
  <c r="CE152" i="5" a="1"/>
  <c r="CE152" i="5"/>
  <c r="CE153" i="5" a="1"/>
  <c r="CE153" i="5" s="1"/>
  <c r="CE154" i="5" a="1"/>
  <c r="CE154" i="5" s="1"/>
  <c r="CE155" i="5" a="1"/>
  <c r="CE155" i="5"/>
  <c r="CH155" i="5" s="1"/>
  <c r="CE156" i="5" a="1"/>
  <c r="CE156" i="5" s="1"/>
  <c r="CE157" i="5" a="1"/>
  <c r="CE157" i="5" s="1"/>
  <c r="CH157" i="5" s="1"/>
  <c r="CE158" i="5" a="1"/>
  <c r="CE158" i="5" s="1"/>
  <c r="CE159" i="5" a="1"/>
  <c r="CE159" i="5" s="1"/>
  <c r="CE160" i="5" a="1"/>
  <c r="CE160" i="5" s="1"/>
  <c r="CE161" i="5" a="1"/>
  <c r="CE161" i="5" s="1"/>
  <c r="CE162" i="5" a="1"/>
  <c r="CE162" i="5" s="1"/>
  <c r="CE163" i="5" a="1"/>
  <c r="CE163" i="5" s="1"/>
  <c r="CE164" i="5" a="1"/>
  <c r="CE164" i="5" s="1"/>
  <c r="CH164" i="5" s="1"/>
  <c r="CE165" i="5" a="1"/>
  <c r="CE165" i="5" s="1"/>
  <c r="CE166" i="5" a="1"/>
  <c r="CE166" i="5" s="1"/>
  <c r="CE167" i="5" a="1"/>
  <c r="CE167" i="5" s="1"/>
  <c r="CE168" i="5" a="1"/>
  <c r="CE168" i="5" s="1"/>
  <c r="CE169" i="5" a="1"/>
  <c r="CE169" i="5" s="1"/>
  <c r="CE170" i="5" a="1"/>
  <c r="CE170" i="5" s="1"/>
  <c r="CH170" i="5" s="1"/>
  <c r="CE171" i="5" a="1"/>
  <c r="CE171" i="5" s="1"/>
  <c r="CE172" i="5" a="1"/>
  <c r="CE172" i="5" s="1"/>
  <c r="CE173" i="5" a="1"/>
  <c r="CE173" i="5"/>
  <c r="CE174" i="5" a="1"/>
  <c r="CE174" i="5" s="1"/>
  <c r="CE175" i="5" a="1"/>
  <c r="CE175" i="5"/>
  <c r="CE176" i="5" a="1"/>
  <c r="CE176" i="5" s="1"/>
  <c r="CH176" i="5" s="1"/>
  <c r="CE177" i="5" a="1"/>
  <c r="CE177" i="5" s="1"/>
  <c r="CE178" i="5" a="1"/>
  <c r="CE178" i="5" s="1"/>
  <c r="CE179" i="5" a="1"/>
  <c r="CE179" i="5" s="1"/>
  <c r="CE180" i="5" a="1"/>
  <c r="CE180" i="5" s="1"/>
  <c r="CE181" i="5" a="1"/>
  <c r="CE181" i="5" s="1"/>
  <c r="CE182" i="5" a="1"/>
  <c r="CE182" i="5" s="1"/>
  <c r="CE183" i="5" a="1"/>
  <c r="CE183" i="5"/>
  <c r="CH183" i="5" s="1"/>
  <c r="CE184" i="5" a="1"/>
  <c r="CE184" i="5"/>
  <c r="CE185" i="5" a="1"/>
  <c r="CE185" i="5" s="1"/>
  <c r="CE186" i="5" a="1"/>
  <c r="CE186" i="5" s="1"/>
  <c r="CE187" i="5" a="1"/>
  <c r="CE187" i="5" s="1"/>
  <c r="CH187" i="5" s="1"/>
  <c r="CE188" i="5" a="1"/>
  <c r="CE188" i="5" s="1"/>
  <c r="CE189" i="5" a="1"/>
  <c r="CE189" i="5"/>
  <c r="CE190" i="5" a="1"/>
  <c r="CE190" i="5" s="1"/>
  <c r="CI190" i="5" s="1"/>
  <c r="CE191" i="5" a="1"/>
  <c r="CE191" i="5" s="1"/>
  <c r="CE192" i="5" a="1"/>
  <c r="CE192" i="5" s="1"/>
  <c r="CE193" i="5" a="1"/>
  <c r="CE193" i="5" s="1"/>
  <c r="CE194" i="5" a="1"/>
  <c r="CE194" i="5" s="1"/>
  <c r="CI194" i="5" s="1"/>
  <c r="CE195" i="5" a="1"/>
  <c r="CE195" i="5" s="1"/>
  <c r="CE196" i="5" a="1"/>
  <c r="CE196" i="5" s="1"/>
  <c r="CE197" i="5" a="1"/>
  <c r="CE197" i="5"/>
  <c r="CH197" i="5" s="1"/>
  <c r="CE198" i="5" a="1"/>
  <c r="CE198" i="5" s="1"/>
  <c r="CH198" i="5" s="1"/>
  <c r="CE199" i="5" a="1"/>
  <c r="CE199" i="5" s="1"/>
  <c r="CH199" i="5" s="1"/>
  <c r="CE200" i="5" a="1"/>
  <c r="CE200" i="5" s="1"/>
  <c r="CE201" i="5" a="1"/>
  <c r="CE201" i="5" s="1"/>
  <c r="CE202" i="5" a="1"/>
  <c r="CE202" i="5" s="1"/>
  <c r="CI202" i="5" s="1"/>
  <c r="CE203" i="5" a="1"/>
  <c r="CE203" i="5"/>
  <c r="CE204" i="5" a="1"/>
  <c r="CE204" i="5" s="1"/>
  <c r="CH204" i="5" s="1"/>
  <c r="CE205" i="5" a="1"/>
  <c r="CE205" i="5"/>
  <c r="CH205" i="5" s="1"/>
  <c r="CE206" i="5" a="1"/>
  <c r="CE206" i="5" s="1"/>
  <c r="CE207" i="5" a="1"/>
  <c r="CE207" i="5" s="1"/>
  <c r="CE208" i="5" a="1"/>
  <c r="CE208" i="5" s="1"/>
  <c r="CE209" i="5" a="1"/>
  <c r="CE209" i="5" s="1"/>
  <c r="CE210" i="5" a="1"/>
  <c r="CE210" i="5" s="1"/>
  <c r="CE211" i="5" a="1"/>
  <c r="CE211" i="5" s="1"/>
  <c r="CE212" i="5" a="1"/>
  <c r="CE212" i="5" s="1"/>
  <c r="CE213" i="5" a="1"/>
  <c r="CE213" i="5" s="1"/>
  <c r="CE214" i="5" a="1"/>
  <c r="CE214" i="5"/>
  <c r="CE215" i="5" a="1"/>
  <c r="CE215" i="5" s="1"/>
  <c r="CE216" i="5" a="1"/>
  <c r="CE216" i="5" s="1"/>
  <c r="CE217" i="5" a="1"/>
  <c r="CE217" i="5"/>
  <c r="CE218" i="5" a="1"/>
  <c r="CE218" i="5" s="1"/>
  <c r="CE219" i="5" a="1"/>
  <c r="CE219" i="5" s="1"/>
  <c r="CE220" i="5" a="1"/>
  <c r="CE220" i="5" s="1"/>
  <c r="CE221" i="5" a="1"/>
  <c r="CE221" i="5" s="1"/>
  <c r="CE222" i="5" a="1"/>
  <c r="CE222" i="5" s="1"/>
  <c r="CE223" i="5" a="1"/>
  <c r="CE223" i="5" s="1"/>
  <c r="CE224" i="5" a="1"/>
  <c r="CE224" i="5" s="1"/>
  <c r="CE225" i="5" a="1"/>
  <c r="CE225" i="5" s="1"/>
  <c r="CE226" i="5" a="1"/>
  <c r="CE226" i="5" s="1"/>
  <c r="CE227" i="5" a="1"/>
  <c r="CE227" i="5" s="1"/>
  <c r="CE228" i="5" a="1"/>
  <c r="CE228" i="5" s="1"/>
  <c r="CE229" i="5" a="1"/>
  <c r="CE229" i="5" s="1"/>
  <c r="CE230" i="5" a="1"/>
  <c r="CE230" i="5" s="1"/>
  <c r="CE231" i="5" a="1"/>
  <c r="CE231" i="5" s="1"/>
  <c r="CE232" i="5" a="1"/>
  <c r="CE232" i="5" s="1"/>
  <c r="CH232" i="5" s="1"/>
  <c r="CE233" i="5" a="1"/>
  <c r="CE233" i="5"/>
  <c r="CH233" i="5" s="1"/>
  <c r="CE234" i="5" a="1"/>
  <c r="CE234" i="5"/>
  <c r="CE235" i="5" a="1"/>
  <c r="CE235" i="5" s="1"/>
  <c r="CE236" i="5" a="1"/>
  <c r="CE236" i="5" s="1"/>
  <c r="CE237" i="5" a="1"/>
  <c r="CE237" i="5" s="1"/>
  <c r="CE238" i="5" a="1"/>
  <c r="CE238" i="5" s="1"/>
  <c r="CE239" i="5" a="1"/>
  <c r="CE239" i="5" s="1"/>
  <c r="CE240" i="5" a="1"/>
  <c r="CE240" i="5" s="1"/>
  <c r="CE241" i="5" a="1"/>
  <c r="CE241" i="5" s="1"/>
  <c r="CE242" i="5" a="1"/>
  <c r="CE242" i="5" s="1"/>
  <c r="CE243" i="5" a="1"/>
  <c r="CE243" i="5" s="1"/>
  <c r="CE244" i="5" a="1"/>
  <c r="CE244" i="5" s="1"/>
  <c r="CE245" i="5" a="1"/>
  <c r="CE245" i="5"/>
  <c r="CI245" i="5" s="1"/>
  <c r="CE246" i="5" a="1"/>
  <c r="CE246" i="5" s="1"/>
  <c r="CE247" i="5" a="1"/>
  <c r="CE247" i="5" s="1"/>
  <c r="CE248" i="5" a="1"/>
  <c r="CE248" i="5" s="1"/>
  <c r="CH248" i="5" s="1"/>
  <c r="CE249" i="5" a="1"/>
  <c r="CE249" i="5" s="1"/>
  <c r="CE250" i="5" a="1"/>
  <c r="CE250" i="5" s="1"/>
  <c r="CE251" i="5" a="1"/>
  <c r="CE251" i="5" s="1"/>
  <c r="CE252" i="5" a="1"/>
  <c r="CE252" i="5"/>
  <c r="CE253" i="5" a="1"/>
  <c r="CE253" i="5" s="1"/>
  <c r="CH253" i="5" s="1"/>
  <c r="CE254" i="5" a="1"/>
  <c r="CE254" i="5" s="1"/>
  <c r="CE255" i="5" a="1"/>
  <c r="CE255" i="5" s="1"/>
  <c r="CE256" i="5" a="1"/>
  <c r="CE256" i="5" s="1"/>
  <c r="CE257" i="5" a="1"/>
  <c r="CE257" i="5" s="1"/>
  <c r="CE258" i="5" a="1"/>
  <c r="CE258" i="5" s="1"/>
  <c r="CE259" i="5" a="1"/>
  <c r="CE259" i="5" s="1"/>
  <c r="CE260" i="5" a="1"/>
  <c r="CE260" i="5" s="1"/>
  <c r="CE261" i="5" a="1"/>
  <c r="CE261" i="5" s="1"/>
  <c r="CI261" i="5" s="1"/>
  <c r="CE262" i="5" a="1"/>
  <c r="CE262" i="5" s="1"/>
  <c r="CH262" i="5" s="1"/>
  <c r="CE263" i="5" a="1"/>
  <c r="CE263" i="5" s="1"/>
  <c r="CE264" i="5" a="1"/>
  <c r="CE264" i="5" s="1"/>
  <c r="CE265" i="5" a="1"/>
  <c r="CE265" i="5" s="1"/>
  <c r="CE266" i="5" a="1"/>
  <c r="CE266" i="5" s="1"/>
  <c r="CE267" i="5" a="1"/>
  <c r="CE267" i="5"/>
  <c r="CE268" i="5" a="1"/>
  <c r="CE268" i="5" s="1"/>
  <c r="CH268" i="5" s="1"/>
  <c r="CE269" i="5" a="1"/>
  <c r="CE269" i="5"/>
  <c r="CH269" i="5" s="1"/>
  <c r="CE270" i="5" a="1"/>
  <c r="CE270" i="5"/>
  <c r="CE271" i="5" a="1"/>
  <c r="CE271" i="5" s="1"/>
  <c r="CE272" i="5" a="1"/>
  <c r="CE272" i="5" s="1"/>
  <c r="CE273" i="5" a="1"/>
  <c r="CE273" i="5"/>
  <c r="CH273" i="5" s="1"/>
  <c r="CE274" i="5" a="1"/>
  <c r="CE274" i="5" s="1"/>
  <c r="CE275" i="5" a="1"/>
  <c r="CE275" i="5" s="1"/>
  <c r="CE276" i="5" a="1"/>
  <c r="CE276" i="5" s="1"/>
  <c r="CE277" i="5" a="1"/>
  <c r="CE277" i="5" s="1"/>
  <c r="CE278" i="5" a="1"/>
  <c r="CE278" i="5" s="1"/>
  <c r="CE279" i="5" a="1"/>
  <c r="CE279" i="5" s="1"/>
  <c r="CE280" i="5" a="1"/>
  <c r="CE280" i="5" s="1"/>
  <c r="CE281" i="5" a="1"/>
  <c r="CE281" i="5" s="1"/>
  <c r="CI281" i="5" s="1"/>
  <c r="CE282" i="5" a="1"/>
  <c r="CE282" i="5" s="1"/>
  <c r="CH282" i="5" s="1"/>
  <c r="CE283" i="5" a="1"/>
  <c r="CE283" i="5"/>
  <c r="CE284" i="5" a="1"/>
  <c r="CE284" i="5" s="1"/>
  <c r="CE285" i="5" a="1"/>
  <c r="CE285" i="5" s="1"/>
  <c r="CE286" i="5" a="1"/>
  <c r="CE286" i="5" s="1"/>
  <c r="CE287" i="5" a="1"/>
  <c r="CE287" i="5" s="1"/>
  <c r="CE288" i="5" a="1"/>
  <c r="CE288" i="5"/>
  <c r="CI288" i="5" s="1"/>
  <c r="CE289" i="5" a="1"/>
  <c r="CE289" i="5" s="1"/>
  <c r="CE290" i="5" a="1"/>
  <c r="CE290" i="5" s="1"/>
  <c r="CE291" i="5" a="1"/>
  <c r="CE291" i="5" s="1"/>
  <c r="CE292" i="5" a="1"/>
  <c r="CE292" i="5" s="1"/>
  <c r="CE293" i="5" a="1"/>
  <c r="CE293" i="5" s="1"/>
  <c r="CE294" i="5" a="1"/>
  <c r="CE294" i="5" s="1"/>
  <c r="CE295" i="5" a="1"/>
  <c r="CE295" i="5"/>
  <c r="CE296" i="5" a="1"/>
  <c r="CE296" i="5" s="1"/>
  <c r="CE297" i="5" a="1"/>
  <c r="CE297" i="5" s="1"/>
  <c r="CE298" i="5" a="1"/>
  <c r="CE298" i="5" s="1"/>
  <c r="CE299" i="5" a="1"/>
  <c r="CE299" i="5" s="1"/>
  <c r="CE300" i="5" a="1"/>
  <c r="CE300" i="5" s="1"/>
  <c r="CE301" i="5" a="1"/>
  <c r="CE301" i="5" s="1"/>
  <c r="CI301" i="5" s="1"/>
  <c r="CE302" i="5" a="1"/>
  <c r="CE302" i="5" s="1"/>
  <c r="CE303" i="5" a="1"/>
  <c r="CE303" i="5" s="1"/>
  <c r="CE304" i="5" a="1"/>
  <c r="CE304" i="5" s="1"/>
  <c r="CH304" i="5" s="1"/>
  <c r="CE305" i="5" a="1"/>
  <c r="CE305" i="5" s="1"/>
  <c r="CE306" i="5" a="1"/>
  <c r="CE306" i="5"/>
  <c r="CE307" i="5" a="1"/>
  <c r="CE307" i="5" s="1"/>
  <c r="CE308" i="5" a="1"/>
  <c r="CE308" i="5" s="1"/>
  <c r="CE309" i="5" a="1"/>
  <c r="CE309" i="5" s="1"/>
  <c r="CE310" i="5" a="1"/>
  <c r="CE310" i="5" s="1"/>
  <c r="CI310" i="5" s="1"/>
  <c r="CE311" i="5" a="1"/>
  <c r="CE311" i="5" s="1"/>
  <c r="CE312" i="5" a="1"/>
  <c r="CE312" i="5" s="1"/>
  <c r="CE313" i="5" a="1"/>
  <c r="CE313" i="5"/>
  <c r="CE314" i="5" a="1"/>
  <c r="CE314" i="5" s="1"/>
  <c r="CE315" i="5" a="1"/>
  <c r="CE315" i="5" s="1"/>
  <c r="CE316" i="5" a="1"/>
  <c r="CE316" i="5" s="1"/>
  <c r="CE317" i="5" a="1"/>
  <c r="CE317" i="5" s="1"/>
  <c r="CE318" i="5" a="1"/>
  <c r="CE318" i="5"/>
  <c r="CI318" i="5" s="1"/>
  <c r="CE319" i="5" a="1"/>
  <c r="CE319" i="5" s="1"/>
  <c r="CE320" i="5" a="1"/>
  <c r="CE320" i="5" s="1"/>
  <c r="CE321" i="5" a="1"/>
  <c r="CE321" i="5" s="1"/>
  <c r="CE322" i="5" a="1"/>
  <c r="CE322" i="5" s="1"/>
  <c r="CE323" i="5" a="1"/>
  <c r="CE323" i="5" s="1"/>
  <c r="CE324" i="5" a="1"/>
  <c r="CE324" i="5" s="1"/>
  <c r="CE325" i="5" a="1"/>
  <c r="CE325" i="5"/>
  <c r="CI325" i="5" s="1"/>
  <c r="CE326" i="5" a="1"/>
  <c r="CE326" i="5"/>
  <c r="CH326" i="5" s="1"/>
  <c r="CE327" i="5" a="1"/>
  <c r="CE327" i="5" s="1"/>
  <c r="CE328" i="5" a="1"/>
  <c r="CE328" i="5"/>
  <c r="CE329" i="5" a="1"/>
  <c r="CE329" i="5" s="1"/>
  <c r="CE330" i="5" a="1"/>
  <c r="CE330" i="5" s="1"/>
  <c r="CE331" i="5" a="1"/>
  <c r="CE331" i="5"/>
  <c r="CE332" i="5" a="1"/>
  <c r="CE332" i="5" s="1"/>
  <c r="CI332" i="5" s="1"/>
  <c r="CE333" i="5" a="1"/>
  <c r="CE333" i="5"/>
  <c r="CH333" i="5" s="1"/>
  <c r="CE334" i="5" a="1"/>
  <c r="CE334" i="5" s="1"/>
  <c r="CE335" i="5" a="1"/>
  <c r="CE335" i="5" s="1"/>
  <c r="CE336" i="5" a="1"/>
  <c r="CE336" i="5" s="1"/>
  <c r="CE337" i="5" a="1"/>
  <c r="CE337" i="5" s="1"/>
  <c r="CE338" i="5" a="1"/>
  <c r="CE338" i="5" s="1"/>
  <c r="CE339" i="5" a="1"/>
  <c r="CE339" i="5" s="1"/>
  <c r="CE340" i="5" a="1"/>
  <c r="CE340" i="5" s="1"/>
  <c r="CI340" i="5" s="1"/>
  <c r="CE341" i="5" a="1"/>
  <c r="CE341" i="5" s="1"/>
  <c r="CE342" i="5" a="1"/>
  <c r="CE342" i="5" s="1"/>
  <c r="CH342" i="5" s="1"/>
  <c r="CE343" i="5" a="1"/>
  <c r="CE343" i="5" s="1"/>
  <c r="CE344" i="5" a="1"/>
  <c r="CE344" i="5" s="1"/>
  <c r="CE345" i="5" a="1"/>
  <c r="CE345" i="5" s="1"/>
  <c r="CI345" i="5" s="1"/>
  <c r="CE346" i="5" a="1"/>
  <c r="CE346" i="5" s="1"/>
  <c r="CE347" i="5" a="1"/>
  <c r="CE347" i="5" s="1"/>
  <c r="CE348" i="5" a="1"/>
  <c r="CE348" i="5" s="1"/>
  <c r="CE349" i="5" a="1"/>
  <c r="CE349" i="5" s="1"/>
  <c r="CH349" i="5" s="1"/>
  <c r="CE350" i="5" a="1"/>
  <c r="CE350" i="5" s="1"/>
  <c r="CE351" i="5" a="1"/>
  <c r="CE351" i="5" s="1"/>
  <c r="CI351" i="5" s="1"/>
  <c r="CE352" i="5" a="1"/>
  <c r="CE352" i="5" s="1"/>
  <c r="CE353" i="5" a="1"/>
  <c r="CE353" i="5"/>
  <c r="CE354" i="5" a="1"/>
  <c r="CE354" i="5" s="1"/>
  <c r="CI354" i="5" s="1"/>
  <c r="CE355" i="5" a="1"/>
  <c r="CE355" i="5" s="1"/>
  <c r="CE356" i="5" a="1"/>
  <c r="CE356" i="5" s="1"/>
  <c r="CE357" i="5" a="1"/>
  <c r="CE357" i="5" s="1"/>
  <c r="CE358" i="5" a="1"/>
  <c r="CE358" i="5" s="1"/>
  <c r="CE359" i="5" a="1"/>
  <c r="CE359" i="5" s="1"/>
  <c r="CE360" i="5" a="1"/>
  <c r="CE360" i="5" s="1"/>
  <c r="CE361" i="5" a="1"/>
  <c r="CE361" i="5" s="1"/>
  <c r="CE362" i="5" a="1"/>
  <c r="CE362" i="5" s="1"/>
  <c r="CI362" i="5" s="1"/>
  <c r="CE363" i="5" a="1"/>
  <c r="CE363" i="5"/>
  <c r="CH363" i="5" s="1"/>
  <c r="CE364" i="5" a="1"/>
  <c r="CE364" i="5" s="1"/>
  <c r="CE365" i="5" a="1"/>
  <c r="CE365" i="5" s="1"/>
  <c r="CE366" i="5" a="1"/>
  <c r="CE366" i="5" s="1"/>
  <c r="CE367" i="5" a="1"/>
  <c r="CE367" i="5" s="1"/>
  <c r="CE368" i="5" a="1"/>
  <c r="CE368" i="5" s="1"/>
  <c r="CE369" i="5" a="1"/>
  <c r="CE369" i="5" s="1"/>
  <c r="CE370" i="5" a="1"/>
  <c r="CE370" i="5" s="1"/>
  <c r="CI370" i="5" s="1"/>
  <c r="CE371" i="5" a="1"/>
  <c r="CE371" i="5" s="1"/>
  <c r="CE372" i="5" a="1"/>
  <c r="CE372" i="5" s="1"/>
  <c r="CE373" i="5" a="1"/>
  <c r="CE373" i="5"/>
  <c r="CE374" i="5" a="1"/>
  <c r="CE374" i="5" s="1"/>
  <c r="CE375" i="5" a="1"/>
  <c r="CE375" i="5" s="1"/>
  <c r="CE376" i="5" a="1"/>
  <c r="CE376" i="5"/>
  <c r="CH376" i="5" s="1"/>
  <c r="CE377" i="5" a="1"/>
  <c r="CE377" i="5" s="1"/>
  <c r="CE378" i="5" a="1"/>
  <c r="CE378" i="5" s="1"/>
  <c r="CE379" i="5" a="1"/>
  <c r="CE379" i="5" s="1"/>
  <c r="CE380" i="5" a="1"/>
  <c r="CE380" i="5" s="1"/>
  <c r="CE381" i="5" a="1"/>
  <c r="CE381" i="5" s="1"/>
  <c r="CI381" i="5" s="1"/>
  <c r="CE382" i="5" a="1"/>
  <c r="CE382" i="5" s="1"/>
  <c r="CE383" i="5" a="1"/>
  <c r="CE383" i="5"/>
  <c r="CH383" i="5" s="1"/>
  <c r="CE384" i="5" a="1"/>
  <c r="CE384" i="5" s="1"/>
  <c r="CE385" i="5" a="1"/>
  <c r="CE385" i="5" s="1"/>
  <c r="CE386" i="5" a="1"/>
  <c r="CE386" i="5" s="1"/>
  <c r="CE387" i="5" a="1"/>
  <c r="CE387" i="5" s="1"/>
  <c r="CE388" i="5" a="1"/>
  <c r="CE388" i="5" s="1"/>
  <c r="CE389" i="5" a="1"/>
  <c r="CE389" i="5" s="1"/>
  <c r="CE390" i="5" a="1"/>
  <c r="CE390" i="5" s="1"/>
  <c r="CE391" i="5" a="1"/>
  <c r="CE391" i="5" s="1"/>
  <c r="CE392" i="5" a="1"/>
  <c r="CE392" i="5" s="1"/>
  <c r="CH392" i="5" s="1"/>
  <c r="CE393" i="5" a="1"/>
  <c r="CE393" i="5"/>
  <c r="CE394" i="5" a="1"/>
  <c r="CE394" i="5" s="1"/>
  <c r="CE395" i="5" a="1"/>
  <c r="CE395" i="5" s="1"/>
  <c r="CE396" i="5" a="1"/>
  <c r="CE396" i="5" s="1"/>
  <c r="CE397" i="5" a="1"/>
  <c r="CE397" i="5" s="1"/>
  <c r="CE398" i="5" a="1"/>
  <c r="CE398" i="5"/>
  <c r="CE399" i="5" a="1"/>
  <c r="CE399" i="5" s="1"/>
  <c r="CI399" i="5" s="1"/>
  <c r="CE400" i="5" a="1"/>
  <c r="CE400" i="5"/>
  <c r="CE401" i="5" a="1"/>
  <c r="CE401" i="5" s="1"/>
  <c r="CI401" i="5" s="1"/>
  <c r="CE402" i="5" a="1"/>
  <c r="CE402" i="5" s="1"/>
  <c r="CE403" i="5" a="1"/>
  <c r="CE403" i="5" s="1"/>
  <c r="CE404" i="5" a="1"/>
  <c r="CE404" i="5" s="1"/>
  <c r="CE405" i="5" a="1"/>
  <c r="CE405" i="5" s="1"/>
  <c r="CE406" i="5" a="1"/>
  <c r="CE406" i="5" s="1"/>
  <c r="CE407" i="5" a="1"/>
  <c r="CE407" i="5" s="1"/>
  <c r="CH407" i="5" s="1"/>
  <c r="CE408" i="5" a="1"/>
  <c r="CE408" i="5" s="1"/>
  <c r="CE409" i="5" a="1"/>
  <c r="CE409" i="5" s="1"/>
  <c r="CE410" i="5" a="1"/>
  <c r="CE410" i="5" s="1"/>
  <c r="CE411" i="5" a="1"/>
  <c r="CE411" i="5" s="1"/>
  <c r="CE412" i="5" a="1"/>
  <c r="CE412" i="5" s="1"/>
  <c r="CE413" i="5" a="1"/>
  <c r="CE413" i="5"/>
  <c r="CH413" i="5" s="1"/>
  <c r="CE414" i="5" a="1"/>
  <c r="CE414" i="5" s="1"/>
  <c r="CE415" i="5" a="1"/>
  <c r="CE415" i="5" s="1"/>
  <c r="CH415" i="5" s="1"/>
  <c r="CE416" i="5" a="1"/>
  <c r="CE416" i="5" s="1"/>
  <c r="CE417" i="5" a="1"/>
  <c r="CE417" i="5" s="1"/>
  <c r="CE418" i="5" a="1"/>
  <c r="CE418" i="5" s="1"/>
  <c r="CE419" i="5" a="1"/>
  <c r="CE419" i="5" s="1"/>
  <c r="CE420" i="5" a="1"/>
  <c r="CE420" i="5"/>
  <c r="CE421" i="5" a="1"/>
  <c r="CE421" i="5" s="1"/>
  <c r="CE422" i="5" a="1"/>
  <c r="CE422" i="5" s="1"/>
  <c r="CE423" i="5" a="1"/>
  <c r="CE423" i="5" s="1"/>
  <c r="CE424" i="5" a="1"/>
  <c r="CE424" i="5" s="1"/>
  <c r="CE425" i="5" a="1"/>
  <c r="CE425" i="5" s="1"/>
  <c r="CE426" i="5" a="1"/>
  <c r="CE426" i="5" s="1"/>
  <c r="CE427" i="5" a="1"/>
  <c r="CE427" i="5" s="1"/>
  <c r="CE428" i="5" a="1"/>
  <c r="CE428" i="5" s="1"/>
  <c r="CE429" i="5" a="1"/>
  <c r="CE429" i="5" s="1"/>
  <c r="CE430" i="5" a="1"/>
  <c r="CE430" i="5" s="1"/>
  <c r="CE431" i="5" a="1"/>
  <c r="CE431" i="5"/>
  <c r="CE432" i="5" a="1"/>
  <c r="CE432" i="5" s="1"/>
  <c r="CE433" i="5" a="1"/>
  <c r="CE433" i="5" s="1"/>
  <c r="CE434" i="5" a="1"/>
  <c r="CE434" i="5" s="1"/>
  <c r="CE435" i="5" a="1"/>
  <c r="CE435" i="5" s="1"/>
  <c r="CH435" i="5" s="1"/>
  <c r="CE436" i="5" a="1"/>
  <c r="CE436" i="5" s="1"/>
  <c r="CE437" i="5" a="1"/>
  <c r="CE437" i="5" s="1"/>
  <c r="CE438" i="5" a="1"/>
  <c r="CE438" i="5" s="1"/>
  <c r="CE439" i="5" a="1"/>
  <c r="CE439" i="5" s="1"/>
  <c r="CE440" i="5" a="1"/>
  <c r="CE440" i="5" s="1"/>
  <c r="CE441" i="5" a="1"/>
  <c r="CE441" i="5" s="1"/>
  <c r="CE442" i="5" a="1"/>
  <c r="CE442" i="5" s="1"/>
  <c r="CE443" i="5" a="1"/>
  <c r="CE443" i="5"/>
  <c r="CI443" i="5" s="1"/>
  <c r="CH2" i="5"/>
  <c r="CH4" i="5"/>
  <c r="CH6" i="5"/>
  <c r="CH14" i="5"/>
  <c r="CH16" i="5"/>
  <c r="CH17" i="5"/>
  <c r="CH18" i="5"/>
  <c r="CH24" i="5"/>
  <c r="CH26" i="5"/>
  <c r="CH27" i="5"/>
  <c r="CH37" i="5"/>
  <c r="CH38" i="5"/>
  <c r="CH42" i="5"/>
  <c r="CH46" i="5"/>
  <c r="CH53" i="5"/>
  <c r="CH56" i="5"/>
  <c r="CH65" i="5"/>
  <c r="CH68" i="5"/>
  <c r="CH73" i="5"/>
  <c r="CH77" i="5"/>
  <c r="CH79" i="5"/>
  <c r="CH82" i="5"/>
  <c r="CH85" i="5"/>
  <c r="CH86" i="5"/>
  <c r="CH88" i="5"/>
  <c r="CH95" i="5"/>
  <c r="CH99" i="5"/>
  <c r="CH106" i="5"/>
  <c r="CH108" i="5"/>
  <c r="CH112" i="5"/>
  <c r="CH118" i="5"/>
  <c r="CH119" i="5"/>
  <c r="CH120" i="5"/>
  <c r="CH122" i="5"/>
  <c r="CH126" i="5"/>
  <c r="CH129" i="5"/>
  <c r="CH132" i="5"/>
  <c r="CH137" i="5"/>
  <c r="CH138" i="5"/>
  <c r="CH140" i="5"/>
  <c r="CH143" i="5"/>
  <c r="CH146" i="5"/>
  <c r="CH147" i="5"/>
  <c r="CH149" i="5"/>
  <c r="CH152" i="5"/>
  <c r="CH156" i="5"/>
  <c r="CH162" i="5"/>
  <c r="CH168" i="5"/>
  <c r="CH173" i="5"/>
  <c r="CH177" i="5"/>
  <c r="CH179" i="5"/>
  <c r="CH188" i="5"/>
  <c r="CH189" i="5"/>
  <c r="CH195" i="5"/>
  <c r="CH196" i="5"/>
  <c r="CH203" i="5"/>
  <c r="CH206" i="5"/>
  <c r="CH207" i="5"/>
  <c r="CH210" i="5"/>
  <c r="CH214" i="5"/>
  <c r="CH218" i="5"/>
  <c r="CH226" i="5"/>
  <c r="CH229" i="5"/>
  <c r="CH234" i="5"/>
  <c r="CH238" i="5"/>
  <c r="CH240" i="5"/>
  <c r="CH242" i="5"/>
  <c r="CH245" i="5"/>
  <c r="CH246" i="5"/>
  <c r="CH249" i="5"/>
  <c r="CH252" i="5"/>
  <c r="CH254" i="5"/>
  <c r="CH256" i="5"/>
  <c r="CH257" i="5"/>
  <c r="CH265" i="5"/>
  <c r="CH266" i="5"/>
  <c r="CH267" i="5"/>
  <c r="CH270" i="5"/>
  <c r="CH276" i="5"/>
  <c r="CH277" i="5"/>
  <c r="CH279" i="5"/>
  <c r="CH283" i="5"/>
  <c r="CH284" i="5"/>
  <c r="CH287" i="5"/>
  <c r="CH288" i="5"/>
  <c r="CH289" i="5"/>
  <c r="CH290" i="5"/>
  <c r="CH292" i="5"/>
  <c r="CH295" i="5"/>
  <c r="CH297" i="5"/>
  <c r="CH299" i="5"/>
  <c r="CH305" i="5"/>
  <c r="CH306" i="5"/>
  <c r="CH307" i="5"/>
  <c r="CH312" i="5"/>
  <c r="CH313" i="5"/>
  <c r="CH314" i="5"/>
  <c r="CH315" i="5"/>
  <c r="CH316" i="5"/>
  <c r="CH318" i="5"/>
  <c r="CH319" i="5"/>
  <c r="CH322" i="5"/>
  <c r="CH324" i="5"/>
  <c r="CH328" i="5"/>
  <c r="CH329" i="5"/>
  <c r="CH334" i="5"/>
  <c r="CH335" i="5"/>
  <c r="CH339" i="5"/>
  <c r="CH344" i="5"/>
  <c r="CH346" i="5"/>
  <c r="CH347" i="5"/>
  <c r="CH352" i="5"/>
  <c r="CH353" i="5"/>
  <c r="CH355" i="5"/>
  <c r="CH357" i="5"/>
  <c r="CH362" i="5"/>
  <c r="CH364" i="5"/>
  <c r="CH365" i="5"/>
  <c r="CH367" i="5"/>
  <c r="CH369" i="5"/>
  <c r="CH372" i="5"/>
  <c r="CH373" i="5"/>
  <c r="CH374" i="5"/>
  <c r="CH377" i="5"/>
  <c r="CH379" i="5"/>
  <c r="CH382" i="5"/>
  <c r="CH384" i="5"/>
  <c r="CH386" i="5"/>
  <c r="CH387" i="5"/>
  <c r="CH389" i="5"/>
  <c r="CH390" i="5"/>
  <c r="CH393" i="5"/>
  <c r="CH394" i="5"/>
  <c r="CH397" i="5"/>
  <c r="CH398" i="5"/>
  <c r="CH400" i="5"/>
  <c r="CH402" i="5"/>
  <c r="CH404" i="5"/>
  <c r="CH405" i="5"/>
  <c r="CH409" i="5"/>
  <c r="CH410" i="5"/>
  <c r="CH412" i="5"/>
  <c r="CH414" i="5"/>
  <c r="CH416" i="5"/>
  <c r="CH417" i="5"/>
  <c r="CH419" i="5"/>
  <c r="CH422" i="5"/>
  <c r="CH424" i="5"/>
  <c r="CH432" i="5"/>
  <c r="CH437" i="5"/>
  <c r="CH439" i="5"/>
  <c r="CH440" i="5"/>
  <c r="CI2" i="5"/>
  <c r="CI4" i="5"/>
  <c r="CI6" i="5"/>
  <c r="CI7" i="5"/>
  <c r="CI14" i="5"/>
  <c r="CI15" i="5"/>
  <c r="CI17" i="5"/>
  <c r="CI18" i="5"/>
  <c r="CI21" i="5"/>
  <c r="CI24" i="5"/>
  <c r="CI26" i="5"/>
  <c r="CI27" i="5"/>
  <c r="CI31" i="5"/>
  <c r="CI33" i="5"/>
  <c r="CI35" i="5"/>
  <c r="CI36" i="5"/>
  <c r="CI37" i="5"/>
  <c r="CI38" i="5"/>
  <c r="CI42" i="5"/>
  <c r="CI43" i="5"/>
  <c r="CI46" i="5"/>
  <c r="CI53" i="5"/>
  <c r="CI55" i="5"/>
  <c r="CI56" i="5"/>
  <c r="CI57" i="5"/>
  <c r="CI61" i="5"/>
  <c r="CI63" i="5"/>
  <c r="CI64" i="5"/>
  <c r="CI65" i="5"/>
  <c r="CI68" i="5"/>
  <c r="CI71" i="5"/>
  <c r="CI73" i="5"/>
  <c r="CI75" i="5"/>
  <c r="CI77" i="5"/>
  <c r="CI82" i="5"/>
  <c r="CI85" i="5"/>
  <c r="CI86" i="5"/>
  <c r="CI88" i="5"/>
  <c r="CI91" i="5"/>
  <c r="CI92" i="5"/>
  <c r="CI95" i="5"/>
  <c r="CI97" i="5"/>
  <c r="CI99" i="5"/>
  <c r="CI103" i="5"/>
  <c r="CI106" i="5"/>
  <c r="CI107" i="5"/>
  <c r="CI108" i="5"/>
  <c r="CI112" i="5"/>
  <c r="CI115" i="5"/>
  <c r="CI118" i="5"/>
  <c r="CI119" i="5"/>
  <c r="CI120" i="5"/>
  <c r="CI121" i="5"/>
  <c r="CI122" i="5"/>
  <c r="CI125" i="5"/>
  <c r="CI126" i="5"/>
  <c r="CI127" i="5"/>
  <c r="CI129" i="5"/>
  <c r="CI131" i="5"/>
  <c r="CI132" i="5"/>
  <c r="CI134" i="5"/>
  <c r="CI136" i="5"/>
  <c r="CI138" i="5"/>
  <c r="CI140" i="5"/>
  <c r="CI141" i="5"/>
  <c r="CI143" i="5"/>
  <c r="CI146" i="5"/>
  <c r="CI147" i="5"/>
  <c r="CI149" i="5"/>
  <c r="CI151" i="5"/>
  <c r="CI152" i="5"/>
  <c r="CI155" i="5"/>
  <c r="CI156" i="5"/>
  <c r="CI161" i="5"/>
  <c r="CI162" i="5"/>
  <c r="CI164" i="5"/>
  <c r="CI166" i="5"/>
  <c r="CI168" i="5"/>
  <c r="CI169" i="5"/>
  <c r="CI170" i="5"/>
  <c r="CI171" i="5"/>
  <c r="CI173" i="5"/>
  <c r="CI175" i="5"/>
  <c r="CI176" i="5"/>
  <c r="CI177" i="5"/>
  <c r="CI179" i="5"/>
  <c r="CI181" i="5"/>
  <c r="CI183" i="5"/>
  <c r="CI184" i="5"/>
  <c r="CI186" i="5"/>
  <c r="CI187" i="5"/>
  <c r="CI188" i="5"/>
  <c r="CI189" i="5"/>
  <c r="CI191" i="5"/>
  <c r="CI193" i="5"/>
  <c r="CI195" i="5"/>
  <c r="CI196" i="5"/>
  <c r="CI197" i="5"/>
  <c r="CI198" i="5"/>
  <c r="CI199" i="5"/>
  <c r="CI201" i="5"/>
  <c r="CI203" i="5"/>
  <c r="CI205" i="5"/>
  <c r="CI206" i="5"/>
  <c r="CI207" i="5"/>
  <c r="CI210" i="5"/>
  <c r="CI211" i="5"/>
  <c r="CI212" i="5"/>
  <c r="CI214" i="5"/>
  <c r="CI217" i="5"/>
  <c r="CI218" i="5"/>
  <c r="CI221" i="5"/>
  <c r="CI223" i="5"/>
  <c r="CI226" i="5"/>
  <c r="CI227" i="5"/>
  <c r="CI229" i="5"/>
  <c r="CI231" i="5"/>
  <c r="CI232" i="5"/>
  <c r="CI233" i="5"/>
  <c r="CI234" i="5"/>
  <c r="CI236" i="5"/>
  <c r="CI237" i="5"/>
  <c r="CI238" i="5"/>
  <c r="CI240" i="5"/>
  <c r="CI241" i="5"/>
  <c r="CI242" i="5"/>
  <c r="CI246" i="5"/>
  <c r="CI247" i="5"/>
  <c r="CI248" i="5"/>
  <c r="CI249" i="5"/>
  <c r="CI252" i="5"/>
  <c r="CI253" i="5"/>
  <c r="CI254" i="5"/>
  <c r="CI256" i="5"/>
  <c r="CI257" i="5"/>
  <c r="CI259" i="5"/>
  <c r="CI262" i="5"/>
  <c r="CI265" i="5"/>
  <c r="CI266" i="5"/>
  <c r="CI267" i="5"/>
  <c r="CI269" i="5"/>
  <c r="CI270" i="5"/>
  <c r="CI271" i="5"/>
  <c r="CI273" i="5"/>
  <c r="CI276" i="5"/>
  <c r="CI277" i="5"/>
  <c r="CI279" i="5"/>
  <c r="CI282" i="5"/>
  <c r="CI283" i="5"/>
  <c r="CI284" i="5"/>
  <c r="CI285" i="5"/>
  <c r="CI286" i="5"/>
  <c r="CI287" i="5"/>
  <c r="CI289" i="5"/>
  <c r="CI290" i="5"/>
  <c r="CI292" i="5"/>
  <c r="CI295" i="5"/>
  <c r="CI296" i="5"/>
  <c r="CI297" i="5"/>
  <c r="CI299" i="5"/>
  <c r="CI302" i="5"/>
  <c r="CI304" i="5"/>
  <c r="CI305" i="5"/>
  <c r="CI306" i="5"/>
  <c r="CI307" i="5"/>
  <c r="CI309" i="5"/>
  <c r="CI312" i="5"/>
  <c r="CI313" i="5"/>
  <c r="CI314" i="5"/>
  <c r="CI315" i="5"/>
  <c r="CI316" i="5"/>
  <c r="CI317" i="5"/>
  <c r="CI319" i="5"/>
  <c r="CI322" i="5"/>
  <c r="CI324" i="5"/>
  <c r="CI326" i="5"/>
  <c r="CI327" i="5"/>
  <c r="CI328" i="5"/>
  <c r="CI329" i="5"/>
  <c r="CI331" i="5"/>
  <c r="CI333" i="5"/>
  <c r="CI334" i="5"/>
  <c r="CI335" i="5"/>
  <c r="CI336" i="5"/>
  <c r="CI339" i="5"/>
  <c r="CI342" i="5"/>
  <c r="CI344" i="5"/>
  <c r="CI346" i="5"/>
  <c r="CI347" i="5"/>
  <c r="CI349" i="5"/>
  <c r="CI352" i="5"/>
  <c r="CI353" i="5"/>
  <c r="CI355" i="5"/>
  <c r="CI357" i="5"/>
  <c r="CI363" i="5"/>
  <c r="CI364" i="5"/>
  <c r="CI365" i="5"/>
  <c r="CI367" i="5"/>
  <c r="CI369" i="5"/>
  <c r="CI372" i="5"/>
  <c r="CI373" i="5"/>
  <c r="CI374" i="5"/>
  <c r="CI376" i="5"/>
  <c r="CI377" i="5"/>
  <c r="CI379" i="5"/>
  <c r="CI382" i="5"/>
  <c r="CI384" i="5"/>
  <c r="CI385" i="5"/>
  <c r="CI386" i="5"/>
  <c r="CI387" i="5"/>
  <c r="CI389" i="5"/>
  <c r="CI390" i="5"/>
  <c r="CI392" i="5"/>
  <c r="CI393" i="5"/>
  <c r="CI394" i="5"/>
  <c r="CI396" i="5"/>
  <c r="CI397" i="5"/>
  <c r="CI398" i="5"/>
  <c r="CI400" i="5"/>
  <c r="CI402" i="5"/>
  <c r="CI404" i="5"/>
  <c r="CI405" i="5"/>
  <c r="CI407" i="5"/>
  <c r="CI409" i="5"/>
  <c r="CI410" i="5"/>
  <c r="CI412" i="5"/>
  <c r="CI413" i="5"/>
  <c r="CI414" i="5"/>
  <c r="CI415" i="5"/>
  <c r="CI416" i="5"/>
  <c r="CI417" i="5"/>
  <c r="CI419" i="5"/>
  <c r="CI422" i="5"/>
  <c r="CI424" i="5"/>
  <c r="CI431" i="5"/>
  <c r="CI432" i="5"/>
  <c r="CI434" i="5"/>
  <c r="CI435" i="5"/>
  <c r="CI437" i="5"/>
  <c r="CI439" i="5"/>
  <c r="CI440" i="5"/>
  <c r="CO137" i="5" a="1"/>
  <c r="CO137" i="5" s="1"/>
  <c r="CO165" i="5" a="1"/>
  <c r="CO165" i="5" s="1"/>
  <c r="CO182" i="5" a="1"/>
  <c r="CO182" i="5" s="1"/>
  <c r="CO183" i="5" a="1"/>
  <c r="CO183" i="5" s="1"/>
  <c r="CO192" i="5" a="1"/>
  <c r="CO192" i="5" s="1"/>
  <c r="CO195" i="5" a="1"/>
  <c r="CO195" i="5" s="1"/>
  <c r="CO202" i="5" a="1"/>
  <c r="CO202" i="5" s="1"/>
  <c r="CO203" i="5" a="1"/>
  <c r="CO203" i="5" s="1"/>
  <c r="CO212" i="5" a="1"/>
  <c r="CO212" i="5" s="1"/>
  <c r="CO213" i="5" a="1"/>
  <c r="CO213" i="5" s="1"/>
  <c r="CO215" i="5" a="1"/>
  <c r="CO215" i="5" s="1"/>
  <c r="CO217" i="5" a="1"/>
  <c r="CO217" i="5" s="1"/>
  <c r="CO223" i="5" a="1"/>
  <c r="CO223" i="5" s="1"/>
  <c r="CO227" i="5" a="1"/>
  <c r="CO227" i="5" s="1"/>
  <c r="CO232" i="5" a="1"/>
  <c r="CO232" i="5" s="1"/>
  <c r="CO233" i="5" a="1"/>
  <c r="CO233" i="5" s="1"/>
  <c r="CO237" i="5" a="1"/>
  <c r="CO237" i="5" s="1"/>
  <c r="CO243" i="5" a="1"/>
  <c r="CO243" i="5" s="1"/>
  <c r="CO245" i="5" a="1"/>
  <c r="CO245" i="5" s="1"/>
  <c r="CO247" i="5" a="1"/>
  <c r="CO247" i="5" s="1"/>
  <c r="CO252" i="5" a="1"/>
  <c r="CO252" i="5" s="1"/>
  <c r="CO253" i="5" a="1"/>
  <c r="CO253" i="5" s="1"/>
  <c r="CO255" i="5" a="1"/>
  <c r="CO255" i="5" s="1"/>
  <c r="CO257" i="5" a="1"/>
  <c r="CO257" i="5" s="1"/>
  <c r="CO261" i="5" a="1"/>
  <c r="CO261" i="5" s="1"/>
  <c r="CO265" i="5" a="1"/>
  <c r="CO265" i="5" s="1"/>
  <c r="CO267" i="5" a="1"/>
  <c r="CO267" i="5" s="1"/>
  <c r="CO272" i="5" a="1"/>
  <c r="CO272" i="5" s="1"/>
  <c r="CO273" i="5" a="1"/>
  <c r="CO273" i="5" s="1"/>
  <c r="CO275" i="5" a="1"/>
  <c r="CO275" i="5" s="1"/>
  <c r="CO277" i="5" a="1"/>
  <c r="CO277" i="5" s="1"/>
  <c r="CO281" i="5" a="1"/>
  <c r="CO281" i="5" s="1"/>
  <c r="CO283" i="5" a="1"/>
  <c r="CO283" i="5" s="1"/>
  <c r="CO285" i="5" a="1"/>
  <c r="CO285" i="5" s="1"/>
  <c r="CO287" i="5" a="1"/>
  <c r="CO287" i="5" s="1"/>
  <c r="CO291" i="5" a="1"/>
  <c r="CO291" i="5" s="1"/>
  <c r="CO295" i="5" a="1"/>
  <c r="CO295" i="5" s="1"/>
  <c r="CO296" i="5" a="1"/>
  <c r="CO296" i="5" s="1"/>
  <c r="CO297" i="5" a="1"/>
  <c r="CO297" i="5" s="1"/>
  <c r="CO301" i="5" a="1"/>
  <c r="CO301" i="5"/>
  <c r="CO302" i="5" a="1"/>
  <c r="CO302" i="5" s="1"/>
  <c r="CO303" i="5" a="1"/>
  <c r="CO303" i="5" s="1"/>
  <c r="CO305" i="5" a="1"/>
  <c r="CO305" i="5" s="1"/>
  <c r="CO313" i="5" a="1"/>
  <c r="CO313" i="5" s="1"/>
  <c r="CO315" i="5" a="1"/>
  <c r="CO315" i="5" s="1"/>
  <c r="CO321" i="5" a="1"/>
  <c r="CO321" i="5" s="1"/>
  <c r="CO323" i="5" a="1"/>
  <c r="CO323" i="5" s="1"/>
  <c r="CO325" i="5" a="1"/>
  <c r="CO325" i="5" s="1"/>
  <c r="CO327" i="5" a="1"/>
  <c r="CO327" i="5" s="1"/>
  <c r="CO335" i="5" a="1"/>
  <c r="CO335" i="5" s="1"/>
  <c r="CO337" i="5" a="1"/>
  <c r="CO337" i="5" s="1"/>
  <c r="CO341" i="5" a="1"/>
  <c r="CO341" i="5" s="1"/>
  <c r="CO343" i="5" a="1"/>
  <c r="CO343" i="5"/>
  <c r="CO345" i="5" a="1"/>
  <c r="CO345" i="5" s="1"/>
  <c r="CO347" i="5" a="1"/>
  <c r="CO347" i="5" s="1"/>
  <c r="CO355" i="5" a="1"/>
  <c r="CO355" i="5" s="1"/>
  <c r="CO361" i="5" a="1"/>
  <c r="CO361" i="5"/>
  <c r="CO363" i="5" a="1"/>
  <c r="CO363" i="5"/>
  <c r="CO365" i="5" a="1"/>
  <c r="CO365" i="5" s="1"/>
  <c r="CO367" i="5" a="1"/>
  <c r="CO367" i="5" s="1"/>
  <c r="CO373" i="5" a="1"/>
  <c r="CO373" i="5" s="1"/>
  <c r="CO375" i="5" a="1"/>
  <c r="CO375" i="5" s="1"/>
  <c r="CO377" i="5" a="1"/>
  <c r="CO377" i="5" s="1"/>
  <c r="CO381" i="5" a="1"/>
  <c r="CO381" i="5"/>
  <c r="CO383" i="5" a="1"/>
  <c r="CO383" i="5"/>
  <c r="CO385" i="5" a="1"/>
  <c r="CO385" i="5"/>
  <c r="CO393" i="5" a="1"/>
  <c r="CO393" i="5" s="1"/>
  <c r="CO395" i="5" a="1"/>
  <c r="CO395" i="5" s="1"/>
  <c r="CO397" i="5" a="1"/>
  <c r="CO397" i="5" s="1"/>
  <c r="CO401" i="5" a="1"/>
  <c r="CO401" i="5"/>
  <c r="CO403" i="5" a="1"/>
  <c r="CO403" i="5"/>
  <c r="CO405" i="5" a="1"/>
  <c r="CO405" i="5"/>
  <c r="CO407" i="5" a="1"/>
  <c r="CO407" i="5" s="1"/>
  <c r="CO411" i="5" a="1"/>
  <c r="CO411" i="5" s="1"/>
  <c r="CO415" i="5" a="1"/>
  <c r="CO415" i="5"/>
  <c r="CO423" i="5" a="1"/>
  <c r="CO423" i="5" s="1"/>
  <c r="CO425" i="5" a="1"/>
  <c r="CO425" i="5" s="1"/>
  <c r="CO433" i="5" a="1"/>
  <c r="CO433" i="5" s="1"/>
  <c r="CO435" i="5" a="1"/>
  <c r="CO435" i="5" s="1"/>
  <c r="CO437" i="5" a="1"/>
  <c r="CO437" i="5" s="1"/>
  <c r="CO443" i="5" a="1"/>
  <c r="CO443" i="5" s="1"/>
  <c r="CP5" i="5" a="1"/>
  <c r="CP5" i="5" s="1"/>
  <c r="CP12" i="5" a="1"/>
  <c r="CP12" i="5"/>
  <c r="CP15" i="5" a="1"/>
  <c r="CP15" i="5" s="1"/>
  <c r="CP21" i="5" a="1"/>
  <c r="CP21" i="5" s="1"/>
  <c r="CP22" i="5" a="1"/>
  <c r="CP22" i="5" s="1"/>
  <c r="CP23" i="5" a="1"/>
  <c r="CP23" i="5" s="1"/>
  <c r="CP25" i="5" a="1"/>
  <c r="CP25" i="5" s="1"/>
  <c r="CP32" i="5" a="1"/>
  <c r="CP32" i="5" s="1"/>
  <c r="CP33" i="5" a="1"/>
  <c r="CP33" i="5" s="1"/>
  <c r="CP35" i="5" a="1"/>
  <c r="CP35" i="5" s="1"/>
  <c r="CP41" i="5" a="1"/>
  <c r="CP41" i="5" s="1"/>
  <c r="CP43" i="5" a="1"/>
  <c r="CP43" i="5" s="1"/>
  <c r="CP45" i="5" a="1"/>
  <c r="CP45" i="5" s="1"/>
  <c r="CP52" i="5" a="1"/>
  <c r="CP52" i="5" s="1"/>
  <c r="CP53" i="5" a="1"/>
  <c r="CP53" i="5" s="1"/>
  <c r="CP55" i="5" a="1"/>
  <c r="CP55" i="5" s="1"/>
  <c r="CP61" i="5" a="1"/>
  <c r="CP61" i="5" s="1"/>
  <c r="CP63" i="5" a="1"/>
  <c r="CP63" i="5" s="1"/>
  <c r="CP65" i="5" a="1"/>
  <c r="CP65" i="5" s="1"/>
  <c r="CP71" i="5" a="1"/>
  <c r="CP71" i="5" s="1"/>
  <c r="CP72" i="5" a="1"/>
  <c r="CP72" i="5" s="1"/>
  <c r="CP73" i="5" a="1"/>
  <c r="CP73" i="5"/>
  <c r="CP82" i="5" a="1"/>
  <c r="CP82" i="5" s="1"/>
  <c r="CP83" i="5" a="1"/>
  <c r="CP83" i="5" s="1"/>
  <c r="CP85" i="5" a="1"/>
  <c r="CP85" i="5" s="1"/>
  <c r="CP91" i="5" a="1"/>
  <c r="CP91" i="5" s="1"/>
  <c r="CP95" i="5" a="1"/>
  <c r="CP95" i="5" s="1"/>
  <c r="CP105" i="5" a="1"/>
  <c r="CP105" i="5" s="1"/>
  <c r="CP115" i="5" a="1"/>
  <c r="CP115" i="5" s="1"/>
  <c r="CP121" i="5" a="1"/>
  <c r="CP121" i="5" s="1"/>
  <c r="CP122" i="5" a="1"/>
  <c r="CP122" i="5" s="1"/>
  <c r="CP123" i="5" a="1"/>
  <c r="CP123" i="5"/>
  <c r="CP127" i="5" a="1"/>
  <c r="CP127" i="5" s="1"/>
  <c r="CP131" i="5" a="1"/>
  <c r="CP131" i="5" s="1"/>
  <c r="CP133" i="5" a="1"/>
  <c r="CP133" i="5" s="1"/>
  <c r="CP135" i="5" a="1"/>
  <c r="CP135" i="5" s="1"/>
  <c r="CP137" i="5" a="1"/>
  <c r="CP137" i="5" s="1"/>
  <c r="CP141" i="5" a="1"/>
  <c r="CP141" i="5" s="1"/>
  <c r="CP142" i="5" a="1"/>
  <c r="CP142" i="5" s="1"/>
  <c r="CP143" i="5" a="1"/>
  <c r="CP143" i="5" s="1"/>
  <c r="CP145" i="5" a="1"/>
  <c r="CP145" i="5" s="1"/>
  <c r="CP151" i="5" a="1"/>
  <c r="CP151" i="5" s="1"/>
  <c r="CP152" i="5" a="1"/>
  <c r="CP152" i="5" s="1"/>
  <c r="CP153" i="5" a="1"/>
  <c r="CP153" i="5" s="1"/>
  <c r="CP155" i="5" a="1"/>
  <c r="CP155" i="5" s="1"/>
  <c r="CP157" i="5" a="1"/>
  <c r="CP157" i="5" s="1"/>
  <c r="CP161" i="5" a="1"/>
  <c r="CP161" i="5" s="1"/>
  <c r="CP163" i="5" a="1"/>
  <c r="CP163" i="5" s="1"/>
  <c r="CP165" i="5" a="1"/>
  <c r="CP165" i="5" s="1"/>
  <c r="CP167" i="5" a="1"/>
  <c r="CP167" i="5" s="1"/>
  <c r="CP172" i="5" a="1"/>
  <c r="CP172" i="5" s="1"/>
  <c r="CP173" i="5" a="1"/>
  <c r="CP173" i="5" s="1"/>
  <c r="CP177" i="5" a="1"/>
  <c r="CP177" i="5" s="1"/>
  <c r="CP181" i="5" a="1"/>
  <c r="CP181" i="5" s="1"/>
  <c r="CP182" i="5" a="1"/>
  <c r="CP182" i="5" s="1"/>
  <c r="CP183" i="5" a="1"/>
  <c r="CP183" i="5" s="1"/>
  <c r="CP185" i="5" a="1"/>
  <c r="CP185" i="5" s="1"/>
  <c r="CP191" i="5" a="1"/>
  <c r="CP191" i="5" s="1"/>
  <c r="CP192" i="5" a="1"/>
  <c r="CP192" i="5" s="1"/>
  <c r="CP193" i="5" a="1"/>
  <c r="CP193" i="5" s="1"/>
  <c r="CP195" i="5" a="1"/>
  <c r="CP195" i="5" s="1"/>
  <c r="CP197" i="5" a="1"/>
  <c r="CP197" i="5" s="1"/>
  <c r="CP201" i="5" a="1"/>
  <c r="CP201" i="5"/>
  <c r="CP202" i="5" a="1"/>
  <c r="CP202" i="5" s="1"/>
  <c r="CP203" i="5" a="1"/>
  <c r="CP203" i="5" s="1"/>
  <c r="CP205" i="5" a="1"/>
  <c r="CP205" i="5" s="1"/>
  <c r="CP211" i="5" a="1"/>
  <c r="CP211" i="5" s="1"/>
  <c r="CP212" i="5" a="1"/>
  <c r="CP212" i="5" s="1"/>
  <c r="CP213" i="5" a="1"/>
  <c r="CP213" i="5" s="1"/>
  <c r="CP215" i="5" a="1"/>
  <c r="CP215" i="5" s="1"/>
  <c r="CP217" i="5" a="1"/>
  <c r="CP217" i="5"/>
  <c r="CP223" i="5" a="1"/>
  <c r="CP223" i="5" s="1"/>
  <c r="CP225" i="5" a="1"/>
  <c r="CP225" i="5" s="1"/>
  <c r="CP227" i="5" a="1"/>
  <c r="CP227" i="5" s="1"/>
  <c r="CP231" i="5" a="1"/>
  <c r="CP231" i="5" s="1"/>
  <c r="CP232" i="5" a="1"/>
  <c r="CP232" i="5" s="1"/>
  <c r="CP233" i="5" a="1"/>
  <c r="CP233" i="5" s="1"/>
  <c r="CP235" i="5" a="1"/>
  <c r="CP235" i="5" s="1"/>
  <c r="CP237" i="5" a="1"/>
  <c r="CP237" i="5"/>
  <c r="CP241" i="5" a="1"/>
  <c r="CP241" i="5" s="1"/>
  <c r="CP242" i="5" a="1"/>
  <c r="CP242" i="5" s="1"/>
  <c r="CP243" i="5" a="1"/>
  <c r="CP243" i="5" s="1"/>
  <c r="CP245" i="5" a="1"/>
  <c r="CP245" i="5" s="1"/>
  <c r="CP247" i="5" a="1"/>
  <c r="CP247" i="5"/>
  <c r="CP251" i="5" a="1"/>
  <c r="CP251" i="5" s="1"/>
  <c r="CP252" i="5" a="1"/>
  <c r="CP252" i="5" s="1"/>
  <c r="CP253" i="5" a="1"/>
  <c r="CP253" i="5" s="1"/>
  <c r="CP255" i="5" a="1"/>
  <c r="CP255" i="5" s="1"/>
  <c r="CP257" i="5" a="1"/>
  <c r="CP257" i="5" s="1"/>
  <c r="CP261" i="5" a="1"/>
  <c r="CP261" i="5" s="1"/>
  <c r="CP263" i="5" a="1"/>
  <c r="CP263" i="5" s="1"/>
  <c r="CP265" i="5" a="1"/>
  <c r="CP265" i="5" s="1"/>
  <c r="CP267" i="5" a="1"/>
  <c r="CP267" i="5" s="1"/>
  <c r="CP272" i="5" a="1"/>
  <c r="CP272" i="5" s="1"/>
  <c r="CP273" i="5" a="1"/>
  <c r="CP273" i="5" s="1"/>
  <c r="CP275" i="5" a="1"/>
  <c r="CP275" i="5" s="1"/>
  <c r="CP277" i="5" a="1"/>
  <c r="CP277" i="5"/>
  <c r="CP281" i="5" a="1"/>
  <c r="CP281" i="5" s="1"/>
  <c r="CP283" i="5" a="1"/>
  <c r="CP283" i="5" s="1"/>
  <c r="CP285" i="5" a="1"/>
  <c r="CP285" i="5" s="1"/>
  <c r="CP287" i="5" a="1"/>
  <c r="CP287" i="5" s="1"/>
  <c r="CP291" i="5" a="1"/>
  <c r="CP291" i="5" s="1"/>
  <c r="CP295" i="5" a="1"/>
  <c r="CP295" i="5" s="1"/>
  <c r="CP296" i="5" a="1"/>
  <c r="CP296" i="5" s="1"/>
  <c r="CP297" i="5" a="1"/>
  <c r="CP297" i="5" s="1"/>
  <c r="CP301" i="5" a="1"/>
  <c r="CP301" i="5"/>
  <c r="CP302" i="5" a="1"/>
  <c r="CP302" i="5" s="1"/>
  <c r="CP303" i="5" a="1"/>
  <c r="CP303" i="5" s="1"/>
  <c r="CP305" i="5" a="1"/>
  <c r="CP305" i="5" s="1"/>
  <c r="CP313" i="5" a="1"/>
  <c r="CP313" i="5" s="1"/>
  <c r="CP315" i="5" a="1"/>
  <c r="CP315" i="5" s="1"/>
  <c r="CP321" i="5" a="1"/>
  <c r="CP321" i="5" s="1"/>
  <c r="CP323" i="5" a="1"/>
  <c r="CP323" i="5"/>
  <c r="CP325" i="5" a="1"/>
  <c r="CP325" i="5" s="1"/>
  <c r="CP327" i="5" a="1"/>
  <c r="CP327" i="5" s="1"/>
  <c r="CP335" i="5" a="1"/>
  <c r="CP335" i="5" s="1"/>
  <c r="CP337" i="5" a="1"/>
  <c r="CP337" i="5" s="1"/>
  <c r="CP341" i="5" a="1"/>
  <c r="CP341" i="5" s="1"/>
  <c r="CP343" i="5" a="1"/>
  <c r="CP343" i="5" s="1"/>
  <c r="CP345" i="5" a="1"/>
  <c r="CP345" i="5" s="1"/>
  <c r="CP347" i="5" a="1"/>
  <c r="CP347" i="5" s="1"/>
  <c r="CP355" i="5" a="1"/>
  <c r="CP355" i="5" s="1"/>
  <c r="CP361" i="5" a="1"/>
  <c r="CP361" i="5" s="1"/>
  <c r="CP363" i="5" a="1"/>
  <c r="CP363" i="5" s="1"/>
  <c r="CP365" i="5" a="1"/>
  <c r="CP365" i="5" s="1"/>
  <c r="CP367" i="5" a="1"/>
  <c r="CP367" i="5" s="1"/>
  <c r="CP373" i="5" a="1"/>
  <c r="CP373" i="5" s="1"/>
  <c r="CP375" i="5" a="1"/>
  <c r="CP375" i="5" s="1"/>
  <c r="CP377" i="5" a="1"/>
  <c r="CP377" i="5"/>
  <c r="CP381" i="5" a="1"/>
  <c r="CP381" i="5" s="1"/>
  <c r="CP383" i="5" a="1"/>
  <c r="CP383" i="5" s="1"/>
  <c r="CP385" i="5" a="1"/>
  <c r="CP385" i="5" s="1"/>
  <c r="CP393" i="5" a="1"/>
  <c r="CP393" i="5" s="1"/>
  <c r="CP395" i="5" a="1"/>
  <c r="CP395" i="5" s="1"/>
  <c r="CP397" i="5" a="1"/>
  <c r="CP397" i="5" s="1"/>
  <c r="CP401" i="5" a="1"/>
  <c r="CP401" i="5"/>
  <c r="CP403" i="5" a="1"/>
  <c r="CP403" i="5" s="1"/>
  <c r="CP405" i="5" a="1"/>
  <c r="CP405" i="5" s="1"/>
  <c r="CP407" i="5" a="1"/>
  <c r="CP407" i="5" s="1"/>
  <c r="CP411" i="5" a="1"/>
  <c r="CP411" i="5" s="1"/>
  <c r="CP415" i="5" a="1"/>
  <c r="CP415" i="5" s="1"/>
  <c r="CP423" i="5" a="1"/>
  <c r="CP423" i="5" s="1"/>
  <c r="CP425" i="5" a="1"/>
  <c r="CP425" i="5" s="1"/>
  <c r="CP433" i="5" a="1"/>
  <c r="CP433" i="5" s="1"/>
  <c r="CP435" i="5" a="1"/>
  <c r="CP435" i="5" s="1"/>
  <c r="CP437" i="5" a="1"/>
  <c r="CP437" i="5" s="1"/>
  <c r="CP443" i="5" a="1"/>
  <c r="CP443" i="5" s="1"/>
  <c r="CR5" i="5" a="1"/>
  <c r="CR5" i="5"/>
  <c r="CR12" i="5" a="1"/>
  <c r="CR12" i="5" s="1"/>
  <c r="CR15" i="5" a="1"/>
  <c r="CR15" i="5" s="1"/>
  <c r="CR21" i="5" a="1"/>
  <c r="CR21" i="5" s="1"/>
  <c r="CR22" i="5" a="1"/>
  <c r="CR22" i="5" s="1"/>
  <c r="CR23" i="5" a="1"/>
  <c r="CR23" i="5" s="1"/>
  <c r="CR25" i="5" a="1"/>
  <c r="CR25" i="5"/>
  <c r="CR32" i="5" a="1"/>
  <c r="CR32" i="5" s="1"/>
  <c r="CR33" i="5" a="1"/>
  <c r="CR33" i="5" s="1"/>
  <c r="CR35" i="5" a="1"/>
  <c r="CR35" i="5"/>
  <c r="CR41" i="5" a="1"/>
  <c r="CR41" i="5" s="1"/>
  <c r="CR43" i="5" a="1"/>
  <c r="CR43" i="5" s="1"/>
  <c r="CR45" i="5" a="1"/>
  <c r="CR45" i="5" s="1"/>
  <c r="CR52" i="5" a="1"/>
  <c r="CR52" i="5"/>
  <c r="CR53" i="5" a="1"/>
  <c r="CR53" i="5"/>
  <c r="CR55" i="5" a="1"/>
  <c r="CR55" i="5"/>
  <c r="CR61" i="5" a="1"/>
  <c r="CR61" i="5" s="1"/>
  <c r="CR63" i="5" a="1"/>
  <c r="CR63" i="5"/>
  <c r="CR65" i="5" a="1"/>
  <c r="CR65" i="5" s="1"/>
  <c r="CR71" i="5" a="1"/>
  <c r="CR71" i="5" s="1"/>
  <c r="CR72" i="5" a="1"/>
  <c r="CR72" i="5" s="1"/>
  <c r="CR73" i="5" a="1"/>
  <c r="CR73" i="5" s="1"/>
  <c r="CR82" i="5" a="1"/>
  <c r="CR82" i="5" s="1"/>
  <c r="CR83" i="5" a="1"/>
  <c r="CR83" i="5"/>
  <c r="CR85" i="5" a="1"/>
  <c r="CR85" i="5"/>
  <c r="CR91" i="5" a="1"/>
  <c r="CR91" i="5" s="1"/>
  <c r="CR95" i="5" a="1"/>
  <c r="CR95" i="5" s="1"/>
  <c r="CR105" i="5" a="1"/>
  <c r="CR105" i="5"/>
  <c r="CR115" i="5" a="1"/>
  <c r="CR115" i="5" s="1"/>
  <c r="CR121" i="5" a="1"/>
  <c r="CR121" i="5" s="1"/>
  <c r="CR122" i="5" a="1"/>
  <c r="CR122" i="5" s="1"/>
  <c r="CR123" i="5" a="1"/>
  <c r="CR123" i="5" s="1"/>
  <c r="CR127" i="5" a="1"/>
  <c r="CR127" i="5" s="1"/>
  <c r="CR131" i="5" a="1"/>
  <c r="CR131" i="5" s="1"/>
  <c r="CR133" i="5" a="1"/>
  <c r="CR133" i="5" s="1"/>
  <c r="CR135" i="5" a="1"/>
  <c r="CR135" i="5" s="1"/>
  <c r="CR137" i="5" a="1"/>
  <c r="CR137" i="5" s="1"/>
  <c r="CR141" i="5" a="1"/>
  <c r="CR141" i="5" s="1"/>
  <c r="CR142" i="5" a="1"/>
  <c r="CR142" i="5" s="1"/>
  <c r="CR143" i="5" a="1"/>
  <c r="CR143" i="5" s="1"/>
  <c r="CR145" i="5" a="1"/>
  <c r="CR145" i="5" s="1"/>
  <c r="CR151" i="5" a="1"/>
  <c r="CR151" i="5" s="1"/>
  <c r="CR152" i="5" a="1"/>
  <c r="CR152" i="5" s="1"/>
  <c r="CR153" i="5" a="1"/>
  <c r="CR153" i="5"/>
  <c r="CR155" i="5" a="1"/>
  <c r="CR155" i="5"/>
  <c r="CR157" i="5" a="1"/>
  <c r="CR157" i="5" s="1"/>
  <c r="CR161" i="5" a="1"/>
  <c r="CR161" i="5" s="1"/>
  <c r="CR163" i="5" a="1"/>
  <c r="CR163" i="5" s="1"/>
  <c r="CR165" i="5" a="1"/>
  <c r="CR165" i="5" s="1"/>
  <c r="CR167" i="5" a="1"/>
  <c r="CR167" i="5" s="1"/>
  <c r="CR172" i="5" a="1"/>
  <c r="CR172" i="5" s="1"/>
  <c r="CR173" i="5" a="1"/>
  <c r="CR173" i="5" s="1"/>
  <c r="CR177" i="5" a="1"/>
  <c r="CR177" i="5" s="1"/>
  <c r="CR181" i="5" a="1"/>
  <c r="CR181" i="5" s="1"/>
  <c r="CR182" i="5" a="1"/>
  <c r="CR182" i="5"/>
  <c r="CR183" i="5" a="1"/>
  <c r="CR183" i="5" s="1"/>
  <c r="CR185" i="5" a="1"/>
  <c r="CR185" i="5" s="1"/>
  <c r="CR191" i="5" a="1"/>
  <c r="CR191" i="5" s="1"/>
  <c r="CR192" i="5" a="1"/>
  <c r="CR192" i="5" s="1"/>
  <c r="CR193" i="5" a="1"/>
  <c r="CR193" i="5"/>
  <c r="CR195" i="5" a="1"/>
  <c r="CR195" i="5" s="1"/>
  <c r="CR197" i="5" a="1"/>
  <c r="CR197" i="5" s="1"/>
  <c r="CR201" i="5" a="1"/>
  <c r="CR201" i="5" s="1"/>
  <c r="CR202" i="5" a="1"/>
  <c r="CR202" i="5"/>
  <c r="CR203" i="5" a="1"/>
  <c r="CR203" i="5"/>
  <c r="CR205" i="5" a="1"/>
  <c r="CR205" i="5"/>
  <c r="CR211" i="5" a="1"/>
  <c r="CR211" i="5" s="1"/>
  <c r="CR212" i="5" a="1"/>
  <c r="CR212" i="5" s="1"/>
  <c r="CR213" i="5" a="1"/>
  <c r="CR213" i="5" s="1"/>
  <c r="CR215" i="5" a="1"/>
  <c r="CR215" i="5" s="1"/>
  <c r="CR217" i="5" a="1"/>
  <c r="CR217" i="5" s="1"/>
  <c r="CR223" i="5" a="1"/>
  <c r="CR223" i="5" s="1"/>
  <c r="CR225" i="5" a="1"/>
  <c r="CR225" i="5" s="1"/>
  <c r="CR227" i="5" a="1"/>
  <c r="CR227" i="5" s="1"/>
  <c r="CR231" i="5" a="1"/>
  <c r="CR231" i="5" s="1"/>
  <c r="CR232" i="5" a="1"/>
  <c r="CR232" i="5" s="1"/>
  <c r="CR233" i="5" a="1"/>
  <c r="CR233" i="5" s="1"/>
  <c r="CR235" i="5" a="1"/>
  <c r="CR235" i="5"/>
  <c r="CR237" i="5" a="1"/>
  <c r="CR237" i="5" s="1"/>
  <c r="CR241" i="5" a="1"/>
  <c r="CR241" i="5" s="1"/>
  <c r="CR242" i="5" a="1"/>
  <c r="CR242" i="5" s="1"/>
  <c r="CR243" i="5" a="1"/>
  <c r="CR243" i="5"/>
  <c r="CR245" i="5" a="1"/>
  <c r="CR245" i="5" s="1"/>
  <c r="CR247" i="5" a="1"/>
  <c r="CR247" i="5" s="1"/>
  <c r="CR251" i="5" a="1"/>
  <c r="CR251" i="5" s="1"/>
  <c r="CR252" i="5" a="1"/>
  <c r="CR252" i="5" s="1"/>
  <c r="CR253" i="5" a="1"/>
  <c r="CR253" i="5" s="1"/>
  <c r="CR255" i="5" a="1"/>
  <c r="CR255" i="5"/>
  <c r="CR257" i="5" a="1"/>
  <c r="CR257" i="5" s="1"/>
  <c r="CR261" i="5" a="1"/>
  <c r="CR261" i="5" s="1"/>
  <c r="CR263" i="5" a="1"/>
  <c r="CR263" i="5" s="1"/>
  <c r="CR265" i="5" a="1"/>
  <c r="CR265" i="5"/>
  <c r="CR267" i="5" a="1"/>
  <c r="CR267" i="5"/>
  <c r="CR272" i="5" a="1"/>
  <c r="CR272" i="5" s="1"/>
  <c r="CR273" i="5" a="1"/>
  <c r="CR273" i="5" s="1"/>
  <c r="CR275" i="5" a="1"/>
  <c r="CR275" i="5"/>
  <c r="CR277" i="5" a="1"/>
  <c r="CR277" i="5" s="1"/>
  <c r="CR281" i="5" a="1"/>
  <c r="CR281" i="5" s="1"/>
  <c r="CR283" i="5" a="1"/>
  <c r="CR283" i="5" s="1"/>
  <c r="CR285" i="5" a="1"/>
  <c r="CR285" i="5" s="1"/>
  <c r="CR287" i="5" a="1"/>
  <c r="CR287" i="5" s="1"/>
  <c r="CR291" i="5" a="1"/>
  <c r="CR291" i="5" s="1"/>
  <c r="CR295" i="5" a="1"/>
  <c r="CR295" i="5" s="1"/>
  <c r="CR296" i="5" a="1"/>
  <c r="CR296" i="5" s="1"/>
  <c r="CR297" i="5" a="1"/>
  <c r="CR297" i="5" s="1"/>
  <c r="CR301" i="5" a="1"/>
  <c r="CR301" i="5" s="1"/>
  <c r="CR302" i="5" a="1"/>
  <c r="CR302" i="5"/>
  <c r="CR303" i="5" a="1"/>
  <c r="CR303" i="5" s="1"/>
  <c r="CR305" i="5" a="1"/>
  <c r="CR305" i="5" s="1"/>
  <c r="CR313" i="5" a="1"/>
  <c r="CR313" i="5"/>
  <c r="CR315" i="5" a="1"/>
  <c r="CR315" i="5" s="1"/>
  <c r="CR321" i="5" a="1"/>
  <c r="CR321" i="5" s="1"/>
  <c r="CR323" i="5" a="1"/>
  <c r="CR323" i="5" s="1"/>
  <c r="CR325" i="5" a="1"/>
  <c r="CR325" i="5" s="1"/>
  <c r="CR327" i="5" a="1"/>
  <c r="CR327" i="5" s="1"/>
  <c r="CR335" i="5" a="1"/>
  <c r="CR335" i="5"/>
  <c r="CR337" i="5" a="1"/>
  <c r="CR337" i="5" s="1"/>
  <c r="CR341" i="5" a="1"/>
  <c r="CR341" i="5" s="1"/>
  <c r="CR343" i="5" a="1"/>
  <c r="CR343" i="5"/>
  <c r="CR345" i="5" a="1"/>
  <c r="CR345" i="5" s="1"/>
  <c r="CR347" i="5" a="1"/>
  <c r="CR347" i="5" s="1"/>
  <c r="CR355" i="5" a="1"/>
  <c r="CR355" i="5" s="1"/>
  <c r="CR361" i="5" a="1"/>
  <c r="CR361" i="5" s="1"/>
  <c r="CR363" i="5" a="1"/>
  <c r="CR363" i="5" s="1"/>
  <c r="CR365" i="5" a="1"/>
  <c r="CR365" i="5" s="1"/>
  <c r="CR367" i="5" a="1"/>
  <c r="CR367" i="5" s="1"/>
  <c r="CR373" i="5" a="1"/>
  <c r="CR373" i="5" s="1"/>
  <c r="CR375" i="5" a="1"/>
  <c r="CR375" i="5" s="1"/>
  <c r="CR377" i="5" a="1"/>
  <c r="CR377" i="5" s="1"/>
  <c r="CR381" i="5" a="1"/>
  <c r="CR381" i="5" s="1"/>
  <c r="CR383" i="5" a="1"/>
  <c r="CR383" i="5"/>
  <c r="CR385" i="5" a="1"/>
  <c r="CR385" i="5" s="1"/>
  <c r="CR393" i="5" a="1"/>
  <c r="CR393" i="5" s="1"/>
  <c r="CR395" i="5" a="1"/>
  <c r="CR395" i="5" s="1"/>
  <c r="CR397" i="5" a="1"/>
  <c r="CR397" i="5"/>
  <c r="CR401" i="5" a="1"/>
  <c r="CR401" i="5" s="1"/>
  <c r="CR403" i="5" a="1"/>
  <c r="CR403" i="5"/>
  <c r="CR405" i="5" a="1"/>
  <c r="CR405" i="5"/>
  <c r="CR407" i="5" a="1"/>
  <c r="CR407" i="5" s="1"/>
  <c r="CR411" i="5" a="1"/>
  <c r="CR411" i="5" s="1"/>
  <c r="CR415" i="5" a="1"/>
  <c r="CR415" i="5"/>
  <c r="CR423" i="5" a="1"/>
  <c r="CR423" i="5" s="1"/>
  <c r="CR425" i="5" a="1"/>
  <c r="CR425" i="5"/>
  <c r="CR433" i="5" a="1"/>
  <c r="CR433" i="5"/>
  <c r="CR435" i="5" a="1"/>
  <c r="CR435" i="5" s="1"/>
  <c r="CR437" i="5" a="1"/>
  <c r="CR437" i="5" s="1"/>
  <c r="CR443" i="5" a="1"/>
  <c r="CR443" i="5" s="1"/>
  <c r="CS5" i="5" a="1"/>
  <c r="CS5" i="5"/>
  <c r="CS12" i="5" a="1"/>
  <c r="CS12" i="5"/>
  <c r="CS15" i="5" a="1"/>
  <c r="CS15" i="5" s="1"/>
  <c r="CS21" i="5" a="1"/>
  <c r="CS21" i="5"/>
  <c r="CS22" i="5" a="1"/>
  <c r="CS22" i="5"/>
  <c r="CS23" i="5" a="1"/>
  <c r="CS23" i="5"/>
  <c r="CS25" i="5" a="1"/>
  <c r="CS25" i="5"/>
  <c r="CS32" i="5" a="1"/>
  <c r="CS32" i="5"/>
  <c r="CS33" i="5" a="1"/>
  <c r="CS33" i="5"/>
  <c r="CS35" i="5" a="1"/>
  <c r="CS35" i="5" s="1"/>
  <c r="CS41" i="5" a="1"/>
  <c r="CS41" i="5"/>
  <c r="CS43" i="5" a="1"/>
  <c r="CS43" i="5" s="1"/>
  <c r="CS45" i="5" a="1"/>
  <c r="CS45" i="5" s="1"/>
  <c r="CS52" i="5" a="1"/>
  <c r="CS52" i="5"/>
  <c r="CS53" i="5" a="1"/>
  <c r="CS53" i="5" s="1"/>
  <c r="CS55" i="5" a="1"/>
  <c r="CS55" i="5" s="1"/>
  <c r="CS61" i="5" a="1"/>
  <c r="CS61" i="5" s="1"/>
  <c r="CS63" i="5" a="1"/>
  <c r="CS63" i="5"/>
  <c r="CS65" i="5" a="1"/>
  <c r="CS65" i="5" s="1"/>
  <c r="CS71" i="5" a="1"/>
  <c r="CS71" i="5" s="1"/>
  <c r="CS72" i="5" a="1"/>
  <c r="CS72" i="5" s="1"/>
  <c r="CS73" i="5" a="1"/>
  <c r="CS73" i="5" s="1"/>
  <c r="CS82" i="5" a="1"/>
  <c r="CS82" i="5"/>
  <c r="CS83" i="5" a="1"/>
  <c r="CS83" i="5" s="1"/>
  <c r="CS85" i="5" a="1"/>
  <c r="CS85" i="5" s="1"/>
  <c r="CS91" i="5" a="1"/>
  <c r="CS91" i="5" s="1"/>
  <c r="CS95" i="5" a="1"/>
  <c r="CS95" i="5" s="1"/>
  <c r="CS105" i="5" a="1"/>
  <c r="CS105" i="5" s="1"/>
  <c r="CS115" i="5" a="1"/>
  <c r="CS115" i="5" s="1"/>
  <c r="CS121" i="5" a="1"/>
  <c r="CS121" i="5"/>
  <c r="CS122" i="5" a="1"/>
  <c r="CS122" i="5"/>
  <c r="CS123" i="5" a="1"/>
  <c r="CS123" i="5"/>
  <c r="CS127" i="5" a="1"/>
  <c r="CS127" i="5"/>
  <c r="CS131" i="5" a="1"/>
  <c r="CS131" i="5" s="1"/>
  <c r="CS133" i="5" a="1"/>
  <c r="CS133" i="5" s="1"/>
  <c r="CS135" i="5" a="1"/>
  <c r="CS135" i="5" s="1"/>
  <c r="CS137" i="5" a="1"/>
  <c r="CS137" i="5" s="1"/>
  <c r="CS141" i="5" a="1"/>
  <c r="CS141" i="5"/>
  <c r="CS142" i="5" a="1"/>
  <c r="CS142" i="5" s="1"/>
  <c r="CS143" i="5" a="1"/>
  <c r="CS143" i="5" s="1"/>
  <c r="CS145" i="5" a="1"/>
  <c r="CS145" i="5" s="1"/>
  <c r="CS151" i="5" a="1"/>
  <c r="CS151" i="5" s="1"/>
  <c r="CS152" i="5" a="1"/>
  <c r="CS152" i="5"/>
  <c r="CS153" i="5" a="1"/>
  <c r="CS153" i="5" s="1"/>
  <c r="CS155" i="5" a="1"/>
  <c r="CS155" i="5" s="1"/>
  <c r="CS157" i="5" a="1"/>
  <c r="CS157" i="5" s="1"/>
  <c r="CS161" i="5" a="1"/>
  <c r="CS161" i="5" s="1"/>
  <c r="CS163" i="5" a="1"/>
  <c r="CS163" i="5"/>
  <c r="CS165" i="5" a="1"/>
  <c r="CS165" i="5" s="1"/>
  <c r="CS167" i="5" a="1"/>
  <c r="CS167" i="5" s="1"/>
  <c r="CS172" i="5" a="1"/>
  <c r="CS172" i="5" s="1"/>
  <c r="CS173" i="5" a="1"/>
  <c r="CS173" i="5" s="1"/>
  <c r="CS177" i="5" a="1"/>
  <c r="CS177" i="5"/>
  <c r="CS181" i="5" a="1"/>
  <c r="CS181" i="5" s="1"/>
  <c r="CS182" i="5" a="1"/>
  <c r="CS182" i="5" s="1"/>
  <c r="CS183" i="5" a="1"/>
  <c r="CS183" i="5" s="1"/>
  <c r="CS185" i="5" a="1"/>
  <c r="CS185" i="5"/>
  <c r="CS191" i="5" a="1"/>
  <c r="CS191" i="5" s="1"/>
  <c r="CS192" i="5" a="1"/>
  <c r="CS192" i="5"/>
  <c r="CS193" i="5" a="1"/>
  <c r="CS193" i="5" s="1"/>
  <c r="CS195" i="5" a="1"/>
  <c r="CS195" i="5" s="1"/>
  <c r="CS197" i="5" a="1"/>
  <c r="CS197" i="5"/>
  <c r="CS201" i="5" a="1"/>
  <c r="CS201" i="5" s="1"/>
  <c r="CS202" i="5" a="1"/>
  <c r="CS202" i="5"/>
  <c r="CS203" i="5" a="1"/>
  <c r="CS203" i="5" s="1"/>
  <c r="CS205" i="5" a="1"/>
  <c r="CS205" i="5"/>
  <c r="CS211" i="5" a="1"/>
  <c r="CS211" i="5" s="1"/>
  <c r="CS212" i="5" a="1"/>
  <c r="CS212" i="5" s="1"/>
  <c r="CS213" i="5" a="1"/>
  <c r="CS213" i="5" s="1"/>
  <c r="CS215" i="5" a="1"/>
  <c r="CS215" i="5" s="1"/>
  <c r="CS217" i="5" a="1"/>
  <c r="CS217" i="5" s="1"/>
  <c r="CS223" i="5" a="1"/>
  <c r="CS223" i="5" s="1"/>
  <c r="CS225" i="5" a="1"/>
  <c r="CS225" i="5"/>
  <c r="CS227" i="5" a="1"/>
  <c r="CS227" i="5"/>
  <c r="CS231" i="5" a="1"/>
  <c r="CS231" i="5" s="1"/>
  <c r="CS232" i="5" a="1"/>
  <c r="CS232" i="5"/>
  <c r="CS233" i="5" a="1"/>
  <c r="CS233" i="5" s="1"/>
  <c r="CS235" i="5" a="1"/>
  <c r="CS235" i="5"/>
  <c r="CS237" i="5" a="1"/>
  <c r="CS237" i="5" s="1"/>
  <c r="CS241" i="5" a="1"/>
  <c r="CS241" i="5" s="1"/>
  <c r="CS242" i="5" a="1"/>
  <c r="CS242" i="5"/>
  <c r="CS243" i="5" a="1"/>
  <c r="CS243" i="5" s="1"/>
  <c r="CS245" i="5" a="1"/>
  <c r="CS245" i="5"/>
  <c r="CS247" i="5" a="1"/>
  <c r="CS247" i="5"/>
  <c r="CS251" i="5" a="1"/>
  <c r="CS251" i="5" s="1"/>
  <c r="CS252" i="5" a="1"/>
  <c r="CS252" i="5" s="1"/>
  <c r="CS253" i="5" a="1"/>
  <c r="CS253" i="5" s="1"/>
  <c r="CS255" i="5" a="1"/>
  <c r="CS255" i="5" s="1"/>
  <c r="CS257" i="5" a="1"/>
  <c r="CS257" i="5" s="1"/>
  <c r="CS261" i="5" a="1"/>
  <c r="CS261" i="5" s="1"/>
  <c r="CS263" i="5" a="1"/>
  <c r="CS263" i="5" s="1"/>
  <c r="CS265" i="5" a="1"/>
  <c r="CS265" i="5" s="1"/>
  <c r="CS267" i="5" a="1"/>
  <c r="CS267" i="5" s="1"/>
  <c r="CS272" i="5" a="1"/>
  <c r="CS272" i="5" s="1"/>
  <c r="CS273" i="5" a="1"/>
  <c r="CS273" i="5" s="1"/>
  <c r="CS275" i="5" a="1"/>
  <c r="CS275" i="5" s="1"/>
  <c r="CS277" i="5" a="1"/>
  <c r="CS277" i="5"/>
  <c r="CS281" i="5" a="1"/>
  <c r="CS281" i="5" s="1"/>
  <c r="CS283" i="5" a="1"/>
  <c r="CS283" i="5" s="1"/>
  <c r="CS285" i="5" a="1"/>
  <c r="CS285" i="5" s="1"/>
  <c r="CS287" i="5" a="1"/>
  <c r="CS287" i="5" s="1"/>
  <c r="CS291" i="5" a="1"/>
  <c r="CS291" i="5" s="1"/>
  <c r="CS295" i="5" a="1"/>
  <c r="CS295" i="5"/>
  <c r="CS296" i="5" a="1"/>
  <c r="CS296" i="5" s="1"/>
  <c r="CS297" i="5" a="1"/>
  <c r="CS297" i="5" s="1"/>
  <c r="CS301" i="5" a="1"/>
  <c r="CS301" i="5" s="1"/>
  <c r="CS302" i="5" a="1"/>
  <c r="CS302" i="5"/>
  <c r="CS303" i="5" a="1"/>
  <c r="CS303" i="5" s="1"/>
  <c r="CS305" i="5" a="1"/>
  <c r="CS305" i="5"/>
  <c r="CS313" i="5" a="1"/>
  <c r="CS313" i="5" s="1"/>
  <c r="CS315" i="5" a="1"/>
  <c r="CS315" i="5" s="1"/>
  <c r="CS321" i="5" a="1"/>
  <c r="CS321" i="5" s="1"/>
  <c r="CS323" i="5" a="1"/>
  <c r="CS323" i="5" s="1"/>
  <c r="CS325" i="5" a="1"/>
  <c r="CS325" i="5"/>
  <c r="CS327" i="5" a="1"/>
  <c r="CS327" i="5" s="1"/>
  <c r="CS335" i="5" a="1"/>
  <c r="CS335" i="5" s="1"/>
  <c r="CS337" i="5" a="1"/>
  <c r="CS337" i="5" s="1"/>
  <c r="CS341" i="5" a="1"/>
  <c r="CS341" i="5" s="1"/>
  <c r="CS343" i="5" a="1"/>
  <c r="CS343" i="5" s="1"/>
  <c r="CS345" i="5" a="1"/>
  <c r="CS345" i="5" s="1"/>
  <c r="CS347" i="5" a="1"/>
  <c r="CS347" i="5" s="1"/>
  <c r="CS355" i="5" a="1"/>
  <c r="CS355" i="5"/>
  <c r="CS361" i="5" a="1"/>
  <c r="CS361" i="5" s="1"/>
  <c r="CS363" i="5" a="1"/>
  <c r="CS363" i="5" s="1"/>
  <c r="CS365" i="5" a="1"/>
  <c r="CS365" i="5" s="1"/>
  <c r="CS367" i="5" a="1"/>
  <c r="CS367" i="5"/>
  <c r="CS373" i="5" a="1"/>
  <c r="CS373" i="5" s="1"/>
  <c r="CS375" i="5" a="1"/>
  <c r="CS375" i="5"/>
  <c r="CS377" i="5" a="1"/>
  <c r="CS377" i="5" s="1"/>
  <c r="CS381" i="5" a="1"/>
  <c r="CS381" i="5" s="1"/>
  <c r="CS383" i="5" a="1"/>
  <c r="CS383" i="5" s="1"/>
  <c r="CS385" i="5" a="1"/>
  <c r="CS385" i="5" s="1"/>
  <c r="CS393" i="5" a="1"/>
  <c r="CS393" i="5" s="1"/>
  <c r="CS395" i="5" a="1"/>
  <c r="CS395" i="5" s="1"/>
  <c r="CS397" i="5" a="1"/>
  <c r="CS397" i="5" s="1"/>
  <c r="CS401" i="5" a="1"/>
  <c r="CS401" i="5" s="1"/>
  <c r="CS403" i="5" a="1"/>
  <c r="CS403" i="5" s="1"/>
  <c r="CS405" i="5" a="1"/>
  <c r="CS405" i="5" s="1"/>
  <c r="CS407" i="5" a="1"/>
  <c r="CS407" i="5" s="1"/>
  <c r="CS411" i="5" a="1"/>
  <c r="CS411" i="5" s="1"/>
  <c r="CS415" i="5" a="1"/>
  <c r="CS415" i="5"/>
  <c r="CS423" i="5" a="1"/>
  <c r="CS423" i="5" s="1"/>
  <c r="CS425" i="5" a="1"/>
  <c r="CS425" i="5" s="1"/>
  <c r="CS433" i="5" a="1"/>
  <c r="CS433" i="5" s="1"/>
  <c r="CS435" i="5" a="1"/>
  <c r="CS435" i="5" s="1"/>
  <c r="CS437" i="5" a="1"/>
  <c r="CS437" i="5" s="1"/>
  <c r="CS443" i="5" a="1"/>
  <c r="CS443" i="5" s="1"/>
  <c r="CU2" i="5"/>
  <c r="CW2" i="5" s="1"/>
  <c r="CU3" i="5"/>
  <c r="CV3" i="5" s="1" a="1"/>
  <c r="CV3" i="5" s="1"/>
  <c r="CU4" i="5"/>
  <c r="CY4" i="5" s="1"/>
  <c r="CU5" i="5"/>
  <c r="CY5" i="5" s="1"/>
  <c r="CU6" i="5"/>
  <c r="CU7" i="5"/>
  <c r="CU8" i="5"/>
  <c r="CV8" i="5" s="1" a="1"/>
  <c r="CV8" i="5" s="1"/>
  <c r="CU9" i="5"/>
  <c r="CU10" i="5"/>
  <c r="CX10" i="5" s="1" a="1"/>
  <c r="CX10" i="5" s="1"/>
  <c r="CU11" i="5"/>
  <c r="CU12" i="5"/>
  <c r="CU13" i="5"/>
  <c r="CX13" i="5" s="1" a="1"/>
  <c r="CX13" i="5" s="1"/>
  <c r="CU14" i="5"/>
  <c r="CU15" i="5"/>
  <c r="CY15" i="5" s="1"/>
  <c r="CU16" i="5"/>
  <c r="CV16" i="5" s="1" a="1"/>
  <c r="CV16" i="5" s="1"/>
  <c r="CU17" i="5"/>
  <c r="CU18" i="5"/>
  <c r="CY18" i="5" s="1"/>
  <c r="CU19" i="5"/>
  <c r="CU20" i="5"/>
  <c r="CX20" i="5" s="1" a="1"/>
  <c r="CX20" i="5" s="1"/>
  <c r="CU21" i="5"/>
  <c r="CU22" i="5"/>
  <c r="CV22" i="5" s="1" a="1"/>
  <c r="CV22" i="5" s="1"/>
  <c r="CU23" i="5"/>
  <c r="CV23" i="5" s="1" a="1"/>
  <c r="CV23" i="5" s="1"/>
  <c r="CU24" i="5"/>
  <c r="CU25" i="5"/>
  <c r="CY25" i="5" s="1"/>
  <c r="CU26" i="5"/>
  <c r="CX26" i="5" s="1" a="1"/>
  <c r="CX26" i="5" s="1"/>
  <c r="CU27" i="5"/>
  <c r="CU28" i="5"/>
  <c r="CW28" i="5" s="1"/>
  <c r="CU29" i="5"/>
  <c r="CU30" i="5"/>
  <c r="CV30" i="5" s="1" a="1"/>
  <c r="CV30" i="5" s="1"/>
  <c r="CU31" i="5"/>
  <c r="CU32" i="5"/>
  <c r="CX32" i="5" s="1" a="1"/>
  <c r="CX32" i="5" s="1"/>
  <c r="CU33" i="5"/>
  <c r="CW33" i="5" s="1"/>
  <c r="CU34" i="5"/>
  <c r="CW34" i="5" s="1"/>
  <c r="CU35" i="5"/>
  <c r="CY35" i="5" s="1"/>
  <c r="CU36" i="5"/>
  <c r="CV36" i="5" s="1" a="1"/>
  <c r="CV36" i="5" s="1"/>
  <c r="CU37" i="5"/>
  <c r="CU38" i="5"/>
  <c r="CX38" i="5" s="1" a="1"/>
  <c r="CX38" i="5" s="1"/>
  <c r="CU39" i="5"/>
  <c r="CU40" i="5"/>
  <c r="CV40" i="5" s="1" a="1"/>
  <c r="CV40" i="5" s="1"/>
  <c r="CU41" i="5"/>
  <c r="CV41" i="5" s="1" a="1"/>
  <c r="CV41" i="5" s="1"/>
  <c r="CU42" i="5"/>
  <c r="CU43" i="5"/>
  <c r="CY43" i="5" s="1"/>
  <c r="CU44" i="5"/>
  <c r="CV44" i="5" s="1" a="1"/>
  <c r="CV44" i="5" s="1"/>
  <c r="CU45" i="5"/>
  <c r="CY45" i="5" s="1"/>
  <c r="CU46" i="5"/>
  <c r="CW46" i="5" s="1"/>
  <c r="CU47" i="5"/>
  <c r="CU48" i="5"/>
  <c r="CX48" i="5" s="1" a="1"/>
  <c r="CX48" i="5" s="1"/>
  <c r="CU49" i="5"/>
  <c r="CU50" i="5"/>
  <c r="CW50" i="5" s="1"/>
  <c r="CU51" i="5"/>
  <c r="CU52" i="5"/>
  <c r="CU53" i="5"/>
  <c r="CV53" i="5" s="1" a="1"/>
  <c r="CV53" i="5" s="1"/>
  <c r="CU54" i="5"/>
  <c r="CY54" i="5" s="1"/>
  <c r="CU55" i="5"/>
  <c r="CY55" i="5" s="1"/>
  <c r="CU56" i="5"/>
  <c r="CY56" i="5" s="1"/>
  <c r="CU57" i="5"/>
  <c r="CU58" i="5"/>
  <c r="CV58" i="5" s="1" a="1"/>
  <c r="CV58" i="5" s="1"/>
  <c r="CU59" i="5"/>
  <c r="CU60" i="5"/>
  <c r="CX60" i="5" s="1" a="1"/>
  <c r="CX60" i="5" s="1"/>
  <c r="CU61" i="5"/>
  <c r="CU62" i="5"/>
  <c r="CU63" i="5"/>
  <c r="CY63" i="5" s="1"/>
  <c r="CU64" i="5"/>
  <c r="CU65" i="5"/>
  <c r="CY65" i="5" s="1"/>
  <c r="CU66" i="5"/>
  <c r="CY66" i="5" s="1"/>
  <c r="CU67" i="5"/>
  <c r="CU68" i="5"/>
  <c r="CW68" i="5" s="1"/>
  <c r="CU69" i="5"/>
  <c r="CU70" i="5"/>
  <c r="CW70" i="5" s="1"/>
  <c r="CU71" i="5"/>
  <c r="CU72" i="5"/>
  <c r="CU73" i="5"/>
  <c r="CX73" i="5" s="1" a="1"/>
  <c r="CX73" i="5" s="1"/>
  <c r="CU74" i="5"/>
  <c r="CX74" i="5" s="1" a="1"/>
  <c r="CX74" i="5" s="1"/>
  <c r="CU75" i="5"/>
  <c r="CY75" i="5" s="1"/>
  <c r="CU76" i="5"/>
  <c r="CV76" i="5" s="1" a="1"/>
  <c r="CV76" i="5" s="1"/>
  <c r="CU77" i="5"/>
  <c r="CU78" i="5"/>
  <c r="CW78" i="5" s="1"/>
  <c r="CU79" i="5"/>
  <c r="CU80" i="5"/>
  <c r="CV80" i="5" s="1" a="1"/>
  <c r="CV80" i="5" s="1"/>
  <c r="CU81" i="5"/>
  <c r="CU82" i="5"/>
  <c r="CX82" i="5" s="1" a="1"/>
  <c r="CX82" i="5" s="1"/>
  <c r="CU83" i="5"/>
  <c r="CY83" i="5" s="1"/>
  <c r="CU84" i="5"/>
  <c r="CX84" i="5" s="1" a="1"/>
  <c r="CX84" i="5" s="1"/>
  <c r="CU85" i="5"/>
  <c r="CY85" i="5" s="1"/>
  <c r="CU86" i="5"/>
  <c r="CV86" i="5" s="1" a="1"/>
  <c r="CV86" i="5" s="1"/>
  <c r="CU87" i="5"/>
  <c r="CU88" i="5"/>
  <c r="CX88" i="5" s="1" a="1"/>
  <c r="CX88" i="5" s="1"/>
  <c r="CU89" i="5"/>
  <c r="CU90" i="5"/>
  <c r="CW90" i="5" s="1"/>
  <c r="CU91" i="5"/>
  <c r="CV91" i="5" s="1" a="1"/>
  <c r="CV91" i="5" s="1"/>
  <c r="CU92" i="5"/>
  <c r="CU93" i="5"/>
  <c r="CY93" i="5" s="1"/>
  <c r="CU94" i="5"/>
  <c r="CV94" i="5" s="1" a="1"/>
  <c r="CV94" i="5" s="1"/>
  <c r="CU95" i="5"/>
  <c r="CY95" i="5" s="1"/>
  <c r="CU96" i="5"/>
  <c r="CX96" i="5" s="1" a="1"/>
  <c r="CX96" i="5" s="1"/>
  <c r="CU97" i="5"/>
  <c r="CU98" i="5"/>
  <c r="CX98" i="5" s="1" a="1"/>
  <c r="CX98" i="5" s="1"/>
  <c r="CU99" i="5"/>
  <c r="CU100" i="5"/>
  <c r="CU101" i="5"/>
  <c r="CX101" i="5" s="1" a="1"/>
  <c r="CX101" i="5" s="1"/>
  <c r="CU102" i="5"/>
  <c r="CW102" i="5" s="1"/>
  <c r="CU103" i="5"/>
  <c r="CY103" i="5" s="1"/>
  <c r="CU104" i="5"/>
  <c r="CY104" i="5" s="1"/>
  <c r="CU105" i="5"/>
  <c r="CY105" i="5" s="1"/>
  <c r="CU106" i="5"/>
  <c r="CY106" i="5" s="1"/>
  <c r="CU107" i="5"/>
  <c r="CU108" i="5"/>
  <c r="CV108" i="5" s="1" a="1"/>
  <c r="CV108" i="5" s="1"/>
  <c r="CU109" i="5"/>
  <c r="CU110" i="5"/>
  <c r="CX110" i="5" s="1" a="1"/>
  <c r="CX110" i="5" s="1"/>
  <c r="CU111" i="5"/>
  <c r="CU112" i="5"/>
  <c r="CU113" i="5"/>
  <c r="CV113" i="5" s="1" a="1"/>
  <c r="CV113" i="5" s="1"/>
  <c r="CU114" i="5"/>
  <c r="CU115" i="5"/>
  <c r="CY115" i="5" s="1"/>
  <c r="CU116" i="5"/>
  <c r="CV116" i="5" s="1" a="1"/>
  <c r="CV116" i="5" s="1"/>
  <c r="CU117" i="5"/>
  <c r="CU118" i="5"/>
  <c r="CX118" i="5" s="1" a="1"/>
  <c r="CX118" i="5" s="1"/>
  <c r="CU119" i="5"/>
  <c r="CU120" i="5"/>
  <c r="CX120" i="5" s="1" a="1"/>
  <c r="CX120" i="5" s="1"/>
  <c r="CU121" i="5"/>
  <c r="CV121" i="5" s="1" a="1"/>
  <c r="CV121" i="5" s="1"/>
  <c r="CU122" i="5"/>
  <c r="CU123" i="5"/>
  <c r="CY123" i="5" s="1"/>
  <c r="CU124" i="5"/>
  <c r="CX124" i="5" s="1" a="1"/>
  <c r="CX124" i="5" s="1"/>
  <c r="CU125" i="5"/>
  <c r="CY125" i="5" s="1"/>
  <c r="CU126" i="5"/>
  <c r="CV126" i="5" s="1" a="1"/>
  <c r="CV126" i="5" s="1"/>
  <c r="CU127" i="5"/>
  <c r="CU128" i="5"/>
  <c r="CU129" i="5"/>
  <c r="CU130" i="5"/>
  <c r="CV130" i="5" s="1" a="1"/>
  <c r="CV130" i="5" s="1"/>
  <c r="CU131" i="5"/>
  <c r="CU132" i="5"/>
  <c r="CX132" i="5" s="1" a="1"/>
  <c r="CX132" i="5" s="1"/>
  <c r="CU133" i="5"/>
  <c r="CX133" i="5" s="1" a="1"/>
  <c r="CX133" i="5" s="1"/>
  <c r="CU134" i="5"/>
  <c r="CW134" i="5" s="1"/>
  <c r="CU135" i="5"/>
  <c r="CY135" i="5" s="1"/>
  <c r="CU136" i="5"/>
  <c r="CX136" i="5" s="1" a="1"/>
  <c r="CX136" i="5" s="1"/>
  <c r="CU137" i="5"/>
  <c r="CU138" i="5"/>
  <c r="CX138" i="5" s="1" a="1"/>
  <c r="CX138" i="5" s="1"/>
  <c r="CU139" i="5"/>
  <c r="CU140" i="5"/>
  <c r="CV140" i="5" s="1" a="1"/>
  <c r="CV140" i="5" s="1"/>
  <c r="CU141" i="5"/>
  <c r="CV141" i="5" s="1" a="1"/>
  <c r="CV141" i="5" s="1"/>
  <c r="CU142" i="5"/>
  <c r="CV142" i="5" s="1" a="1"/>
  <c r="CU143" i="5"/>
  <c r="CX143" i="5" s="1" a="1"/>
  <c r="CX143" i="5" s="1"/>
  <c r="CU144" i="5"/>
  <c r="CV144" i="5" s="1" a="1"/>
  <c r="CV144" i="5" s="1"/>
  <c r="CU145" i="5"/>
  <c r="CY145" i="5" s="1"/>
  <c r="CU146" i="5"/>
  <c r="CW146" i="5" s="1"/>
  <c r="CU147" i="5"/>
  <c r="CU148" i="5"/>
  <c r="CX148" i="5" s="1" a="1"/>
  <c r="CX148" i="5" s="1"/>
  <c r="CU149" i="5"/>
  <c r="CU150" i="5"/>
  <c r="CW150" i="5" s="1"/>
  <c r="CU151" i="5"/>
  <c r="CU152" i="5"/>
  <c r="CU153" i="5"/>
  <c r="CW153" i="5" s="1"/>
  <c r="CU154" i="5"/>
  <c r="CY154" i="5" s="1"/>
  <c r="CU155" i="5"/>
  <c r="CY155" i="5" s="1"/>
  <c r="CU156" i="5"/>
  <c r="CY156" i="5" s="1"/>
  <c r="CU157" i="5"/>
  <c r="CU158" i="5"/>
  <c r="CV158" i="5" s="1" a="1"/>
  <c r="CV158" i="5" s="1"/>
  <c r="CU159" i="5"/>
  <c r="CU160" i="5"/>
  <c r="CV160" i="5" s="1" a="1"/>
  <c r="CV160" i="5" s="1"/>
  <c r="CU161" i="5"/>
  <c r="CU162" i="5"/>
  <c r="CW162" i="5" s="1"/>
  <c r="CU163" i="5"/>
  <c r="CV163" i="5" s="1" a="1"/>
  <c r="CV163" i="5" s="1"/>
  <c r="CU164" i="5"/>
  <c r="CW164" i="5" s="1"/>
  <c r="CU165" i="5"/>
  <c r="CY165" i="5" s="1"/>
  <c r="CU166" i="5"/>
  <c r="CV166" i="5" s="1" a="1"/>
  <c r="CV166" i="5" s="1"/>
  <c r="CU167" i="5"/>
  <c r="CU168" i="5"/>
  <c r="CW168" i="5" s="1"/>
  <c r="CU169" i="5"/>
  <c r="CU170" i="5"/>
  <c r="CW170" i="5" s="1"/>
  <c r="CU171" i="5"/>
  <c r="CU172" i="5"/>
  <c r="CU173" i="5"/>
  <c r="CY173" i="5" s="1"/>
  <c r="CU174" i="5"/>
  <c r="CX174" i="5" s="1" a="1"/>
  <c r="CX174" i="5" s="1"/>
  <c r="CU175" i="5"/>
  <c r="CY175" i="5" s="1"/>
  <c r="CU176" i="5"/>
  <c r="CU177" i="5"/>
  <c r="CU178" i="5"/>
  <c r="CW178" i="5" s="1"/>
  <c r="CU179" i="5"/>
  <c r="CU180" i="5"/>
  <c r="CV180" i="5" s="1" a="1"/>
  <c r="CV180" i="5" s="1"/>
  <c r="CU181" i="5"/>
  <c r="CU182" i="5"/>
  <c r="CX182" i="5" s="1" a="1"/>
  <c r="CX182" i="5" s="1"/>
  <c r="CU183" i="5"/>
  <c r="CY183" i="5" s="1"/>
  <c r="CU184" i="5"/>
  <c r="CX184" i="5" s="1" a="1"/>
  <c r="CX184" i="5" s="1"/>
  <c r="CU185" i="5"/>
  <c r="CY185" i="5" s="1"/>
  <c r="CU186" i="5"/>
  <c r="CU187" i="5"/>
  <c r="CU188" i="5"/>
  <c r="CX188" i="5" s="1" a="1"/>
  <c r="CX188" i="5" s="1"/>
  <c r="CU189" i="5"/>
  <c r="CU190" i="5"/>
  <c r="CW190" i="5" s="1"/>
  <c r="CU191" i="5"/>
  <c r="CV191" i="5" s="1" a="1"/>
  <c r="CV191" i="5" s="1"/>
  <c r="CU192" i="5"/>
  <c r="CU193" i="5"/>
  <c r="CY193" i="5" s="1"/>
  <c r="CU194" i="5"/>
  <c r="CV194" i="5" s="1" a="1"/>
  <c r="CV194" i="5" s="1"/>
  <c r="CU195" i="5"/>
  <c r="CY195" i="5" s="1"/>
  <c r="CU196" i="5"/>
  <c r="CX196" i="5" s="1" a="1"/>
  <c r="CX196" i="5" s="1"/>
  <c r="CU197" i="5"/>
  <c r="CU198" i="5"/>
  <c r="CX198" i="5" s="1" a="1"/>
  <c r="CX198" i="5" s="1"/>
  <c r="CU199" i="5"/>
  <c r="CU200" i="5"/>
  <c r="CW200" i="5" s="1"/>
  <c r="CU201" i="5"/>
  <c r="CX201" i="5" s="1" a="1"/>
  <c r="CX201" i="5" s="1"/>
  <c r="CU202" i="5"/>
  <c r="CW202" i="5" s="1"/>
  <c r="CU203" i="5"/>
  <c r="CY203" i="5" s="1"/>
  <c r="CU204" i="5"/>
  <c r="CY204" i="5" s="1"/>
  <c r="CU205" i="5"/>
  <c r="CY205" i="5" s="1"/>
  <c r="CU206" i="5"/>
  <c r="CY206" i="5" s="1"/>
  <c r="CU207" i="5"/>
  <c r="CU208" i="5"/>
  <c r="CV208" i="5" s="1" a="1"/>
  <c r="CV208" i="5" s="1"/>
  <c r="CU209" i="5"/>
  <c r="CU210" i="5"/>
  <c r="CV210" i="5" s="1" a="1"/>
  <c r="CV210" i="5" s="1"/>
  <c r="CU211" i="5"/>
  <c r="CU212" i="5"/>
  <c r="CU213" i="5"/>
  <c r="CW213" i="5" s="1"/>
  <c r="CU214" i="5"/>
  <c r="CV214" i="5" s="1" a="1"/>
  <c r="CV214" i="5" s="1"/>
  <c r="CU215" i="5"/>
  <c r="CY215" i="5" s="1"/>
  <c r="CU216" i="5"/>
  <c r="CU217" i="5"/>
  <c r="CU218" i="5"/>
  <c r="CX218" i="5" s="1" a="1"/>
  <c r="CX218" i="5" s="1"/>
  <c r="CU219" i="5"/>
  <c r="CU220" i="5"/>
  <c r="CX220" i="5" s="1" a="1"/>
  <c r="CX220" i="5" s="1"/>
  <c r="CU221" i="5"/>
  <c r="CX221" i="5" s="1" a="1"/>
  <c r="CX221" i="5" s="1"/>
  <c r="CU222" i="5"/>
  <c r="CU223" i="5"/>
  <c r="CY223" i="5" s="1"/>
  <c r="CU224" i="5"/>
  <c r="CX224" i="5" s="1" a="1"/>
  <c r="CX224" i="5" s="1"/>
  <c r="CU225" i="5"/>
  <c r="CY225" i="5" s="1"/>
  <c r="CU226" i="5"/>
  <c r="CX226" i="5" s="1" a="1"/>
  <c r="CX226" i="5" s="1"/>
  <c r="CU227" i="5"/>
  <c r="CU228" i="5"/>
  <c r="CW228" i="5" s="1"/>
  <c r="CU229" i="5"/>
  <c r="CU230" i="5"/>
  <c r="CV230" i="5" s="1" a="1"/>
  <c r="CV230" i="5" s="1"/>
  <c r="CU231" i="5"/>
  <c r="CU232" i="5"/>
  <c r="CX232" i="5" s="1" a="1"/>
  <c r="CX232" i="5" s="1"/>
  <c r="CU233" i="5"/>
  <c r="CX233" i="5" s="1" a="1"/>
  <c r="CX233" i="5" s="1"/>
  <c r="CU234" i="5"/>
  <c r="CW234" i="5" s="1"/>
  <c r="CU235" i="5"/>
  <c r="CY235" i="5" s="1"/>
  <c r="CU236" i="5"/>
  <c r="CU237" i="5"/>
  <c r="CU238" i="5"/>
  <c r="CX238" i="5" s="1" a="1"/>
  <c r="CX238" i="5" s="1"/>
  <c r="CU239" i="5"/>
  <c r="CU240" i="5"/>
  <c r="CV240" i="5" s="1" a="1"/>
  <c r="CV240" i="5" s="1"/>
  <c r="CU241" i="5"/>
  <c r="CX241" i="5" s="1" a="1"/>
  <c r="CX241" i="5" s="1"/>
  <c r="CU242" i="5"/>
  <c r="CU243" i="5"/>
  <c r="CX243" i="5" s="1" a="1"/>
  <c r="CX243" i="5" s="1"/>
  <c r="CU244" i="5"/>
  <c r="CV244" i="5" s="1" a="1"/>
  <c r="CV244" i="5" s="1"/>
  <c r="CU245" i="5"/>
  <c r="CY245" i="5" s="1"/>
  <c r="CU246" i="5"/>
  <c r="CW246" i="5" s="1"/>
  <c r="CU247" i="5"/>
  <c r="CU248" i="5"/>
  <c r="CX248" i="5" s="1" a="1"/>
  <c r="CX248" i="5" s="1"/>
  <c r="CU249" i="5"/>
  <c r="CU250" i="5"/>
  <c r="CW250" i="5" s="1"/>
  <c r="CU251" i="5"/>
  <c r="CX251" i="5" s="1" a="1"/>
  <c r="CX251" i="5" s="1"/>
  <c r="CU252" i="5"/>
  <c r="CU253" i="5"/>
  <c r="CX253" i="5" s="1" a="1"/>
  <c r="CX253" i="5" s="1"/>
  <c r="CU254" i="5"/>
  <c r="CY254" i="5" s="1"/>
  <c r="CU255" i="5"/>
  <c r="CY255" i="5" s="1"/>
  <c r="CU256" i="5"/>
  <c r="CY256" i="5" s="1"/>
  <c r="CU257" i="5"/>
  <c r="CU258" i="5"/>
  <c r="CW258" i="5" s="1"/>
  <c r="CU259" i="5"/>
  <c r="CU260" i="5"/>
  <c r="CV260" i="5" s="1" a="1"/>
  <c r="CV260" i="5" s="1"/>
  <c r="CU261" i="5"/>
  <c r="CU262" i="5"/>
  <c r="CU263" i="5"/>
  <c r="CW263" i="5" s="1"/>
  <c r="CU264" i="5"/>
  <c r="CW264" i="5" s="1"/>
  <c r="CU265" i="5"/>
  <c r="CY265" i="5" s="1"/>
  <c r="CU266" i="5"/>
  <c r="CU267" i="5"/>
  <c r="CU268" i="5"/>
  <c r="CX268" i="5" s="1" a="1"/>
  <c r="CX268" i="5" s="1"/>
  <c r="CU269" i="5"/>
  <c r="CU270" i="5"/>
  <c r="CW270" i="5" s="1"/>
  <c r="CU271" i="5"/>
  <c r="CV271" i="5" s="1" a="1"/>
  <c r="CV271" i="5" s="1"/>
  <c r="CU272" i="5"/>
  <c r="CU273" i="5"/>
  <c r="CY273" i="5" s="1"/>
  <c r="CU274" i="5"/>
  <c r="CX274" i="5" s="1" a="1"/>
  <c r="CX274" i="5" s="1"/>
  <c r="CU275" i="5"/>
  <c r="CY275" i="5" s="1"/>
  <c r="CU276" i="5"/>
  <c r="CV276" i="5" s="1" a="1"/>
  <c r="CV276" i="5" s="1"/>
  <c r="CU277" i="5"/>
  <c r="CU278" i="5"/>
  <c r="CW278" i="5" s="1"/>
  <c r="CU279" i="5"/>
  <c r="CU280" i="5"/>
  <c r="CV280" i="5" s="1" a="1"/>
  <c r="CV280" i="5" s="1"/>
  <c r="CU281" i="5"/>
  <c r="CU282" i="5"/>
  <c r="CX282" i="5" s="1" a="1"/>
  <c r="CX282" i="5" s="1"/>
  <c r="CU283" i="5"/>
  <c r="CY283" i="5" s="1"/>
  <c r="CU284" i="5"/>
  <c r="CX284" i="5" s="1" a="1"/>
  <c r="CX284" i="5" s="1"/>
  <c r="CU285" i="5"/>
  <c r="CY285" i="5" s="1"/>
  <c r="CU286" i="5"/>
  <c r="CU287" i="5"/>
  <c r="CU288" i="5"/>
  <c r="CX288" i="5" s="1" a="1"/>
  <c r="CX288" i="5" s="1"/>
  <c r="CU289" i="5"/>
  <c r="CU290" i="5"/>
  <c r="CW290" i="5" s="1"/>
  <c r="CU291" i="5"/>
  <c r="CX291" i="5" s="1" a="1"/>
  <c r="CX291" i="5" s="1"/>
  <c r="CU292" i="5"/>
  <c r="CU293" i="5"/>
  <c r="CW293" i="5" s="1"/>
  <c r="CU294" i="5"/>
  <c r="CV294" i="5" s="1" a="1"/>
  <c r="CV294" i="5" s="1"/>
  <c r="CU295" i="5"/>
  <c r="CY295" i="5" s="1"/>
  <c r="CU296" i="5"/>
  <c r="CX296" i="5" s="1" a="1"/>
  <c r="CX296" i="5" s="1"/>
  <c r="CU297" i="5"/>
  <c r="CU298" i="5"/>
  <c r="CX298" i="5" s="1" a="1"/>
  <c r="CX298" i="5" s="1"/>
  <c r="CU299" i="5"/>
  <c r="CU300" i="5"/>
  <c r="CW300" i="5" s="1"/>
  <c r="CU301" i="5"/>
  <c r="CV301" i="5" s="1" a="1"/>
  <c r="CV301" i="5" s="1"/>
  <c r="CU302" i="5"/>
  <c r="CW302" i="5" s="1"/>
  <c r="CU303" i="5"/>
  <c r="CV303" i="5" s="1" a="1"/>
  <c r="CV303" i="5" s="1"/>
  <c r="CU304" i="5"/>
  <c r="CY304" i="5" s="1"/>
  <c r="CU305" i="5"/>
  <c r="CY305" i="5" s="1"/>
  <c r="CU306" i="5"/>
  <c r="CY306" i="5" s="1"/>
  <c r="CU307" i="5"/>
  <c r="CU308" i="5"/>
  <c r="CV308" i="5" s="1" a="1"/>
  <c r="CV308" i="5" s="1"/>
  <c r="CU309" i="5"/>
  <c r="CU310" i="5"/>
  <c r="CX310" i="5" s="1" a="1"/>
  <c r="CX310" i="5" s="1"/>
  <c r="CU311" i="5"/>
  <c r="CU312" i="5"/>
  <c r="CU313" i="5"/>
  <c r="CW313" i="5" s="1"/>
  <c r="CU314" i="5"/>
  <c r="CU315" i="5"/>
  <c r="CY315" i="5" s="1"/>
  <c r="CU316" i="5"/>
  <c r="CX316" i="5" s="1" a="1"/>
  <c r="CX316" i="5" s="1"/>
  <c r="CU317" i="5"/>
  <c r="CU318" i="5"/>
  <c r="CX318" i="5" s="1" a="1"/>
  <c r="CX318" i="5" s="1"/>
  <c r="CU319" i="5"/>
  <c r="CU320" i="5"/>
  <c r="CX320" i="5" s="1" a="1"/>
  <c r="CX320" i="5" s="1"/>
  <c r="CU321" i="5"/>
  <c r="CX321" i="5" s="1" a="1"/>
  <c r="CX321" i="5" s="1"/>
  <c r="CU322" i="5"/>
  <c r="CU323" i="5"/>
  <c r="CV323" i="5" s="1" a="1"/>
  <c r="CV323" i="5" s="1"/>
  <c r="CU324" i="5"/>
  <c r="CX324" i="5" s="1" a="1"/>
  <c r="CX324" i="5" s="1"/>
  <c r="CU325" i="5"/>
  <c r="CY325" i="5" s="1"/>
  <c r="CU326" i="5"/>
  <c r="CW326" i="5" s="1"/>
  <c r="CU327" i="5"/>
  <c r="CU328" i="5"/>
  <c r="CW328" i="5" s="1"/>
  <c r="CU329" i="5"/>
  <c r="CU330" i="5"/>
  <c r="CV330" i="5" s="1" a="1"/>
  <c r="CV330" i="5" s="1"/>
  <c r="CU331" i="5"/>
  <c r="CU332" i="5"/>
  <c r="CX332" i="5" s="1" a="1"/>
  <c r="CX332" i="5" s="1"/>
  <c r="CU333" i="5"/>
  <c r="CV333" i="5" s="1" a="1"/>
  <c r="CV333" i="5" s="1"/>
  <c r="CU334" i="5"/>
  <c r="CW334" i="5" s="1"/>
  <c r="CU335" i="5"/>
  <c r="CY335" i="5" s="1"/>
  <c r="CU336" i="5"/>
  <c r="CX336" i="5" s="1" a="1"/>
  <c r="CX336" i="5" s="1"/>
  <c r="CU337" i="5"/>
  <c r="CU338" i="5"/>
  <c r="CX338" i="5" s="1" a="1"/>
  <c r="CX338" i="5" s="1"/>
  <c r="CU339" i="5"/>
  <c r="CU340" i="5"/>
  <c r="CW340" i="5" s="1"/>
  <c r="CU341" i="5"/>
  <c r="CV341" i="5" s="1" a="1"/>
  <c r="CV341" i="5" s="1"/>
  <c r="CU342" i="5"/>
  <c r="CU343" i="5"/>
  <c r="CV343" i="5" s="1" a="1"/>
  <c r="CV343" i="5" s="1"/>
  <c r="CU344" i="5"/>
  <c r="CV344" i="5" s="1" a="1"/>
  <c r="CV344" i="5" s="1"/>
  <c r="CU345" i="5"/>
  <c r="CY345" i="5" s="1"/>
  <c r="CU346" i="5"/>
  <c r="CW346" i="5" s="1"/>
  <c r="CU347" i="5"/>
  <c r="CU348" i="5"/>
  <c r="CX348" i="5" s="1" a="1"/>
  <c r="CX348" i="5" s="1"/>
  <c r="CU349" i="5"/>
  <c r="CU350" i="5"/>
  <c r="CW350" i="5" s="1"/>
  <c r="CU351" i="5"/>
  <c r="CX351" i="5" s="1" a="1"/>
  <c r="CX351" i="5" s="1"/>
  <c r="CU352" i="5"/>
  <c r="CU353" i="5"/>
  <c r="CV353" i="5" s="1" a="1"/>
  <c r="CV353" i="5" s="1"/>
  <c r="CU354" i="5"/>
  <c r="CY354" i="5" s="1"/>
  <c r="CU355" i="5"/>
  <c r="CY355" i="5" s="1"/>
  <c r="CU356" i="5"/>
  <c r="CY356" i="5" s="1"/>
  <c r="CU357" i="5"/>
  <c r="CU358" i="5"/>
  <c r="CV358" i="5" s="1" a="1"/>
  <c r="CV358" i="5" s="1"/>
  <c r="CU359" i="5"/>
  <c r="CU360" i="5"/>
  <c r="CX360" i="5" s="1" a="1"/>
  <c r="CX360" i="5" s="1"/>
  <c r="CU361" i="5"/>
  <c r="CX361" i="5" s="1" a="1"/>
  <c r="CX361" i="5" s="1"/>
  <c r="CU362" i="5"/>
  <c r="CU363" i="5"/>
  <c r="CX363" i="5" s="1" a="1"/>
  <c r="CX363" i="5" s="1"/>
  <c r="CU364" i="5"/>
  <c r="CW364" i="5" s="1"/>
  <c r="CU365" i="5"/>
  <c r="CY365" i="5" s="1"/>
  <c r="CU366" i="5"/>
  <c r="CW366" i="5" s="1"/>
  <c r="CU367" i="5"/>
  <c r="CU368" i="5"/>
  <c r="CW368" i="5" s="1"/>
  <c r="CU369" i="5"/>
  <c r="CU370" i="5"/>
  <c r="CW370" i="5" s="1"/>
  <c r="CU371" i="5"/>
  <c r="CV371" i="5" s="1" a="1"/>
  <c r="CV371" i="5" s="1"/>
  <c r="CU372" i="5"/>
  <c r="CU373" i="5"/>
  <c r="CW373" i="5" s="1"/>
  <c r="CU374" i="5"/>
  <c r="CX374" i="5" s="1" a="1"/>
  <c r="CX374" i="5" s="1"/>
  <c r="CU375" i="5"/>
  <c r="CY375" i="5" s="1"/>
  <c r="CU376" i="5"/>
  <c r="CW376" i="5" s="1"/>
  <c r="CU377" i="5"/>
  <c r="CU378" i="5"/>
  <c r="CW378" i="5" s="1"/>
  <c r="CU379" i="5"/>
  <c r="CU380" i="5"/>
  <c r="CW380" i="5" s="1"/>
  <c r="CU381" i="5"/>
  <c r="CU382" i="5"/>
  <c r="CX382" i="5" s="1" a="1"/>
  <c r="CX382" i="5" s="1"/>
  <c r="CU383" i="5"/>
  <c r="CV383" i="5" s="1" a="1"/>
  <c r="CV383" i="5" s="1"/>
  <c r="CU384" i="5"/>
  <c r="CX384" i="5" s="1" a="1"/>
  <c r="CX384" i="5" s="1"/>
  <c r="CU385" i="5"/>
  <c r="CY385" i="5" s="1"/>
  <c r="CU386" i="5"/>
  <c r="CU387" i="5"/>
  <c r="CU388" i="5"/>
  <c r="CX388" i="5" s="1" a="1"/>
  <c r="CX388" i="5" s="1"/>
  <c r="CU389" i="5"/>
  <c r="CU390" i="5"/>
  <c r="CW390" i="5" s="1"/>
  <c r="CU391" i="5"/>
  <c r="CX391" i="5" s="1" a="1"/>
  <c r="CX391" i="5" s="1"/>
  <c r="CU392" i="5"/>
  <c r="CU393" i="5"/>
  <c r="CV393" i="5" s="1" a="1"/>
  <c r="CV393" i="5" s="1"/>
  <c r="CU394" i="5"/>
  <c r="CV394" i="5" s="1" a="1"/>
  <c r="CV394" i="5" s="1"/>
  <c r="CU395" i="5"/>
  <c r="CY395" i="5" s="1"/>
  <c r="CU396" i="5"/>
  <c r="CX396" i="5" s="1" a="1"/>
  <c r="CX396" i="5" s="1"/>
  <c r="CU397" i="5"/>
  <c r="CU398" i="5"/>
  <c r="CX398" i="5" s="1" a="1"/>
  <c r="CX398" i="5" s="1"/>
  <c r="CU399" i="5"/>
  <c r="CU400" i="5"/>
  <c r="CW400" i="5" s="1"/>
  <c r="CU401" i="5"/>
  <c r="CU402" i="5"/>
  <c r="CW402" i="5" s="1"/>
  <c r="CU403" i="5"/>
  <c r="CX403" i="5" s="1" a="1"/>
  <c r="CX403" i="5" s="1"/>
  <c r="CU404" i="5"/>
  <c r="CY404" i="5" s="1"/>
  <c r="CU405" i="5"/>
  <c r="CY405" i="5" s="1"/>
  <c r="CU406" i="5"/>
  <c r="CY406" i="5" s="1"/>
  <c r="CU407" i="5"/>
  <c r="CU408" i="5"/>
  <c r="CV408" i="5" s="1" a="1"/>
  <c r="CV408" i="5" s="1"/>
  <c r="CU409" i="5"/>
  <c r="CU410" i="5"/>
  <c r="CX410" i="5" s="1" a="1"/>
  <c r="CX410" i="5" s="1"/>
  <c r="CU411" i="5"/>
  <c r="CX411" i="5" s="1" a="1"/>
  <c r="CX411" i="5" s="1"/>
  <c r="CU412" i="5"/>
  <c r="CU413" i="5"/>
  <c r="CV413" i="5" s="1" a="1"/>
  <c r="CV413" i="5" s="1"/>
  <c r="CU414" i="5"/>
  <c r="CU415" i="5"/>
  <c r="CY415" i="5" s="1"/>
  <c r="CU416" i="5"/>
  <c r="CU417" i="5"/>
  <c r="CU418" i="5"/>
  <c r="CY418" i="5" s="1"/>
  <c r="CU419" i="5"/>
  <c r="CU420" i="5"/>
  <c r="CX420" i="5" s="1" a="1"/>
  <c r="CX420" i="5" s="1"/>
  <c r="CU421" i="5"/>
  <c r="CX421" i="5" s="1" a="1"/>
  <c r="CX421" i="5" s="1"/>
  <c r="CU422" i="5"/>
  <c r="CU423" i="5"/>
  <c r="CV423" i="5" s="1" a="1"/>
  <c r="CV423" i="5" s="1"/>
  <c r="CU424" i="5"/>
  <c r="CX424" i="5" s="1" a="1"/>
  <c r="CX424" i="5" s="1"/>
  <c r="CU425" i="5"/>
  <c r="CY425" i="5" s="1"/>
  <c r="CU426" i="5"/>
  <c r="CV426" i="5" s="1" a="1"/>
  <c r="CV426" i="5" s="1"/>
  <c r="CU427" i="5"/>
  <c r="CU428" i="5"/>
  <c r="CW428" i="5" s="1"/>
  <c r="CU429" i="5"/>
  <c r="CU430" i="5"/>
  <c r="CV430" i="5" s="1" a="1"/>
  <c r="CV430" i="5" s="1"/>
  <c r="CU431" i="5"/>
  <c r="CU432" i="5"/>
  <c r="CX432" i="5" s="1" a="1"/>
  <c r="CX432" i="5" s="1"/>
  <c r="CU433" i="5"/>
  <c r="CY433" i="5" s="1"/>
  <c r="CU434" i="5"/>
  <c r="CW434" i="5" s="1"/>
  <c r="CU435" i="5"/>
  <c r="CY435" i="5" s="1"/>
  <c r="CU436" i="5"/>
  <c r="CY436" i="5" s="1"/>
  <c r="CU437" i="5"/>
  <c r="CU438" i="5"/>
  <c r="CX438" i="5" s="1" a="1"/>
  <c r="CX438" i="5" s="1"/>
  <c r="CU439" i="5"/>
  <c r="CU440" i="5"/>
  <c r="CV440" i="5" s="1" a="1"/>
  <c r="CV440" i="5" s="1"/>
  <c r="CU441" i="5"/>
  <c r="CX441" i="5" s="1" a="1"/>
  <c r="CX441" i="5" s="1"/>
  <c r="CU442" i="5"/>
  <c r="CU443" i="5"/>
  <c r="CW443" i="5" s="1"/>
  <c r="CV2" i="5" a="1"/>
  <c r="CV2" i="5"/>
  <c r="CV7" i="5" a="1"/>
  <c r="CV7" i="5" s="1"/>
  <c r="CV9" i="5" a="1"/>
  <c r="CV9" i="5" s="1"/>
  <c r="CV12" i="5" a="1"/>
  <c r="CV12" i="5" s="1"/>
  <c r="CV14" i="5" a="1"/>
  <c r="CV14" i="5" s="1"/>
  <c r="CV17" i="5" a="1"/>
  <c r="CV17" i="5" s="1"/>
  <c r="CV19" i="5" a="1"/>
  <c r="CV19" i="5" s="1"/>
  <c r="CV21" i="5" a="1"/>
  <c r="CV21" i="5" s="1"/>
  <c r="CV26" i="5" a="1"/>
  <c r="CV26" i="5" s="1"/>
  <c r="CV27" i="5" a="1"/>
  <c r="CV27" i="5"/>
  <c r="CV28" i="5" a="1"/>
  <c r="CV28" i="5" s="1"/>
  <c r="CV29" i="5" a="1"/>
  <c r="CV29" i="5" s="1"/>
  <c r="CV37" i="5" a="1"/>
  <c r="CV37" i="5"/>
  <c r="CV38" i="5" a="1"/>
  <c r="CV38" i="5" s="1"/>
  <c r="CV39" i="5" a="1"/>
  <c r="CV39" i="5" s="1"/>
  <c r="CV42" i="5" a="1"/>
  <c r="CV42" i="5"/>
  <c r="CV47" i="5" a="1"/>
  <c r="CV47" i="5"/>
  <c r="CV49" i="5" a="1"/>
  <c r="CV49" i="5" s="1"/>
  <c r="CV50" i="5" a="1"/>
  <c r="CV50" i="5" s="1"/>
  <c r="CV52" i="5" a="1"/>
  <c r="CV52" i="5" s="1"/>
  <c r="CV56" i="5" a="1"/>
  <c r="CV56" i="5" s="1"/>
  <c r="CV57" i="5" a="1"/>
  <c r="CV57" i="5" s="1"/>
  <c r="CV59" i="5" a="1"/>
  <c r="CV59" i="5" s="1"/>
  <c r="CV63" i="5" a="1"/>
  <c r="CV63" i="5" s="1"/>
  <c r="CV67" i="5" a="1"/>
  <c r="CV67" i="5" s="1"/>
  <c r="CV69" i="5" a="1"/>
  <c r="CV69" i="5" s="1"/>
  <c r="CV71" i="5" a="1"/>
  <c r="CV71" i="5" s="1"/>
  <c r="CV72" i="5" a="1"/>
  <c r="CV72" i="5" s="1"/>
  <c r="CV74" i="5" a="1"/>
  <c r="CV74" i="5" s="1"/>
  <c r="CV77" i="5" a="1"/>
  <c r="CV77" i="5" s="1"/>
  <c r="CV78" i="5" a="1"/>
  <c r="CV78" i="5" s="1"/>
  <c r="CV79" i="5" a="1"/>
  <c r="CV79" i="5" s="1"/>
  <c r="CV83" i="5" a="1"/>
  <c r="CV83" i="5" s="1"/>
  <c r="CV87" i="5" a="1"/>
  <c r="CV87" i="5" s="1"/>
  <c r="CV88" i="5" a="1"/>
  <c r="CV88" i="5" s="1"/>
  <c r="CV89" i="5" a="1"/>
  <c r="CV89" i="5" s="1"/>
  <c r="CV92" i="5" a="1"/>
  <c r="CV92" i="5"/>
  <c r="CV96" i="5" a="1"/>
  <c r="CV96" i="5" s="1"/>
  <c r="CV97" i="5" a="1"/>
  <c r="CV97" i="5"/>
  <c r="CV99" i="5" a="1"/>
  <c r="CV99" i="5" s="1"/>
  <c r="CV102" i="5" a="1"/>
  <c r="CV102" i="5"/>
  <c r="CV107" i="5" a="1"/>
  <c r="CV107" i="5" s="1"/>
  <c r="CV109" i="5" a="1"/>
  <c r="CV109" i="5" s="1"/>
  <c r="CV112" i="5" a="1"/>
  <c r="CV112" i="5" s="1"/>
  <c r="CV114" i="5" a="1"/>
  <c r="CV114" i="5" s="1"/>
  <c r="CV117" i="5" a="1"/>
  <c r="CV117" i="5" s="1"/>
  <c r="CV119" i="5" a="1"/>
  <c r="CV119" i="5" s="1"/>
  <c r="CV122" i="5" a="1"/>
  <c r="CV122" i="5" s="1"/>
  <c r="CV124" i="5" a="1"/>
  <c r="CV124" i="5" s="1"/>
  <c r="CV127" i="5" a="1"/>
  <c r="CV127" i="5" s="1"/>
  <c r="CV129" i="5" a="1"/>
  <c r="CV129" i="5" s="1"/>
  <c r="CV136" i="5" a="1"/>
  <c r="CV136" i="5" s="1"/>
  <c r="CV137" i="5" a="1"/>
  <c r="CV137" i="5"/>
  <c r="CV138" i="5" a="1"/>
  <c r="CV138" i="5" s="1"/>
  <c r="CV139" i="5" a="1"/>
  <c r="CV139" i="5" s="1"/>
  <c r="CV142" i="5"/>
  <c r="CV143" i="5" a="1"/>
  <c r="CV143" i="5" s="1"/>
  <c r="CV147" i="5" a="1"/>
  <c r="CV147" i="5"/>
  <c r="CV149" i="5" a="1"/>
  <c r="CV149" i="5" s="1"/>
  <c r="CV152" i="5" a="1"/>
  <c r="CV152" i="5" s="1"/>
  <c r="CV153" i="5" a="1"/>
  <c r="CV153" i="5" s="1"/>
  <c r="CV156" i="5" a="1"/>
  <c r="CV156" i="5" s="1"/>
  <c r="CV157" i="5" a="1"/>
  <c r="CV157" i="5" s="1"/>
  <c r="CV159" i="5" a="1"/>
  <c r="CV159" i="5" s="1"/>
  <c r="CV162" i="5" a="1"/>
  <c r="CV162" i="5" s="1"/>
  <c r="CV164" i="5" a="1"/>
  <c r="CV164" i="5" s="1"/>
  <c r="CV167" i="5" a="1"/>
  <c r="CV167" i="5" s="1"/>
  <c r="CV169" i="5" a="1"/>
  <c r="CV169" i="5" s="1"/>
  <c r="CV171" i="5" a="1"/>
  <c r="CV171" i="5" s="1"/>
  <c r="CV172" i="5" a="1"/>
  <c r="CV172" i="5" s="1"/>
  <c r="CV173" i="5" a="1"/>
  <c r="CV173" i="5" s="1"/>
  <c r="CV176" i="5" a="1"/>
  <c r="CV176" i="5" s="1"/>
  <c r="CV177" i="5" a="1"/>
  <c r="CV177" i="5"/>
  <c r="CV178" i="5" a="1"/>
  <c r="CV178" i="5" s="1"/>
  <c r="CV179" i="5" a="1"/>
  <c r="CV179" i="5" s="1"/>
  <c r="CV185" i="5" a="1"/>
  <c r="CV185" i="5" s="1"/>
  <c r="CV186" i="5" a="1"/>
  <c r="CV186" i="5" s="1"/>
  <c r="CV187" i="5" a="1"/>
  <c r="CV187" i="5"/>
  <c r="CV188" i="5" a="1"/>
  <c r="CV188" i="5" s="1"/>
  <c r="CV189" i="5" a="1"/>
  <c r="CV189" i="5" s="1"/>
  <c r="CV192" i="5" a="1"/>
  <c r="CV192" i="5"/>
  <c r="CV196" i="5" a="1"/>
  <c r="CV196" i="5" s="1"/>
  <c r="CV197" i="5" a="1"/>
  <c r="CV197" i="5"/>
  <c r="CV199" i="5" a="1"/>
  <c r="CV199" i="5" s="1"/>
  <c r="CV200" i="5" a="1"/>
  <c r="CV200" i="5" s="1"/>
  <c r="CV202" i="5" a="1"/>
  <c r="CV202" i="5"/>
  <c r="CV206" i="5" a="1"/>
  <c r="CV206" i="5" s="1"/>
  <c r="CV207" i="5" a="1"/>
  <c r="CV207" i="5" s="1"/>
  <c r="CV209" i="5" a="1"/>
  <c r="CV209" i="5" s="1"/>
  <c r="CV212" i="5" a="1"/>
  <c r="CV212" i="5" s="1"/>
  <c r="CV213" i="5" a="1"/>
  <c r="CV213" i="5" s="1"/>
  <c r="CV216" i="5" a="1"/>
  <c r="CV216" i="5" s="1"/>
  <c r="CV217" i="5" a="1"/>
  <c r="CV217" i="5" s="1"/>
  <c r="CV219" i="5" a="1"/>
  <c r="CV219" i="5" s="1"/>
  <c r="CV222" i="5" a="1"/>
  <c r="CV222" i="5" s="1"/>
  <c r="CV224" i="5" a="1"/>
  <c r="CV224" i="5" s="1"/>
  <c r="CV226" i="5" a="1"/>
  <c r="CV226" i="5" s="1"/>
  <c r="CV227" i="5" a="1"/>
  <c r="CV227" i="5" s="1"/>
  <c r="CV228" i="5" a="1"/>
  <c r="CV228" i="5" s="1"/>
  <c r="CV229" i="5" a="1"/>
  <c r="CV229" i="5" s="1"/>
  <c r="CV232" i="5" a="1"/>
  <c r="CV232" i="5" s="1"/>
  <c r="CV236" i="5" a="1"/>
  <c r="CV236" i="5" s="1"/>
  <c r="CV237" i="5" a="1"/>
  <c r="CV237" i="5"/>
  <c r="CV238" i="5" a="1"/>
  <c r="CV238" i="5" s="1"/>
  <c r="CV239" i="5" a="1"/>
  <c r="CV239" i="5" s="1"/>
  <c r="CV242" i="5" a="1"/>
  <c r="CV242" i="5"/>
  <c r="CV246" i="5" a="1"/>
  <c r="CV246" i="5" s="1"/>
  <c r="CV247" i="5" a="1"/>
  <c r="CV247" i="5"/>
  <c r="CV249" i="5" a="1"/>
  <c r="CV249" i="5" s="1"/>
  <c r="CV250" i="5" a="1"/>
  <c r="CV250" i="5" s="1"/>
  <c r="CV252" i="5" a="1"/>
  <c r="CV252" i="5"/>
  <c r="CV256" i="5" a="1"/>
  <c r="CV256" i="5" s="1"/>
  <c r="CV257" i="5" a="1"/>
  <c r="CV257" i="5" s="1"/>
  <c r="CV259" i="5" a="1"/>
  <c r="CV259" i="5" s="1"/>
  <c r="CV262" i="5" a="1"/>
  <c r="CV262" i="5" s="1"/>
  <c r="CV263" i="5" a="1"/>
  <c r="CV263" i="5" s="1"/>
  <c r="CV264" i="5" a="1"/>
  <c r="CV264" i="5" s="1"/>
  <c r="CV266" i="5" a="1"/>
  <c r="CV266" i="5" s="1"/>
  <c r="CV267" i="5" a="1"/>
  <c r="CV267" i="5" s="1"/>
  <c r="CV269" i="5" a="1"/>
  <c r="CV269" i="5" s="1"/>
  <c r="CV272" i="5" a="1"/>
  <c r="CV272" i="5" s="1"/>
  <c r="CV274" i="5" a="1"/>
  <c r="CV274" i="5" s="1"/>
  <c r="CV277" i="5" a="1"/>
  <c r="CV277" i="5" s="1"/>
  <c r="CV278" i="5" a="1"/>
  <c r="CV278" i="5" s="1"/>
  <c r="CV279" i="5" a="1"/>
  <c r="CV279" i="5" s="1"/>
  <c r="CV282" i="5" a="1"/>
  <c r="CV282" i="5" s="1"/>
  <c r="CV286" i="5" a="1"/>
  <c r="CV286" i="5" s="1"/>
  <c r="CV287" i="5" a="1"/>
  <c r="CV287" i="5"/>
  <c r="CV288" i="5" a="1"/>
  <c r="CV288" i="5" s="1"/>
  <c r="CV289" i="5" a="1"/>
  <c r="CV289" i="5" s="1"/>
  <c r="CV292" i="5" a="1"/>
  <c r="CV292" i="5"/>
  <c r="CV296" i="5" a="1"/>
  <c r="CV296" i="5" s="1"/>
  <c r="CV297" i="5" a="1"/>
  <c r="CV297" i="5"/>
  <c r="CV299" i="5" a="1"/>
  <c r="CV299" i="5" s="1"/>
  <c r="CV300" i="5" a="1"/>
  <c r="CV300" i="5" s="1"/>
  <c r="CV302" i="5" a="1"/>
  <c r="CV302" i="5"/>
  <c r="CV306" i="5" a="1"/>
  <c r="CV306" i="5" s="1"/>
  <c r="CV307" i="5" a="1"/>
  <c r="CV307" i="5" s="1"/>
  <c r="CV309" i="5" a="1"/>
  <c r="CV309" i="5" s="1"/>
  <c r="CV312" i="5" a="1"/>
  <c r="CV312" i="5" s="1"/>
  <c r="CV313" i="5" a="1"/>
  <c r="CV313" i="5" s="1"/>
  <c r="CV314" i="5" a="1"/>
  <c r="CV314" i="5" s="1"/>
  <c r="CV316" i="5" a="1"/>
  <c r="CV316" i="5" s="1"/>
  <c r="CV317" i="5" a="1"/>
  <c r="CV317" i="5" s="1"/>
  <c r="CV319" i="5" a="1"/>
  <c r="CV319" i="5" s="1"/>
  <c r="CV322" i="5" a="1"/>
  <c r="CV322" i="5" s="1"/>
  <c r="CV324" i="5" a="1"/>
  <c r="CV324" i="5" s="1"/>
  <c r="CV327" i="5" a="1"/>
  <c r="CV327" i="5" s="1"/>
  <c r="CV328" i="5" a="1"/>
  <c r="CV328" i="5" s="1"/>
  <c r="CV329" i="5" a="1"/>
  <c r="CV329" i="5" s="1"/>
  <c r="CV332" i="5" a="1"/>
  <c r="CV332" i="5" s="1"/>
  <c r="CV336" i="5" a="1"/>
  <c r="CV336" i="5" s="1"/>
  <c r="CV337" i="5" a="1"/>
  <c r="CV337" i="5"/>
  <c r="CV338" i="5" a="1"/>
  <c r="CV338" i="5" s="1"/>
  <c r="CV339" i="5" a="1"/>
  <c r="CV339" i="5" s="1"/>
  <c r="CV342" i="5" a="1"/>
  <c r="CV342" i="5"/>
  <c r="CV346" i="5" a="1"/>
  <c r="CV346" i="5" s="1"/>
  <c r="CV347" i="5" a="1"/>
  <c r="CV347" i="5"/>
  <c r="CV349" i="5" a="1"/>
  <c r="CV349" i="5" s="1"/>
  <c r="CV350" i="5" a="1"/>
  <c r="CV350" i="5" s="1"/>
  <c r="CV352" i="5" a="1"/>
  <c r="CV352" i="5"/>
  <c r="CV356" i="5" a="1"/>
  <c r="CV356" i="5" s="1"/>
  <c r="CV357" i="5" a="1"/>
  <c r="CV357" i="5" s="1"/>
  <c r="CV359" i="5" a="1"/>
  <c r="CV359" i="5" s="1"/>
  <c r="CV362" i="5" a="1"/>
  <c r="CV362" i="5" s="1"/>
  <c r="CV366" i="5" a="1"/>
  <c r="CV366" i="5" s="1"/>
  <c r="CV367" i="5" a="1"/>
  <c r="CV367" i="5" s="1"/>
  <c r="CV369" i="5" a="1"/>
  <c r="CV369" i="5" s="1"/>
  <c r="CV372" i="5" a="1"/>
  <c r="CV372" i="5" s="1"/>
  <c r="CV374" i="5" a="1"/>
  <c r="CV374" i="5" s="1"/>
  <c r="CV376" i="5" a="1"/>
  <c r="CV376" i="5" s="1"/>
  <c r="CV377" i="5" a="1"/>
  <c r="CV377" i="5" s="1"/>
  <c r="CV378" i="5" a="1"/>
  <c r="CV378" i="5" s="1"/>
  <c r="CV379" i="5" a="1"/>
  <c r="CV379" i="5" s="1"/>
  <c r="CV382" i="5" a="1"/>
  <c r="CV382" i="5" s="1"/>
  <c r="CV386" i="5" a="1"/>
  <c r="CV386" i="5" s="1"/>
  <c r="CV387" i="5" a="1"/>
  <c r="CV387" i="5"/>
  <c r="CV389" i="5" a="1"/>
  <c r="CV389" i="5" s="1"/>
  <c r="CV392" i="5" a="1"/>
  <c r="CV392" i="5"/>
  <c r="CV396" i="5" a="1"/>
  <c r="CV396" i="5" s="1"/>
  <c r="CV397" i="5" a="1"/>
  <c r="CV397" i="5"/>
  <c r="CV399" i="5" a="1"/>
  <c r="CV399" i="5" s="1"/>
  <c r="CV400" i="5" a="1"/>
  <c r="CV400" i="5" s="1"/>
  <c r="CV402" i="5" a="1"/>
  <c r="CV402" i="5"/>
  <c r="CV406" i="5" a="1"/>
  <c r="CV406" i="5" s="1"/>
  <c r="CV407" i="5" a="1"/>
  <c r="CV407" i="5" s="1"/>
  <c r="CV409" i="5" a="1"/>
  <c r="CV409" i="5" s="1"/>
  <c r="CV412" i="5" a="1"/>
  <c r="CV412" i="5" s="1"/>
  <c r="CV414" i="5" a="1"/>
  <c r="CV414" i="5" s="1"/>
  <c r="CV416" i="5" a="1"/>
  <c r="CV416" i="5" s="1"/>
  <c r="CV417" i="5" a="1"/>
  <c r="CV417" i="5" s="1"/>
  <c r="CV419" i="5" a="1"/>
  <c r="CV419" i="5" s="1"/>
  <c r="CV422" i="5" a="1"/>
  <c r="CV422" i="5" s="1"/>
  <c r="CV424" i="5" a="1"/>
  <c r="CV424" i="5" s="1"/>
  <c r="CV427" i="5" a="1"/>
  <c r="CV427" i="5"/>
  <c r="CV428" i="5" a="1"/>
  <c r="CV428" i="5" s="1"/>
  <c r="CV429" i="5" a="1"/>
  <c r="CV429" i="5" s="1"/>
  <c r="CV432" i="5" a="1"/>
  <c r="CV432" i="5" s="1"/>
  <c r="CV435" i="5" a="1"/>
  <c r="CV435" i="5" s="1"/>
  <c r="CV436" i="5" a="1"/>
  <c r="CV436" i="5" s="1"/>
  <c r="CV437" i="5" a="1"/>
  <c r="CV437" i="5"/>
  <c r="CV438" i="5" a="1"/>
  <c r="CV438" i="5" s="1"/>
  <c r="CV439" i="5" a="1"/>
  <c r="CV439" i="5" s="1"/>
  <c r="CV442" i="5" a="1"/>
  <c r="CV442" i="5"/>
  <c r="CW3" i="5"/>
  <c r="CW4" i="5"/>
  <c r="CW6" i="5"/>
  <c r="CW7" i="5"/>
  <c r="CW9" i="5"/>
  <c r="CW10" i="5"/>
  <c r="CW12" i="5"/>
  <c r="CW14" i="5"/>
  <c r="CW16" i="5"/>
  <c r="CW17" i="5"/>
  <c r="CW18" i="5"/>
  <c r="CW19" i="5"/>
  <c r="CW20" i="5"/>
  <c r="CW22" i="5"/>
  <c r="CW27" i="5"/>
  <c r="CW29" i="5"/>
  <c r="CW32" i="5"/>
  <c r="CW36" i="5"/>
  <c r="CW37" i="5"/>
  <c r="CW39" i="5"/>
  <c r="CW42" i="5"/>
  <c r="CW47" i="5"/>
  <c r="CW48" i="5"/>
  <c r="CW49" i="5"/>
  <c r="CW52" i="5"/>
  <c r="CW53" i="5"/>
  <c r="CW54" i="5"/>
  <c r="CW56" i="5"/>
  <c r="CW57" i="5"/>
  <c r="CW59" i="5"/>
  <c r="CW63" i="5"/>
  <c r="CW66" i="5"/>
  <c r="CW67" i="5"/>
  <c r="CW69" i="5"/>
  <c r="CW72" i="5"/>
  <c r="CW74" i="5"/>
  <c r="CW76" i="5"/>
  <c r="CW77" i="5"/>
  <c r="CW79" i="5"/>
  <c r="CW82" i="5"/>
  <c r="CW83" i="5"/>
  <c r="CW86" i="5"/>
  <c r="CW87" i="5"/>
  <c r="CW88" i="5"/>
  <c r="CW89" i="5"/>
  <c r="CW92" i="5"/>
  <c r="CW96" i="5"/>
  <c r="CW97" i="5"/>
  <c r="CW98" i="5"/>
  <c r="CW99" i="5"/>
  <c r="CW103" i="5"/>
  <c r="CW104" i="5"/>
  <c r="CW106" i="5"/>
  <c r="CW107" i="5"/>
  <c r="CW109" i="5"/>
  <c r="CW112" i="5"/>
  <c r="CW114" i="5"/>
  <c r="CW116" i="5"/>
  <c r="CW117" i="5"/>
  <c r="CW118" i="5"/>
  <c r="CW119" i="5"/>
  <c r="CW120" i="5"/>
  <c r="CW122" i="5"/>
  <c r="CW123" i="5"/>
  <c r="CW126" i="5"/>
  <c r="CW127" i="5"/>
  <c r="CW129" i="5"/>
  <c r="CW132" i="5"/>
  <c r="CW136" i="5"/>
  <c r="CW137" i="5"/>
  <c r="CW139" i="5"/>
  <c r="CW142" i="5"/>
  <c r="CW143" i="5"/>
  <c r="CW144" i="5"/>
  <c r="CW147" i="5"/>
  <c r="CW148" i="5"/>
  <c r="CW149" i="5"/>
  <c r="CW152" i="5"/>
  <c r="CW154" i="5"/>
  <c r="CW157" i="5"/>
  <c r="CW159" i="5"/>
  <c r="CW163" i="5"/>
  <c r="CW166" i="5"/>
  <c r="CW167" i="5"/>
  <c r="CW169" i="5"/>
  <c r="CW172" i="5"/>
  <c r="CW176" i="5"/>
  <c r="CW177" i="5"/>
  <c r="CW179" i="5"/>
  <c r="CW182" i="5"/>
  <c r="CW183" i="5"/>
  <c r="CW186" i="5"/>
  <c r="CW187" i="5"/>
  <c r="CW188" i="5"/>
  <c r="CW189" i="5"/>
  <c r="CW192" i="5"/>
  <c r="CW196" i="5"/>
  <c r="CW197" i="5"/>
  <c r="CW198" i="5"/>
  <c r="CW199" i="5"/>
  <c r="CW204" i="5"/>
  <c r="CW206" i="5"/>
  <c r="CW207" i="5"/>
  <c r="CW209" i="5"/>
  <c r="CW210" i="5"/>
  <c r="CW212" i="5"/>
  <c r="CW214" i="5"/>
  <c r="CW216" i="5"/>
  <c r="CW217" i="5"/>
  <c r="CW218" i="5"/>
  <c r="CW219" i="5"/>
  <c r="CW220" i="5"/>
  <c r="CW222" i="5"/>
  <c r="CW223" i="5"/>
  <c r="CW226" i="5"/>
  <c r="CW227" i="5"/>
  <c r="CW229" i="5"/>
  <c r="CW232" i="5"/>
  <c r="CW236" i="5"/>
  <c r="CW237" i="5"/>
  <c r="CW239" i="5"/>
  <c r="CW242" i="5"/>
  <c r="CW243" i="5"/>
  <c r="CW244" i="5"/>
  <c r="CW247" i="5"/>
  <c r="CW248" i="5"/>
  <c r="CW249" i="5"/>
  <c r="CW252" i="5"/>
  <c r="CW256" i="5"/>
  <c r="CW257" i="5"/>
  <c r="CW259" i="5"/>
  <c r="CW262" i="5"/>
  <c r="CW266" i="5"/>
  <c r="CW267" i="5"/>
  <c r="CW269" i="5"/>
  <c r="CW272" i="5"/>
  <c r="CW274" i="5"/>
  <c r="CW276" i="5"/>
  <c r="CW277" i="5"/>
  <c r="CW279" i="5"/>
  <c r="CW282" i="5"/>
  <c r="CW286" i="5"/>
  <c r="CW287" i="5"/>
  <c r="CW288" i="5"/>
  <c r="CW289" i="5"/>
  <c r="CW292" i="5"/>
  <c r="CW296" i="5"/>
  <c r="CW297" i="5"/>
  <c r="CW298" i="5"/>
  <c r="CW299" i="5"/>
  <c r="CW306" i="5"/>
  <c r="CW307" i="5"/>
  <c r="CW309" i="5"/>
  <c r="CW310" i="5"/>
  <c r="CW312" i="5"/>
  <c r="CW314" i="5"/>
  <c r="CW316" i="5"/>
  <c r="CW317" i="5"/>
  <c r="CW318" i="5"/>
  <c r="CW319" i="5"/>
  <c r="CW320" i="5"/>
  <c r="CW322" i="5"/>
  <c r="CW323" i="5"/>
  <c r="CW327" i="5"/>
  <c r="CW329" i="5"/>
  <c r="CW332" i="5"/>
  <c r="CW336" i="5"/>
  <c r="CW337" i="5"/>
  <c r="CW339" i="5"/>
  <c r="CW342" i="5"/>
  <c r="CW343" i="5"/>
  <c r="CW344" i="5"/>
  <c r="CW347" i="5"/>
  <c r="CW348" i="5"/>
  <c r="CW349" i="5"/>
  <c r="CW352" i="5"/>
  <c r="CW353" i="5"/>
  <c r="CW354" i="5"/>
  <c r="CW355" i="5"/>
  <c r="CW356" i="5"/>
  <c r="CW357" i="5"/>
  <c r="CW359" i="5"/>
  <c r="CW362" i="5"/>
  <c r="CW367" i="5"/>
  <c r="CW369" i="5"/>
  <c r="CW372" i="5"/>
  <c r="CW374" i="5"/>
  <c r="CW377" i="5"/>
  <c r="CW379" i="5"/>
  <c r="CW382" i="5"/>
  <c r="CW386" i="5"/>
  <c r="CW387" i="5"/>
  <c r="CW388" i="5"/>
  <c r="CW389" i="5"/>
  <c r="CW392" i="5"/>
  <c r="CW396" i="5"/>
  <c r="CW397" i="5"/>
  <c r="CW398" i="5"/>
  <c r="CW399" i="5"/>
  <c r="CW403" i="5"/>
  <c r="CW404" i="5"/>
  <c r="CW406" i="5"/>
  <c r="CW407" i="5"/>
  <c r="CW409" i="5"/>
  <c r="CW412" i="5"/>
  <c r="CW414" i="5"/>
  <c r="CW416" i="5"/>
  <c r="CW417" i="5"/>
  <c r="CW418" i="5"/>
  <c r="CW419" i="5"/>
  <c r="CW420" i="5"/>
  <c r="CW422" i="5"/>
  <c r="CW426" i="5"/>
  <c r="CW427" i="5"/>
  <c r="CW429" i="5"/>
  <c r="CW432" i="5"/>
  <c r="CW436" i="5"/>
  <c r="CW437" i="5"/>
  <c r="CW439" i="5"/>
  <c r="CW442" i="5"/>
  <c r="CX2" i="5" a="1"/>
  <c r="CX2" i="5" s="1"/>
  <c r="CX4" i="5" a="1"/>
  <c r="CX4" i="5"/>
  <c r="CX6" i="5" a="1"/>
  <c r="CX6" i="5" s="1"/>
  <c r="CX7" i="5" a="1"/>
  <c r="CX7" i="5" s="1"/>
  <c r="CX8" i="5" a="1"/>
  <c r="CX8" i="5" s="1"/>
  <c r="CX9" i="5" a="1"/>
  <c r="CX9" i="5" s="1"/>
  <c r="CX12" i="5" a="1"/>
  <c r="CX12" i="5" s="1"/>
  <c r="CX14" i="5" a="1"/>
  <c r="CX14" i="5" s="1"/>
  <c r="CX17" i="5" a="1"/>
  <c r="CX17" i="5" s="1"/>
  <c r="CX19" i="5" a="1"/>
  <c r="CX19" i="5" s="1"/>
  <c r="CX22" i="5" a="1"/>
  <c r="CX22" i="5" s="1"/>
  <c r="CX23" i="5" a="1"/>
  <c r="CX23" i="5" s="1"/>
  <c r="CX27" i="5" a="1"/>
  <c r="CX27" i="5" s="1"/>
  <c r="CX28" i="5" a="1"/>
  <c r="CX28" i="5" s="1"/>
  <c r="CX29" i="5" a="1"/>
  <c r="CX29" i="5" s="1"/>
  <c r="CX30" i="5" a="1"/>
  <c r="CX30" i="5" s="1"/>
  <c r="CX35" i="5" a="1"/>
  <c r="CX35" i="5" s="1"/>
  <c r="CX36" i="5" a="1"/>
  <c r="CX36" i="5" s="1"/>
  <c r="CX37" i="5" a="1"/>
  <c r="CX37" i="5" s="1"/>
  <c r="CX39" i="5" a="1"/>
  <c r="CX39" i="5"/>
  <c r="CX40" i="5" a="1"/>
  <c r="CX40" i="5" s="1"/>
  <c r="CX42" i="5" a="1"/>
  <c r="CX42" i="5"/>
  <c r="CX44" i="5" a="1"/>
  <c r="CX44" i="5" s="1"/>
  <c r="CX47" i="5" a="1"/>
  <c r="CX47" i="5" s="1"/>
  <c r="CX49" i="5" a="1"/>
  <c r="CX49" i="5"/>
  <c r="CX52" i="5" a="1"/>
  <c r="CX52" i="5" s="1"/>
  <c r="CX54" i="5" a="1"/>
  <c r="CX54" i="5" s="1"/>
  <c r="CX56" i="5" a="1"/>
  <c r="CX56" i="5" s="1"/>
  <c r="CX57" i="5" a="1"/>
  <c r="CX57" i="5" s="1"/>
  <c r="CX58" i="5" a="1"/>
  <c r="CX58" i="5" s="1"/>
  <c r="CX59" i="5" a="1"/>
  <c r="CX59" i="5" s="1"/>
  <c r="CX62" i="5" a="1"/>
  <c r="CX62" i="5" s="1"/>
  <c r="CX64" i="5" a="1"/>
  <c r="CX64" i="5" s="1"/>
  <c r="CX66" i="5" a="1"/>
  <c r="CX66" i="5" s="1"/>
  <c r="CX67" i="5" a="1"/>
  <c r="CX67" i="5" s="1"/>
  <c r="CX69" i="5" a="1"/>
  <c r="CX69" i="5" s="1"/>
  <c r="CX72" i="5" a="1"/>
  <c r="CX72" i="5"/>
  <c r="CX76" i="5" a="1"/>
  <c r="CX76" i="5" s="1"/>
  <c r="CX77" i="5" a="1"/>
  <c r="CX77" i="5" s="1"/>
  <c r="CX78" i="5" a="1"/>
  <c r="CX78" i="5" s="1"/>
  <c r="CX79" i="5" a="1"/>
  <c r="CX79" i="5"/>
  <c r="CX80" i="5" a="1"/>
  <c r="CX80" i="5" s="1"/>
  <c r="CX83" i="5" a="1"/>
  <c r="CX83" i="5" s="1"/>
  <c r="CX86" i="5" a="1"/>
  <c r="CX86" i="5" s="1"/>
  <c r="CX87" i="5" a="1"/>
  <c r="CX87" i="5"/>
  <c r="CX89" i="5" a="1"/>
  <c r="CX89" i="5"/>
  <c r="CX92" i="5" a="1"/>
  <c r="CX92" i="5" s="1"/>
  <c r="CX93" i="5" a="1"/>
  <c r="CX93" i="5" s="1"/>
  <c r="CX94" i="5" a="1"/>
  <c r="CX94" i="5"/>
  <c r="CX97" i="5" a="1"/>
  <c r="CX97" i="5"/>
  <c r="CX99" i="5" a="1"/>
  <c r="CX99" i="5"/>
  <c r="CX102" i="5" a="1"/>
  <c r="CX102" i="5" s="1"/>
  <c r="CX103" i="5" a="1"/>
  <c r="CX103" i="5" s="1"/>
  <c r="CX104" i="5" a="1"/>
  <c r="CX104" i="5"/>
  <c r="CX106" i="5" a="1"/>
  <c r="CX106" i="5" s="1"/>
  <c r="CX107" i="5" a="1"/>
  <c r="CX107" i="5" s="1"/>
  <c r="CX108" i="5" a="1"/>
  <c r="CX108" i="5" s="1"/>
  <c r="CX109" i="5" a="1"/>
  <c r="CX109" i="5" s="1"/>
  <c r="CX112" i="5" a="1"/>
  <c r="CX112" i="5" s="1"/>
  <c r="CX114" i="5" a="1"/>
  <c r="CX114" i="5" s="1"/>
  <c r="CX116" i="5" a="1"/>
  <c r="CX116" i="5" s="1"/>
  <c r="CX117" i="5" a="1"/>
  <c r="CX117" i="5" s="1"/>
  <c r="CX119" i="5" a="1"/>
  <c r="CX119" i="5" s="1"/>
  <c r="CX122" i="5" a="1"/>
  <c r="CX122" i="5" s="1"/>
  <c r="CX126" i="5" a="1"/>
  <c r="CX126" i="5" s="1"/>
  <c r="CX127" i="5" a="1"/>
  <c r="CX127" i="5" s="1"/>
  <c r="CX128" i="5" a="1"/>
  <c r="CX128" i="5" s="1"/>
  <c r="CX129" i="5" a="1"/>
  <c r="CX129" i="5" s="1"/>
  <c r="CX130" i="5" a="1"/>
  <c r="CX130" i="5" s="1"/>
  <c r="CX137" i="5" a="1"/>
  <c r="CX137" i="5"/>
  <c r="CX139" i="5" a="1"/>
  <c r="CX139" i="5" s="1"/>
  <c r="CX140" i="5" a="1"/>
  <c r="CX140" i="5" s="1"/>
  <c r="CX142" i="5" a="1"/>
  <c r="CX142" i="5"/>
  <c r="CX144" i="5" a="1"/>
  <c r="CX144" i="5" s="1"/>
  <c r="CX147" i="5" a="1"/>
  <c r="CX147" i="5"/>
  <c r="CX149" i="5" a="1"/>
  <c r="CX149" i="5" s="1"/>
  <c r="CX152" i="5" a="1"/>
  <c r="CX152" i="5" s="1"/>
  <c r="CX154" i="5" a="1"/>
  <c r="CX154" i="5" s="1"/>
  <c r="CX156" i="5" a="1"/>
  <c r="CX156" i="5" s="1"/>
  <c r="CX157" i="5" a="1"/>
  <c r="CX157" i="5" s="1"/>
  <c r="CX158" i="5" a="1"/>
  <c r="CX158" i="5" s="1"/>
  <c r="CX159" i="5" a="1"/>
  <c r="CX159" i="5" s="1"/>
  <c r="CX162" i="5" a="1"/>
  <c r="CX162" i="5" s="1"/>
  <c r="CX164" i="5" a="1"/>
  <c r="CX164" i="5" s="1"/>
  <c r="CX166" i="5" a="1"/>
  <c r="CX166" i="5" s="1"/>
  <c r="CX167" i="5" a="1"/>
  <c r="CX167" i="5" s="1"/>
  <c r="CX169" i="5" a="1"/>
  <c r="CX169" i="5" s="1"/>
  <c r="CX172" i="5" a="1"/>
  <c r="CX172" i="5"/>
  <c r="CX176" i="5" a="1"/>
  <c r="CX176" i="5" s="1"/>
  <c r="CX177" i="5" a="1"/>
  <c r="CX177" i="5" s="1"/>
  <c r="CX178" i="5" a="1"/>
  <c r="CX178" i="5" s="1"/>
  <c r="CX179" i="5" a="1"/>
  <c r="CX179" i="5"/>
  <c r="CX180" i="5" a="1"/>
  <c r="CX180" i="5" s="1"/>
  <c r="CX183" i="5" a="1"/>
  <c r="CX183" i="5" s="1"/>
  <c r="CX186" i="5" a="1"/>
  <c r="CX186" i="5" s="1"/>
  <c r="CX187" i="5" a="1"/>
  <c r="CX187" i="5"/>
  <c r="CX189" i="5" a="1"/>
  <c r="CX189" i="5"/>
  <c r="CX190" i="5" a="1"/>
  <c r="CX190" i="5" s="1"/>
  <c r="CX192" i="5" a="1"/>
  <c r="CX192" i="5" s="1"/>
  <c r="CX193" i="5" a="1"/>
  <c r="CX193" i="5" s="1"/>
  <c r="CX194" i="5" a="1"/>
  <c r="CX194" i="5"/>
  <c r="CX197" i="5" a="1"/>
  <c r="CX197" i="5"/>
  <c r="CX199" i="5" a="1"/>
  <c r="CX199" i="5"/>
  <c r="CX202" i="5" a="1"/>
  <c r="CX202" i="5" s="1"/>
  <c r="CX203" i="5" a="1"/>
  <c r="CX203" i="5" s="1"/>
  <c r="CX204" i="5" a="1"/>
  <c r="CX204" i="5"/>
  <c r="CX207" i="5" a="1"/>
  <c r="CX207" i="5" s="1"/>
  <c r="CX208" i="5" a="1"/>
  <c r="CX208" i="5" s="1"/>
  <c r="CX209" i="5" a="1"/>
  <c r="CX209" i="5" s="1"/>
  <c r="CX212" i="5" a="1"/>
  <c r="CX212" i="5" s="1"/>
  <c r="CX213" i="5" a="1"/>
  <c r="CX213" i="5" s="1"/>
  <c r="CX214" i="5" a="1"/>
  <c r="CX214" i="5" s="1"/>
  <c r="CX215" i="5" a="1"/>
  <c r="CX215" i="5" s="1"/>
  <c r="CX216" i="5" a="1"/>
  <c r="CX216" i="5" s="1"/>
  <c r="CX217" i="5" a="1"/>
  <c r="CX217" i="5" s="1"/>
  <c r="CX219" i="5" a="1"/>
  <c r="CX219" i="5" s="1"/>
  <c r="CX222" i="5" a="1"/>
  <c r="CX222" i="5"/>
  <c r="CX227" i="5" a="1"/>
  <c r="CX227" i="5" s="1"/>
  <c r="CX228" i="5" a="1"/>
  <c r="CX228" i="5" s="1"/>
  <c r="CX229" i="5" a="1"/>
  <c r="CX229" i="5" s="1"/>
  <c r="CX230" i="5" a="1"/>
  <c r="CX230" i="5" s="1"/>
  <c r="CX236" i="5" a="1"/>
  <c r="CX236" i="5" s="1"/>
  <c r="CX237" i="5" a="1"/>
  <c r="CX237" i="5" s="1"/>
  <c r="CX239" i="5" a="1"/>
  <c r="CX239" i="5" s="1"/>
  <c r="CX240" i="5" a="1"/>
  <c r="CX240" i="5" s="1"/>
  <c r="CX242" i="5" a="1"/>
  <c r="CX242" i="5"/>
  <c r="CX244" i="5" a="1"/>
  <c r="CX244" i="5"/>
  <c r="CX247" i="5" a="1"/>
  <c r="CX247" i="5" s="1"/>
  <c r="CX249" i="5" a="1"/>
  <c r="CX249" i="5" s="1"/>
  <c r="CX252" i="5" a="1"/>
  <c r="CX252" i="5" s="1"/>
  <c r="CX254" i="5" a="1"/>
  <c r="CX254" i="5" s="1"/>
  <c r="CX256" i="5" a="1"/>
  <c r="CX256" i="5" s="1"/>
  <c r="CX257" i="5" a="1"/>
  <c r="CX257" i="5" s="1"/>
  <c r="CX258" i="5" a="1"/>
  <c r="CX258" i="5" s="1"/>
  <c r="CX259" i="5" a="1"/>
  <c r="CX259" i="5" s="1"/>
  <c r="CX262" i="5" a="1"/>
  <c r="CX262" i="5" s="1"/>
  <c r="CX264" i="5" a="1"/>
  <c r="CX264" i="5" s="1"/>
  <c r="CX266" i="5" a="1"/>
  <c r="CX266" i="5" s="1"/>
  <c r="CX267" i="5" a="1"/>
  <c r="CX267" i="5" s="1"/>
  <c r="CX269" i="5" a="1"/>
  <c r="CX269" i="5" s="1"/>
  <c r="CX272" i="5" a="1"/>
  <c r="CX272" i="5"/>
  <c r="CX276" i="5" a="1"/>
  <c r="CX276" i="5" s="1"/>
  <c r="CX277" i="5" a="1"/>
  <c r="CX277" i="5" s="1"/>
  <c r="CX278" i="5" a="1"/>
  <c r="CX278" i="5" s="1"/>
  <c r="CX279" i="5" a="1"/>
  <c r="CX279" i="5"/>
  <c r="CX286" i="5" a="1"/>
  <c r="CX286" i="5" s="1"/>
  <c r="CX287" i="5" a="1"/>
  <c r="CX287" i="5"/>
  <c r="CX289" i="5" a="1"/>
  <c r="CX289" i="5"/>
  <c r="CX290" i="5" a="1"/>
  <c r="CX290" i="5" s="1"/>
  <c r="CX292" i="5" a="1"/>
  <c r="CX292" i="5" s="1"/>
  <c r="CX294" i="5" a="1"/>
  <c r="CX294" i="5"/>
  <c r="CX297" i="5" a="1"/>
  <c r="CX297" i="5"/>
  <c r="CX299" i="5" a="1"/>
  <c r="CX299" i="5"/>
  <c r="CX302" i="5" a="1"/>
  <c r="CX302" i="5" s="1"/>
  <c r="CX303" i="5" a="1"/>
  <c r="CX303" i="5" s="1"/>
  <c r="CX304" i="5" a="1"/>
  <c r="CX304" i="5"/>
  <c r="CX306" i="5" a="1"/>
  <c r="CX306" i="5" s="1"/>
  <c r="CX307" i="5" a="1"/>
  <c r="CX307" i="5" s="1"/>
  <c r="CX308" i="5" a="1"/>
  <c r="CX308" i="5" s="1"/>
  <c r="CX309" i="5" a="1"/>
  <c r="CX309" i="5" s="1"/>
  <c r="CX312" i="5" a="1"/>
  <c r="CX312" i="5" s="1"/>
  <c r="CX313" i="5" a="1"/>
  <c r="CX313" i="5" s="1"/>
  <c r="CX314" i="5" a="1"/>
  <c r="CX314" i="5" s="1"/>
  <c r="CX317" i="5" a="1"/>
  <c r="CX317" i="5" s="1"/>
  <c r="CX319" i="5" a="1"/>
  <c r="CX319" i="5" s="1"/>
  <c r="CX322" i="5" a="1"/>
  <c r="CX322" i="5" s="1"/>
  <c r="CX323" i="5" a="1"/>
  <c r="CX323" i="5" s="1"/>
  <c r="CX326" i="5" a="1"/>
  <c r="CX326" i="5" s="1"/>
  <c r="CX327" i="5" a="1"/>
  <c r="CX327" i="5" s="1"/>
  <c r="CX328" i="5" a="1"/>
  <c r="CX328" i="5" s="1"/>
  <c r="CX329" i="5" a="1"/>
  <c r="CX329" i="5" s="1"/>
  <c r="CX330" i="5" a="1"/>
  <c r="CX330" i="5" s="1"/>
  <c r="CX337" i="5" a="1"/>
  <c r="CX337" i="5" s="1"/>
  <c r="CX339" i="5" a="1"/>
  <c r="CX339" i="5" s="1"/>
  <c r="CX340" i="5" a="1"/>
  <c r="CX340" i="5" s="1"/>
  <c r="CX342" i="5" a="1"/>
  <c r="CX342" i="5"/>
  <c r="CX344" i="5" a="1"/>
  <c r="CX344" i="5" s="1"/>
  <c r="CX347" i="5" a="1"/>
  <c r="CX347" i="5" s="1"/>
  <c r="CX349" i="5" a="1"/>
  <c r="CX349" i="5" s="1"/>
  <c r="CX352" i="5" a="1"/>
  <c r="CX352" i="5" s="1"/>
  <c r="CX354" i="5" a="1"/>
  <c r="CX354" i="5"/>
  <c r="CX356" i="5" a="1"/>
  <c r="CX356" i="5" s="1"/>
  <c r="CX357" i="5" a="1"/>
  <c r="CX357" i="5" s="1"/>
  <c r="CX358" i="5" a="1"/>
  <c r="CX358" i="5" s="1"/>
  <c r="CX359" i="5" a="1"/>
  <c r="CX359" i="5" s="1"/>
  <c r="CX362" i="5" a="1"/>
  <c r="CX362" i="5" s="1"/>
  <c r="CX364" i="5" a="1"/>
  <c r="CX364" i="5" s="1"/>
  <c r="CX366" i="5" a="1"/>
  <c r="CX366" i="5" s="1"/>
  <c r="CX367" i="5" a="1"/>
  <c r="CX367" i="5" s="1"/>
  <c r="CX369" i="5" a="1"/>
  <c r="CX369" i="5" s="1"/>
  <c r="CX372" i="5" a="1"/>
  <c r="CX372" i="5"/>
  <c r="CX376" i="5" a="1"/>
  <c r="CX376" i="5" s="1"/>
  <c r="CX377" i="5" a="1"/>
  <c r="CX377" i="5" s="1"/>
  <c r="CX378" i="5" a="1"/>
  <c r="CX378" i="5" s="1"/>
  <c r="CX379" i="5" a="1"/>
  <c r="CX379" i="5"/>
  <c r="CX380" i="5" a="1"/>
  <c r="CX380" i="5" s="1"/>
  <c r="CX386" i="5" a="1"/>
  <c r="CX386" i="5" s="1"/>
  <c r="CX387" i="5" a="1"/>
  <c r="CX387" i="5"/>
  <c r="CX389" i="5" a="1"/>
  <c r="CX389" i="5"/>
  <c r="CX392" i="5" a="1"/>
  <c r="CX392" i="5"/>
  <c r="CX397" i="5" a="1"/>
  <c r="CX397" i="5"/>
  <c r="CX399" i="5" a="1"/>
  <c r="CX399" i="5"/>
  <c r="CX402" i="5" a="1"/>
  <c r="CX402" i="5" s="1"/>
  <c r="CX404" i="5" a="1"/>
  <c r="CX404" i="5"/>
  <c r="CX407" i="5" a="1"/>
  <c r="CX407" i="5" s="1"/>
  <c r="CX408" i="5" a="1"/>
  <c r="CX408" i="5" s="1"/>
  <c r="CX409" i="5" a="1"/>
  <c r="CX409" i="5" s="1"/>
  <c r="CX412" i="5" a="1"/>
  <c r="CX412" i="5" s="1"/>
  <c r="CX413" i="5" a="1"/>
  <c r="CX413" i="5" s="1"/>
  <c r="CX414" i="5" a="1"/>
  <c r="CX414" i="5" s="1"/>
  <c r="CX416" i="5" a="1"/>
  <c r="CX416" i="5" s="1"/>
  <c r="CX417" i="5" a="1"/>
  <c r="CX417" i="5" s="1"/>
  <c r="CX419" i="5" a="1"/>
  <c r="CX419" i="5" s="1"/>
  <c r="CX422" i="5" a="1"/>
  <c r="CX422" i="5" s="1"/>
  <c r="CX423" i="5" a="1"/>
  <c r="CX423" i="5" s="1"/>
  <c r="CX426" i="5" a="1"/>
  <c r="CX426" i="5" s="1"/>
  <c r="CX427" i="5" a="1"/>
  <c r="CX427" i="5" s="1"/>
  <c r="CX428" i="5" a="1"/>
  <c r="CX428" i="5" s="1"/>
  <c r="CX429" i="5" a="1"/>
  <c r="CX429" i="5"/>
  <c r="CX430" i="5" a="1"/>
  <c r="CX430" i="5" s="1"/>
  <c r="CX436" i="5" a="1"/>
  <c r="CX436" i="5" s="1"/>
  <c r="CX437" i="5" a="1"/>
  <c r="CX437" i="5" s="1"/>
  <c r="CX439" i="5" a="1"/>
  <c r="CX439" i="5" s="1"/>
  <c r="CX440" i="5" a="1"/>
  <c r="CX440" i="5" s="1"/>
  <c r="CX442" i="5" a="1"/>
  <c r="CX442" i="5"/>
  <c r="CY2" i="5"/>
  <c r="CY7" i="5"/>
  <c r="CY8" i="5"/>
  <c r="CY9" i="5"/>
  <c r="CY12" i="5"/>
  <c r="CY14" i="5"/>
  <c r="CY16" i="5"/>
  <c r="CY17" i="5"/>
  <c r="CY19" i="5"/>
  <c r="CY20" i="5"/>
  <c r="CY22" i="5"/>
  <c r="CY24" i="5"/>
  <c r="CY26" i="5"/>
  <c r="CY27" i="5"/>
  <c r="CY28" i="5"/>
  <c r="CY29" i="5"/>
  <c r="CY32" i="5"/>
  <c r="CY33" i="5"/>
  <c r="CY36" i="5"/>
  <c r="CY37" i="5"/>
  <c r="CY39" i="5"/>
  <c r="CY40" i="5"/>
  <c r="CY42" i="5"/>
  <c r="CY44" i="5"/>
  <c r="CY46" i="5"/>
  <c r="CY47" i="5"/>
  <c r="CY49" i="5"/>
  <c r="CY52" i="5"/>
  <c r="CY53" i="5"/>
  <c r="CY57" i="5"/>
  <c r="CY58" i="5"/>
  <c r="CY59" i="5"/>
  <c r="CY62" i="5"/>
  <c r="CY64" i="5"/>
  <c r="CY67" i="5"/>
  <c r="CY69" i="5"/>
  <c r="CY70" i="5"/>
  <c r="CY72" i="5"/>
  <c r="CY73" i="5"/>
  <c r="CY74" i="5"/>
  <c r="CY76" i="5"/>
  <c r="CY77" i="5"/>
  <c r="CY78" i="5"/>
  <c r="CY79" i="5"/>
  <c r="CY82" i="5"/>
  <c r="CY86" i="5"/>
  <c r="CY87" i="5"/>
  <c r="CY89" i="5"/>
  <c r="CY90" i="5"/>
  <c r="CY92" i="5"/>
  <c r="CY94" i="5"/>
  <c r="CY97" i="5"/>
  <c r="CY99" i="5"/>
  <c r="CY102" i="5"/>
  <c r="CY107" i="5"/>
  <c r="CY108" i="5"/>
  <c r="CY109" i="5"/>
  <c r="CY112" i="5"/>
  <c r="CY114" i="5"/>
  <c r="CY116" i="5"/>
  <c r="CY117" i="5"/>
  <c r="CY119" i="5"/>
  <c r="CY120" i="5"/>
  <c r="CY122" i="5"/>
  <c r="CY124" i="5"/>
  <c r="CY126" i="5"/>
  <c r="CY127" i="5"/>
  <c r="CY128" i="5"/>
  <c r="CY129" i="5"/>
  <c r="CY132" i="5"/>
  <c r="CY133" i="5"/>
  <c r="CY136" i="5"/>
  <c r="CY137" i="5"/>
  <c r="CY139" i="5"/>
  <c r="CY140" i="5"/>
  <c r="CY142" i="5"/>
  <c r="CY144" i="5"/>
  <c r="CY146" i="5"/>
  <c r="CY147" i="5"/>
  <c r="CY149" i="5"/>
  <c r="CY152" i="5"/>
  <c r="CY153" i="5"/>
  <c r="CY157" i="5"/>
  <c r="CY158" i="5"/>
  <c r="CY159" i="5"/>
  <c r="CY162" i="5"/>
  <c r="CY164" i="5"/>
  <c r="CY166" i="5"/>
  <c r="CY167" i="5"/>
  <c r="CY169" i="5"/>
  <c r="CY170" i="5"/>
  <c r="CY172" i="5"/>
  <c r="CY174" i="5"/>
  <c r="CY176" i="5"/>
  <c r="CY177" i="5"/>
  <c r="CY178" i="5"/>
  <c r="CY179" i="5"/>
  <c r="CY182" i="5"/>
  <c r="CY186" i="5"/>
  <c r="CY187" i="5"/>
  <c r="CY189" i="5"/>
  <c r="CY190" i="5"/>
  <c r="CY192" i="5"/>
  <c r="CY194" i="5"/>
  <c r="CY196" i="5"/>
  <c r="CY197" i="5"/>
  <c r="CY199" i="5"/>
  <c r="CY202" i="5"/>
  <c r="CY207" i="5"/>
  <c r="CY208" i="5"/>
  <c r="CY209" i="5"/>
  <c r="CY212" i="5"/>
  <c r="CY213" i="5"/>
  <c r="CY214" i="5"/>
  <c r="CY216" i="5"/>
  <c r="CY217" i="5"/>
  <c r="CY219" i="5"/>
  <c r="CY220" i="5"/>
  <c r="CY222" i="5"/>
  <c r="CY224" i="5"/>
  <c r="CY227" i="5"/>
  <c r="CY228" i="5"/>
  <c r="CY229" i="5"/>
  <c r="CY232" i="5"/>
  <c r="CY233" i="5"/>
  <c r="CY236" i="5"/>
  <c r="CY237" i="5"/>
  <c r="CY239" i="5"/>
  <c r="CY240" i="5"/>
  <c r="CY242" i="5"/>
  <c r="CY243" i="5"/>
  <c r="CY244" i="5"/>
  <c r="CY246" i="5"/>
  <c r="CY247" i="5"/>
  <c r="CY249" i="5"/>
  <c r="CY252" i="5"/>
  <c r="CY257" i="5"/>
  <c r="CY258" i="5"/>
  <c r="CY259" i="5"/>
  <c r="CY262" i="5"/>
  <c r="CY264" i="5"/>
  <c r="CY266" i="5"/>
  <c r="CY267" i="5"/>
  <c r="CY269" i="5"/>
  <c r="CY270" i="5"/>
  <c r="CY272" i="5"/>
  <c r="CY274" i="5"/>
  <c r="CY276" i="5"/>
  <c r="CY277" i="5"/>
  <c r="CY278" i="5"/>
  <c r="CY279" i="5"/>
  <c r="CY282" i="5"/>
  <c r="CY286" i="5"/>
  <c r="CY287" i="5"/>
  <c r="CY289" i="5"/>
  <c r="CY292" i="5"/>
  <c r="CY294" i="5"/>
  <c r="CY296" i="5"/>
  <c r="CY297" i="5"/>
  <c r="CY299" i="5"/>
  <c r="CY302" i="5"/>
  <c r="CY307" i="5"/>
  <c r="CY308" i="5"/>
  <c r="CY309" i="5"/>
  <c r="CY312" i="5"/>
  <c r="CY313" i="5"/>
  <c r="CY314" i="5"/>
  <c r="CY316" i="5"/>
  <c r="CY317" i="5"/>
  <c r="CY319" i="5"/>
  <c r="CY320" i="5"/>
  <c r="CY322" i="5"/>
  <c r="CY324" i="5"/>
  <c r="CY326" i="5"/>
  <c r="CY327" i="5"/>
  <c r="CY328" i="5"/>
  <c r="CY329" i="5"/>
  <c r="CY332" i="5"/>
  <c r="CY336" i="5"/>
  <c r="CY337" i="5"/>
  <c r="CY339" i="5"/>
  <c r="CY340" i="5"/>
  <c r="CY342" i="5"/>
  <c r="CY343" i="5"/>
  <c r="CY344" i="5"/>
  <c r="CY346" i="5"/>
  <c r="CY347" i="5"/>
  <c r="CY349" i="5"/>
  <c r="CY352" i="5"/>
  <c r="CY357" i="5"/>
  <c r="CY358" i="5"/>
  <c r="CY359" i="5"/>
  <c r="CY362" i="5"/>
  <c r="CY364" i="5"/>
  <c r="CY366" i="5"/>
  <c r="CY367" i="5"/>
  <c r="CY369" i="5"/>
  <c r="CY370" i="5"/>
  <c r="CY372" i="5"/>
  <c r="CY373" i="5"/>
  <c r="CY374" i="5"/>
  <c r="CY376" i="5"/>
  <c r="CY377" i="5"/>
  <c r="CY378" i="5"/>
  <c r="CY379" i="5"/>
  <c r="CY382" i="5"/>
  <c r="CY386" i="5"/>
  <c r="CY387" i="5"/>
  <c r="CY389" i="5"/>
  <c r="CY390" i="5"/>
  <c r="CY392" i="5"/>
  <c r="CY394" i="5"/>
  <c r="CY396" i="5"/>
  <c r="CY397" i="5"/>
  <c r="CY399" i="5"/>
  <c r="CY402" i="5"/>
  <c r="CY407" i="5"/>
  <c r="CY408" i="5"/>
  <c r="CY409" i="5"/>
  <c r="CY412" i="5"/>
  <c r="CY413" i="5"/>
  <c r="CY414" i="5"/>
  <c r="CY416" i="5"/>
  <c r="CY417" i="5"/>
  <c r="CY419" i="5"/>
  <c r="CY422" i="5"/>
  <c r="CY424" i="5"/>
  <c r="CY426" i="5"/>
  <c r="CY427" i="5"/>
  <c r="CY428" i="5"/>
  <c r="CY429" i="5"/>
  <c r="CY432" i="5"/>
  <c r="CY437" i="5"/>
  <c r="CY439" i="5"/>
  <c r="CY440" i="5"/>
  <c r="CY442" i="5"/>
  <c r="CY443" i="5"/>
  <c r="CY423" i="5" l="1"/>
  <c r="CY293" i="5"/>
  <c r="CY263" i="5"/>
  <c r="CY3" i="5"/>
  <c r="CX373" i="5" a="1"/>
  <c r="CX373" i="5" s="1"/>
  <c r="CX263" i="5" a="1"/>
  <c r="CX263" i="5" s="1"/>
  <c r="CX165" i="5" a="1"/>
  <c r="CX165" i="5" s="1"/>
  <c r="CX153" i="5" a="1"/>
  <c r="CX153" i="5" s="1"/>
  <c r="CX43" i="5" a="1"/>
  <c r="CX43" i="5" s="1"/>
  <c r="CX33" i="5" a="1"/>
  <c r="CX33" i="5" s="1"/>
  <c r="CW433" i="5"/>
  <c r="CW273" i="5"/>
  <c r="CW193" i="5"/>
  <c r="CW113" i="5"/>
  <c r="CW65" i="5"/>
  <c r="CW15" i="5"/>
  <c r="CV443" i="5" a="1"/>
  <c r="CV443" i="5" s="1"/>
  <c r="CV433" i="5" a="1"/>
  <c r="CV433" i="5" s="1"/>
  <c r="CV421" i="5" a="1"/>
  <c r="CV421" i="5" s="1"/>
  <c r="CV403" i="5" a="1"/>
  <c r="CV403" i="5" s="1"/>
  <c r="CV223" i="5" a="1"/>
  <c r="CV223" i="5" s="1"/>
  <c r="CV193" i="5" a="1"/>
  <c r="CV193" i="5" s="1"/>
  <c r="CV183" i="5" a="1"/>
  <c r="CV183" i="5" s="1"/>
  <c r="CV93" i="5" a="1"/>
  <c r="CV93" i="5" s="1"/>
  <c r="CV66" i="5" a="1"/>
  <c r="CV66" i="5" s="1"/>
  <c r="CW64" i="5"/>
  <c r="CV64" i="5" a="1"/>
  <c r="CV64" i="5" s="1"/>
  <c r="CX24" i="5" a="1"/>
  <c r="CX24" i="5" s="1"/>
  <c r="CV24" i="5" a="1"/>
  <c r="CV24" i="5" s="1"/>
  <c r="CY420" i="5"/>
  <c r="CY403" i="5"/>
  <c r="CY323" i="5"/>
  <c r="CY290" i="5"/>
  <c r="CY226" i="5"/>
  <c r="CY163" i="5"/>
  <c r="CY96" i="5"/>
  <c r="CX443" i="5" a="1"/>
  <c r="CX443" i="5" s="1"/>
  <c r="CX433" i="5" a="1"/>
  <c r="CX433" i="5" s="1"/>
  <c r="CX406" i="5" a="1"/>
  <c r="CX406" i="5" s="1"/>
  <c r="CX394" i="5" a="1"/>
  <c r="CX394" i="5" s="1"/>
  <c r="CX385" i="5" a="1"/>
  <c r="CX385" i="5" s="1"/>
  <c r="CX273" i="5" a="1"/>
  <c r="CX273" i="5" s="1"/>
  <c r="CX163" i="5" a="1"/>
  <c r="CX163" i="5" s="1"/>
  <c r="CX90" i="5" a="1"/>
  <c r="CX90" i="5" s="1"/>
  <c r="CX65" i="5" a="1"/>
  <c r="CX65" i="5" s="1"/>
  <c r="CX53" i="5" a="1"/>
  <c r="CX53" i="5" s="1"/>
  <c r="CX16" i="5" a="1"/>
  <c r="CX16" i="5" s="1"/>
  <c r="CW415" i="5"/>
  <c r="CW383" i="5"/>
  <c r="CW333" i="5"/>
  <c r="CW304" i="5"/>
  <c r="CW254" i="5"/>
  <c r="CW174" i="5"/>
  <c r="CW156" i="5"/>
  <c r="CW110" i="5"/>
  <c r="CW93" i="5"/>
  <c r="CW44" i="5"/>
  <c r="CW26" i="5"/>
  <c r="CW13" i="5"/>
  <c r="CV388" i="5" a="1"/>
  <c r="CV388" i="5" s="1"/>
  <c r="CV364" i="5" a="1"/>
  <c r="CV364" i="5" s="1"/>
  <c r="CV326" i="5" a="1"/>
  <c r="CV326" i="5" s="1"/>
  <c r="CV273" i="5" a="1"/>
  <c r="CV273" i="5" s="1"/>
  <c r="CV243" i="5" a="1"/>
  <c r="CV243" i="5" s="1"/>
  <c r="CV233" i="5" a="1"/>
  <c r="CV233" i="5" s="1"/>
  <c r="CV221" i="5" a="1"/>
  <c r="CV221" i="5" s="1"/>
  <c r="CV203" i="5" a="1"/>
  <c r="CV203" i="5" s="1"/>
  <c r="CV150" i="5" a="1"/>
  <c r="CV150" i="5" s="1"/>
  <c r="CV123" i="5" a="1"/>
  <c r="CV123" i="5" s="1"/>
  <c r="CV106" i="5" a="1"/>
  <c r="CV106" i="5" s="1"/>
  <c r="CV46" i="5" a="1"/>
  <c r="CV46" i="5" s="1"/>
  <c r="CV33" i="5" a="1"/>
  <c r="CV33" i="5" s="1"/>
  <c r="CW62" i="5"/>
  <c r="CV62" i="5" a="1"/>
  <c r="CV62" i="5" s="1"/>
  <c r="CX435" i="5" a="1"/>
  <c r="CX435" i="5" s="1"/>
  <c r="CV35" i="5" a="1"/>
  <c r="CV35" i="5" s="1"/>
  <c r="CY353" i="5"/>
  <c r="CX15" i="5" a="1"/>
  <c r="CX15" i="5" s="1"/>
  <c r="CX3" i="5" a="1"/>
  <c r="CX3" i="5" s="1"/>
  <c r="CW365" i="5"/>
  <c r="CW303" i="5"/>
  <c r="CV285" i="5" a="1"/>
  <c r="CV285" i="5" s="1"/>
  <c r="CV103" i="5" a="1"/>
  <c r="CV103" i="5" s="1"/>
  <c r="CV43" i="5" a="1"/>
  <c r="CV43" i="5" s="1"/>
  <c r="CX393" i="5" a="1"/>
  <c r="CX393" i="5" s="1"/>
  <c r="CX335" i="5" a="1"/>
  <c r="CX335" i="5" s="1"/>
  <c r="CX113" i="5" a="1"/>
  <c r="CX113" i="5" s="1"/>
  <c r="CW253" i="5"/>
  <c r="CW155" i="5"/>
  <c r="CW43" i="5"/>
  <c r="CW23" i="5"/>
  <c r="CY383" i="5"/>
  <c r="CX343" i="5" a="1"/>
  <c r="CX343" i="5" s="1"/>
  <c r="CX333" i="5" a="1"/>
  <c r="CX333" i="5" s="1"/>
  <c r="CX285" i="5" a="1"/>
  <c r="CX285" i="5" s="1"/>
  <c r="CX173" i="5" a="1"/>
  <c r="CX173" i="5" s="1"/>
  <c r="CW413" i="5"/>
  <c r="CW363" i="5"/>
  <c r="CW315" i="5"/>
  <c r="CW283" i="5"/>
  <c r="CW233" i="5"/>
  <c r="CV293" i="5" a="1"/>
  <c r="CV293" i="5" s="1"/>
  <c r="CV283" i="5" a="1"/>
  <c r="CV283" i="5" s="1"/>
  <c r="CV253" i="5" a="1"/>
  <c r="CV253" i="5" s="1"/>
  <c r="CV13" i="5" a="1"/>
  <c r="CV13" i="5" s="1"/>
  <c r="CW100" i="5"/>
  <c r="CV100" i="5" a="1"/>
  <c r="CV100" i="5" s="1"/>
  <c r="CY143" i="5"/>
  <c r="CX383" i="5" a="1"/>
  <c r="CX383" i="5" s="1"/>
  <c r="CX223" i="5" a="1"/>
  <c r="CX223" i="5" s="1"/>
  <c r="CY303" i="5"/>
  <c r="CX63" i="5" a="1"/>
  <c r="CX63" i="5" s="1"/>
  <c r="CX293" i="5" a="1"/>
  <c r="CX293" i="5" s="1"/>
  <c r="CX283" i="5" a="1"/>
  <c r="CX283" i="5" s="1"/>
  <c r="CX123" i="5" a="1"/>
  <c r="CX123" i="5" s="1"/>
  <c r="CW265" i="5"/>
  <c r="CW73" i="5"/>
  <c r="CW55" i="5"/>
  <c r="CV335" i="5" a="1"/>
  <c r="CV335" i="5" s="1"/>
  <c r="CV135" i="5" a="1"/>
  <c r="CV135" i="5" s="1"/>
  <c r="CV73" i="5" a="1"/>
  <c r="CV73" i="5" s="1"/>
  <c r="CX115" i="5" a="1"/>
  <c r="CX115" i="5" s="1"/>
  <c r="CW255" i="5"/>
  <c r="CV235" i="5" a="1"/>
  <c r="CV235" i="5" s="1"/>
  <c r="CY113" i="5"/>
  <c r="CW173" i="5"/>
  <c r="CV363" i="5" a="1"/>
  <c r="CV363" i="5" s="1"/>
  <c r="CY333" i="5"/>
  <c r="CY253" i="5"/>
  <c r="CY13" i="5"/>
  <c r="CX415" i="5" a="1"/>
  <c r="CX415" i="5" s="1"/>
  <c r="CX235" i="5" a="1"/>
  <c r="CX235" i="5" s="1"/>
  <c r="CW423" i="5"/>
  <c r="CW203" i="5"/>
  <c r="CX390" i="5" a="1"/>
  <c r="CX390" i="5" s="1"/>
  <c r="CX365" i="5" a="1"/>
  <c r="CX365" i="5" s="1"/>
  <c r="CX353" i="5" a="1"/>
  <c r="CX353" i="5" s="1"/>
  <c r="CX280" i="5" a="1"/>
  <c r="CX280" i="5" s="1"/>
  <c r="CX206" i="5" a="1"/>
  <c r="CX206" i="5" s="1"/>
  <c r="CX185" i="5" a="1"/>
  <c r="CX185" i="5" s="1"/>
  <c r="CW410" i="5"/>
  <c r="CW393" i="5"/>
  <c r="CW215" i="5"/>
  <c r="CW185" i="5"/>
  <c r="CW133" i="5"/>
  <c r="CV373" i="5" a="1"/>
  <c r="CV373" i="5" s="1"/>
  <c r="CV321" i="5" a="1"/>
  <c r="CV321" i="5" s="1"/>
  <c r="CV174" i="5" a="1"/>
  <c r="CV174" i="5" s="1"/>
  <c r="CV146" i="5" a="1"/>
  <c r="CV146" i="5" s="1"/>
  <c r="CV133" i="5" a="1"/>
  <c r="CV133" i="5" s="1"/>
  <c r="CW128" i="5"/>
  <c r="CV128" i="5" a="1"/>
  <c r="CV128" i="5" s="1"/>
  <c r="CX315" i="5" a="1"/>
  <c r="CX315" i="5" s="1"/>
  <c r="CX135" i="5" a="1"/>
  <c r="CX135" i="5" s="1"/>
  <c r="CV385" i="5" a="1"/>
  <c r="CV385" i="5" s="1"/>
  <c r="CY393" i="5"/>
  <c r="CY363" i="5"/>
  <c r="CY23" i="5"/>
  <c r="CX265" i="5" a="1"/>
  <c r="CX265" i="5" s="1"/>
  <c r="CX85" i="5" a="1"/>
  <c r="CX85" i="5" s="1"/>
  <c r="CW165" i="5"/>
  <c r="CW115" i="5"/>
  <c r="CW85" i="5"/>
  <c r="CV85" i="5" a="1"/>
  <c r="CV85" i="5" s="1"/>
  <c r="CY6" i="5"/>
  <c r="CV6" i="5" a="1"/>
  <c r="CV6" i="5" s="1"/>
  <c r="CO251" i="5" a="1"/>
  <c r="CO251" i="5" s="1"/>
  <c r="CO167" i="5" a="1"/>
  <c r="CO167" i="5" s="1"/>
  <c r="CO145" i="5" a="1"/>
  <c r="CO145" i="5" s="1"/>
  <c r="CI423" i="5"/>
  <c r="CH423" i="5"/>
  <c r="CI388" i="5"/>
  <c r="CH388" i="5"/>
  <c r="CI343" i="5"/>
  <c r="CH343" i="5"/>
  <c r="CH274" i="5"/>
  <c r="CI274" i="5"/>
  <c r="CI258" i="5"/>
  <c r="CH258" i="5"/>
  <c r="CH222" i="5"/>
  <c r="CI222" i="5"/>
  <c r="CH172" i="5"/>
  <c r="CI172" i="5"/>
  <c r="CI153" i="5"/>
  <c r="CH153" i="5"/>
  <c r="CH145" i="5"/>
  <c r="CI145" i="5"/>
  <c r="CI117" i="5"/>
  <c r="CH117" i="5"/>
  <c r="CH83" i="5"/>
  <c r="CI83" i="5"/>
  <c r="CI50" i="5"/>
  <c r="CH50" i="5"/>
  <c r="CH370" i="5"/>
  <c r="CH345" i="5"/>
  <c r="CI378" i="5"/>
  <c r="CH378" i="5"/>
  <c r="CI300" i="5"/>
  <c r="CH300" i="5"/>
  <c r="CI239" i="5"/>
  <c r="CH239" i="5"/>
  <c r="CH213" i="5"/>
  <c r="CI213" i="5"/>
  <c r="CI144" i="5"/>
  <c r="CH144" i="5"/>
  <c r="CH135" i="5"/>
  <c r="CI135" i="5"/>
  <c r="CH429" i="5"/>
  <c r="CI429" i="5"/>
  <c r="CH403" i="5"/>
  <c r="CI403" i="5"/>
  <c r="CH395" i="5"/>
  <c r="CI395" i="5"/>
  <c r="CH308" i="5"/>
  <c r="CI308" i="5"/>
  <c r="CH220" i="5"/>
  <c r="CI220" i="5"/>
  <c r="CI178" i="5"/>
  <c r="CH178" i="5"/>
  <c r="CI124" i="5"/>
  <c r="CH124" i="5"/>
  <c r="CI48" i="5"/>
  <c r="CH48" i="5"/>
  <c r="CH32" i="5"/>
  <c r="CI32" i="5"/>
  <c r="CI420" i="5"/>
  <c r="CH420" i="5"/>
  <c r="CO201" i="5" a="1"/>
  <c r="CO201" i="5" s="1"/>
  <c r="CO163" i="5" a="1"/>
  <c r="CO163" i="5" s="1"/>
  <c r="CO133" i="5" a="1"/>
  <c r="CO133" i="5" s="1"/>
  <c r="CI368" i="5"/>
  <c r="CH368" i="5"/>
  <c r="CH298" i="5"/>
  <c r="CI298" i="5"/>
  <c r="CH272" i="5"/>
  <c r="CI272" i="5"/>
  <c r="CH255" i="5"/>
  <c r="CI255" i="5"/>
  <c r="CH219" i="5"/>
  <c r="CI219" i="5"/>
  <c r="CI185" i="5"/>
  <c r="CH185" i="5"/>
  <c r="CH159" i="5"/>
  <c r="CI159" i="5"/>
  <c r="CH133" i="5"/>
  <c r="CI133" i="5"/>
  <c r="CI98" i="5"/>
  <c r="CH98" i="5"/>
  <c r="CI89" i="5"/>
  <c r="CH89" i="5"/>
  <c r="CH72" i="5"/>
  <c r="CI72" i="5"/>
  <c r="CI13" i="5"/>
  <c r="CH13" i="5"/>
  <c r="CH427" i="5"/>
  <c r="CI427" i="5"/>
  <c r="CI359" i="5"/>
  <c r="CH359" i="5"/>
  <c r="CI66" i="5"/>
  <c r="CH66" i="5"/>
  <c r="CO197" i="5" a="1"/>
  <c r="CO197" i="5" s="1"/>
  <c r="CO181" i="5" a="1"/>
  <c r="CO181" i="5" s="1"/>
  <c r="CO52" i="5" a="1"/>
  <c r="CO52" i="5" s="1"/>
  <c r="CH438" i="5"/>
  <c r="CI438" i="5"/>
  <c r="CI358" i="5"/>
  <c r="CH358" i="5"/>
  <c r="CH264" i="5"/>
  <c r="CI264" i="5"/>
  <c r="CI228" i="5"/>
  <c r="CH228" i="5"/>
  <c r="CH158" i="5"/>
  <c r="CI158" i="5"/>
  <c r="CI142" i="5"/>
  <c r="CH142" i="5"/>
  <c r="CI105" i="5"/>
  <c r="CH105" i="5"/>
  <c r="CI12" i="5"/>
  <c r="CH12" i="5"/>
  <c r="CI366" i="5"/>
  <c r="CH366" i="5"/>
  <c r="CH109" i="5"/>
  <c r="CI109" i="5"/>
  <c r="CH74" i="5"/>
  <c r="CI23" i="5"/>
  <c r="CH5" i="5"/>
  <c r="CO177" i="5" a="1"/>
  <c r="CO177" i="5" s="1"/>
  <c r="CO155" i="5" a="1"/>
  <c r="CO155" i="5" s="1"/>
  <c r="CO123" i="5" a="1"/>
  <c r="CO123" i="5" s="1"/>
  <c r="CH428" i="5"/>
  <c r="CI428" i="5"/>
  <c r="CI375" i="5"/>
  <c r="CH375" i="5"/>
  <c r="CI348" i="5"/>
  <c r="CH348" i="5"/>
  <c r="CI338" i="5"/>
  <c r="CH338" i="5"/>
  <c r="CI323" i="5"/>
  <c r="CH323" i="5"/>
  <c r="CH263" i="5"/>
  <c r="CI263" i="5"/>
  <c r="CI235" i="5"/>
  <c r="CH235" i="5"/>
  <c r="CI192" i="5"/>
  <c r="CH192" i="5"/>
  <c r="CI167" i="5"/>
  <c r="CH167" i="5"/>
  <c r="CI113" i="5"/>
  <c r="CH113" i="5"/>
  <c r="CI104" i="5"/>
  <c r="CH104" i="5"/>
  <c r="CH45" i="5"/>
  <c r="CI45" i="5"/>
  <c r="CH20" i="5"/>
  <c r="CI20" i="5"/>
  <c r="CI116" i="5"/>
  <c r="CH116" i="5"/>
  <c r="CH22" i="5"/>
  <c r="CO23" i="5" a="1"/>
  <c r="CO23" i="5" s="1"/>
  <c r="CO63" i="5" a="1"/>
  <c r="CO63" i="5" s="1"/>
  <c r="CO83" i="5" a="1"/>
  <c r="CO83" i="5" s="1"/>
  <c r="CO105" i="5" a="1"/>
  <c r="CO105" i="5" s="1"/>
  <c r="CO127" i="5" a="1"/>
  <c r="CO127" i="5" s="1"/>
  <c r="CO142" i="5" a="1"/>
  <c r="CO142" i="5" s="1"/>
  <c r="CO43" i="5" a="1"/>
  <c r="CO43" i="5" s="1"/>
  <c r="CO131" i="5" a="1"/>
  <c r="CO131" i="5" s="1"/>
  <c r="CO143" i="5" a="1"/>
  <c r="CO143" i="5" s="1"/>
  <c r="CO157" i="5" a="1"/>
  <c r="CO157" i="5" s="1"/>
  <c r="CO173" i="5" a="1"/>
  <c r="CO173" i="5" s="1"/>
  <c r="CO191" i="5" a="1"/>
  <c r="CO191" i="5" s="1"/>
  <c r="CO5" i="5" a="1"/>
  <c r="CO5" i="5" s="1"/>
  <c r="CO25" i="5" a="1"/>
  <c r="CO25" i="5" s="1"/>
  <c r="CO65" i="5" a="1"/>
  <c r="CO65" i="5" s="1"/>
  <c r="CO85" i="5" a="1"/>
  <c r="CO85" i="5" s="1"/>
  <c r="CO161" i="5" a="1"/>
  <c r="CO161" i="5" s="1"/>
  <c r="CO45" i="5" a="1"/>
  <c r="CO45" i="5" s="1"/>
  <c r="CO71" i="5" a="1"/>
  <c r="CO71" i="5" s="1"/>
  <c r="CO91" i="5" a="1"/>
  <c r="CO91" i="5" s="1"/>
  <c r="CO12" i="5" a="1"/>
  <c r="CO12" i="5" s="1"/>
  <c r="CO32" i="5" a="1"/>
  <c r="CO32" i="5" s="1"/>
  <c r="CO33" i="5" a="1"/>
  <c r="CO33" i="5" s="1"/>
  <c r="CO53" i="5" a="1"/>
  <c r="CO53" i="5" s="1"/>
  <c r="CO72" i="5" a="1"/>
  <c r="CO72" i="5" s="1"/>
  <c r="CO15" i="5" a="1"/>
  <c r="CO15" i="5" s="1"/>
  <c r="CO73" i="5" a="1"/>
  <c r="CO73" i="5" s="1"/>
  <c r="CO122" i="5" a="1"/>
  <c r="CO122" i="5" s="1"/>
  <c r="CO135" i="5" a="1"/>
  <c r="CO135" i="5" s="1"/>
  <c r="CO21" i="5" a="1"/>
  <c r="CO21" i="5" s="1"/>
  <c r="CO35" i="5" a="1"/>
  <c r="CO35" i="5" s="1"/>
  <c r="CO55" i="5" a="1"/>
  <c r="CO55" i="5" s="1"/>
  <c r="CO41" i="5" a="1"/>
  <c r="CO41" i="5" s="1"/>
  <c r="CO61" i="5" a="1"/>
  <c r="CO61" i="5" s="1"/>
  <c r="CO95" i="5" a="1"/>
  <c r="CO95" i="5" s="1"/>
  <c r="CO141" i="5" a="1"/>
  <c r="CO141" i="5" s="1"/>
  <c r="CO153" i="5" a="1"/>
  <c r="CO153" i="5" s="1"/>
  <c r="CO22" i="5" a="1"/>
  <c r="CO22" i="5" s="1"/>
  <c r="CO82" i="5" a="1"/>
  <c r="CO82" i="5" s="1"/>
  <c r="CO185" i="5" a="1"/>
  <c r="CO185" i="5" s="1"/>
  <c r="CO231" i="5" a="1"/>
  <c r="CO231" i="5" s="1"/>
  <c r="CO242" i="5" a="1"/>
  <c r="CO242" i="5" s="1"/>
  <c r="CO225" i="5" a="1"/>
  <c r="CO225" i="5" s="1"/>
  <c r="CO211" i="5" a="1"/>
  <c r="CO211" i="5" s="1"/>
  <c r="CO152" i="5" a="1"/>
  <c r="CO152" i="5" s="1"/>
  <c r="CH418" i="5"/>
  <c r="CI418" i="5"/>
  <c r="CI356" i="5"/>
  <c r="CH356" i="5"/>
  <c r="CH278" i="5"/>
  <c r="CI278" i="5"/>
  <c r="CH244" i="5"/>
  <c r="CI244" i="5"/>
  <c r="CH208" i="5"/>
  <c r="CI208" i="5"/>
  <c r="CI200" i="5"/>
  <c r="CH200" i="5"/>
  <c r="CH148" i="5"/>
  <c r="CI148" i="5"/>
  <c r="CH130" i="5"/>
  <c r="CI130" i="5"/>
  <c r="CI78" i="5"/>
  <c r="CH78" i="5"/>
  <c r="CH44" i="5"/>
  <c r="CI44" i="5"/>
  <c r="CH28" i="5"/>
  <c r="CI28" i="5"/>
  <c r="CH442" i="5"/>
  <c r="CI442" i="5"/>
  <c r="CH202" i="5"/>
  <c r="CH194" i="5"/>
  <c r="CO241" i="5" a="1"/>
  <c r="CO241" i="5" s="1"/>
  <c r="CO193" i="5" a="1"/>
  <c r="CO193" i="5" s="1"/>
  <c r="CO121" i="5" a="1"/>
  <c r="CO121" i="5" s="1"/>
  <c r="CH426" i="5"/>
  <c r="CI426" i="5"/>
  <c r="CH408" i="5"/>
  <c r="CI408" i="5"/>
  <c r="CH243" i="5"/>
  <c r="CI243" i="5"/>
  <c r="CI165" i="5"/>
  <c r="CH165" i="5"/>
  <c r="CH139" i="5"/>
  <c r="CI139" i="5"/>
  <c r="CO172" i="5" a="1"/>
  <c r="CO172" i="5" s="1"/>
  <c r="CO151" i="5" a="1"/>
  <c r="CO151" i="5" s="1"/>
  <c r="CO115" i="5" a="1"/>
  <c r="CO115" i="5" s="1"/>
  <c r="CH425" i="5"/>
  <c r="CI425" i="5"/>
  <c r="CI320" i="5"/>
  <c r="CH320" i="5"/>
  <c r="CI303" i="5"/>
  <c r="CH303" i="5"/>
  <c r="CI224" i="5"/>
  <c r="CH224" i="5"/>
  <c r="CI215" i="5"/>
  <c r="CH215" i="5"/>
  <c r="CH182" i="5"/>
  <c r="CI182" i="5"/>
  <c r="CH128" i="5"/>
  <c r="CI128" i="5"/>
  <c r="CI94" i="5"/>
  <c r="CH94" i="5"/>
  <c r="CI52" i="5"/>
  <c r="CH52" i="5"/>
  <c r="CI8" i="5"/>
  <c r="CH8" i="5"/>
  <c r="CH209" i="5"/>
  <c r="CI209" i="5"/>
  <c r="CI174" i="5"/>
  <c r="CH150" i="5"/>
  <c r="CI123" i="5"/>
  <c r="CO263" i="5" a="1"/>
  <c r="CO263" i="5" s="1"/>
  <c r="CO235" i="5" a="1"/>
  <c r="CO235" i="5" s="1"/>
  <c r="CI433" i="5"/>
  <c r="CH433" i="5"/>
  <c r="CH406" i="5"/>
  <c r="CI406" i="5"/>
  <c r="CH293" i="5"/>
  <c r="CI293" i="5"/>
  <c r="CH275" i="5"/>
  <c r="CI275" i="5"/>
  <c r="CI163" i="5"/>
  <c r="CH163" i="5"/>
  <c r="CI154" i="5"/>
  <c r="CH154" i="5"/>
  <c r="CI67" i="5"/>
  <c r="CH67" i="5"/>
  <c r="CI25" i="5"/>
  <c r="CH25" i="5"/>
  <c r="CH216" i="5"/>
  <c r="CI216" i="5"/>
  <c r="CH325" i="5"/>
  <c r="CH54" i="5"/>
  <c r="BY295" i="5"/>
  <c r="CA295" i="5"/>
  <c r="BY182" i="5"/>
  <c r="CA182" i="5"/>
  <c r="CI96" i="5"/>
  <c r="CH399" i="5"/>
  <c r="CH337" i="5"/>
  <c r="CH190" i="5"/>
  <c r="BY243" i="5"/>
  <c r="CA243" i="5"/>
  <c r="CH310" i="5"/>
  <c r="CH76" i="5"/>
  <c r="CA91" i="5"/>
  <c r="BY91" i="5"/>
  <c r="CI383" i="5"/>
  <c r="CI294" i="5"/>
  <c r="CI157" i="5"/>
  <c r="CH23" i="5"/>
  <c r="CA173" i="5"/>
  <c r="BY173" i="5"/>
  <c r="CH443" i="5"/>
  <c r="CH332" i="5"/>
  <c r="CH174" i="5"/>
  <c r="CH62" i="5"/>
  <c r="BY361" i="5"/>
  <c r="CA373" i="5"/>
  <c r="BY373" i="5"/>
  <c r="BY341" i="5"/>
  <c r="CA193" i="5"/>
  <c r="BY193" i="5"/>
  <c r="CA255" i="5"/>
  <c r="BY255" i="5"/>
  <c r="BY212" i="5"/>
  <c r="CA212" i="5"/>
  <c r="CH123" i="5"/>
  <c r="CI268" i="5"/>
  <c r="CH354" i="5"/>
  <c r="BY437" i="5"/>
  <c r="CI204" i="5"/>
  <c r="BY325" i="5"/>
  <c r="CA325" i="5"/>
  <c r="BW21" i="5"/>
  <c r="BF21" i="5"/>
  <c r="BY411" i="5"/>
  <c r="BM291" i="5"/>
  <c r="BI291" i="5"/>
  <c r="BY407" i="5"/>
  <c r="BY242" i="5"/>
  <c r="CA242" i="5"/>
  <c r="BY201" i="5"/>
  <c r="BY53" i="5"/>
  <c r="CA53" i="5"/>
  <c r="AV31" i="5"/>
  <c r="BI31" i="5"/>
  <c r="BL422" i="5"/>
  <c r="BG422" i="5"/>
  <c r="AL407" i="5"/>
  <c r="AU407" i="5"/>
  <c r="BH407" i="5" a="1"/>
  <c r="BH407" i="5" s="1"/>
  <c r="BL407" i="5"/>
  <c r="BG407" i="5"/>
  <c r="AL343" i="5"/>
  <c r="AU343" i="5"/>
  <c r="BG343" i="5"/>
  <c r="BH343" i="5" a="1"/>
  <c r="BH343" i="5" s="1"/>
  <c r="BL343" i="5"/>
  <c r="AL326" i="5"/>
  <c r="BL326" i="5"/>
  <c r="AL206" i="5"/>
  <c r="AR206" i="5" s="1"/>
  <c r="BL206" i="5"/>
  <c r="BG206" i="5"/>
  <c r="BH206" i="5" a="1"/>
  <c r="BH206" i="5" s="1"/>
  <c r="AL193" i="5"/>
  <c r="AU193" i="5"/>
  <c r="BG193" i="5"/>
  <c r="AL181" i="5"/>
  <c r="AV181" i="5" s="1"/>
  <c r="BH181" i="5" a="1"/>
  <c r="BH181" i="5" s="1"/>
  <c r="BG181" i="5"/>
  <c r="AL164" i="5"/>
  <c r="AU164" i="5"/>
  <c r="BG164" i="5"/>
  <c r="BH164" i="5" a="1"/>
  <c r="BH164" i="5" s="1"/>
  <c r="BL164" i="5"/>
  <c r="AL150" i="5"/>
  <c r="AU150" i="5"/>
  <c r="BI150" i="5" s="1"/>
  <c r="BH150" i="5" a="1"/>
  <c r="BH150" i="5" s="1"/>
  <c r="BG150" i="5"/>
  <c r="BL150" i="5"/>
  <c r="AL37" i="5"/>
  <c r="AR37" i="5" s="1"/>
  <c r="BG37" i="5"/>
  <c r="BH37" i="5" a="1"/>
  <c r="BH37" i="5" s="1"/>
  <c r="AL22" i="5"/>
  <c r="AU22" i="5"/>
  <c r="BH22" i="5" a="1"/>
  <c r="BH22" i="5" s="1"/>
  <c r="BG22" i="5"/>
  <c r="BL22" i="5"/>
  <c r="CA393" i="5"/>
  <c r="BY365" i="5"/>
  <c r="CA365" i="5"/>
  <c r="BW301" i="5"/>
  <c r="BY281" i="5"/>
  <c r="BY241" i="5"/>
  <c r="BY52" i="5"/>
  <c r="CA52" i="5"/>
  <c r="BY137" i="5"/>
  <c r="CA137" i="5"/>
  <c r="BY82" i="5"/>
  <c r="CA82" i="5"/>
  <c r="BY45" i="5"/>
  <c r="CA45" i="5"/>
  <c r="BF305" i="5"/>
  <c r="BM305" i="5"/>
  <c r="AO175" i="5"/>
  <c r="AO125" i="5"/>
  <c r="BF95" i="5"/>
  <c r="AL342" i="5"/>
  <c r="AU342" i="5"/>
  <c r="AL235" i="5"/>
  <c r="AU235" i="5"/>
  <c r="BI235" i="5" s="1"/>
  <c r="AL220" i="5"/>
  <c r="AV220" i="5" s="1"/>
  <c r="BL220" i="5"/>
  <c r="AL205" i="5"/>
  <c r="AS205" i="5" s="1"/>
  <c r="AU205" i="5"/>
  <c r="AL192" i="5"/>
  <c r="AV192" i="5" s="1"/>
  <c r="AU192" i="5"/>
  <c r="AL177" i="5"/>
  <c r="BH177" i="5" a="1"/>
  <c r="BH177" i="5" s="1"/>
  <c r="AU177" i="5"/>
  <c r="AL53" i="5"/>
  <c r="BH53" i="5" a="1"/>
  <c r="BH53" i="5" s="1"/>
  <c r="AL6" i="5"/>
  <c r="AR6" i="5" s="1"/>
  <c r="BH6" i="5" a="1"/>
  <c r="BH6" i="5" s="1"/>
  <c r="BG6" i="5"/>
  <c r="CA281" i="5"/>
  <c r="CA263" i="5"/>
  <c r="BY152" i="5"/>
  <c r="BY22" i="5"/>
  <c r="BO375" i="5"/>
  <c r="BM385" i="5"/>
  <c r="BW252" i="5"/>
  <c r="BY252" i="5" s="1"/>
  <c r="BY133" i="5"/>
  <c r="BY83" i="5"/>
  <c r="BO425" i="5"/>
  <c r="BO415" i="5"/>
  <c r="BO405" i="5"/>
  <c r="BO395" i="5"/>
  <c r="BO385" i="5"/>
  <c r="AV153" i="5"/>
  <c r="BM153" i="5"/>
  <c r="AL417" i="5"/>
  <c r="BH417" i="5" a="1"/>
  <c r="BH417" i="5" s="1"/>
  <c r="AU417" i="5"/>
  <c r="BG417" i="5"/>
  <c r="AL355" i="5"/>
  <c r="AU355" i="5"/>
  <c r="AL264" i="5"/>
  <c r="AR264" i="5" s="1"/>
  <c r="AU264" i="5"/>
  <c r="AL232" i="5"/>
  <c r="AU232" i="5"/>
  <c r="BG232" i="5"/>
  <c r="AL216" i="5"/>
  <c r="BH216" i="5" a="1"/>
  <c r="BH216" i="5" s="1"/>
  <c r="BG216" i="5"/>
  <c r="AL65" i="5"/>
  <c r="AU65" i="5"/>
  <c r="BG65" i="5"/>
  <c r="AL50" i="5"/>
  <c r="BG50" i="5"/>
  <c r="BG33" i="5"/>
  <c r="BH33" i="5" a="1"/>
  <c r="BH33" i="5" s="1"/>
  <c r="AV53" i="5"/>
  <c r="AO413" i="5"/>
  <c r="AO333" i="5"/>
  <c r="AO93" i="5"/>
  <c r="AO357" i="5"/>
  <c r="AL435" i="5"/>
  <c r="AU435" i="5"/>
  <c r="BI435" i="5" s="1"/>
  <c r="AL420" i="5"/>
  <c r="AU420" i="5"/>
  <c r="AL405" i="5"/>
  <c r="AU405" i="5"/>
  <c r="BI405" i="5" s="1"/>
  <c r="AM356" i="5"/>
  <c r="AS356" i="5"/>
  <c r="AL341" i="5"/>
  <c r="AR341" i="5" s="1"/>
  <c r="AU341" i="5"/>
  <c r="AL204" i="5"/>
  <c r="AU204" i="5"/>
  <c r="BI204" i="5" s="1"/>
  <c r="AM52" i="5"/>
  <c r="AP52" i="5" s="1"/>
  <c r="AV52" i="5"/>
  <c r="AL35" i="5"/>
  <c r="AU35" i="5"/>
  <c r="AL20" i="5"/>
  <c r="AU20" i="5"/>
  <c r="AO332" i="5"/>
  <c r="AO75" i="5"/>
  <c r="AO427" i="5"/>
  <c r="AU427" i="5"/>
  <c r="AO417" i="5"/>
  <c r="AO387" i="5"/>
  <c r="AU387" i="5"/>
  <c r="BI387" i="5" s="1"/>
  <c r="AO317" i="5"/>
  <c r="AU317" i="5"/>
  <c r="AO307" i="5"/>
  <c r="AO207" i="5"/>
  <c r="AU207" i="5"/>
  <c r="AO187" i="5"/>
  <c r="AU187" i="5"/>
  <c r="AO147" i="5"/>
  <c r="AJ19" i="5"/>
  <c r="AT19" i="5"/>
  <c r="AI441" i="5"/>
  <c r="AK441" i="5" s="1"/>
  <c r="AT441" i="5"/>
  <c r="AI431" i="5"/>
  <c r="AT431" i="5"/>
  <c r="AL354" i="5"/>
  <c r="AU354" i="5"/>
  <c r="BI354" i="5" s="1"/>
  <c r="AL277" i="5"/>
  <c r="AR277" i="5" s="1"/>
  <c r="AU277" i="5"/>
  <c r="AL231" i="5"/>
  <c r="AU231" i="5"/>
  <c r="AL115" i="5"/>
  <c r="AM115" i="5" s="1"/>
  <c r="AU115" i="5"/>
  <c r="AL64" i="5"/>
  <c r="AU64" i="5"/>
  <c r="BI64" i="5" s="1"/>
  <c r="AK62" i="5"/>
  <c r="AO62" i="5"/>
  <c r="BG231" i="5"/>
  <c r="BG64" i="5"/>
  <c r="AU347" i="5"/>
  <c r="AL432" i="5"/>
  <c r="AU432" i="5"/>
  <c r="AL304" i="5"/>
  <c r="AU304" i="5"/>
  <c r="BI304" i="5" s="1"/>
  <c r="AS292" i="5"/>
  <c r="AV292" i="5"/>
  <c r="AL261" i="5"/>
  <c r="AS261" i="5" s="1"/>
  <c r="AU261" i="5"/>
  <c r="AV244" i="5"/>
  <c r="AL95" i="5"/>
  <c r="AU95" i="5"/>
  <c r="BG20" i="5"/>
  <c r="BF35" i="5"/>
  <c r="AL367" i="5"/>
  <c r="AR367" i="5" s="1"/>
  <c r="AU367" i="5"/>
  <c r="AL303" i="5"/>
  <c r="AU303" i="5"/>
  <c r="AV291" i="5"/>
  <c r="AS291" i="5"/>
  <c r="AL141" i="5"/>
  <c r="AU141" i="5"/>
  <c r="AM113" i="5"/>
  <c r="AL94" i="5"/>
  <c r="AU94" i="5"/>
  <c r="AR52" i="5"/>
  <c r="BH52" i="5" a="1"/>
  <c r="BH52" i="5" s="1"/>
  <c r="AU377" i="5"/>
  <c r="AU82" i="5"/>
  <c r="AL315" i="5"/>
  <c r="AU315" i="5"/>
  <c r="AL302" i="5"/>
  <c r="AV302" i="5" s="1"/>
  <c r="AU302" i="5"/>
  <c r="AV290" i="5"/>
  <c r="AL125" i="5"/>
  <c r="AU125" i="5"/>
  <c r="BI125" i="5" s="1"/>
  <c r="AM112" i="5"/>
  <c r="AP112" i="5" s="1"/>
  <c r="AS112" i="5"/>
  <c r="AK282" i="5"/>
  <c r="AU371" i="5"/>
  <c r="BI371" i="5" s="1"/>
  <c r="AL382" i="5"/>
  <c r="AU382" i="5"/>
  <c r="AL314" i="5"/>
  <c r="AU314" i="5"/>
  <c r="BI314" i="5" s="1"/>
  <c r="AM152" i="5"/>
  <c r="AP152" i="5" s="1"/>
  <c r="AR152" i="5"/>
  <c r="AS152" i="5"/>
  <c r="AL12" i="5"/>
  <c r="AU12" i="5"/>
  <c r="AU327" i="5"/>
  <c r="AV394" i="5"/>
  <c r="AV223" i="5"/>
  <c r="AM194" i="5"/>
  <c r="AL165" i="5"/>
  <c r="AU165" i="5"/>
  <c r="AL151" i="5"/>
  <c r="AM151" i="5" s="1"/>
  <c r="AP151" i="5" s="1"/>
  <c r="AU151" i="5"/>
  <c r="AM23" i="5"/>
  <c r="AP23" i="5" s="1"/>
  <c r="AR23" i="5"/>
  <c r="AL9" i="5"/>
  <c r="AU9" i="5"/>
  <c r="BI9" i="5" s="1"/>
  <c r="AM442" i="5"/>
  <c r="AS442" i="5"/>
  <c r="AL402" i="5"/>
  <c r="AU402" i="5"/>
  <c r="AL392" i="5"/>
  <c r="AS392" i="5" s="1"/>
  <c r="AU392" i="5"/>
  <c r="AJ332" i="5"/>
  <c r="AT332" i="5"/>
  <c r="AJ322" i="5"/>
  <c r="AT322" i="5"/>
  <c r="AJ312" i="5"/>
  <c r="AO312" i="5" s="1"/>
  <c r="AT312" i="5"/>
  <c r="AJ282" i="5"/>
  <c r="AO282" i="5" s="1"/>
  <c r="AT282" i="5"/>
  <c r="AT262" i="5"/>
  <c r="AJ262" i="5"/>
  <c r="AO262" i="5" s="1"/>
  <c r="AL102" i="5"/>
  <c r="AU102" i="5"/>
  <c r="BI102" i="5" s="1"/>
  <c r="AL2" i="5"/>
  <c r="BG2" i="5"/>
  <c r="AL344" i="5"/>
  <c r="AU344" i="5"/>
  <c r="BI344" i="5" s="1"/>
  <c r="AU437" i="5"/>
  <c r="AT404" i="5"/>
  <c r="AM365" i="5"/>
  <c r="AS365" i="5"/>
  <c r="AT324" i="5"/>
  <c r="AT62" i="5"/>
  <c r="AT32" i="5"/>
  <c r="AM5" i="5"/>
  <c r="AR365" i="5"/>
  <c r="AO412" i="5"/>
  <c r="AO322" i="5"/>
  <c r="AO292" i="5"/>
  <c r="AO132" i="5"/>
  <c r="AO112" i="5"/>
  <c r="AI344" i="5"/>
  <c r="AK344" i="5" s="1"/>
  <c r="AU72" i="5"/>
  <c r="AR376" i="5"/>
  <c r="AM376" i="5"/>
  <c r="AP376" i="5" s="1"/>
  <c r="AT364" i="5"/>
  <c r="AM336" i="5"/>
  <c r="AM323" i="5"/>
  <c r="AP323" i="5" s="1"/>
  <c r="AT242" i="5"/>
  <c r="AT202" i="5"/>
  <c r="AT122" i="5"/>
  <c r="AT92" i="5"/>
  <c r="AM75" i="5"/>
  <c r="AM45" i="5"/>
  <c r="AS25" i="5"/>
  <c r="AO271" i="5"/>
  <c r="AO221" i="5"/>
  <c r="AO171" i="5"/>
  <c r="AO31" i="5"/>
  <c r="AJ222" i="5"/>
  <c r="AO222" i="5" s="1"/>
  <c r="AM426" i="5"/>
  <c r="AM335" i="5"/>
  <c r="AM225" i="5"/>
  <c r="AM213" i="5"/>
  <c r="AP213" i="5" s="1"/>
  <c r="AM105" i="5"/>
  <c r="AP105" i="5" s="1"/>
  <c r="AR336" i="5"/>
  <c r="AR225" i="5"/>
  <c r="AJ102" i="5"/>
  <c r="AI234" i="5"/>
  <c r="AK234" i="5" s="1"/>
  <c r="AJ442" i="5"/>
  <c r="AO442" i="5" s="1"/>
  <c r="AJ432" i="5"/>
  <c r="AO432" i="5" s="1"/>
  <c r="AJ422" i="5"/>
  <c r="AO422" i="5" s="1"/>
  <c r="AJ412" i="5"/>
  <c r="AJ402" i="5"/>
  <c r="AO402" i="5" s="1"/>
  <c r="AJ392" i="5"/>
  <c r="AO392" i="5" s="1"/>
  <c r="AJ382" i="5"/>
  <c r="AO382" i="5" s="1"/>
  <c r="AJ372" i="5"/>
  <c r="AO372" i="5" s="1"/>
  <c r="AJ362" i="5"/>
  <c r="AO362" i="5" s="1"/>
  <c r="AU403" i="5"/>
  <c r="AM425" i="5"/>
  <c r="AM413" i="5"/>
  <c r="AS413" i="5"/>
  <c r="AT374" i="5"/>
  <c r="AM346" i="5"/>
  <c r="AT212" i="5"/>
  <c r="AT132" i="5"/>
  <c r="AM15" i="5"/>
  <c r="AS346" i="5"/>
  <c r="AR335" i="5"/>
  <c r="AR223" i="5"/>
  <c r="AI34" i="5"/>
  <c r="AK34" i="5" s="1"/>
  <c r="AT424" i="5"/>
  <c r="AM306" i="5"/>
  <c r="AM294" i="5"/>
  <c r="AM55" i="5"/>
  <c r="AT42" i="5"/>
  <c r="AM25" i="5"/>
  <c r="AU337" i="5"/>
  <c r="AM436" i="5"/>
  <c r="AM423" i="5"/>
  <c r="AP423" i="5" s="1"/>
  <c r="AP251" i="5"/>
  <c r="AM154" i="5"/>
  <c r="AR154" i="5"/>
  <c r="AT142" i="5"/>
  <c r="AM85" i="5"/>
  <c r="AM54" i="5"/>
  <c r="AR54" i="5"/>
  <c r="AM41" i="5"/>
  <c r="AP41" i="5" s="1"/>
  <c r="AS41" i="5"/>
  <c r="AM13" i="5"/>
  <c r="AR13" i="5"/>
  <c r="AS436" i="5"/>
  <c r="AS336" i="5"/>
  <c r="AR436" i="5"/>
  <c r="AR306" i="5"/>
  <c r="AT162" i="5"/>
  <c r="AJ162" i="5"/>
  <c r="AO162" i="5" s="1"/>
  <c r="AP72" i="5"/>
  <c r="AO42" i="5"/>
  <c r="AI274" i="5"/>
  <c r="AK274" i="5" s="1"/>
  <c r="AT274" i="5"/>
  <c r="AT174" i="5"/>
  <c r="AI174" i="5"/>
  <c r="AK174" i="5" s="1"/>
  <c r="L418" i="5"/>
  <c r="AM393" i="5"/>
  <c r="AP393" i="5" s="1"/>
  <c r="AM325" i="5"/>
  <c r="AM313" i="5"/>
  <c r="AP313" i="5" s="1"/>
  <c r="AM155" i="5"/>
  <c r="AS313" i="5"/>
  <c r="M22" i="5"/>
  <c r="AO434" i="5"/>
  <c r="AO424" i="5"/>
  <c r="AO414" i="5"/>
  <c r="AO404" i="5"/>
  <c r="AO394" i="5"/>
  <c r="AO384" i="5"/>
  <c r="AO374" i="5"/>
  <c r="AO364" i="5"/>
  <c r="AO354" i="5"/>
  <c r="AO344" i="5"/>
  <c r="AO334" i="5"/>
  <c r="AO324" i="5"/>
  <c r="AO314" i="5"/>
  <c r="AO304" i="5"/>
  <c r="AO294" i="5"/>
  <c r="AO284" i="5"/>
  <c r="AO274" i="5"/>
  <c r="AO264" i="5"/>
  <c r="AO254" i="5"/>
  <c r="AO244" i="5"/>
  <c r="AO224" i="5"/>
  <c r="AO214" i="5"/>
  <c r="AO204" i="5"/>
  <c r="AO194" i="5"/>
  <c r="AO174" i="5"/>
  <c r="AO164" i="5"/>
  <c r="AO154" i="5"/>
  <c r="AO144" i="5"/>
  <c r="AO134" i="5"/>
  <c r="AO124" i="5"/>
  <c r="AO114" i="5"/>
  <c r="AO104" i="5"/>
  <c r="AO94" i="5"/>
  <c r="BT94" i="5" s="1" a="1"/>
  <c r="BT94" i="5" s="1"/>
  <c r="AO84" i="5"/>
  <c r="AO74" i="5"/>
  <c r="AO64" i="5"/>
  <c r="AO54" i="5"/>
  <c r="AO44" i="5"/>
  <c r="AO34" i="5"/>
  <c r="AO24" i="5"/>
  <c r="AO14" i="5"/>
  <c r="AO4" i="5"/>
  <c r="AO436" i="5"/>
  <c r="AO426" i="5"/>
  <c r="AO416" i="5"/>
  <c r="AO406" i="5"/>
  <c r="AO396" i="5"/>
  <c r="AO386" i="5"/>
  <c r="AO376" i="5"/>
  <c r="AO366" i="5"/>
  <c r="AO356" i="5"/>
  <c r="AO346" i="5"/>
  <c r="AO336" i="5"/>
  <c r="AO326" i="5"/>
  <c r="AU296" i="5"/>
  <c r="AU246" i="5"/>
  <c r="AU216" i="5"/>
  <c r="BI216" i="5" s="1"/>
  <c r="AU56" i="5"/>
  <c r="AJ38" i="5"/>
  <c r="AJ28" i="5"/>
  <c r="AJ18" i="5"/>
  <c r="AJ8" i="5"/>
  <c r="AJ352" i="5"/>
  <c r="AO352" i="5" s="1"/>
  <c r="AJ342" i="5"/>
  <c r="AO342" i="5" s="1"/>
  <c r="M442" i="5"/>
  <c r="M342" i="5"/>
  <c r="M242" i="5"/>
  <c r="L218" i="5"/>
  <c r="AM123" i="5"/>
  <c r="AP123" i="5" s="1"/>
  <c r="AM93" i="5"/>
  <c r="M392" i="5"/>
  <c r="M378" i="5"/>
  <c r="M292" i="5"/>
  <c r="M278" i="5"/>
  <c r="M192" i="5"/>
  <c r="M178" i="5"/>
  <c r="M92" i="5"/>
  <c r="M78" i="5"/>
  <c r="M42" i="5"/>
  <c r="CY438" i="5"/>
  <c r="CY400" i="5"/>
  <c r="CY388" i="5"/>
  <c r="CY350" i="5"/>
  <c r="CY338" i="5"/>
  <c r="CY300" i="5"/>
  <c r="CY288" i="5"/>
  <c r="CY250" i="5"/>
  <c r="CY238" i="5"/>
  <c r="CY200" i="5"/>
  <c r="CY188" i="5"/>
  <c r="CY150" i="5"/>
  <c r="CY138" i="5"/>
  <c r="CY100" i="5"/>
  <c r="CY88" i="5"/>
  <c r="CY50" i="5"/>
  <c r="CY38" i="5"/>
  <c r="CX400" i="5" a="1"/>
  <c r="CX400" i="5" s="1"/>
  <c r="CX350" i="5" a="1"/>
  <c r="CX350" i="5" s="1"/>
  <c r="CX300" i="5" a="1"/>
  <c r="CX300" i="5" s="1"/>
  <c r="CX250" i="5" a="1"/>
  <c r="CX250" i="5" s="1"/>
  <c r="CX200" i="5" a="1"/>
  <c r="CX200" i="5" s="1"/>
  <c r="CX150" i="5" a="1"/>
  <c r="CX150" i="5" s="1"/>
  <c r="CX100" i="5" a="1"/>
  <c r="CX100" i="5" s="1"/>
  <c r="CX50" i="5" a="1"/>
  <c r="CX50" i="5" s="1"/>
  <c r="CW430" i="5"/>
  <c r="CW408" i="5"/>
  <c r="CW375" i="5"/>
  <c r="CW330" i="5"/>
  <c r="CW308" i="5"/>
  <c r="CW275" i="5"/>
  <c r="CW230" i="5"/>
  <c r="CW208" i="5"/>
  <c r="CW175" i="5"/>
  <c r="CW130" i="5"/>
  <c r="CW108" i="5"/>
  <c r="CW75" i="5"/>
  <c r="CW30" i="5"/>
  <c r="CW8" i="5"/>
  <c r="CV441" i="5" a="1"/>
  <c r="CV441" i="5" s="1"/>
  <c r="CV434" i="5" a="1"/>
  <c r="CV434" i="5" s="1"/>
  <c r="CV420" i="5" a="1"/>
  <c r="CV420" i="5" s="1"/>
  <c r="CV398" i="5" a="1"/>
  <c r="CV398" i="5" s="1"/>
  <c r="CV391" i="5" a="1"/>
  <c r="CV391" i="5" s="1"/>
  <c r="CV384" i="5" a="1"/>
  <c r="CV384" i="5" s="1"/>
  <c r="CV370" i="5" a="1"/>
  <c r="CV370" i="5" s="1"/>
  <c r="CV348" i="5" a="1"/>
  <c r="CV348" i="5" s="1"/>
  <c r="CV334" i="5" a="1"/>
  <c r="CV334" i="5" s="1"/>
  <c r="CV320" i="5" a="1"/>
  <c r="CV320" i="5" s="1"/>
  <c r="CV298" i="5" a="1"/>
  <c r="CV298" i="5" s="1"/>
  <c r="CV291" i="5" a="1"/>
  <c r="CV291" i="5" s="1"/>
  <c r="CV284" i="5" a="1"/>
  <c r="CV284" i="5" s="1"/>
  <c r="CV270" i="5" a="1"/>
  <c r="CV270" i="5" s="1"/>
  <c r="CV248" i="5" a="1"/>
  <c r="CV248" i="5" s="1"/>
  <c r="CV241" i="5" a="1"/>
  <c r="CV241" i="5" s="1"/>
  <c r="CV234" i="5" a="1"/>
  <c r="CV234" i="5" s="1"/>
  <c r="CV220" i="5" a="1"/>
  <c r="CV220" i="5" s="1"/>
  <c r="CV198" i="5" a="1"/>
  <c r="CV198" i="5" s="1"/>
  <c r="CV184" i="5" a="1"/>
  <c r="CV184" i="5" s="1"/>
  <c r="CV170" i="5" a="1"/>
  <c r="CV170" i="5" s="1"/>
  <c r="CV148" i="5" a="1"/>
  <c r="CV148" i="5" s="1"/>
  <c r="CV134" i="5" a="1"/>
  <c r="CV134" i="5" s="1"/>
  <c r="CV120" i="5" a="1"/>
  <c r="CV120" i="5" s="1"/>
  <c r="CV98" i="5" a="1"/>
  <c r="CV98" i="5" s="1"/>
  <c r="CV84" i="5" a="1"/>
  <c r="CV84" i="5" s="1"/>
  <c r="CV70" i="5" a="1"/>
  <c r="CV70" i="5" s="1"/>
  <c r="CV48" i="5" a="1"/>
  <c r="CV48" i="5" s="1"/>
  <c r="CV34" i="5" a="1"/>
  <c r="CV34" i="5" s="1"/>
  <c r="CV20" i="5" a="1"/>
  <c r="CV20" i="5" s="1"/>
  <c r="CY431" i="5"/>
  <c r="CW431" i="5"/>
  <c r="CY401" i="5"/>
  <c r="CW401" i="5"/>
  <c r="CY371" i="5"/>
  <c r="CW371" i="5"/>
  <c r="CY341" i="5"/>
  <c r="CW341" i="5"/>
  <c r="CY311" i="5"/>
  <c r="CW311" i="5"/>
  <c r="CY281" i="5"/>
  <c r="CW281" i="5"/>
  <c r="CY271" i="5"/>
  <c r="CW271" i="5"/>
  <c r="CY261" i="5"/>
  <c r="CW261" i="5"/>
  <c r="CY251" i="5"/>
  <c r="CW251" i="5"/>
  <c r="CY231" i="5"/>
  <c r="CW231" i="5"/>
  <c r="CY211" i="5"/>
  <c r="CW211" i="5"/>
  <c r="CY201" i="5"/>
  <c r="CW201" i="5"/>
  <c r="CY191" i="5"/>
  <c r="CW191" i="5"/>
  <c r="CY181" i="5"/>
  <c r="CW181" i="5"/>
  <c r="CY171" i="5"/>
  <c r="CW171" i="5"/>
  <c r="CY161" i="5"/>
  <c r="CW161" i="5"/>
  <c r="CY151" i="5"/>
  <c r="CW151" i="5"/>
  <c r="CY141" i="5"/>
  <c r="CW141" i="5"/>
  <c r="CY131" i="5"/>
  <c r="CW131" i="5"/>
  <c r="CY121" i="5"/>
  <c r="CW121" i="5"/>
  <c r="CY111" i="5"/>
  <c r="CW111" i="5"/>
  <c r="CY101" i="5"/>
  <c r="CW101" i="5"/>
  <c r="CY91" i="5"/>
  <c r="CW91" i="5"/>
  <c r="CY81" i="5"/>
  <c r="CW81" i="5"/>
  <c r="CY71" i="5"/>
  <c r="CW71" i="5"/>
  <c r="CY61" i="5"/>
  <c r="CW61" i="5"/>
  <c r="CY51" i="5"/>
  <c r="CW51" i="5"/>
  <c r="CY41" i="5"/>
  <c r="CW41" i="5"/>
  <c r="CY31" i="5"/>
  <c r="CW31" i="5"/>
  <c r="CY21" i="5"/>
  <c r="CW21" i="5"/>
  <c r="CY11" i="5"/>
  <c r="CW11" i="5"/>
  <c r="CX171" i="5" a="1"/>
  <c r="CX171" i="5" s="1"/>
  <c r="CX21" i="5" a="1"/>
  <c r="CX21" i="5" s="1"/>
  <c r="CW285" i="5"/>
  <c r="CV405" i="5" a="1"/>
  <c r="CV405" i="5" s="1"/>
  <c r="CV255" i="5" a="1"/>
  <c r="CV255" i="5" s="1"/>
  <c r="CV205" i="5" a="1"/>
  <c r="CV205" i="5" s="1"/>
  <c r="CX401" i="5" a="1"/>
  <c r="CX401" i="5" s="1"/>
  <c r="CX51" i="5" a="1"/>
  <c r="CX51" i="5" s="1"/>
  <c r="CX271" i="5" a="1"/>
  <c r="CX271" i="5" s="1"/>
  <c r="CW440" i="5"/>
  <c r="CW385" i="5"/>
  <c r="CW240" i="5"/>
  <c r="CW140" i="5"/>
  <c r="CW40" i="5"/>
  <c r="CY410" i="5"/>
  <c r="CY398" i="5"/>
  <c r="CY360" i="5"/>
  <c r="CY348" i="5"/>
  <c r="CY310" i="5"/>
  <c r="CY298" i="5"/>
  <c r="CY260" i="5"/>
  <c r="CY248" i="5"/>
  <c r="CY210" i="5"/>
  <c r="CY198" i="5"/>
  <c r="CY160" i="5"/>
  <c r="CY148" i="5"/>
  <c r="CY110" i="5"/>
  <c r="CY98" i="5"/>
  <c r="CY60" i="5"/>
  <c r="CY48" i="5"/>
  <c r="CY10" i="5"/>
  <c r="CX370" i="5" a="1"/>
  <c r="CX370" i="5" s="1"/>
  <c r="CX270" i="5" a="1"/>
  <c r="CX270" i="5" s="1"/>
  <c r="CX170" i="5" a="1"/>
  <c r="CX170" i="5" s="1"/>
  <c r="CX70" i="5" a="1"/>
  <c r="CX70" i="5" s="1"/>
  <c r="CW395" i="5"/>
  <c r="CW384" i="5"/>
  <c r="CW295" i="5"/>
  <c r="CW284" i="5"/>
  <c r="CW195" i="5"/>
  <c r="CW184" i="5"/>
  <c r="CW95" i="5"/>
  <c r="CW84" i="5"/>
  <c r="CV418" i="5" a="1"/>
  <c r="CV418" i="5" s="1"/>
  <c r="CV411" i="5" a="1"/>
  <c r="CV411" i="5" s="1"/>
  <c r="CV404" i="5" a="1"/>
  <c r="CV404" i="5" s="1"/>
  <c r="CV390" i="5" a="1"/>
  <c r="CV390" i="5" s="1"/>
  <c r="CV368" i="5" a="1"/>
  <c r="CV368" i="5" s="1"/>
  <c r="CV361" i="5" a="1"/>
  <c r="CV361" i="5" s="1"/>
  <c r="CV354" i="5" a="1"/>
  <c r="CV354" i="5" s="1"/>
  <c r="CV340" i="5" a="1"/>
  <c r="CV340" i="5" s="1"/>
  <c r="CV318" i="5" a="1"/>
  <c r="CV318" i="5" s="1"/>
  <c r="CV311" i="5" a="1"/>
  <c r="CV311" i="5" s="1"/>
  <c r="CV304" i="5" a="1"/>
  <c r="CV304" i="5" s="1"/>
  <c r="CV290" i="5" a="1"/>
  <c r="CV290" i="5" s="1"/>
  <c r="CV268" i="5" a="1"/>
  <c r="CV268" i="5" s="1"/>
  <c r="CV261" i="5" a="1"/>
  <c r="CV261" i="5" s="1"/>
  <c r="CV254" i="5" a="1"/>
  <c r="CV254" i="5" s="1"/>
  <c r="CV218" i="5" a="1"/>
  <c r="CV218" i="5" s="1"/>
  <c r="CV211" i="5" a="1"/>
  <c r="CV211" i="5" s="1"/>
  <c r="CV204" i="5" a="1"/>
  <c r="CV204" i="5" s="1"/>
  <c r="CV190" i="5" a="1"/>
  <c r="CV190" i="5" s="1"/>
  <c r="CV168" i="5" a="1"/>
  <c r="CV168" i="5" s="1"/>
  <c r="CV161" i="5" a="1"/>
  <c r="CV161" i="5" s="1"/>
  <c r="CV154" i="5" a="1"/>
  <c r="CV154" i="5" s="1"/>
  <c r="CV118" i="5" a="1"/>
  <c r="CV118" i="5" s="1"/>
  <c r="CV111" i="5" a="1"/>
  <c r="CV111" i="5" s="1"/>
  <c r="CV104" i="5" a="1"/>
  <c r="CV104" i="5" s="1"/>
  <c r="CV90" i="5" a="1"/>
  <c r="CV90" i="5" s="1"/>
  <c r="CV68" i="5" a="1"/>
  <c r="CV68" i="5" s="1"/>
  <c r="CV61" i="5" a="1"/>
  <c r="CV61" i="5" s="1"/>
  <c r="CV54" i="5" a="1"/>
  <c r="CV54" i="5" s="1"/>
  <c r="CV18" i="5" a="1"/>
  <c r="CV18" i="5" s="1"/>
  <c r="CV11" i="5" a="1"/>
  <c r="CV11" i="5" s="1"/>
  <c r="CV4" i="5" a="1"/>
  <c r="CV4" i="5" s="1"/>
  <c r="CX151" i="5" a="1"/>
  <c r="CX151" i="5" s="1"/>
  <c r="CX371" i="5" a="1"/>
  <c r="CX371" i="5" s="1"/>
  <c r="CX121" i="5" a="1"/>
  <c r="CX121" i="5" s="1"/>
  <c r="CX71" i="5" a="1"/>
  <c r="CX71" i="5" s="1"/>
  <c r="CV355" i="5" a="1"/>
  <c r="CV355" i="5" s="1"/>
  <c r="CV305" i="5" a="1"/>
  <c r="CV305" i="5" s="1"/>
  <c r="CV155" i="5" a="1"/>
  <c r="CV155" i="5" s="1"/>
  <c r="CV105" i="5" a="1"/>
  <c r="CV105" i="5" s="1"/>
  <c r="CV55" i="5" a="1"/>
  <c r="CV55" i="5" s="1"/>
  <c r="CV5" i="5" a="1"/>
  <c r="CV5" i="5" s="1"/>
  <c r="CY434" i="5"/>
  <c r="CY384" i="5"/>
  <c r="CY334" i="5"/>
  <c r="CY284" i="5"/>
  <c r="CY234" i="5"/>
  <c r="CY184" i="5"/>
  <c r="CY134" i="5"/>
  <c r="CY84" i="5"/>
  <c r="CY34" i="5"/>
  <c r="CX434" i="5" a="1"/>
  <c r="CX434" i="5" s="1"/>
  <c r="CX405" i="5" a="1"/>
  <c r="CX405" i="5" s="1"/>
  <c r="CX355" i="5" a="1"/>
  <c r="CX355" i="5" s="1"/>
  <c r="CX341" i="5" a="1"/>
  <c r="CX341" i="5" s="1"/>
  <c r="CX334" i="5" a="1"/>
  <c r="CX334" i="5" s="1"/>
  <c r="CX305" i="5" a="1"/>
  <c r="CX305" i="5" s="1"/>
  <c r="CX255" i="5" a="1"/>
  <c r="CX255" i="5" s="1"/>
  <c r="CX234" i="5" a="1"/>
  <c r="CX234" i="5" s="1"/>
  <c r="CX205" i="5" a="1"/>
  <c r="CX205" i="5" s="1"/>
  <c r="CX191" i="5" a="1"/>
  <c r="CX191" i="5" s="1"/>
  <c r="CX155" i="5" a="1"/>
  <c r="CX155" i="5" s="1"/>
  <c r="CX141" i="5" a="1"/>
  <c r="CX141" i="5" s="1"/>
  <c r="CX134" i="5" a="1"/>
  <c r="CX134" i="5" s="1"/>
  <c r="CX105" i="5" a="1"/>
  <c r="CX105" i="5" s="1"/>
  <c r="CX91" i="5" a="1"/>
  <c r="CX91" i="5" s="1"/>
  <c r="CX55" i="5" a="1"/>
  <c r="CX55" i="5" s="1"/>
  <c r="CX41" i="5" a="1"/>
  <c r="CX41" i="5" s="1"/>
  <c r="CX34" i="5" a="1"/>
  <c r="CX34" i="5" s="1"/>
  <c r="CX5" i="5" a="1"/>
  <c r="CX5" i="5" s="1"/>
  <c r="CW438" i="5"/>
  <c r="CW405" i="5"/>
  <c r="CW394" i="5"/>
  <c r="CW360" i="5"/>
  <c r="CW338" i="5"/>
  <c r="CW305" i="5"/>
  <c r="CW294" i="5"/>
  <c r="CW260" i="5"/>
  <c r="CW238" i="5"/>
  <c r="CW205" i="5"/>
  <c r="CW194" i="5"/>
  <c r="CW160" i="5"/>
  <c r="CW138" i="5"/>
  <c r="CW105" i="5"/>
  <c r="CW94" i="5"/>
  <c r="CW60" i="5"/>
  <c r="CW38" i="5"/>
  <c r="CW5" i="5"/>
  <c r="CV425" i="5" a="1"/>
  <c r="CV425" i="5" s="1"/>
  <c r="CV375" i="5" a="1"/>
  <c r="CV375" i="5" s="1"/>
  <c r="CV325" i="5" a="1"/>
  <c r="CV325" i="5" s="1"/>
  <c r="CV275" i="5" a="1"/>
  <c r="CV275" i="5" s="1"/>
  <c r="CV225" i="5" a="1"/>
  <c r="CV225" i="5" s="1"/>
  <c r="CV182" i="5" a="1"/>
  <c r="CV182" i="5" s="1"/>
  <c r="CV175" i="5" a="1"/>
  <c r="CV175" i="5" s="1"/>
  <c r="CV132" i="5" a="1"/>
  <c r="CV132" i="5" s="1"/>
  <c r="CV125" i="5" a="1"/>
  <c r="CV125" i="5" s="1"/>
  <c r="CV82" i="5" a="1"/>
  <c r="CV82" i="5" s="1"/>
  <c r="CV75" i="5" a="1"/>
  <c r="CV75" i="5" s="1"/>
  <c r="CV32" i="5" a="1"/>
  <c r="CV32" i="5" s="1"/>
  <c r="CV25" i="5" a="1"/>
  <c r="CV25" i="5" s="1"/>
  <c r="CV431" i="5" a="1"/>
  <c r="CV431" i="5" s="1"/>
  <c r="CV310" i="5" a="1"/>
  <c r="CV310" i="5" s="1"/>
  <c r="CV281" i="5" a="1"/>
  <c r="CV281" i="5" s="1"/>
  <c r="CV110" i="5" a="1"/>
  <c r="CV110" i="5" s="1"/>
  <c r="CX425" i="5" a="1"/>
  <c r="CX425" i="5" s="1"/>
  <c r="CX418" i="5" a="1"/>
  <c r="CX418" i="5" s="1"/>
  <c r="CX375" i="5" a="1"/>
  <c r="CX375" i="5" s="1"/>
  <c r="CX368" i="5" a="1"/>
  <c r="CX368" i="5" s="1"/>
  <c r="CX311" i="5" a="1"/>
  <c r="CX311" i="5" s="1"/>
  <c r="CX161" i="5" a="1"/>
  <c r="CX161" i="5" s="1"/>
  <c r="CX111" i="5" a="1"/>
  <c r="CX111" i="5" s="1"/>
  <c r="CX75" i="5" a="1"/>
  <c r="CX75" i="5" s="1"/>
  <c r="CX61" i="5" a="1"/>
  <c r="CX61" i="5" s="1"/>
  <c r="CW280" i="5"/>
  <c r="CW180" i="5"/>
  <c r="CW58" i="5"/>
  <c r="CW25" i="5"/>
  <c r="CV145" i="5" a="1"/>
  <c r="CV145" i="5" s="1"/>
  <c r="CY441" i="5"/>
  <c r="CW441" i="5"/>
  <c r="CY411" i="5"/>
  <c r="CW411" i="5"/>
  <c r="CY381" i="5"/>
  <c r="CW381" i="5"/>
  <c r="CY351" i="5"/>
  <c r="CW351" i="5"/>
  <c r="CY321" i="5"/>
  <c r="CW321" i="5"/>
  <c r="CY291" i="5"/>
  <c r="CW291" i="5"/>
  <c r="CY221" i="5"/>
  <c r="CW221" i="5"/>
  <c r="CX301" i="5" a="1"/>
  <c r="CX301" i="5" s="1"/>
  <c r="CV410" i="5" a="1"/>
  <c r="CV410" i="5" s="1"/>
  <c r="CV360" i="5" a="1"/>
  <c r="CV360" i="5" s="1"/>
  <c r="CV231" i="5" a="1"/>
  <c r="CV231" i="5" s="1"/>
  <c r="CV181" i="5" a="1"/>
  <c r="CV181" i="5" s="1"/>
  <c r="CV131" i="5" a="1"/>
  <c r="CV131" i="5" s="1"/>
  <c r="CV81" i="5" a="1"/>
  <c r="CV81" i="5" s="1"/>
  <c r="CV60" i="5" a="1"/>
  <c r="CV60" i="5" s="1"/>
  <c r="CV31" i="5" a="1"/>
  <c r="CV31" i="5" s="1"/>
  <c r="CV10" i="5" a="1"/>
  <c r="CV10" i="5" s="1"/>
  <c r="CX325" i="5" a="1"/>
  <c r="CX325" i="5" s="1"/>
  <c r="CX168" i="5" a="1"/>
  <c r="CX168" i="5" s="1"/>
  <c r="CX125" i="5" a="1"/>
  <c r="CX125" i="5" s="1"/>
  <c r="CX68" i="5" a="1"/>
  <c r="CX68" i="5" s="1"/>
  <c r="CX25" i="5" a="1"/>
  <c r="CX25" i="5" s="1"/>
  <c r="CX18" i="5" a="1"/>
  <c r="CX18" i="5" s="1"/>
  <c r="CX11" i="5" a="1"/>
  <c r="CX11" i="5" s="1"/>
  <c r="CW425" i="5"/>
  <c r="CW358" i="5"/>
  <c r="CW225" i="5"/>
  <c r="CW158" i="5"/>
  <c r="CW80" i="5"/>
  <c r="CV395" i="5" a="1"/>
  <c r="CV395" i="5" s="1"/>
  <c r="CV295" i="5" a="1"/>
  <c r="CV295" i="5" s="1"/>
  <c r="CV245" i="5" a="1"/>
  <c r="CV245" i="5" s="1"/>
  <c r="CY430" i="5"/>
  <c r="CY380" i="5"/>
  <c r="CY368" i="5"/>
  <c r="CY330" i="5"/>
  <c r="CY318" i="5"/>
  <c r="CY280" i="5"/>
  <c r="CY268" i="5"/>
  <c r="CY230" i="5"/>
  <c r="CY218" i="5"/>
  <c r="CY180" i="5"/>
  <c r="CY168" i="5"/>
  <c r="CY130" i="5"/>
  <c r="CY118" i="5"/>
  <c r="CY80" i="5"/>
  <c r="CY68" i="5"/>
  <c r="CY30" i="5"/>
  <c r="CX346" i="5" a="1"/>
  <c r="CX346" i="5" s="1"/>
  <c r="CX260" i="5" a="1"/>
  <c r="CX260" i="5" s="1"/>
  <c r="CX246" i="5" a="1"/>
  <c r="CX246" i="5" s="1"/>
  <c r="CX210" i="5" a="1"/>
  <c r="CX210" i="5" s="1"/>
  <c r="CX160" i="5" a="1"/>
  <c r="CX160" i="5" s="1"/>
  <c r="CX146" i="5" a="1"/>
  <c r="CX146" i="5" s="1"/>
  <c r="CX46" i="5" a="1"/>
  <c r="CX46" i="5" s="1"/>
  <c r="CW435" i="5"/>
  <c r="CW424" i="5"/>
  <c r="CW335" i="5"/>
  <c r="CW324" i="5"/>
  <c r="CW268" i="5"/>
  <c r="CW235" i="5"/>
  <c r="CW224" i="5"/>
  <c r="CW135" i="5"/>
  <c r="CW124" i="5"/>
  <c r="CW35" i="5"/>
  <c r="CW24" i="5"/>
  <c r="CV401" i="5" a="1"/>
  <c r="CV401" i="5" s="1"/>
  <c r="CV380" i="5" a="1"/>
  <c r="CV380" i="5" s="1"/>
  <c r="CV351" i="5" a="1"/>
  <c r="CV351" i="5" s="1"/>
  <c r="CV258" i="5" a="1"/>
  <c r="CV258" i="5" s="1"/>
  <c r="CV251" i="5" a="1"/>
  <c r="CV251" i="5" s="1"/>
  <c r="CV201" i="5" a="1"/>
  <c r="CV201" i="5" s="1"/>
  <c r="CV151" i="5" a="1"/>
  <c r="CV151" i="5" s="1"/>
  <c r="CV101" i="5" a="1"/>
  <c r="CV101" i="5" s="1"/>
  <c r="CV51" i="5" a="1"/>
  <c r="CV51" i="5" s="1"/>
  <c r="CY421" i="5"/>
  <c r="CW421" i="5"/>
  <c r="CY391" i="5"/>
  <c r="CW391" i="5"/>
  <c r="CY361" i="5"/>
  <c r="CW361" i="5"/>
  <c r="CY331" i="5"/>
  <c r="CW331" i="5"/>
  <c r="CY301" i="5"/>
  <c r="CW301" i="5"/>
  <c r="CY241" i="5"/>
  <c r="CW241" i="5"/>
  <c r="CV381" i="5" a="1"/>
  <c r="CV381" i="5" s="1"/>
  <c r="CV331" i="5" a="1"/>
  <c r="CV331" i="5" s="1"/>
  <c r="CX275" i="5" a="1"/>
  <c r="CX275" i="5" s="1"/>
  <c r="CX261" i="5" a="1"/>
  <c r="CX261" i="5" s="1"/>
  <c r="CX225" i="5" a="1"/>
  <c r="CX225" i="5" s="1"/>
  <c r="CX211" i="5" a="1"/>
  <c r="CX211" i="5" s="1"/>
  <c r="CX175" i="5" a="1"/>
  <c r="CX175" i="5" s="1"/>
  <c r="CW325" i="5"/>
  <c r="CW125" i="5"/>
  <c r="CV345" i="5" a="1"/>
  <c r="CV345" i="5" s="1"/>
  <c r="CV195" i="5" a="1"/>
  <c r="CV195" i="5" s="1"/>
  <c r="CV95" i="5" a="1"/>
  <c r="CV95" i="5" s="1"/>
  <c r="CV45" i="5" a="1"/>
  <c r="CV45" i="5" s="1"/>
  <c r="CX431" i="5" a="1"/>
  <c r="CX431" i="5" s="1"/>
  <c r="CX395" i="5" a="1"/>
  <c r="CX395" i="5" s="1"/>
  <c r="CX381" i="5" a="1"/>
  <c r="CX381" i="5" s="1"/>
  <c r="CX345" i="5" a="1"/>
  <c r="CX345" i="5" s="1"/>
  <c r="CX331" i="5" a="1"/>
  <c r="CX331" i="5" s="1"/>
  <c r="CX295" i="5" a="1"/>
  <c r="CX295" i="5" s="1"/>
  <c r="CX281" i="5" a="1"/>
  <c r="CX281" i="5" s="1"/>
  <c r="CX245" i="5" a="1"/>
  <c r="CX245" i="5" s="1"/>
  <c r="CX231" i="5" a="1"/>
  <c r="CX231" i="5" s="1"/>
  <c r="CX195" i="5" a="1"/>
  <c r="CX195" i="5" s="1"/>
  <c r="CX181" i="5" a="1"/>
  <c r="CX181" i="5" s="1"/>
  <c r="CX145" i="5" a="1"/>
  <c r="CX145" i="5" s="1"/>
  <c r="CX131" i="5" a="1"/>
  <c r="CX131" i="5" s="1"/>
  <c r="CX95" i="5" a="1"/>
  <c r="CX95" i="5" s="1"/>
  <c r="CX81" i="5" a="1"/>
  <c r="CX81" i="5" s="1"/>
  <c r="CX45" i="5" a="1"/>
  <c r="CX45" i="5" s="1"/>
  <c r="CX31" i="5" a="1"/>
  <c r="CX31" i="5" s="1"/>
  <c r="CW345" i="5"/>
  <c r="CW245" i="5"/>
  <c r="CW145" i="5"/>
  <c r="CW45" i="5"/>
  <c r="CV415" i="5" a="1"/>
  <c r="CV415" i="5" s="1"/>
  <c r="CV365" i="5" a="1"/>
  <c r="CV365" i="5" s="1"/>
  <c r="CV315" i="5" a="1"/>
  <c r="CV315" i="5" s="1"/>
  <c r="CV265" i="5" a="1"/>
  <c r="CV265" i="5" s="1"/>
  <c r="CV215" i="5" a="1"/>
  <c r="CV215" i="5" s="1"/>
  <c r="CV165" i="5" a="1"/>
  <c r="CV165" i="5" s="1"/>
  <c r="CV115" i="5" a="1"/>
  <c r="CV115" i="5" s="1"/>
  <c r="CV65" i="5" a="1"/>
  <c r="CV65" i="5" s="1"/>
  <c r="CV15" i="5" a="1"/>
  <c r="CV15" i="5" s="1"/>
  <c r="AQ405" i="5"/>
  <c r="BB405" i="5" s="1"/>
  <c r="AQ391" i="5"/>
  <c r="BB391" i="5" s="1"/>
  <c r="CI391" i="5"/>
  <c r="AQ361" i="5"/>
  <c r="BB361" i="5" s="1"/>
  <c r="CI361" i="5"/>
  <c r="AQ280" i="5"/>
  <c r="BB280" i="5" s="1"/>
  <c r="AQ223" i="5"/>
  <c r="BB223" i="5" s="1"/>
  <c r="CH223" i="5"/>
  <c r="AQ169" i="5"/>
  <c r="BB169" i="5" s="1"/>
  <c r="CH169" i="5"/>
  <c r="AQ162" i="5"/>
  <c r="BB162" i="5" s="1"/>
  <c r="AQ108" i="5"/>
  <c r="BB108" i="5" s="1"/>
  <c r="AQ95" i="5"/>
  <c r="BB95" i="5" s="1"/>
  <c r="AQ47" i="5"/>
  <c r="BB47" i="5" s="1"/>
  <c r="CH47" i="5"/>
  <c r="CI47" i="5"/>
  <c r="BU393" i="5" a="1"/>
  <c r="BU393" i="5" s="1"/>
  <c r="BT393" i="5" a="1"/>
  <c r="BT393" i="5" s="1"/>
  <c r="BT121" i="5" a="1"/>
  <c r="BT121" i="5" s="1"/>
  <c r="BU121" i="5" a="1"/>
  <c r="BU121" i="5" s="1"/>
  <c r="AQ390" i="5"/>
  <c r="BB390" i="5" s="1"/>
  <c r="AQ360" i="5"/>
  <c r="BB360" i="5" s="1"/>
  <c r="AQ346" i="5"/>
  <c r="BB346" i="5" s="1"/>
  <c r="AQ259" i="5"/>
  <c r="BB259" i="5" s="1"/>
  <c r="AQ237" i="5"/>
  <c r="BB237" i="5" s="1"/>
  <c r="AQ230" i="5"/>
  <c r="BB230" i="5" s="1"/>
  <c r="AQ114" i="5"/>
  <c r="BB114" i="5" s="1"/>
  <c r="CH114" i="5"/>
  <c r="AQ53" i="5"/>
  <c r="BB53" i="5" s="1"/>
  <c r="BT32" i="5" a="1"/>
  <c r="BT32" i="5" s="1"/>
  <c r="BU32" i="5" a="1"/>
  <c r="BU32" i="5" s="1"/>
  <c r="BJ46" i="5"/>
  <c r="BQ46" i="5" a="1"/>
  <c r="BQ46" i="5" s="1"/>
  <c r="BS46" i="5" s="1"/>
  <c r="BR46" i="5" a="1"/>
  <c r="BR46" i="5" s="1"/>
  <c r="AQ441" i="5"/>
  <c r="BB441" i="5" s="1"/>
  <c r="CI441" i="5"/>
  <c r="AQ411" i="5"/>
  <c r="BB411" i="5" s="1"/>
  <c r="CI411" i="5"/>
  <c r="AQ330" i="5"/>
  <c r="BB330" i="5" s="1"/>
  <c r="AQ316" i="5"/>
  <c r="BB316" i="5" s="1"/>
  <c r="AQ286" i="5"/>
  <c r="BB286" i="5" s="1"/>
  <c r="AQ195" i="5"/>
  <c r="BB195" i="5" s="1"/>
  <c r="CH434" i="5"/>
  <c r="BT143" i="5" a="1"/>
  <c r="BT143" i="5" s="1"/>
  <c r="BU143" i="5" a="1"/>
  <c r="BU143" i="5" s="1"/>
  <c r="BT82" i="5" a="1"/>
  <c r="BT82" i="5" s="1"/>
  <c r="BU82" i="5" a="1"/>
  <c r="BU82" i="5" s="1"/>
  <c r="BU54" i="5" a="1"/>
  <c r="BU54" i="5" s="1"/>
  <c r="BT54" i="5" a="1"/>
  <c r="BT54" i="5" s="1"/>
  <c r="Z274" i="5" a="1"/>
  <c r="Z274" i="5" s="1"/>
  <c r="BJ274" i="5"/>
  <c r="BR274" i="5" a="1"/>
  <c r="BR274" i="5" s="1"/>
  <c r="BQ274" i="5" a="1"/>
  <c r="BQ274" i="5" s="1"/>
  <c r="BS274" i="5" s="1"/>
  <c r="BJ146" i="5"/>
  <c r="BQ146" i="5" a="1"/>
  <c r="BQ146" i="5" s="1"/>
  <c r="BS146" i="5" s="1"/>
  <c r="BR146" i="5" a="1"/>
  <c r="BR146" i="5" s="1"/>
  <c r="BJ85" i="5"/>
  <c r="BR85" i="5" a="1"/>
  <c r="BR85" i="5" s="1"/>
  <c r="BQ85" i="5" a="1"/>
  <c r="BQ85" i="5" s="1"/>
  <c r="BS85" i="5" s="1"/>
  <c r="AQ440" i="5"/>
  <c r="BB440" i="5" s="1"/>
  <c r="AQ410" i="5"/>
  <c r="BB410" i="5" s="1"/>
  <c r="AQ396" i="5"/>
  <c r="BB396" i="5" s="1"/>
  <c r="CH396" i="5"/>
  <c r="AQ315" i="5"/>
  <c r="BB315" i="5" s="1"/>
  <c r="AQ285" i="5"/>
  <c r="BB285" i="5" s="1"/>
  <c r="CH285" i="5"/>
  <c r="AQ265" i="5"/>
  <c r="BB265" i="5" s="1"/>
  <c r="AQ187" i="5"/>
  <c r="BB187" i="5" s="1"/>
  <c r="AQ134" i="5"/>
  <c r="BB134" i="5" s="1"/>
  <c r="CH134" i="5"/>
  <c r="AQ120" i="5"/>
  <c r="BB120" i="5" s="1"/>
  <c r="AQ59" i="5"/>
  <c r="BB59" i="5" s="1"/>
  <c r="CI59" i="5"/>
  <c r="AQ380" i="5"/>
  <c r="BB380" i="5" s="1"/>
  <c r="AQ366" i="5"/>
  <c r="BB366" i="5" s="1"/>
  <c r="AQ336" i="5"/>
  <c r="BB336" i="5" s="1"/>
  <c r="CH336" i="5"/>
  <c r="AQ180" i="5"/>
  <c r="BB180" i="5" s="1"/>
  <c r="AQ119" i="5"/>
  <c r="BB119" i="5" s="1"/>
  <c r="AQ73" i="5"/>
  <c r="BB73" i="5" s="1"/>
  <c r="AQ58" i="5"/>
  <c r="BB58" i="5" s="1"/>
  <c r="CH58" i="5"/>
  <c r="CI58" i="5"/>
  <c r="BU354" i="5" a="1"/>
  <c r="BU354" i="5" s="1"/>
  <c r="BT354" i="5" a="1"/>
  <c r="BT354" i="5" s="1"/>
  <c r="Z174" i="5" a="1"/>
  <c r="Z174" i="5" s="1"/>
  <c r="BJ174" i="5"/>
  <c r="BR174" i="5" a="1"/>
  <c r="BR174" i="5" s="1"/>
  <c r="BQ174" i="5" a="1"/>
  <c r="BQ174" i="5" s="1"/>
  <c r="BS174" i="5" s="1"/>
  <c r="AQ365" i="5"/>
  <c r="BB365" i="5" s="1"/>
  <c r="AQ335" i="5"/>
  <c r="BB335" i="5" s="1"/>
  <c r="AQ321" i="5"/>
  <c r="BB321" i="5" s="1"/>
  <c r="CI321" i="5"/>
  <c r="AQ242" i="5"/>
  <c r="BB242" i="5" s="1"/>
  <c r="AQ193" i="5"/>
  <c r="BB193" i="5" s="1"/>
  <c r="AQ125" i="5"/>
  <c r="BB125" i="5" s="1"/>
  <c r="CH125" i="5"/>
  <c r="AQ92" i="5"/>
  <c r="BB92" i="5" s="1"/>
  <c r="CH92" i="5"/>
  <c r="AQ65" i="5"/>
  <c r="BB65" i="5" s="1"/>
  <c r="AQ4" i="5"/>
  <c r="BB4" i="5" s="1"/>
  <c r="BT271" i="5" a="1"/>
  <c r="BT271" i="5" s="1"/>
  <c r="BU271" i="5" a="1"/>
  <c r="BU271" i="5" s="1"/>
  <c r="BT21" i="5" a="1"/>
  <c r="BT21" i="5" s="1"/>
  <c r="BU21" i="5" a="1"/>
  <c r="BU21" i="5" s="1"/>
  <c r="AQ430" i="5"/>
  <c r="BB430" i="5" s="1"/>
  <c r="AQ416" i="5"/>
  <c r="BB416" i="5" s="1"/>
  <c r="AQ386" i="5"/>
  <c r="BB386" i="5" s="1"/>
  <c r="AQ305" i="5"/>
  <c r="BB305" i="5" s="1"/>
  <c r="AQ291" i="5"/>
  <c r="BB291" i="5" s="1"/>
  <c r="CI291" i="5"/>
  <c r="AQ248" i="5"/>
  <c r="BB248" i="5" s="1"/>
  <c r="AQ132" i="5"/>
  <c r="BB132" i="5" s="1"/>
  <c r="AQ64" i="5"/>
  <c r="BB64" i="5" s="1"/>
  <c r="AQ43" i="5"/>
  <c r="BB43" i="5" s="1"/>
  <c r="AQ3" i="5"/>
  <c r="BB3" i="5" s="1"/>
  <c r="CH3" i="5"/>
  <c r="CI3" i="5"/>
  <c r="BU404" i="5" a="1"/>
  <c r="BU404" i="5" s="1"/>
  <c r="BT404" i="5" a="1"/>
  <c r="BT404" i="5" s="1"/>
  <c r="BT132" i="5" a="1"/>
  <c r="BT132" i="5" s="1"/>
  <c r="BU132" i="5" a="1"/>
  <c r="BU132" i="5" s="1"/>
  <c r="BJ285" i="5"/>
  <c r="BQ285" i="5" a="1"/>
  <c r="BQ285" i="5" s="1"/>
  <c r="BS285" i="5" s="1"/>
  <c r="BR285" i="5" a="1"/>
  <c r="BR285" i="5" s="1"/>
  <c r="BJ235" i="5"/>
  <c r="BQ235" i="5" a="1"/>
  <c r="BQ235" i="5" s="1"/>
  <c r="BS235" i="5" s="1"/>
  <c r="BR235" i="5" a="1"/>
  <c r="BR235" i="5" s="1"/>
  <c r="AQ415" i="5"/>
  <c r="BB415" i="5" s="1"/>
  <c r="AQ385" i="5"/>
  <c r="BB385" i="5" s="1"/>
  <c r="CH385" i="5"/>
  <c r="AQ371" i="5"/>
  <c r="BB371" i="5" s="1"/>
  <c r="CI371" i="5"/>
  <c r="AQ290" i="5"/>
  <c r="BB290" i="5" s="1"/>
  <c r="AQ247" i="5"/>
  <c r="BB247" i="5" s="1"/>
  <c r="CH247" i="5"/>
  <c r="AQ225" i="5"/>
  <c r="BB225" i="5" s="1"/>
  <c r="CH225" i="5"/>
  <c r="AQ164" i="5"/>
  <c r="BB164" i="5" s="1"/>
  <c r="BU443" i="5" a="1"/>
  <c r="BU443" i="5" s="1"/>
  <c r="BT443" i="5" a="1"/>
  <c r="BT443" i="5" s="1"/>
  <c r="BT43" i="5" a="1"/>
  <c r="BT43" i="5" s="1"/>
  <c r="BU43" i="5" a="1"/>
  <c r="BU43" i="5" s="1"/>
  <c r="AQ436" i="5"/>
  <c r="BB436" i="5" s="1"/>
  <c r="CH436" i="5"/>
  <c r="AQ355" i="5"/>
  <c r="BB355" i="5" s="1"/>
  <c r="AQ341" i="5"/>
  <c r="BB341" i="5" s="1"/>
  <c r="CI341" i="5"/>
  <c r="AQ311" i="5"/>
  <c r="BB311" i="5" s="1"/>
  <c r="CI311" i="5"/>
  <c r="AQ262" i="5"/>
  <c r="BB262" i="5" s="1"/>
  <c r="AQ254" i="5"/>
  <c r="BB254" i="5" s="1"/>
  <c r="AQ212" i="5"/>
  <c r="BB212" i="5" s="1"/>
  <c r="CH212" i="5"/>
  <c r="AQ198" i="5"/>
  <c r="BB198" i="5" s="1"/>
  <c r="AQ70" i="5"/>
  <c r="BB70" i="5" s="1"/>
  <c r="AQ9" i="5"/>
  <c r="BB9" i="5" s="1"/>
  <c r="CI9" i="5"/>
  <c r="BT171" i="5" a="1"/>
  <c r="BT171" i="5" s="1"/>
  <c r="BU171" i="5" a="1"/>
  <c r="BU171" i="5" s="1"/>
  <c r="BU154" i="5" a="1"/>
  <c r="BU154" i="5" s="1"/>
  <c r="BT154" i="5" a="1"/>
  <c r="BT154" i="5" s="1"/>
  <c r="AQ435" i="5"/>
  <c r="BB435" i="5" s="1"/>
  <c r="AQ421" i="5"/>
  <c r="BB421" i="5" s="1"/>
  <c r="CI421" i="5"/>
  <c r="AQ340" i="5"/>
  <c r="BB340" i="5" s="1"/>
  <c r="CH340" i="5"/>
  <c r="AQ310" i="5"/>
  <c r="BB310" i="5" s="1"/>
  <c r="AQ296" i="5"/>
  <c r="BB296" i="5" s="1"/>
  <c r="CH296" i="5"/>
  <c r="AQ253" i="5"/>
  <c r="BB253" i="5" s="1"/>
  <c r="AQ232" i="5"/>
  <c r="BB232" i="5" s="1"/>
  <c r="AQ204" i="5"/>
  <c r="BB204" i="5" s="1"/>
  <c r="AQ170" i="5"/>
  <c r="BB170" i="5" s="1"/>
  <c r="AQ137" i="5"/>
  <c r="BB137" i="5" s="1"/>
  <c r="AQ34" i="5"/>
  <c r="BB34" i="5" s="1"/>
  <c r="CH34" i="5"/>
  <c r="AQ15" i="5"/>
  <c r="BB15" i="5" s="1"/>
  <c r="BJ346" i="5"/>
  <c r="BQ346" i="5" a="1"/>
  <c r="BQ346" i="5" s="1"/>
  <c r="BS346" i="5" s="1"/>
  <c r="BR346" i="5" a="1"/>
  <c r="BR346" i="5" s="1"/>
  <c r="AQ428" i="5"/>
  <c r="BB428" i="5" s="1"/>
  <c r="AQ422" i="5"/>
  <c r="BB422" i="5" s="1"/>
  <c r="AQ403" i="5"/>
  <c r="BB403" i="5" s="1"/>
  <c r="AQ397" i="5"/>
  <c r="BB397" i="5" s="1"/>
  <c r="AQ378" i="5"/>
  <c r="BB378" i="5" s="1"/>
  <c r="AQ372" i="5"/>
  <c r="BB372" i="5" s="1"/>
  <c r="AQ353" i="5"/>
  <c r="BB353" i="5" s="1"/>
  <c r="AQ347" i="5"/>
  <c r="BB347" i="5" s="1"/>
  <c r="AQ328" i="5"/>
  <c r="BB328" i="5" s="1"/>
  <c r="AQ322" i="5"/>
  <c r="BB322" i="5" s="1"/>
  <c r="AQ303" i="5"/>
  <c r="BB303" i="5" s="1"/>
  <c r="AQ297" i="5"/>
  <c r="BB297" i="5" s="1"/>
  <c r="AQ278" i="5"/>
  <c r="BB278" i="5" s="1"/>
  <c r="AQ260" i="5"/>
  <c r="BB260" i="5" s="1"/>
  <c r="AQ235" i="5"/>
  <c r="BB235" i="5" s="1"/>
  <c r="AQ217" i="5"/>
  <c r="BB217" i="5" s="1"/>
  <c r="AQ199" i="5"/>
  <c r="BB199" i="5" s="1"/>
  <c r="AQ181" i="5"/>
  <c r="BB181" i="5" s="1"/>
  <c r="CH181" i="5"/>
  <c r="AQ174" i="5"/>
  <c r="BB174" i="5" s="1"/>
  <c r="AQ156" i="5"/>
  <c r="BB156" i="5" s="1"/>
  <c r="AQ150" i="5"/>
  <c r="BB150" i="5" s="1"/>
  <c r="AQ138" i="5"/>
  <c r="BB138" i="5" s="1"/>
  <c r="AQ89" i="5"/>
  <c r="BB89" i="5" s="1"/>
  <c r="AQ77" i="5"/>
  <c r="BB77" i="5" s="1"/>
  <c r="AQ71" i="5"/>
  <c r="BB71" i="5" s="1"/>
  <c r="AQ41" i="5"/>
  <c r="BB41" i="5" s="1"/>
  <c r="AQ28" i="5"/>
  <c r="BB28" i="5" s="1"/>
  <c r="AQ10" i="5"/>
  <c r="BB10" i="5" s="1"/>
  <c r="CI39" i="5"/>
  <c r="BU376" i="5" a="1"/>
  <c r="BU376" i="5" s="1"/>
  <c r="BT376" i="5" a="1"/>
  <c r="BT376" i="5" s="1"/>
  <c r="BU341" i="5" a="1"/>
  <c r="BU341" i="5" s="1"/>
  <c r="BT341" i="5" a="1"/>
  <c r="BT341" i="5" s="1"/>
  <c r="BU326" i="5" a="1"/>
  <c r="BU326" i="5" s="1"/>
  <c r="BU291" i="5" a="1"/>
  <c r="BU291" i="5" s="1"/>
  <c r="BT291" i="5" a="1"/>
  <c r="BT291" i="5" s="1"/>
  <c r="BT283" i="5" a="1"/>
  <c r="BT283" i="5" s="1"/>
  <c r="BU283" i="5" a="1"/>
  <c r="BU283" i="5" s="1"/>
  <c r="BT237" i="5" a="1"/>
  <c r="BT237" i="5" s="1"/>
  <c r="BU237" i="5" a="1"/>
  <c r="BU237" i="5" s="1"/>
  <c r="BU163" i="5" a="1"/>
  <c r="BU163" i="5" s="1"/>
  <c r="BT163" i="5" a="1"/>
  <c r="BT163" i="5" s="1"/>
  <c r="BU141" i="5" a="1"/>
  <c r="BU141" i="5" s="1"/>
  <c r="BT141" i="5" a="1"/>
  <c r="BT141" i="5" s="1"/>
  <c r="BT133" i="5" a="1"/>
  <c r="BT133" i="5" s="1"/>
  <c r="BU133" i="5" a="1"/>
  <c r="BU133" i="5" s="1"/>
  <c r="BT61" i="5" a="1"/>
  <c r="BT61" i="5" s="1"/>
  <c r="BU61" i="5" a="1"/>
  <c r="BU61" i="5" s="1"/>
  <c r="BU41" i="5" a="1"/>
  <c r="BU41" i="5" s="1"/>
  <c r="BT41" i="5" a="1"/>
  <c r="BT41" i="5" s="1"/>
  <c r="BT33" i="5" a="1"/>
  <c r="BT33" i="5" s="1"/>
  <c r="BU33" i="5" a="1"/>
  <c r="BU33" i="5" s="1"/>
  <c r="BJ429" i="5"/>
  <c r="BR429" i="5" a="1"/>
  <c r="BR429" i="5" s="1"/>
  <c r="BQ429" i="5" a="1"/>
  <c r="BQ429" i="5" s="1"/>
  <c r="BS429" i="5" s="1"/>
  <c r="BJ399" i="5"/>
  <c r="BR399" i="5" a="1"/>
  <c r="BR399" i="5" s="1"/>
  <c r="BQ399" i="5" a="1"/>
  <c r="BQ399" i="5" s="1"/>
  <c r="BS399" i="5" s="1"/>
  <c r="BJ369" i="5"/>
  <c r="BR369" i="5" a="1"/>
  <c r="BR369" i="5" s="1"/>
  <c r="BQ369" i="5" a="1"/>
  <c r="BQ369" i="5" s="1"/>
  <c r="BS369" i="5" s="1"/>
  <c r="Z340" i="5" a="1"/>
  <c r="Z340" i="5" s="1"/>
  <c r="BJ340" i="5"/>
  <c r="BQ340" i="5" a="1"/>
  <c r="BQ340" i="5" s="1"/>
  <c r="BS340" i="5" s="1"/>
  <c r="BR340" i="5" a="1"/>
  <c r="BR340" i="5" s="1"/>
  <c r="Z320" i="5" a="1"/>
  <c r="Z320" i="5" s="1"/>
  <c r="BJ320" i="5"/>
  <c r="BQ320" i="5" a="1"/>
  <c r="BQ320" i="5" s="1"/>
  <c r="BS320" i="5" s="1"/>
  <c r="BR320" i="5" a="1"/>
  <c r="BR320" i="5" s="1"/>
  <c r="BJ305" i="5"/>
  <c r="BQ305" i="5" a="1"/>
  <c r="BQ305" i="5" s="1"/>
  <c r="BS305" i="5" s="1"/>
  <c r="BR305" i="5" a="1"/>
  <c r="BR305" i="5" s="1"/>
  <c r="Z264" i="5" a="1"/>
  <c r="Z264" i="5" s="1"/>
  <c r="BJ264" i="5"/>
  <c r="BR264" i="5" a="1"/>
  <c r="BR264" i="5" s="1"/>
  <c r="BQ264" i="5" a="1"/>
  <c r="BQ264" i="5" s="1"/>
  <c r="BS264" i="5" s="1"/>
  <c r="Z250" i="5" a="1"/>
  <c r="Z250" i="5" s="1"/>
  <c r="BQ250" i="5" a="1"/>
  <c r="BQ250" i="5" s="1"/>
  <c r="BS250" i="5" s="1"/>
  <c r="BR250" i="5" a="1"/>
  <c r="BR250" i="5" s="1"/>
  <c r="Z236" i="5" a="1"/>
  <c r="Z236" i="5" s="1"/>
  <c r="BQ236" i="5" a="1"/>
  <c r="BQ236" i="5" s="1"/>
  <c r="BS236" i="5" s="1"/>
  <c r="BJ236" i="5"/>
  <c r="BR236" i="5" a="1"/>
  <c r="BR236" i="5" s="1"/>
  <c r="BJ229" i="5"/>
  <c r="BR229" i="5" a="1"/>
  <c r="BR229" i="5" s="1"/>
  <c r="BQ229" i="5" a="1"/>
  <c r="BQ229" i="5" s="1"/>
  <c r="BS229" i="5" s="1"/>
  <c r="BJ201" i="5"/>
  <c r="BQ201" i="5" a="1"/>
  <c r="BQ201" i="5" s="1"/>
  <c r="BS201" i="5" s="1"/>
  <c r="BR201" i="5" a="1"/>
  <c r="BR201" i="5" s="1"/>
  <c r="Z181" i="5" a="1"/>
  <c r="Z181" i="5" s="1"/>
  <c r="BJ181" i="5"/>
  <c r="BQ181" i="5" a="1"/>
  <c r="BQ181" i="5" s="1"/>
  <c r="BS181" i="5" s="1"/>
  <c r="BR181" i="5" a="1"/>
  <c r="BR181" i="5" s="1"/>
  <c r="BJ159" i="5"/>
  <c r="BR159" i="5" a="1"/>
  <c r="BR159" i="5" s="1"/>
  <c r="BQ159" i="5" a="1"/>
  <c r="BQ159" i="5" s="1"/>
  <c r="BS159" i="5" s="1"/>
  <c r="BJ139" i="5"/>
  <c r="BR139" i="5" a="1"/>
  <c r="BR139" i="5" s="1"/>
  <c r="BQ139" i="5" a="1"/>
  <c r="BQ139" i="5" s="1"/>
  <c r="BS139" i="5" s="1"/>
  <c r="BJ118" i="5"/>
  <c r="BQ118" i="5" a="1"/>
  <c r="BQ118" i="5" s="1"/>
  <c r="BS118" i="5" s="1"/>
  <c r="BR118" i="5" a="1"/>
  <c r="BR118" i="5" s="1"/>
  <c r="BQ111" i="5" a="1"/>
  <c r="BQ111" i="5" s="1"/>
  <c r="BS111" i="5" s="1"/>
  <c r="BR111" i="5" a="1"/>
  <c r="BR111" i="5" s="1"/>
  <c r="Z40" i="5" a="1"/>
  <c r="Z40" i="5" s="1"/>
  <c r="BR40" i="5" a="1"/>
  <c r="BR40" i="5" s="1"/>
  <c r="BQ40" i="5" a="1"/>
  <c r="BQ40" i="5" s="1"/>
  <c r="BS40" i="5" s="1"/>
  <c r="BJ21" i="5"/>
  <c r="BQ21" i="5" a="1"/>
  <c r="BQ21" i="5" s="1"/>
  <c r="BS21" i="5" s="1"/>
  <c r="BR21" i="5" a="1"/>
  <c r="BR21" i="5" s="1"/>
  <c r="AQ434" i="5"/>
  <c r="BB434" i="5" s="1"/>
  <c r="AQ409" i="5"/>
  <c r="BB409" i="5" s="1"/>
  <c r="AQ384" i="5"/>
  <c r="BB384" i="5" s="1"/>
  <c r="AQ359" i="5"/>
  <c r="BB359" i="5" s="1"/>
  <c r="AQ334" i="5"/>
  <c r="BB334" i="5" s="1"/>
  <c r="AQ309" i="5"/>
  <c r="BB309" i="5" s="1"/>
  <c r="AQ284" i="5"/>
  <c r="BB284" i="5" s="1"/>
  <c r="AQ229" i="5"/>
  <c r="BB229" i="5" s="1"/>
  <c r="AQ186" i="5"/>
  <c r="BB186" i="5" s="1"/>
  <c r="AQ168" i="5"/>
  <c r="BB168" i="5" s="1"/>
  <c r="AQ113" i="5"/>
  <c r="BB113" i="5" s="1"/>
  <c r="AQ107" i="5"/>
  <c r="BB107" i="5" s="1"/>
  <c r="AQ101" i="5"/>
  <c r="BB101" i="5" s="1"/>
  <c r="AQ76" i="5"/>
  <c r="BB76" i="5" s="1"/>
  <c r="AQ52" i="5"/>
  <c r="BB52" i="5" s="1"/>
  <c r="AQ40" i="5"/>
  <c r="BB40" i="5" s="1"/>
  <c r="CH421" i="5"/>
  <c r="BT427" i="5" a="1"/>
  <c r="BT427" i="5" s="1"/>
  <c r="BU427" i="5" a="1"/>
  <c r="BU427" i="5" s="1"/>
  <c r="BT383" i="5" a="1"/>
  <c r="BT383" i="5" s="1"/>
  <c r="BU383" i="5" a="1"/>
  <c r="BU383" i="5" s="1"/>
  <c r="BT361" i="5" a="1"/>
  <c r="BT361" i="5" s="1"/>
  <c r="BU361" i="5" a="1"/>
  <c r="BU361" i="5" s="1"/>
  <c r="BT333" i="5" a="1"/>
  <c r="BT333" i="5" s="1"/>
  <c r="BU333" i="5" a="1"/>
  <c r="BU333" i="5" s="1"/>
  <c r="BU297" i="5" a="1"/>
  <c r="BU297" i="5" s="1"/>
  <c r="BT297" i="5" a="1"/>
  <c r="BT297" i="5" s="1"/>
  <c r="BU267" i="5" a="1"/>
  <c r="BU267" i="5" s="1"/>
  <c r="BT267" i="5" a="1"/>
  <c r="BT267" i="5" s="1"/>
  <c r="BU252" i="5" a="1"/>
  <c r="BU252" i="5" s="1"/>
  <c r="BT252" i="5" a="1"/>
  <c r="BT252" i="5" s="1"/>
  <c r="BT244" i="5" a="1"/>
  <c r="BT244" i="5" s="1"/>
  <c r="BU244" i="5" a="1"/>
  <c r="BU244" i="5" s="1"/>
  <c r="BT222" i="5" a="1"/>
  <c r="BT222" i="5" s="1"/>
  <c r="BU222" i="5" a="1"/>
  <c r="BU222" i="5" s="1"/>
  <c r="BT74" i="5" a="1"/>
  <c r="BT74" i="5" s="1"/>
  <c r="BU74" i="5" a="1"/>
  <c r="BU74" i="5" s="1"/>
  <c r="Z436" i="5" a="1"/>
  <c r="Z436" i="5" s="1"/>
  <c r="BJ436" i="5"/>
  <c r="BQ436" i="5" a="1"/>
  <c r="BQ436" i="5" s="1"/>
  <c r="BS436" i="5" s="1"/>
  <c r="BR436" i="5" a="1"/>
  <c r="BR436" i="5" s="1"/>
  <c r="Z414" i="5" a="1"/>
  <c r="Z414" i="5" s="1"/>
  <c r="BJ414" i="5"/>
  <c r="BR414" i="5" a="1"/>
  <c r="BR414" i="5" s="1"/>
  <c r="BQ414" i="5" a="1"/>
  <c r="BQ414" i="5" s="1"/>
  <c r="BS414" i="5" s="1"/>
  <c r="BJ398" i="5"/>
  <c r="BQ398" i="5" a="1"/>
  <c r="BQ398" i="5" s="1"/>
  <c r="BS398" i="5" s="1"/>
  <c r="BR398" i="5" a="1"/>
  <c r="BR398" i="5" s="1"/>
  <c r="BJ391" i="5"/>
  <c r="BQ391" i="5" a="1"/>
  <c r="BQ391" i="5" s="1"/>
  <c r="BS391" i="5" s="1"/>
  <c r="BR391" i="5" a="1"/>
  <c r="BR391" i="5" s="1"/>
  <c r="BJ368" i="5"/>
  <c r="BQ368" i="5" a="1"/>
  <c r="BQ368" i="5" s="1"/>
  <c r="BS368" i="5" s="1"/>
  <c r="BR368" i="5" a="1"/>
  <c r="BR368" i="5" s="1"/>
  <c r="Z361" i="5" a="1"/>
  <c r="Z361" i="5" s="1"/>
  <c r="BJ361" i="5"/>
  <c r="BQ361" i="5" a="1"/>
  <c r="BQ361" i="5" s="1"/>
  <c r="BS361" i="5" s="1"/>
  <c r="BR361" i="5" a="1"/>
  <c r="BR361" i="5" s="1"/>
  <c r="BJ319" i="5"/>
  <c r="BR319" i="5" a="1"/>
  <c r="BR319" i="5" s="1"/>
  <c r="BQ319" i="5" a="1"/>
  <c r="BQ319" i="5" s="1"/>
  <c r="BS319" i="5" s="1"/>
  <c r="BJ291" i="5"/>
  <c r="BQ291" i="5" a="1"/>
  <c r="BQ291" i="5" s="1"/>
  <c r="BS291" i="5" s="1"/>
  <c r="BR291" i="5" a="1"/>
  <c r="BR291" i="5" s="1"/>
  <c r="BJ271" i="5"/>
  <c r="BQ271" i="5" a="1"/>
  <c r="BQ271" i="5" s="1"/>
  <c r="BS271" i="5" s="1"/>
  <c r="BR271" i="5" a="1"/>
  <c r="BR271" i="5" s="1"/>
  <c r="Z263" i="5" a="1"/>
  <c r="Z263" i="5" s="1"/>
  <c r="BJ263" i="5"/>
  <c r="BR263" i="5" a="1"/>
  <c r="BR263" i="5" s="1"/>
  <c r="BQ263" i="5" a="1"/>
  <c r="BQ263" i="5" s="1"/>
  <c r="BS263" i="5" s="1"/>
  <c r="BJ249" i="5"/>
  <c r="BR249" i="5" a="1"/>
  <c r="BR249" i="5" s="1"/>
  <c r="BQ249" i="5" a="1"/>
  <c r="BQ249" i="5" s="1"/>
  <c r="BS249" i="5" s="1"/>
  <c r="BJ207" i="5"/>
  <c r="BQ207" i="5" a="1"/>
  <c r="BQ207" i="5" s="1"/>
  <c r="BS207" i="5" s="1"/>
  <c r="BR207" i="5" a="1"/>
  <c r="BR207" i="5" s="1"/>
  <c r="Z194" i="5" a="1"/>
  <c r="Z194" i="5" s="1"/>
  <c r="BR194" i="5" a="1"/>
  <c r="BR194" i="5" s="1"/>
  <c r="BJ194" i="5"/>
  <c r="BQ194" i="5" a="1"/>
  <c r="BQ194" i="5" s="1"/>
  <c r="BS194" i="5" s="1"/>
  <c r="Z180" i="5" a="1"/>
  <c r="Z180" i="5" s="1"/>
  <c r="BQ180" i="5" a="1"/>
  <c r="BQ180" i="5" s="1"/>
  <c r="BS180" i="5" s="1"/>
  <c r="BR180" i="5" a="1"/>
  <c r="BR180" i="5" s="1"/>
  <c r="Z166" i="5" a="1"/>
  <c r="Z166" i="5" s="1"/>
  <c r="BQ166" i="5" a="1"/>
  <c r="BQ166" i="5" s="1"/>
  <c r="BS166" i="5" s="1"/>
  <c r="BJ166" i="5"/>
  <c r="BR166" i="5" a="1"/>
  <c r="BR166" i="5" s="1"/>
  <c r="Z152" i="5" a="1"/>
  <c r="Z152" i="5" s="1"/>
  <c r="BQ152" i="5" a="1"/>
  <c r="BQ152" i="5" s="1"/>
  <c r="BS152" i="5" s="1"/>
  <c r="BJ152" i="5"/>
  <c r="BR152" i="5" a="1"/>
  <c r="BR152" i="5" s="1"/>
  <c r="BJ125" i="5"/>
  <c r="BQ125" i="5" a="1"/>
  <c r="BQ125" i="5" s="1"/>
  <c r="BS125" i="5" s="1"/>
  <c r="BR125" i="5" a="1"/>
  <c r="BR125" i="5" s="1"/>
  <c r="Z110" i="5" a="1"/>
  <c r="Z110" i="5" s="1"/>
  <c r="BR110" i="5" a="1"/>
  <c r="BR110" i="5" s="1"/>
  <c r="BQ110" i="5" a="1"/>
  <c r="BQ110" i="5" s="1"/>
  <c r="BS110" i="5" s="1"/>
  <c r="BJ91" i="5"/>
  <c r="BQ91" i="5" a="1"/>
  <c r="BQ91" i="5" s="1"/>
  <c r="BS91" i="5" s="1"/>
  <c r="BR91" i="5" a="1"/>
  <c r="BR91" i="5" s="1"/>
  <c r="Z52" i="5" a="1"/>
  <c r="Z52" i="5" s="1"/>
  <c r="BJ52" i="5"/>
  <c r="BQ52" i="5" a="1"/>
  <c r="BQ52" i="5" s="1"/>
  <c r="BS52" i="5" s="1"/>
  <c r="BR52" i="5" a="1"/>
  <c r="BR52" i="5" s="1"/>
  <c r="Z20" i="5" a="1"/>
  <c r="Z20" i="5" s="1"/>
  <c r="BJ20" i="5"/>
  <c r="BR20" i="5" a="1"/>
  <c r="BR20" i="5" s="1"/>
  <c r="BQ20" i="5" a="1"/>
  <c r="BQ20" i="5" s="1"/>
  <c r="BS20" i="5" s="1"/>
  <c r="BJ7" i="5"/>
  <c r="BQ7" i="5" a="1"/>
  <c r="BQ7" i="5" s="1"/>
  <c r="BS7" i="5" s="1"/>
  <c r="BR7" i="5" a="1"/>
  <c r="BR7" i="5" s="1"/>
  <c r="AQ433" i="5"/>
  <c r="BB433" i="5" s="1"/>
  <c r="AQ427" i="5"/>
  <c r="BB427" i="5" s="1"/>
  <c r="AQ408" i="5"/>
  <c r="BB408" i="5" s="1"/>
  <c r="AQ402" i="5"/>
  <c r="BB402" i="5" s="1"/>
  <c r="AQ383" i="5"/>
  <c r="BB383" i="5" s="1"/>
  <c r="AQ377" i="5"/>
  <c r="BB377" i="5" s="1"/>
  <c r="AQ358" i="5"/>
  <c r="BB358" i="5" s="1"/>
  <c r="AQ352" i="5"/>
  <c r="BB352" i="5" s="1"/>
  <c r="AQ333" i="5"/>
  <c r="BB333" i="5" s="1"/>
  <c r="AQ327" i="5"/>
  <c r="BB327" i="5" s="1"/>
  <c r="AQ308" i="5"/>
  <c r="BB308" i="5" s="1"/>
  <c r="AQ302" i="5"/>
  <c r="BB302" i="5" s="1"/>
  <c r="AQ283" i="5"/>
  <c r="BB283" i="5" s="1"/>
  <c r="AQ277" i="5"/>
  <c r="BB277" i="5" s="1"/>
  <c r="AQ271" i="5"/>
  <c r="BB271" i="5" s="1"/>
  <c r="AQ241" i="5"/>
  <c r="BB241" i="5" s="1"/>
  <c r="AQ234" i="5"/>
  <c r="BB234" i="5" s="1"/>
  <c r="AQ228" i="5"/>
  <c r="BB228" i="5" s="1"/>
  <c r="AQ210" i="5"/>
  <c r="BB210" i="5" s="1"/>
  <c r="AQ192" i="5"/>
  <c r="BB192" i="5" s="1"/>
  <c r="AQ185" i="5"/>
  <c r="BB185" i="5" s="1"/>
  <c r="AQ173" i="5"/>
  <c r="BB173" i="5" s="1"/>
  <c r="AQ167" i="5"/>
  <c r="BB167" i="5" s="1"/>
  <c r="AQ149" i="5"/>
  <c r="BB149" i="5" s="1"/>
  <c r="AQ143" i="5"/>
  <c r="BB143" i="5" s="1"/>
  <c r="AQ131" i="5"/>
  <c r="BB131" i="5" s="1"/>
  <c r="CH131" i="5"/>
  <c r="AQ124" i="5"/>
  <c r="BB124" i="5" s="1"/>
  <c r="AQ106" i="5"/>
  <c r="BB106" i="5" s="1"/>
  <c r="AQ100" i="5"/>
  <c r="BB100" i="5" s="1"/>
  <c r="AQ88" i="5"/>
  <c r="BB88" i="5" s="1"/>
  <c r="AQ82" i="5"/>
  <c r="BB82" i="5" s="1"/>
  <c r="AQ75" i="5"/>
  <c r="BB75" i="5" s="1"/>
  <c r="AQ45" i="5"/>
  <c r="BB45" i="5" s="1"/>
  <c r="AQ39" i="5"/>
  <c r="BB39" i="5" s="1"/>
  <c r="AQ27" i="5"/>
  <c r="BB27" i="5" s="1"/>
  <c r="AQ21" i="5"/>
  <c r="BB21" i="5" s="1"/>
  <c r="CH401" i="5"/>
  <c r="CH351" i="5"/>
  <c r="CH301" i="5"/>
  <c r="CH251" i="5"/>
  <c r="CH201" i="5"/>
  <c r="CH151" i="5"/>
  <c r="BU442" i="5" a="1"/>
  <c r="BU442" i="5" s="1"/>
  <c r="BT442" i="5" a="1"/>
  <c r="BT442" i="5" s="1"/>
  <c r="BU426" i="5" a="1"/>
  <c r="BU426" i="5" s="1"/>
  <c r="BT426" i="5" a="1"/>
  <c r="BT426" i="5" s="1"/>
  <c r="BT411" i="5" a="1"/>
  <c r="BT411" i="5" s="1"/>
  <c r="BU411" i="5" a="1"/>
  <c r="BU411" i="5" s="1"/>
  <c r="BU332" i="5" a="1"/>
  <c r="BU332" i="5" s="1"/>
  <c r="BT332" i="5" a="1"/>
  <c r="BT332" i="5" s="1"/>
  <c r="BT274" i="5" a="1"/>
  <c r="BT274" i="5" s="1"/>
  <c r="BU274" i="5" a="1"/>
  <c r="BU274" i="5" s="1"/>
  <c r="BT243" i="5" a="1"/>
  <c r="BT243" i="5" s="1"/>
  <c r="BU243" i="5" a="1"/>
  <c r="BU243" i="5" s="1"/>
  <c r="BT221" i="5" a="1"/>
  <c r="BT221" i="5" s="1"/>
  <c r="BU221" i="5" a="1"/>
  <c r="BU221" i="5" s="1"/>
  <c r="BU213" i="5" a="1"/>
  <c r="BU213" i="5" s="1"/>
  <c r="BT213" i="5" a="1"/>
  <c r="BT213" i="5" s="1"/>
  <c r="BU191" i="5" a="1"/>
  <c r="BU191" i="5" s="1"/>
  <c r="BT191" i="5" a="1"/>
  <c r="BT191" i="5" s="1"/>
  <c r="BT177" i="5" a="1"/>
  <c r="BT177" i="5" s="1"/>
  <c r="BU177" i="5" a="1"/>
  <c r="BU177" i="5" s="1"/>
  <c r="BU147" i="5" a="1"/>
  <c r="BU147" i="5" s="1"/>
  <c r="BT147" i="5" a="1"/>
  <c r="BT147" i="5" s="1"/>
  <c r="BT124" i="5" a="1"/>
  <c r="BT124" i="5" s="1"/>
  <c r="BU124" i="5" a="1"/>
  <c r="BU124" i="5" s="1"/>
  <c r="BT93" i="5" a="1"/>
  <c r="BT93" i="5" s="1"/>
  <c r="BU93" i="5" a="1"/>
  <c r="BU93" i="5" s="1"/>
  <c r="BT24" i="5" a="1"/>
  <c r="BT24" i="5" s="1"/>
  <c r="BU24" i="5" a="1"/>
  <c r="BU24" i="5" s="1"/>
  <c r="BJ435" i="5"/>
  <c r="BQ435" i="5" a="1"/>
  <c r="BQ435" i="5" s="1"/>
  <c r="BS435" i="5" s="1"/>
  <c r="BR435" i="5" a="1"/>
  <c r="BR435" i="5" s="1"/>
  <c r="BJ428" i="5"/>
  <c r="BR428" i="5" a="1"/>
  <c r="BR428" i="5" s="1"/>
  <c r="BQ428" i="5" a="1"/>
  <c r="BQ428" i="5" s="1"/>
  <c r="BS428" i="5" s="1"/>
  <c r="BJ421" i="5"/>
  <c r="BQ421" i="5" a="1"/>
  <c r="BQ421" i="5" s="1"/>
  <c r="BS421" i="5" s="1"/>
  <c r="BR421" i="5" a="1"/>
  <c r="BR421" i="5" s="1"/>
  <c r="Z413" i="5" a="1"/>
  <c r="Z413" i="5" s="1"/>
  <c r="BJ413" i="5"/>
  <c r="BR413" i="5" a="1"/>
  <c r="BR413" i="5" s="1"/>
  <c r="BQ413" i="5" a="1"/>
  <c r="BQ413" i="5" s="1"/>
  <c r="BS413" i="5" s="1"/>
  <c r="BJ405" i="5"/>
  <c r="BQ405" i="5" a="1"/>
  <c r="BQ405" i="5" s="1"/>
  <c r="BS405" i="5" s="1"/>
  <c r="BR405" i="5" a="1"/>
  <c r="BR405" i="5" s="1"/>
  <c r="Z390" i="5" a="1"/>
  <c r="Z390" i="5" s="1"/>
  <c r="BJ390" i="5"/>
  <c r="BQ390" i="5" a="1"/>
  <c r="BQ390" i="5" s="1"/>
  <c r="BS390" i="5" s="1"/>
  <c r="BR390" i="5" a="1"/>
  <c r="BR390" i="5" s="1"/>
  <c r="Z383" i="5" a="1"/>
  <c r="Z383" i="5" s="1"/>
  <c r="BJ383" i="5"/>
  <c r="BQ383" i="5" a="1"/>
  <c r="BQ383" i="5" s="1"/>
  <c r="BS383" i="5" s="1"/>
  <c r="BR383" i="5" a="1"/>
  <c r="BR383" i="5" s="1"/>
  <c r="BJ375" i="5"/>
  <c r="BQ375" i="5" a="1"/>
  <c r="BQ375" i="5" s="1"/>
  <c r="BS375" i="5" s="1"/>
  <c r="BR375" i="5" a="1"/>
  <c r="BR375" i="5" s="1"/>
  <c r="Z360" i="5" a="1"/>
  <c r="Z360" i="5" s="1"/>
  <c r="BQ360" i="5" a="1"/>
  <c r="BQ360" i="5" s="1"/>
  <c r="BS360" i="5" s="1"/>
  <c r="BR360" i="5" a="1"/>
  <c r="BR360" i="5" s="1"/>
  <c r="BJ339" i="5"/>
  <c r="BR339" i="5" a="1"/>
  <c r="BR339" i="5" s="1"/>
  <c r="BQ339" i="5" a="1"/>
  <c r="BQ339" i="5" s="1"/>
  <c r="BS339" i="5" s="1"/>
  <c r="BJ318" i="5"/>
  <c r="BQ318" i="5" a="1"/>
  <c r="BQ318" i="5" s="1"/>
  <c r="BS318" i="5" s="1"/>
  <c r="BR318" i="5" a="1"/>
  <c r="BR318" i="5" s="1"/>
  <c r="BJ311" i="5"/>
  <c r="BQ311" i="5" a="1"/>
  <c r="BQ311" i="5" s="1"/>
  <c r="BS311" i="5" s="1"/>
  <c r="BR311" i="5" a="1"/>
  <c r="BR311" i="5" s="1"/>
  <c r="Z290" i="5" a="1"/>
  <c r="Z290" i="5" s="1"/>
  <c r="BJ290" i="5"/>
  <c r="BQ290" i="5" a="1"/>
  <c r="BQ290" i="5" s="1"/>
  <c r="BS290" i="5" s="1"/>
  <c r="BR290" i="5" a="1"/>
  <c r="BR290" i="5" s="1"/>
  <c r="Z270" i="5" a="1"/>
  <c r="Z270" i="5" s="1"/>
  <c r="BJ270" i="5"/>
  <c r="BQ270" i="5" a="1"/>
  <c r="BQ270" i="5" s="1"/>
  <c r="BS270" i="5" s="1"/>
  <c r="BR270" i="5" a="1"/>
  <c r="BR270" i="5" s="1"/>
  <c r="BJ255" i="5"/>
  <c r="BQ255" i="5" a="1"/>
  <c r="BQ255" i="5" s="1"/>
  <c r="BS255" i="5" s="1"/>
  <c r="BR255" i="5" a="1"/>
  <c r="BR255" i="5" s="1"/>
  <c r="Z214" i="5" a="1"/>
  <c r="Z214" i="5" s="1"/>
  <c r="BJ214" i="5"/>
  <c r="BR214" i="5" a="1"/>
  <c r="BR214" i="5" s="1"/>
  <c r="BQ214" i="5" a="1"/>
  <c r="BQ214" i="5" s="1"/>
  <c r="BS214" i="5" s="1"/>
  <c r="Z200" i="5" a="1"/>
  <c r="Z200" i="5" s="1"/>
  <c r="BJ200" i="5"/>
  <c r="BQ200" i="5" a="1"/>
  <c r="BQ200" i="5" s="1"/>
  <c r="BS200" i="5" s="1"/>
  <c r="BR200" i="5" a="1"/>
  <c r="BR200" i="5" s="1"/>
  <c r="BJ186" i="5"/>
  <c r="BQ186" i="5" a="1"/>
  <c r="BQ186" i="5" s="1"/>
  <c r="BS186" i="5" s="1"/>
  <c r="BR186" i="5" a="1"/>
  <c r="BR186" i="5" s="1"/>
  <c r="BR179" i="5" a="1"/>
  <c r="BR179" i="5" s="1"/>
  <c r="BJ179" i="5"/>
  <c r="BQ179" i="5" a="1"/>
  <c r="BQ179" i="5" s="1"/>
  <c r="BS179" i="5" s="1"/>
  <c r="BJ151" i="5"/>
  <c r="BQ151" i="5" a="1"/>
  <c r="BQ151" i="5" s="1"/>
  <c r="BS151" i="5" s="1"/>
  <c r="BR151" i="5" a="1"/>
  <c r="BR151" i="5" s="1"/>
  <c r="Z131" i="5" a="1"/>
  <c r="Z131" i="5" s="1"/>
  <c r="BJ131" i="5"/>
  <c r="BQ131" i="5" a="1"/>
  <c r="BQ131" i="5" s="1"/>
  <c r="BS131" i="5" s="1"/>
  <c r="BR131" i="5" a="1"/>
  <c r="BR131" i="5" s="1"/>
  <c r="Z124" i="5" a="1"/>
  <c r="Z124" i="5" s="1"/>
  <c r="BJ124" i="5"/>
  <c r="BR124" i="5" a="1"/>
  <c r="BR124" i="5" s="1"/>
  <c r="BQ124" i="5" a="1"/>
  <c r="BQ124" i="5" s="1"/>
  <c r="BS124" i="5" s="1"/>
  <c r="BJ109" i="5"/>
  <c r="BR109" i="5" a="1"/>
  <c r="BR109" i="5" s="1"/>
  <c r="BQ109" i="5" a="1"/>
  <c r="BQ109" i="5" s="1"/>
  <c r="BS109" i="5" s="1"/>
  <c r="BJ96" i="5"/>
  <c r="BQ96" i="5" a="1"/>
  <c r="BQ96" i="5" s="1"/>
  <c r="BS96" i="5" s="1"/>
  <c r="BR96" i="5" a="1"/>
  <c r="BR96" i="5" s="1"/>
  <c r="Z90" i="5" a="1"/>
  <c r="Z90" i="5" s="1"/>
  <c r="BR90" i="5" a="1"/>
  <c r="BR90" i="5" s="1"/>
  <c r="BQ90" i="5" a="1"/>
  <c r="BQ90" i="5" s="1"/>
  <c r="BS90" i="5" s="1"/>
  <c r="Z71" i="5" a="1"/>
  <c r="Z71" i="5" s="1"/>
  <c r="BJ71" i="5"/>
  <c r="BQ71" i="5" a="1"/>
  <c r="BQ71" i="5" s="1"/>
  <c r="BS71" i="5" s="1"/>
  <c r="BR71" i="5" a="1"/>
  <c r="BR71" i="5" s="1"/>
  <c r="BQ51" i="5" a="1"/>
  <c r="BQ51" i="5" s="1"/>
  <c r="BS51" i="5" s="1"/>
  <c r="BR51" i="5" a="1"/>
  <c r="BR51" i="5" s="1"/>
  <c r="Z13" i="5" a="1"/>
  <c r="Z13" i="5" s="1"/>
  <c r="BJ13" i="5"/>
  <c r="BQ13" i="5" a="1"/>
  <c r="BQ13" i="5" s="1"/>
  <c r="BS13" i="5" s="1"/>
  <c r="BR13" i="5" a="1"/>
  <c r="BR13" i="5" s="1"/>
  <c r="AQ439" i="5"/>
  <c r="BB439" i="5" s="1"/>
  <c r="AQ426" i="5"/>
  <c r="BB426" i="5" s="1"/>
  <c r="AQ420" i="5"/>
  <c r="BB420" i="5" s="1"/>
  <c r="AQ414" i="5"/>
  <c r="BB414" i="5" s="1"/>
  <c r="AQ401" i="5"/>
  <c r="BB401" i="5" s="1"/>
  <c r="AQ395" i="5"/>
  <c r="BB395" i="5" s="1"/>
  <c r="AQ389" i="5"/>
  <c r="BB389" i="5" s="1"/>
  <c r="AQ376" i="5"/>
  <c r="BB376" i="5" s="1"/>
  <c r="AQ370" i="5"/>
  <c r="BB370" i="5" s="1"/>
  <c r="AQ364" i="5"/>
  <c r="BB364" i="5" s="1"/>
  <c r="AQ351" i="5"/>
  <c r="BB351" i="5" s="1"/>
  <c r="AQ345" i="5"/>
  <c r="BB345" i="5" s="1"/>
  <c r="AQ339" i="5"/>
  <c r="BB339" i="5" s="1"/>
  <c r="AQ326" i="5"/>
  <c r="BB326" i="5" s="1"/>
  <c r="AQ320" i="5"/>
  <c r="BB320" i="5" s="1"/>
  <c r="AQ314" i="5"/>
  <c r="BB314" i="5" s="1"/>
  <c r="AQ301" i="5"/>
  <c r="BB301" i="5" s="1"/>
  <c r="AQ295" i="5"/>
  <c r="BB295" i="5" s="1"/>
  <c r="AQ289" i="5"/>
  <c r="BB289" i="5" s="1"/>
  <c r="AQ276" i="5"/>
  <c r="BB276" i="5" s="1"/>
  <c r="AQ270" i="5"/>
  <c r="BB270" i="5" s="1"/>
  <c r="AQ264" i="5"/>
  <c r="BB264" i="5" s="1"/>
  <c r="AQ258" i="5"/>
  <c r="BB258" i="5" s="1"/>
  <c r="AQ252" i="5"/>
  <c r="BB252" i="5" s="1"/>
  <c r="AQ240" i="5"/>
  <c r="BB240" i="5" s="1"/>
  <c r="AQ215" i="5"/>
  <c r="BB215" i="5" s="1"/>
  <c r="AQ209" i="5"/>
  <c r="BB209" i="5" s="1"/>
  <c r="AQ203" i="5"/>
  <c r="BB203" i="5" s="1"/>
  <c r="AQ197" i="5"/>
  <c r="BB197" i="5" s="1"/>
  <c r="AQ179" i="5"/>
  <c r="BB179" i="5" s="1"/>
  <c r="AQ154" i="5"/>
  <c r="BB154" i="5" s="1"/>
  <c r="AQ148" i="5"/>
  <c r="BB148" i="5" s="1"/>
  <c r="AQ136" i="5"/>
  <c r="BB136" i="5" s="1"/>
  <c r="AQ130" i="5"/>
  <c r="BB130" i="5" s="1"/>
  <c r="AQ118" i="5"/>
  <c r="BB118" i="5" s="1"/>
  <c r="AQ112" i="5"/>
  <c r="BB112" i="5" s="1"/>
  <c r="AQ87" i="5"/>
  <c r="BB87" i="5" s="1"/>
  <c r="AQ69" i="5"/>
  <c r="BB69" i="5" s="1"/>
  <c r="AQ63" i="5"/>
  <c r="BB63" i="5" s="1"/>
  <c r="AQ57" i="5"/>
  <c r="BB57" i="5" s="1"/>
  <c r="AQ51" i="5"/>
  <c r="BB51" i="5" s="1"/>
  <c r="AQ26" i="5"/>
  <c r="BB26" i="5" s="1"/>
  <c r="AQ20" i="5"/>
  <c r="BB20" i="5" s="1"/>
  <c r="AQ14" i="5"/>
  <c r="BB14" i="5" s="1"/>
  <c r="AQ8" i="5"/>
  <c r="BB8" i="5" s="1"/>
  <c r="AQ2" i="5"/>
  <c r="CI79" i="5"/>
  <c r="CI29" i="5"/>
  <c r="CH21" i="5"/>
  <c r="BU403" i="5" a="1"/>
  <c r="BU403" i="5" s="1"/>
  <c r="BT403" i="5" a="1"/>
  <c r="BT403" i="5" s="1"/>
  <c r="BU396" i="5" a="1"/>
  <c r="BU396" i="5" s="1"/>
  <c r="BT396" i="5" a="1"/>
  <c r="BT396" i="5" s="1"/>
  <c r="BU374" i="5" a="1"/>
  <c r="BU374" i="5" s="1"/>
  <c r="BT374" i="5" a="1"/>
  <c r="BT374" i="5" s="1"/>
  <c r="BU324" i="5" a="1"/>
  <c r="BU324" i="5" s="1"/>
  <c r="BT324" i="5" a="1"/>
  <c r="BT324" i="5" s="1"/>
  <c r="BT317" i="5" a="1"/>
  <c r="BT317" i="5" s="1"/>
  <c r="BU317" i="5" a="1"/>
  <c r="BU317" i="5" s="1"/>
  <c r="BU265" i="5" a="1"/>
  <c r="BU265" i="5" s="1"/>
  <c r="BT265" i="5" a="1"/>
  <c r="BT265" i="5" s="1"/>
  <c r="BU204" i="5" a="1"/>
  <c r="BU204" i="5" s="1"/>
  <c r="BT204" i="5" a="1"/>
  <c r="BT204" i="5" s="1"/>
  <c r="BT183" i="5" a="1"/>
  <c r="BT183" i="5" s="1"/>
  <c r="BU183" i="5" a="1"/>
  <c r="BU183" i="5" s="1"/>
  <c r="BT161" i="5" a="1"/>
  <c r="BT161" i="5" s="1"/>
  <c r="BU161" i="5" a="1"/>
  <c r="BU161" i="5" s="1"/>
  <c r="BU115" i="5" a="1"/>
  <c r="BU115" i="5" s="1"/>
  <c r="BT115" i="5" a="1"/>
  <c r="BT115" i="5" s="1"/>
  <c r="BU15" i="5" a="1"/>
  <c r="BU15" i="5" s="1"/>
  <c r="BT15" i="5" a="1"/>
  <c r="BT15" i="5" s="1"/>
  <c r="Z420" i="5" a="1"/>
  <c r="Z420" i="5" s="1"/>
  <c r="BJ420" i="5"/>
  <c r="BQ420" i="5" a="1"/>
  <c r="BQ420" i="5" s="1"/>
  <c r="BS420" i="5" s="1"/>
  <c r="BR420" i="5" a="1"/>
  <c r="BR420" i="5" s="1"/>
  <c r="BJ396" i="5"/>
  <c r="BQ396" i="5" a="1"/>
  <c r="BQ396" i="5" s="1"/>
  <c r="BS396" i="5" s="1"/>
  <c r="BR396" i="5" a="1"/>
  <c r="BR396" i="5" s="1"/>
  <c r="Z374" i="5" a="1"/>
  <c r="Z374" i="5" s="1"/>
  <c r="BJ374" i="5"/>
  <c r="BR374" i="5" a="1"/>
  <c r="BR374" i="5" s="1"/>
  <c r="BQ374" i="5" a="1"/>
  <c r="BQ374" i="5" s="1"/>
  <c r="BS374" i="5" s="1"/>
  <c r="BR359" i="5" a="1"/>
  <c r="BR359" i="5" s="1"/>
  <c r="BJ359" i="5"/>
  <c r="BQ359" i="5" a="1"/>
  <c r="BQ359" i="5" s="1"/>
  <c r="BS359" i="5" s="1"/>
  <c r="Z352" i="5" a="1"/>
  <c r="Z352" i="5" s="1"/>
  <c r="BJ352" i="5"/>
  <c r="BQ352" i="5" a="1"/>
  <c r="BQ352" i="5" s="1"/>
  <c r="BS352" i="5" s="1"/>
  <c r="BR352" i="5" a="1"/>
  <c r="BR352" i="5" s="1"/>
  <c r="BJ325" i="5"/>
  <c r="BQ325" i="5" a="1"/>
  <c r="BQ325" i="5" s="1"/>
  <c r="BS325" i="5" s="1"/>
  <c r="BR325" i="5" a="1"/>
  <c r="BR325" i="5" s="1"/>
  <c r="Z310" i="5" a="1"/>
  <c r="Z310" i="5" s="1"/>
  <c r="BJ310" i="5"/>
  <c r="BQ310" i="5" a="1"/>
  <c r="BQ310" i="5" s="1"/>
  <c r="BS310" i="5" s="1"/>
  <c r="BR310" i="5" a="1"/>
  <c r="BR310" i="5" s="1"/>
  <c r="BJ296" i="5"/>
  <c r="BQ296" i="5" a="1"/>
  <c r="BQ296" i="5" s="1"/>
  <c r="BS296" i="5" s="1"/>
  <c r="BR296" i="5" a="1"/>
  <c r="BR296" i="5" s="1"/>
  <c r="BJ269" i="5"/>
  <c r="BR269" i="5" a="1"/>
  <c r="BR269" i="5" s="1"/>
  <c r="BQ269" i="5" a="1"/>
  <c r="BQ269" i="5" s="1"/>
  <c r="BS269" i="5" s="1"/>
  <c r="BJ241" i="5"/>
  <c r="BQ241" i="5" a="1"/>
  <c r="BQ241" i="5" s="1"/>
  <c r="BS241" i="5" s="1"/>
  <c r="BR241" i="5" a="1"/>
  <c r="BR241" i="5" s="1"/>
  <c r="Z221" i="5" a="1"/>
  <c r="Z221" i="5" s="1"/>
  <c r="BJ221" i="5"/>
  <c r="BQ221" i="5" a="1"/>
  <c r="BQ221" i="5" s="1"/>
  <c r="BS221" i="5" s="1"/>
  <c r="BR221" i="5" a="1"/>
  <c r="BR221" i="5" s="1"/>
  <c r="Z213" i="5" a="1"/>
  <c r="Z213" i="5" s="1"/>
  <c r="BJ213" i="5"/>
  <c r="BR213" i="5" a="1"/>
  <c r="BR213" i="5" s="1"/>
  <c r="BQ213" i="5" a="1"/>
  <c r="BQ213" i="5" s="1"/>
  <c r="BS213" i="5" s="1"/>
  <c r="BJ199" i="5"/>
  <c r="BR199" i="5" a="1"/>
  <c r="BR199" i="5" s="1"/>
  <c r="BQ199" i="5" a="1"/>
  <c r="BQ199" i="5" s="1"/>
  <c r="BS199" i="5" s="1"/>
  <c r="BJ185" i="5"/>
  <c r="BQ185" i="5" a="1"/>
  <c r="BQ185" i="5" s="1"/>
  <c r="BS185" i="5" s="1"/>
  <c r="BR185" i="5" a="1"/>
  <c r="BR185" i="5" s="1"/>
  <c r="BJ157" i="5"/>
  <c r="BQ157" i="5" a="1"/>
  <c r="BQ157" i="5" s="1"/>
  <c r="BS157" i="5" s="1"/>
  <c r="BR157" i="5" a="1"/>
  <c r="BR157" i="5" s="1"/>
  <c r="Z144" i="5" a="1"/>
  <c r="Z144" i="5" s="1"/>
  <c r="BJ144" i="5"/>
  <c r="BR144" i="5" a="1"/>
  <c r="BR144" i="5" s="1"/>
  <c r="BQ144" i="5" a="1"/>
  <c r="BQ144" i="5" s="1"/>
  <c r="BS144" i="5" s="1"/>
  <c r="Z130" i="5" a="1"/>
  <c r="Z130" i="5" s="1"/>
  <c r="BJ130" i="5"/>
  <c r="BQ130" i="5" a="1"/>
  <c r="BQ130" i="5" s="1"/>
  <c r="BS130" i="5" s="1"/>
  <c r="BR130" i="5" a="1"/>
  <c r="BR130" i="5" s="1"/>
  <c r="Z116" i="5" a="1"/>
  <c r="Z116" i="5" s="1"/>
  <c r="BJ116" i="5"/>
  <c r="BQ116" i="5" a="1"/>
  <c r="BQ116" i="5" s="1"/>
  <c r="BS116" i="5" s="1"/>
  <c r="BR116" i="5" a="1"/>
  <c r="BR116" i="5" s="1"/>
  <c r="Z102" i="5" a="1"/>
  <c r="Z102" i="5" s="1"/>
  <c r="BJ102" i="5"/>
  <c r="BQ102" i="5" a="1"/>
  <c r="BQ102" i="5" s="1"/>
  <c r="BS102" i="5" s="1"/>
  <c r="BR102" i="5" a="1"/>
  <c r="BR102" i="5" s="1"/>
  <c r="Z70" i="5" a="1"/>
  <c r="Z70" i="5" s="1"/>
  <c r="BR70" i="5" a="1"/>
  <c r="BR70" i="5" s="1"/>
  <c r="BQ70" i="5" a="1"/>
  <c r="BQ70" i="5" s="1"/>
  <c r="BS70" i="5" s="1"/>
  <c r="BJ57" i="5"/>
  <c r="BQ57" i="5" a="1"/>
  <c r="BQ57" i="5" s="1"/>
  <c r="BS57" i="5" s="1"/>
  <c r="BR57" i="5" a="1"/>
  <c r="BR57" i="5" s="1"/>
  <c r="AQ438" i="5"/>
  <c r="BB438" i="5" s="1"/>
  <c r="AQ432" i="5"/>
  <c r="BB432" i="5" s="1"/>
  <c r="AQ413" i="5"/>
  <c r="BB413" i="5" s="1"/>
  <c r="AQ407" i="5"/>
  <c r="BB407" i="5" s="1"/>
  <c r="AQ388" i="5"/>
  <c r="BB388" i="5" s="1"/>
  <c r="AQ382" i="5"/>
  <c r="BB382" i="5" s="1"/>
  <c r="AQ363" i="5"/>
  <c r="BB363" i="5" s="1"/>
  <c r="AQ357" i="5"/>
  <c r="BB357" i="5" s="1"/>
  <c r="AQ338" i="5"/>
  <c r="BB338" i="5" s="1"/>
  <c r="AQ332" i="5"/>
  <c r="BB332" i="5" s="1"/>
  <c r="AQ313" i="5"/>
  <c r="BB313" i="5" s="1"/>
  <c r="AQ307" i="5"/>
  <c r="BB307" i="5" s="1"/>
  <c r="AQ288" i="5"/>
  <c r="BB288" i="5" s="1"/>
  <c r="AQ282" i="5"/>
  <c r="BB282" i="5" s="1"/>
  <c r="AQ275" i="5"/>
  <c r="BB275" i="5" s="1"/>
  <c r="AQ245" i="5"/>
  <c r="BB245" i="5" s="1"/>
  <c r="AQ239" i="5"/>
  <c r="BB239" i="5" s="1"/>
  <c r="AQ227" i="5"/>
  <c r="BB227" i="5" s="1"/>
  <c r="AQ221" i="5"/>
  <c r="BB221" i="5" s="1"/>
  <c r="AQ191" i="5"/>
  <c r="BB191" i="5" s="1"/>
  <c r="AQ184" i="5"/>
  <c r="BB184" i="5" s="1"/>
  <c r="AQ178" i="5"/>
  <c r="BB178" i="5" s="1"/>
  <c r="AQ160" i="5"/>
  <c r="BB160" i="5" s="1"/>
  <c r="AQ142" i="5"/>
  <c r="BB142" i="5" s="1"/>
  <c r="AQ135" i="5"/>
  <c r="BB135" i="5" s="1"/>
  <c r="AQ123" i="5"/>
  <c r="BB123" i="5" s="1"/>
  <c r="AQ117" i="5"/>
  <c r="BB117" i="5" s="1"/>
  <c r="AQ99" i="5"/>
  <c r="BB99" i="5" s="1"/>
  <c r="AQ93" i="5"/>
  <c r="BB93" i="5" s="1"/>
  <c r="AQ81" i="5"/>
  <c r="BB81" i="5" s="1"/>
  <c r="AQ74" i="5"/>
  <c r="BB74" i="5" s="1"/>
  <c r="AQ56" i="5"/>
  <c r="BB56" i="5" s="1"/>
  <c r="AQ50" i="5"/>
  <c r="BB50" i="5" s="1"/>
  <c r="AQ38" i="5"/>
  <c r="BB38" i="5" s="1"/>
  <c r="AQ32" i="5"/>
  <c r="BB32" i="5" s="1"/>
  <c r="AQ25" i="5"/>
  <c r="BB25" i="5" s="1"/>
  <c r="CH431" i="5"/>
  <c r="CH371" i="5"/>
  <c r="CH321" i="5"/>
  <c r="CH271" i="5"/>
  <c r="CH221" i="5"/>
  <c r="CH171" i="5"/>
  <c r="CH121" i="5"/>
  <c r="CH71" i="5"/>
  <c r="BT433" i="5" a="1"/>
  <c r="BT433" i="5" s="1"/>
  <c r="BU433" i="5" a="1"/>
  <c r="BU433" i="5" s="1"/>
  <c r="BU387" i="5" a="1"/>
  <c r="BU387" i="5" s="1"/>
  <c r="BT387" i="5" a="1"/>
  <c r="BT387" i="5" s="1"/>
  <c r="BU381" i="5" a="1"/>
  <c r="BU381" i="5" s="1"/>
  <c r="BT381" i="5" a="1"/>
  <c r="BT381" i="5" s="1"/>
  <c r="BT367" i="5" a="1"/>
  <c r="BT367" i="5" s="1"/>
  <c r="BU367" i="5" a="1"/>
  <c r="BU367" i="5" s="1"/>
  <c r="BU337" i="5" a="1"/>
  <c r="BU337" i="5" s="1"/>
  <c r="BT337" i="5" a="1"/>
  <c r="BT337" i="5" s="1"/>
  <c r="BU302" i="5" a="1"/>
  <c r="BU302" i="5" s="1"/>
  <c r="BT302" i="5" a="1"/>
  <c r="BT302" i="5" s="1"/>
  <c r="BT287" i="5" a="1"/>
  <c r="BT287" i="5" s="1"/>
  <c r="BU287" i="5" a="1"/>
  <c r="BU287" i="5" s="1"/>
  <c r="BU257" i="5" a="1"/>
  <c r="BU257" i="5" s="1"/>
  <c r="BT257" i="5" a="1"/>
  <c r="BT257" i="5" s="1"/>
  <c r="BT227" i="5" a="1"/>
  <c r="BT227" i="5" s="1"/>
  <c r="BU227" i="5" a="1"/>
  <c r="BU227" i="5" s="1"/>
  <c r="BU197" i="5" a="1"/>
  <c r="BU197" i="5" s="1"/>
  <c r="BT197" i="5" a="1"/>
  <c r="BT197" i="5" s="1"/>
  <c r="BT182" i="5" a="1"/>
  <c r="BT182" i="5" s="1"/>
  <c r="BU182" i="5" a="1"/>
  <c r="BU182" i="5" s="1"/>
  <c r="BT137" i="5" a="1"/>
  <c r="BT137" i="5" s="1"/>
  <c r="BU137" i="5" a="1"/>
  <c r="BU137" i="5" s="1"/>
  <c r="BT72" i="5" a="1"/>
  <c r="BT72" i="5" s="1"/>
  <c r="BU72" i="5" a="1"/>
  <c r="BU72" i="5" s="1"/>
  <c r="BU65" i="5" a="1"/>
  <c r="BU65" i="5" s="1"/>
  <c r="BT65" i="5" a="1"/>
  <c r="BT65" i="5" s="1"/>
  <c r="BU52" i="5" a="1"/>
  <c r="BU52" i="5" s="1"/>
  <c r="BT52" i="5" a="1"/>
  <c r="BT52" i="5" s="1"/>
  <c r="BJ419" i="5"/>
  <c r="BR419" i="5" a="1"/>
  <c r="BR419" i="5" s="1"/>
  <c r="BQ419" i="5" a="1"/>
  <c r="BQ419" i="5" s="1"/>
  <c r="BS419" i="5" s="1"/>
  <c r="BJ389" i="5"/>
  <c r="BR389" i="5" a="1"/>
  <c r="BR389" i="5" s="1"/>
  <c r="BQ389" i="5" a="1"/>
  <c r="BQ389" i="5" s="1"/>
  <c r="BS389" i="5" s="1"/>
  <c r="BJ381" i="5"/>
  <c r="BQ381" i="5" a="1"/>
  <c r="BQ381" i="5" s="1"/>
  <c r="BS381" i="5" s="1"/>
  <c r="BR381" i="5" a="1"/>
  <c r="BR381" i="5" s="1"/>
  <c r="Z366" i="5" a="1"/>
  <c r="Z366" i="5" s="1"/>
  <c r="BJ366" i="5"/>
  <c r="BQ366" i="5" a="1"/>
  <c r="BQ366" i="5" s="1"/>
  <c r="BS366" i="5" s="1"/>
  <c r="BR366" i="5" a="1"/>
  <c r="BR366" i="5" s="1"/>
  <c r="BJ358" i="5"/>
  <c r="BR358" i="5" a="1"/>
  <c r="BR358" i="5" s="1"/>
  <c r="BQ358" i="5" a="1"/>
  <c r="BQ358" i="5" s="1"/>
  <c r="BS358" i="5" s="1"/>
  <c r="BJ351" i="5"/>
  <c r="BQ351" i="5" a="1"/>
  <c r="BQ351" i="5" s="1"/>
  <c r="BS351" i="5" s="1"/>
  <c r="BR351" i="5" a="1"/>
  <c r="BR351" i="5" s="1"/>
  <c r="Z331" i="5" a="1"/>
  <c r="Z331" i="5" s="1"/>
  <c r="BJ331" i="5"/>
  <c r="BQ331" i="5" a="1"/>
  <c r="BQ331" i="5" s="1"/>
  <c r="BS331" i="5" s="1"/>
  <c r="BR331" i="5" a="1"/>
  <c r="BR331" i="5" s="1"/>
  <c r="Z324" i="5" a="1"/>
  <c r="Z324" i="5" s="1"/>
  <c r="BJ324" i="5"/>
  <c r="BR324" i="5" a="1"/>
  <c r="BR324" i="5" s="1"/>
  <c r="BQ324" i="5" a="1"/>
  <c r="BQ324" i="5" s="1"/>
  <c r="BS324" i="5" s="1"/>
  <c r="BJ309" i="5"/>
  <c r="BR309" i="5" a="1"/>
  <c r="BR309" i="5" s="1"/>
  <c r="BQ309" i="5" a="1"/>
  <c r="BQ309" i="5" s="1"/>
  <c r="BS309" i="5" s="1"/>
  <c r="BJ289" i="5"/>
  <c r="BR289" i="5" a="1"/>
  <c r="BR289" i="5" s="1"/>
  <c r="BQ289" i="5" a="1"/>
  <c r="BQ289" i="5" s="1"/>
  <c r="BS289" i="5" s="1"/>
  <c r="BJ268" i="5"/>
  <c r="BQ268" i="5" a="1"/>
  <c r="BQ268" i="5" s="1"/>
  <c r="BS268" i="5" s="1"/>
  <c r="BR268" i="5" a="1"/>
  <c r="BR268" i="5" s="1"/>
  <c r="Z261" i="5" a="1"/>
  <c r="Z261" i="5" s="1"/>
  <c r="BJ261" i="5"/>
  <c r="BQ261" i="5" a="1"/>
  <c r="BQ261" i="5" s="1"/>
  <c r="BS261" i="5" s="1"/>
  <c r="BR261" i="5" a="1"/>
  <c r="BR261" i="5" s="1"/>
  <c r="Z240" i="5" a="1"/>
  <c r="Z240" i="5" s="1"/>
  <c r="BJ240" i="5"/>
  <c r="BQ240" i="5" a="1"/>
  <c r="BQ240" i="5" s="1"/>
  <c r="BS240" i="5" s="1"/>
  <c r="BR240" i="5" a="1"/>
  <c r="BR240" i="5" s="1"/>
  <c r="Z220" i="5" a="1"/>
  <c r="Z220" i="5" s="1"/>
  <c r="BJ220" i="5"/>
  <c r="BQ220" i="5" a="1"/>
  <c r="BQ220" i="5" s="1"/>
  <c r="BS220" i="5" s="1"/>
  <c r="BR220" i="5" a="1"/>
  <c r="BR220" i="5" s="1"/>
  <c r="BJ205" i="5"/>
  <c r="BQ205" i="5" a="1"/>
  <c r="BQ205" i="5" s="1"/>
  <c r="BS205" i="5" s="1"/>
  <c r="BR205" i="5" a="1"/>
  <c r="BR205" i="5" s="1"/>
  <c r="Z164" i="5" a="1"/>
  <c r="Z164" i="5" s="1"/>
  <c r="BJ164" i="5"/>
  <c r="BR164" i="5" a="1"/>
  <c r="BR164" i="5" s="1"/>
  <c r="BQ164" i="5" a="1"/>
  <c r="BQ164" i="5" s="1"/>
  <c r="BS164" i="5" s="1"/>
  <c r="Z150" i="5" a="1"/>
  <c r="Z150" i="5" s="1"/>
  <c r="BJ150" i="5"/>
  <c r="BQ150" i="5" a="1"/>
  <c r="BQ150" i="5" s="1"/>
  <c r="BS150" i="5" s="1"/>
  <c r="BR150" i="5" a="1"/>
  <c r="BR150" i="5" s="1"/>
  <c r="BJ136" i="5"/>
  <c r="BQ136" i="5" a="1"/>
  <c r="BQ136" i="5" s="1"/>
  <c r="BS136" i="5" s="1"/>
  <c r="BR136" i="5" a="1"/>
  <c r="BR136" i="5" s="1"/>
  <c r="BJ129" i="5"/>
  <c r="BR129" i="5" a="1"/>
  <c r="BR129" i="5" s="1"/>
  <c r="BQ129" i="5" a="1"/>
  <c r="BQ129" i="5" s="1"/>
  <c r="BS129" i="5" s="1"/>
  <c r="BQ101" i="5" a="1"/>
  <c r="BQ101" i="5" s="1"/>
  <c r="BS101" i="5" s="1"/>
  <c r="BR101" i="5" a="1"/>
  <c r="BR101" i="5" s="1"/>
  <c r="Z63" i="5" a="1"/>
  <c r="Z63" i="5" s="1"/>
  <c r="BJ63" i="5"/>
  <c r="BQ63" i="5" a="1"/>
  <c r="BQ63" i="5" s="1"/>
  <c r="BS63" i="5" s="1"/>
  <c r="BR63" i="5" a="1"/>
  <c r="BR63" i="5" s="1"/>
  <c r="Z50" i="5" a="1"/>
  <c r="Z50" i="5" s="1"/>
  <c r="BJ50" i="5"/>
  <c r="BR50" i="5" a="1"/>
  <c r="BR50" i="5" s="1"/>
  <c r="BQ50" i="5" a="1"/>
  <c r="BQ50" i="5" s="1"/>
  <c r="BS50" i="5" s="1"/>
  <c r="BJ25" i="5"/>
  <c r="BR25" i="5" a="1"/>
  <c r="BR25" i="5" s="1"/>
  <c r="BQ25" i="5" a="1"/>
  <c r="BQ25" i="5" s="1"/>
  <c r="BS25" i="5" s="1"/>
  <c r="BJ18" i="5"/>
  <c r="BQ18" i="5" a="1"/>
  <c r="BQ18" i="5" s="1"/>
  <c r="BS18" i="5" s="1"/>
  <c r="BR18" i="5" a="1"/>
  <c r="BR18" i="5" s="1"/>
  <c r="BR5" i="5" a="1"/>
  <c r="BR5" i="5" s="1"/>
  <c r="BJ5" i="5"/>
  <c r="BQ5" i="5" a="1"/>
  <c r="BQ5" i="5" s="1"/>
  <c r="BS5" i="5" s="1"/>
  <c r="AQ431" i="5"/>
  <c r="BB431" i="5" s="1"/>
  <c r="AQ425" i="5"/>
  <c r="BB425" i="5" s="1"/>
  <c r="AQ419" i="5"/>
  <c r="BB419" i="5" s="1"/>
  <c r="AQ406" i="5"/>
  <c r="BB406" i="5" s="1"/>
  <c r="AQ400" i="5"/>
  <c r="BB400" i="5" s="1"/>
  <c r="AQ394" i="5"/>
  <c r="BB394" i="5" s="1"/>
  <c r="AQ381" i="5"/>
  <c r="BB381" i="5" s="1"/>
  <c r="AQ375" i="5"/>
  <c r="BB375" i="5" s="1"/>
  <c r="AQ369" i="5"/>
  <c r="BB369" i="5" s="1"/>
  <c r="AQ356" i="5"/>
  <c r="BB356" i="5" s="1"/>
  <c r="AQ350" i="5"/>
  <c r="BB350" i="5" s="1"/>
  <c r="AQ344" i="5"/>
  <c r="BB344" i="5" s="1"/>
  <c r="AQ331" i="5"/>
  <c r="BB331" i="5" s="1"/>
  <c r="AQ325" i="5"/>
  <c r="BB325" i="5" s="1"/>
  <c r="AQ319" i="5"/>
  <c r="BB319" i="5" s="1"/>
  <c r="AQ306" i="5"/>
  <c r="BB306" i="5" s="1"/>
  <c r="AQ300" i="5"/>
  <c r="BB300" i="5" s="1"/>
  <c r="AQ294" i="5"/>
  <c r="BB294" i="5" s="1"/>
  <c r="AQ281" i="5"/>
  <c r="BB281" i="5" s="1"/>
  <c r="AQ269" i="5"/>
  <c r="BB269" i="5" s="1"/>
  <c r="AQ263" i="5"/>
  <c r="BB263" i="5" s="1"/>
  <c r="AQ257" i="5"/>
  <c r="BB257" i="5" s="1"/>
  <c r="AQ251" i="5"/>
  <c r="BB251" i="5" s="1"/>
  <c r="AQ226" i="5"/>
  <c r="BB226" i="5" s="1"/>
  <c r="AQ220" i="5"/>
  <c r="BB220" i="5" s="1"/>
  <c r="AQ214" i="5"/>
  <c r="BB214" i="5" s="1"/>
  <c r="AQ208" i="5"/>
  <c r="BB208" i="5" s="1"/>
  <c r="AQ202" i="5"/>
  <c r="BB202" i="5" s="1"/>
  <c r="AQ190" i="5"/>
  <c r="BB190" i="5" s="1"/>
  <c r="AQ165" i="5"/>
  <c r="BB165" i="5" s="1"/>
  <c r="AQ159" i="5"/>
  <c r="BB159" i="5" s="1"/>
  <c r="AQ153" i="5"/>
  <c r="BB153" i="5" s="1"/>
  <c r="AQ147" i="5"/>
  <c r="BB147" i="5" s="1"/>
  <c r="AQ129" i="5"/>
  <c r="BB129" i="5" s="1"/>
  <c r="AQ104" i="5"/>
  <c r="BB104" i="5" s="1"/>
  <c r="AQ98" i="5"/>
  <c r="BB98" i="5" s="1"/>
  <c r="AQ86" i="5"/>
  <c r="BB86" i="5" s="1"/>
  <c r="AQ80" i="5"/>
  <c r="BB80" i="5" s="1"/>
  <c r="AQ68" i="5"/>
  <c r="BB68" i="5" s="1"/>
  <c r="AQ62" i="5"/>
  <c r="BB62" i="5" s="1"/>
  <c r="AQ37" i="5"/>
  <c r="BB37" i="5" s="1"/>
  <c r="AQ19" i="5"/>
  <c r="BB19" i="5" s="1"/>
  <c r="AQ13" i="5"/>
  <c r="BB13" i="5" s="1"/>
  <c r="AQ7" i="5"/>
  <c r="BB7" i="5" s="1"/>
  <c r="CI49" i="5"/>
  <c r="BU424" i="5" a="1"/>
  <c r="BU424" i="5" s="1"/>
  <c r="BT424" i="5" a="1"/>
  <c r="BT424" i="5" s="1"/>
  <c r="BT417" i="5" a="1"/>
  <c r="BT417" i="5" s="1"/>
  <c r="BU417" i="5" a="1"/>
  <c r="BU417" i="5" s="1"/>
  <c r="BT394" i="5" a="1"/>
  <c r="BT394" i="5" s="1"/>
  <c r="BU394" i="5" a="1"/>
  <c r="BU394" i="5" s="1"/>
  <c r="BT366" i="5" a="1"/>
  <c r="BT366" i="5" s="1"/>
  <c r="BU366" i="5" a="1"/>
  <c r="BU366" i="5" s="1"/>
  <c r="BU315" i="5" a="1"/>
  <c r="BU315" i="5" s="1"/>
  <c r="BT315" i="5" a="1"/>
  <c r="BT315" i="5" s="1"/>
  <c r="BT294" i="5" a="1"/>
  <c r="BT294" i="5" s="1"/>
  <c r="BU294" i="5" a="1"/>
  <c r="BU294" i="5" s="1"/>
  <c r="BT272" i="5" a="1"/>
  <c r="BT272" i="5" s="1"/>
  <c r="BU272" i="5" a="1"/>
  <c r="BU272" i="5" s="1"/>
  <c r="BT211" i="5" a="1"/>
  <c r="BT211" i="5" s="1"/>
  <c r="BU211" i="5" a="1"/>
  <c r="BU211" i="5" s="1"/>
  <c r="BT167" i="5" a="1"/>
  <c r="BT167" i="5" s="1"/>
  <c r="BU167" i="5" a="1"/>
  <c r="BU167" i="5" s="1"/>
  <c r="BU152" i="5" a="1"/>
  <c r="BU152" i="5" s="1"/>
  <c r="BT152" i="5" a="1"/>
  <c r="BT152" i="5" s="1"/>
  <c r="BT144" i="5" a="1"/>
  <c r="BT144" i="5" s="1"/>
  <c r="BU144" i="5" a="1"/>
  <c r="BU144" i="5" s="1"/>
  <c r="BT122" i="5" a="1"/>
  <c r="BT122" i="5" s="1"/>
  <c r="BU122" i="5" a="1"/>
  <c r="BU122" i="5" s="1"/>
  <c r="BT71" i="5" a="1"/>
  <c r="BT71" i="5" s="1"/>
  <c r="BU71" i="5" a="1"/>
  <c r="BU71" i="5" s="1"/>
  <c r="BT44" i="5" a="1"/>
  <c r="BT44" i="5" s="1"/>
  <c r="BU44" i="5" a="1"/>
  <c r="BU44" i="5" s="1"/>
  <c r="BT22" i="5" a="1"/>
  <c r="BT22" i="5" s="1"/>
  <c r="BU22" i="5" a="1"/>
  <c r="BU22" i="5" s="1"/>
  <c r="BJ441" i="5"/>
  <c r="BQ441" i="5" a="1"/>
  <c r="BQ441" i="5" s="1"/>
  <c r="BS441" i="5" s="1"/>
  <c r="BR441" i="5" a="1"/>
  <c r="BR441" i="5" s="1"/>
  <c r="Z418" i="5" a="1"/>
  <c r="Z418" i="5" s="1"/>
  <c r="BJ418" i="5"/>
  <c r="BQ418" i="5" a="1"/>
  <c r="BQ418" i="5" s="1"/>
  <c r="BS418" i="5" s="1"/>
  <c r="BR418" i="5" a="1"/>
  <c r="BR418" i="5" s="1"/>
  <c r="Z411" i="5" a="1"/>
  <c r="Z411" i="5" s="1"/>
  <c r="BJ411" i="5"/>
  <c r="BQ411" i="5" a="1"/>
  <c r="BQ411" i="5" s="1"/>
  <c r="BS411" i="5" s="1"/>
  <c r="BR411" i="5" a="1"/>
  <c r="BR411" i="5" s="1"/>
  <c r="Z403" i="5" a="1"/>
  <c r="Z403" i="5" s="1"/>
  <c r="BJ403" i="5"/>
  <c r="BQ403" i="5" a="1"/>
  <c r="BQ403" i="5" s="1"/>
  <c r="BS403" i="5" s="1"/>
  <c r="BR403" i="5" a="1"/>
  <c r="BR403" i="5" s="1"/>
  <c r="BJ388" i="5"/>
  <c r="BQ388" i="5" a="1"/>
  <c r="BQ388" i="5" s="1"/>
  <c r="BS388" i="5" s="1"/>
  <c r="BR388" i="5" a="1"/>
  <c r="BR388" i="5" s="1"/>
  <c r="Z380" i="5" a="1"/>
  <c r="Z380" i="5" s="1"/>
  <c r="BQ380" i="5" a="1"/>
  <c r="BQ380" i="5" s="1"/>
  <c r="BS380" i="5" s="1"/>
  <c r="BR380" i="5" a="1"/>
  <c r="BR380" i="5" s="1"/>
  <c r="BJ357" i="5"/>
  <c r="BQ357" i="5" a="1"/>
  <c r="BQ357" i="5" s="1"/>
  <c r="BS357" i="5" s="1"/>
  <c r="BR357" i="5" a="1"/>
  <c r="BR357" i="5" s="1"/>
  <c r="Z344" i="5" a="1"/>
  <c r="Z344" i="5" s="1"/>
  <c r="BJ344" i="5"/>
  <c r="BR344" i="5" a="1"/>
  <c r="BR344" i="5" s="1"/>
  <c r="BQ344" i="5" a="1"/>
  <c r="BQ344" i="5" s="1"/>
  <c r="BS344" i="5" s="1"/>
  <c r="Z330" i="5" a="1"/>
  <c r="Z330" i="5" s="1"/>
  <c r="BQ330" i="5" a="1"/>
  <c r="BQ330" i="5" s="1"/>
  <c r="BS330" i="5" s="1"/>
  <c r="BR330" i="5" a="1"/>
  <c r="BR330" i="5" s="1"/>
  <c r="Z316" i="5" a="1"/>
  <c r="Z316" i="5" s="1"/>
  <c r="BQ316" i="5" a="1"/>
  <c r="BQ316" i="5" s="1"/>
  <c r="BS316" i="5" s="1"/>
  <c r="BJ316" i="5"/>
  <c r="BR316" i="5" a="1"/>
  <c r="BR316" i="5" s="1"/>
  <c r="Z302" i="5" a="1"/>
  <c r="Z302" i="5" s="1"/>
  <c r="BJ302" i="5"/>
  <c r="BQ302" i="5" a="1"/>
  <c r="BQ302" i="5" s="1"/>
  <c r="BS302" i="5" s="1"/>
  <c r="BR302" i="5" a="1"/>
  <c r="BR302" i="5" s="1"/>
  <c r="BJ275" i="5"/>
  <c r="BQ275" i="5" a="1"/>
  <c r="BQ275" i="5" s="1"/>
  <c r="BS275" i="5" s="1"/>
  <c r="BR275" i="5" a="1"/>
  <c r="BR275" i="5" s="1"/>
  <c r="Z260" i="5" a="1"/>
  <c r="Z260" i="5" s="1"/>
  <c r="BQ260" i="5" a="1"/>
  <c r="BQ260" i="5" s="1"/>
  <c r="BS260" i="5" s="1"/>
  <c r="BR260" i="5" a="1"/>
  <c r="BR260" i="5" s="1"/>
  <c r="BJ246" i="5"/>
  <c r="BQ246" i="5" a="1"/>
  <c r="BQ246" i="5" s="1"/>
  <c r="BS246" i="5" s="1"/>
  <c r="BR246" i="5" a="1"/>
  <c r="BR246" i="5" s="1"/>
  <c r="BJ219" i="5"/>
  <c r="BR219" i="5" a="1"/>
  <c r="BR219" i="5" s="1"/>
  <c r="BQ219" i="5" a="1"/>
  <c r="BQ219" i="5" s="1"/>
  <c r="BS219" i="5" s="1"/>
  <c r="BJ191" i="5"/>
  <c r="BQ191" i="5" a="1"/>
  <c r="BQ191" i="5" s="1"/>
  <c r="BS191" i="5" s="1"/>
  <c r="BR191" i="5" a="1"/>
  <c r="BR191" i="5" s="1"/>
  <c r="Z171" i="5" a="1"/>
  <c r="Z171" i="5" s="1"/>
  <c r="BJ171" i="5"/>
  <c r="BQ171" i="5" a="1"/>
  <c r="BQ171" i="5" s="1"/>
  <c r="BS171" i="5" s="1"/>
  <c r="BR171" i="5" a="1"/>
  <c r="BR171" i="5" s="1"/>
  <c r="Z163" i="5" a="1"/>
  <c r="Z163" i="5" s="1"/>
  <c r="BJ163" i="5"/>
  <c r="BQ163" i="5" a="1"/>
  <c r="BQ163" i="5" s="1"/>
  <c r="BS163" i="5" s="1"/>
  <c r="BR163" i="5" a="1"/>
  <c r="BR163" i="5" s="1"/>
  <c r="BJ149" i="5"/>
  <c r="BR149" i="5" a="1"/>
  <c r="BR149" i="5" s="1"/>
  <c r="BQ149" i="5" a="1"/>
  <c r="BQ149" i="5" s="1"/>
  <c r="BS149" i="5" s="1"/>
  <c r="BJ135" i="5"/>
  <c r="BQ135" i="5" a="1"/>
  <c r="BQ135" i="5" s="1"/>
  <c r="BS135" i="5" s="1"/>
  <c r="BR135" i="5" a="1"/>
  <c r="BR135" i="5" s="1"/>
  <c r="BJ107" i="5"/>
  <c r="BQ107" i="5" a="1"/>
  <c r="BQ107" i="5" s="1"/>
  <c r="BS107" i="5" s="1"/>
  <c r="BR107" i="5" a="1"/>
  <c r="BR107" i="5" s="1"/>
  <c r="BJ31" i="5"/>
  <c r="BQ31" i="5" a="1"/>
  <c r="BQ31" i="5" s="1"/>
  <c r="BS31" i="5" s="1"/>
  <c r="BR31" i="5" a="1"/>
  <c r="BR31" i="5" s="1"/>
  <c r="Z24" i="5" a="1"/>
  <c r="Z24" i="5" s="1"/>
  <c r="BJ24" i="5"/>
  <c r="BR24" i="5" a="1"/>
  <c r="BR24" i="5" s="1"/>
  <c r="BQ24" i="5" a="1"/>
  <c r="BQ24" i="5" s="1"/>
  <c r="BS24" i="5" s="1"/>
  <c r="Z11" i="5" a="1"/>
  <c r="Z11" i="5" s="1"/>
  <c r="BQ11" i="5" a="1"/>
  <c r="BQ11" i="5" s="1"/>
  <c r="BS11" i="5" s="1"/>
  <c r="BR11" i="5" a="1"/>
  <c r="BR11" i="5" s="1"/>
  <c r="AQ443" i="5"/>
  <c r="BB443" i="5" s="1"/>
  <c r="AQ437" i="5"/>
  <c r="BB437" i="5" s="1"/>
  <c r="AQ418" i="5"/>
  <c r="BB418" i="5" s="1"/>
  <c r="AQ412" i="5"/>
  <c r="BB412" i="5" s="1"/>
  <c r="AQ393" i="5"/>
  <c r="BB393" i="5" s="1"/>
  <c r="AQ387" i="5"/>
  <c r="BB387" i="5" s="1"/>
  <c r="AQ368" i="5"/>
  <c r="BB368" i="5" s="1"/>
  <c r="AQ362" i="5"/>
  <c r="BB362" i="5" s="1"/>
  <c r="AQ343" i="5"/>
  <c r="BB343" i="5" s="1"/>
  <c r="AQ337" i="5"/>
  <c r="BB337" i="5" s="1"/>
  <c r="AQ318" i="5"/>
  <c r="BB318" i="5" s="1"/>
  <c r="AQ312" i="5"/>
  <c r="BB312" i="5" s="1"/>
  <c r="AQ293" i="5"/>
  <c r="BB293" i="5" s="1"/>
  <c r="AQ287" i="5"/>
  <c r="BB287" i="5" s="1"/>
  <c r="AQ274" i="5"/>
  <c r="BB274" i="5" s="1"/>
  <c r="AQ256" i="5"/>
  <c r="BB256" i="5" s="1"/>
  <c r="AQ250" i="5"/>
  <c r="BB250" i="5" s="1"/>
  <c r="AQ238" i="5"/>
  <c r="BB238" i="5" s="1"/>
  <c r="AQ189" i="5"/>
  <c r="BB189" i="5" s="1"/>
  <c r="AQ177" i="5"/>
  <c r="BB177" i="5" s="1"/>
  <c r="AQ171" i="5"/>
  <c r="BB171" i="5" s="1"/>
  <c r="AQ141" i="5"/>
  <c r="BB141" i="5" s="1"/>
  <c r="AQ128" i="5"/>
  <c r="BB128" i="5" s="1"/>
  <c r="AQ110" i="5"/>
  <c r="BB110" i="5" s="1"/>
  <c r="AQ85" i="5"/>
  <c r="BB85" i="5" s="1"/>
  <c r="AQ67" i="5"/>
  <c r="BB67" i="5" s="1"/>
  <c r="AQ49" i="5"/>
  <c r="BB49" i="5" s="1"/>
  <c r="AQ31" i="5"/>
  <c r="BB31" i="5" s="1"/>
  <c r="CH31" i="5"/>
  <c r="AQ24" i="5"/>
  <c r="BB24" i="5" s="1"/>
  <c r="AQ6" i="5"/>
  <c r="BB6" i="5" s="1"/>
  <c r="CI19" i="5"/>
  <c r="BT416" i="5" a="1"/>
  <c r="BT416" i="5" s="1"/>
  <c r="BU416" i="5" a="1"/>
  <c r="BU416" i="5" s="1"/>
  <c r="BT372" i="5" a="1"/>
  <c r="BT372" i="5" s="1"/>
  <c r="BU372" i="5" a="1"/>
  <c r="BU372" i="5" s="1"/>
  <c r="BU365" i="5" a="1"/>
  <c r="BU365" i="5" s="1"/>
  <c r="BT365" i="5" a="1"/>
  <c r="BT365" i="5" s="1"/>
  <c r="BT344" i="5" a="1"/>
  <c r="BT344" i="5" s="1"/>
  <c r="BU344" i="5" a="1"/>
  <c r="BU344" i="5" s="1"/>
  <c r="BT322" i="5" a="1"/>
  <c r="BT322" i="5" s="1"/>
  <c r="BU322" i="5" a="1"/>
  <c r="BU322" i="5" s="1"/>
  <c r="BU263" i="5" a="1"/>
  <c r="BU263" i="5" s="1"/>
  <c r="BT263" i="5" a="1"/>
  <c r="BT263" i="5" s="1"/>
  <c r="BU241" i="5" a="1"/>
  <c r="BU241" i="5" s="1"/>
  <c r="BT241" i="5" a="1"/>
  <c r="BT241" i="5" s="1"/>
  <c r="BT233" i="5" a="1"/>
  <c r="BT233" i="5" s="1"/>
  <c r="BU233" i="5" a="1"/>
  <c r="BU233" i="5" s="1"/>
  <c r="BT174" i="5" a="1"/>
  <c r="BT174" i="5" s="1"/>
  <c r="BU174" i="5" a="1"/>
  <c r="BU174" i="5" s="1"/>
  <c r="BU91" i="5" a="1"/>
  <c r="BU91" i="5" s="1"/>
  <c r="BT91" i="5" a="1"/>
  <c r="BT91" i="5" s="1"/>
  <c r="Z440" i="5" a="1"/>
  <c r="Z440" i="5" s="1"/>
  <c r="BJ440" i="5"/>
  <c r="BQ440" i="5" a="1"/>
  <c r="BQ440" i="5" s="1"/>
  <c r="BS440" i="5" s="1"/>
  <c r="BR440" i="5" a="1"/>
  <c r="BR440" i="5" s="1"/>
  <c r="Z433" i="5" a="1"/>
  <c r="Z433" i="5" s="1"/>
  <c r="BJ433" i="5"/>
  <c r="BQ433" i="5" a="1"/>
  <c r="BQ433" i="5" s="1"/>
  <c r="BS433" i="5" s="1"/>
  <c r="BR433" i="5" a="1"/>
  <c r="BR433" i="5" s="1"/>
  <c r="BJ425" i="5"/>
  <c r="BQ425" i="5" a="1"/>
  <c r="BQ425" i="5" s="1"/>
  <c r="BS425" i="5" s="1"/>
  <c r="BR425" i="5" a="1"/>
  <c r="BR425" i="5" s="1"/>
  <c r="Z410" i="5" a="1"/>
  <c r="Z410" i="5" s="1"/>
  <c r="BJ410" i="5"/>
  <c r="BQ410" i="5" a="1"/>
  <c r="BQ410" i="5" s="1"/>
  <c r="BS410" i="5" s="1"/>
  <c r="BR410" i="5" a="1"/>
  <c r="BR410" i="5" s="1"/>
  <c r="Z402" i="5" a="1"/>
  <c r="Z402" i="5" s="1"/>
  <c r="BJ402" i="5"/>
  <c r="BQ402" i="5" a="1"/>
  <c r="BQ402" i="5" s="1"/>
  <c r="BS402" i="5" s="1"/>
  <c r="BR402" i="5" a="1"/>
  <c r="BR402" i="5" s="1"/>
  <c r="BJ379" i="5"/>
  <c r="BR379" i="5" a="1"/>
  <c r="BR379" i="5" s="1"/>
  <c r="BQ379" i="5" a="1"/>
  <c r="BQ379" i="5" s="1"/>
  <c r="BS379" i="5" s="1"/>
  <c r="Z350" i="5" a="1"/>
  <c r="Z350" i="5" s="1"/>
  <c r="BQ350" i="5" a="1"/>
  <c r="BQ350" i="5" s="1"/>
  <c r="BS350" i="5" s="1"/>
  <c r="BR350" i="5" a="1"/>
  <c r="BR350" i="5" s="1"/>
  <c r="BJ336" i="5"/>
  <c r="BQ336" i="5" a="1"/>
  <c r="BQ336" i="5" s="1"/>
  <c r="BS336" i="5" s="1"/>
  <c r="BR336" i="5" a="1"/>
  <c r="BR336" i="5" s="1"/>
  <c r="BJ329" i="5"/>
  <c r="BR329" i="5" a="1"/>
  <c r="BR329" i="5" s="1"/>
  <c r="BQ329" i="5" a="1"/>
  <c r="BQ329" i="5" s="1"/>
  <c r="BS329" i="5" s="1"/>
  <c r="BJ301" i="5"/>
  <c r="BQ301" i="5" a="1"/>
  <c r="BQ301" i="5" s="1"/>
  <c r="BS301" i="5" s="1"/>
  <c r="BR301" i="5" a="1"/>
  <c r="BR301" i="5" s="1"/>
  <c r="BJ281" i="5"/>
  <c r="BQ281" i="5" a="1"/>
  <c r="BQ281" i="5" s="1"/>
  <c r="BS281" i="5" s="1"/>
  <c r="BR281" i="5" a="1"/>
  <c r="BR281" i="5" s="1"/>
  <c r="BJ259" i="5"/>
  <c r="BR259" i="5" a="1"/>
  <c r="BR259" i="5" s="1"/>
  <c r="BQ259" i="5" a="1"/>
  <c r="BQ259" i="5" s="1"/>
  <c r="BS259" i="5" s="1"/>
  <c r="BJ239" i="5"/>
  <c r="BR239" i="5" a="1"/>
  <c r="BR239" i="5" s="1"/>
  <c r="BQ239" i="5" a="1"/>
  <c r="BQ239" i="5" s="1"/>
  <c r="BS239" i="5" s="1"/>
  <c r="BJ218" i="5"/>
  <c r="BQ218" i="5" a="1"/>
  <c r="BQ218" i="5" s="1"/>
  <c r="BS218" i="5" s="1"/>
  <c r="BR218" i="5" a="1"/>
  <c r="BR218" i="5" s="1"/>
  <c r="BJ211" i="5"/>
  <c r="BQ211" i="5" a="1"/>
  <c r="BQ211" i="5" s="1"/>
  <c r="BS211" i="5" s="1"/>
  <c r="BR211" i="5" a="1"/>
  <c r="BR211" i="5" s="1"/>
  <c r="Z190" i="5" a="1"/>
  <c r="Z190" i="5" s="1"/>
  <c r="BJ190" i="5"/>
  <c r="BQ190" i="5" a="1"/>
  <c r="BQ190" i="5" s="1"/>
  <c r="BS190" i="5" s="1"/>
  <c r="BR190" i="5" a="1"/>
  <c r="BR190" i="5" s="1"/>
  <c r="Z170" i="5" a="1"/>
  <c r="Z170" i="5" s="1"/>
  <c r="BJ170" i="5"/>
  <c r="BQ170" i="5" a="1"/>
  <c r="BQ170" i="5" s="1"/>
  <c r="BS170" i="5" s="1"/>
  <c r="BR170" i="5" a="1"/>
  <c r="BR170" i="5" s="1"/>
  <c r="BJ155" i="5"/>
  <c r="BQ155" i="5" a="1"/>
  <c r="BQ155" i="5" s="1"/>
  <c r="BS155" i="5" s="1"/>
  <c r="BR155" i="5" a="1"/>
  <c r="BR155" i="5" s="1"/>
  <c r="Z114" i="5" a="1"/>
  <c r="Z114" i="5" s="1"/>
  <c r="BJ114" i="5"/>
  <c r="BR114" i="5" a="1"/>
  <c r="BR114" i="5" s="1"/>
  <c r="BQ114" i="5" a="1"/>
  <c r="BQ114" i="5" s="1"/>
  <c r="BS114" i="5" s="1"/>
  <c r="Z100" i="5" a="1"/>
  <c r="Z100" i="5" s="1"/>
  <c r="BR100" i="5" a="1"/>
  <c r="BR100" i="5" s="1"/>
  <c r="BQ100" i="5" a="1"/>
  <c r="BQ100" i="5" s="1"/>
  <c r="BS100" i="5" s="1"/>
  <c r="BJ75" i="5"/>
  <c r="BR75" i="5" a="1"/>
  <c r="BR75" i="5" s="1"/>
  <c r="BQ75" i="5" a="1"/>
  <c r="BQ75" i="5" s="1"/>
  <c r="BS75" i="5" s="1"/>
  <c r="BJ68" i="5"/>
  <c r="BQ68" i="5" a="1"/>
  <c r="BQ68" i="5" s="1"/>
  <c r="BS68" i="5" s="1"/>
  <c r="BR68" i="5" a="1"/>
  <c r="BR68" i="5" s="1"/>
  <c r="BJ55" i="5"/>
  <c r="BR55" i="5" a="1"/>
  <c r="BR55" i="5" s="1"/>
  <c r="BQ55" i="5" a="1"/>
  <c r="BQ55" i="5" s="1"/>
  <c r="BS55" i="5" s="1"/>
  <c r="Z30" i="5" a="1"/>
  <c r="Z30" i="5" s="1"/>
  <c r="BR30" i="5" a="1"/>
  <c r="BR30" i="5" s="1"/>
  <c r="BQ30" i="5" a="1"/>
  <c r="BQ30" i="5" s="1"/>
  <c r="BS30" i="5" s="1"/>
  <c r="Z10" i="5" a="1"/>
  <c r="Z10" i="5" s="1"/>
  <c r="BR10" i="5" a="1"/>
  <c r="BR10" i="5" s="1"/>
  <c r="BQ10" i="5" a="1"/>
  <c r="BQ10" i="5" s="1"/>
  <c r="BS10" i="5" s="1"/>
  <c r="AQ424" i="5"/>
  <c r="BB424" i="5" s="1"/>
  <c r="AQ399" i="5"/>
  <c r="BB399" i="5" s="1"/>
  <c r="AQ374" i="5"/>
  <c r="BB374" i="5" s="1"/>
  <c r="AQ349" i="5"/>
  <c r="BB349" i="5" s="1"/>
  <c r="AQ324" i="5"/>
  <c r="BB324" i="5" s="1"/>
  <c r="AQ299" i="5"/>
  <c r="BB299" i="5" s="1"/>
  <c r="AQ268" i="5"/>
  <c r="BB268" i="5" s="1"/>
  <c r="AQ219" i="5"/>
  <c r="BB219" i="5" s="1"/>
  <c r="AQ213" i="5"/>
  <c r="BB213" i="5" s="1"/>
  <c r="AQ207" i="5"/>
  <c r="BB207" i="5" s="1"/>
  <c r="AQ201" i="5"/>
  <c r="BB201" i="5" s="1"/>
  <c r="AQ176" i="5"/>
  <c r="BB176" i="5" s="1"/>
  <c r="AQ158" i="5"/>
  <c r="BB158" i="5" s="1"/>
  <c r="AQ152" i="5"/>
  <c r="BB152" i="5" s="1"/>
  <c r="AQ140" i="5"/>
  <c r="BB140" i="5" s="1"/>
  <c r="AQ115" i="5"/>
  <c r="BB115" i="5" s="1"/>
  <c r="AQ109" i="5"/>
  <c r="BB109" i="5" s="1"/>
  <c r="AQ103" i="5"/>
  <c r="BB103" i="5" s="1"/>
  <c r="AQ97" i="5"/>
  <c r="BB97" i="5" s="1"/>
  <c r="AQ79" i="5"/>
  <c r="BB79" i="5" s="1"/>
  <c r="AQ54" i="5"/>
  <c r="BB54" i="5" s="1"/>
  <c r="AQ48" i="5"/>
  <c r="BB48" i="5" s="1"/>
  <c r="AQ36" i="5"/>
  <c r="BB36" i="5" s="1"/>
  <c r="AQ30" i="5"/>
  <c r="BB30" i="5" s="1"/>
  <c r="AQ18" i="5"/>
  <c r="BB18" i="5" s="1"/>
  <c r="AQ12" i="5"/>
  <c r="BB12" i="5" s="1"/>
  <c r="CH411" i="5"/>
  <c r="CH391" i="5"/>
  <c r="CH341" i="5"/>
  <c r="CH291" i="5"/>
  <c r="CH241" i="5"/>
  <c r="CH191" i="5"/>
  <c r="CH141" i="5"/>
  <c r="CH91" i="5"/>
  <c r="CI69" i="5"/>
  <c r="CH41" i="5"/>
  <c r="BU437" i="5" a="1"/>
  <c r="BU437" i="5" s="1"/>
  <c r="BT437" i="5" a="1"/>
  <c r="BT437" i="5" s="1"/>
  <c r="BU415" i="5" a="1"/>
  <c r="BU415" i="5" s="1"/>
  <c r="BT415" i="5" a="1"/>
  <c r="BT415" i="5" s="1"/>
  <c r="BU364" i="5" a="1"/>
  <c r="BU364" i="5" s="1"/>
  <c r="BT364" i="5" a="1"/>
  <c r="BT364" i="5" s="1"/>
  <c r="BU343" i="5" a="1"/>
  <c r="BU343" i="5" s="1"/>
  <c r="BT343" i="5" a="1"/>
  <c r="BT343" i="5" s="1"/>
  <c r="BU321" i="5" a="1"/>
  <c r="BU321" i="5" s="1"/>
  <c r="BT321" i="5" a="1"/>
  <c r="BT321" i="5" s="1"/>
  <c r="BU254" i="5" a="1"/>
  <c r="BU254" i="5" s="1"/>
  <c r="BT254" i="5" a="1"/>
  <c r="BT254" i="5" s="1"/>
  <c r="BT232" i="5" a="1"/>
  <c r="BT232" i="5" s="1"/>
  <c r="BU232" i="5" a="1"/>
  <c r="BU232" i="5" s="1"/>
  <c r="BT217" i="5" a="1"/>
  <c r="BT217" i="5" s="1"/>
  <c r="BU217" i="5" a="1"/>
  <c r="BU217" i="5" s="1"/>
  <c r="BU202" i="5" a="1"/>
  <c r="BU202" i="5" s="1"/>
  <c r="BT202" i="5" a="1"/>
  <c r="BT202" i="5" s="1"/>
  <c r="BT194" i="5" a="1"/>
  <c r="BT194" i="5" s="1"/>
  <c r="BU194" i="5" a="1"/>
  <c r="BU194" i="5" s="1"/>
  <c r="BT187" i="5" a="1"/>
  <c r="BT187" i="5" s="1"/>
  <c r="BU187" i="5" a="1"/>
  <c r="BU187" i="5" s="1"/>
  <c r="BU165" i="5" a="1"/>
  <c r="BU165" i="5" s="1"/>
  <c r="BT165" i="5" a="1"/>
  <c r="BT165" i="5" s="1"/>
  <c r="BU104" i="5" a="1"/>
  <c r="BU104" i="5" s="1"/>
  <c r="BT104" i="5" a="1"/>
  <c r="BT104" i="5" s="1"/>
  <c r="BU63" i="5" a="1"/>
  <c r="BU63" i="5" s="1"/>
  <c r="BT63" i="5" a="1"/>
  <c r="BT63" i="5" s="1"/>
  <c r="BU4" i="5" a="1"/>
  <c r="BU4" i="5" s="1"/>
  <c r="BT4" i="5" a="1"/>
  <c r="BT4" i="5" s="1"/>
  <c r="Z424" i="5" a="1"/>
  <c r="Z424" i="5" s="1"/>
  <c r="BJ424" i="5"/>
  <c r="BR424" i="5" a="1"/>
  <c r="BR424" i="5" s="1"/>
  <c r="BQ424" i="5" a="1"/>
  <c r="BQ424" i="5" s="1"/>
  <c r="BS424" i="5" s="1"/>
  <c r="BJ409" i="5"/>
  <c r="BR409" i="5" a="1"/>
  <c r="BR409" i="5" s="1"/>
  <c r="BQ409" i="5" a="1"/>
  <c r="BQ409" i="5" s="1"/>
  <c r="BS409" i="5" s="1"/>
  <c r="BJ401" i="5"/>
  <c r="BQ401" i="5" a="1"/>
  <c r="BQ401" i="5" s="1"/>
  <c r="BS401" i="5" s="1"/>
  <c r="BR401" i="5" a="1"/>
  <c r="BR401" i="5" s="1"/>
  <c r="Z394" i="5" a="1"/>
  <c r="Z394" i="5" s="1"/>
  <c r="BR394" i="5" a="1"/>
  <c r="BR394" i="5" s="1"/>
  <c r="BJ394" i="5"/>
  <c r="BQ394" i="5" a="1"/>
  <c r="BQ394" i="5" s="1"/>
  <c r="BS394" i="5" s="1"/>
  <c r="BJ386" i="5"/>
  <c r="BQ386" i="5" a="1"/>
  <c r="BQ386" i="5" s="1"/>
  <c r="BS386" i="5" s="1"/>
  <c r="BR386" i="5" a="1"/>
  <c r="BR386" i="5" s="1"/>
  <c r="Z364" i="5" a="1"/>
  <c r="Z364" i="5" s="1"/>
  <c r="BJ364" i="5"/>
  <c r="BR364" i="5" a="1"/>
  <c r="BR364" i="5" s="1"/>
  <c r="BQ364" i="5" a="1"/>
  <c r="BQ364" i="5" s="1"/>
  <c r="BS364" i="5" s="1"/>
  <c r="BR349" i="5" a="1"/>
  <c r="BR349" i="5" s="1"/>
  <c r="BJ349" i="5"/>
  <c r="BQ349" i="5" a="1"/>
  <c r="BQ349" i="5" s="1"/>
  <c r="BS349" i="5" s="1"/>
  <c r="BJ335" i="5"/>
  <c r="BQ335" i="5" a="1"/>
  <c r="BQ335" i="5" s="1"/>
  <c r="BS335" i="5" s="1"/>
  <c r="BR335" i="5" a="1"/>
  <c r="BR335" i="5" s="1"/>
  <c r="BJ307" i="5"/>
  <c r="BQ307" i="5" a="1"/>
  <c r="BQ307" i="5" s="1"/>
  <c r="BS307" i="5" s="1"/>
  <c r="BR307" i="5" a="1"/>
  <c r="BR307" i="5" s="1"/>
  <c r="Z294" i="5" a="1"/>
  <c r="Z294" i="5" s="1"/>
  <c r="BR294" i="5" a="1"/>
  <c r="BR294" i="5" s="1"/>
  <c r="BJ294" i="5"/>
  <c r="BQ294" i="5" a="1"/>
  <c r="BQ294" i="5" s="1"/>
  <c r="BS294" i="5" s="1"/>
  <c r="Z280" i="5" a="1"/>
  <c r="Z280" i="5" s="1"/>
  <c r="BQ280" i="5" a="1"/>
  <c r="BQ280" i="5" s="1"/>
  <c r="BS280" i="5" s="1"/>
  <c r="BR280" i="5" a="1"/>
  <c r="BR280" i="5" s="1"/>
  <c r="BJ266" i="5"/>
  <c r="BQ266" i="5" a="1"/>
  <c r="BQ266" i="5" s="1"/>
  <c r="BS266" i="5" s="1"/>
  <c r="BR266" i="5" a="1"/>
  <c r="BR266" i="5" s="1"/>
  <c r="Z252" i="5" a="1"/>
  <c r="Z252" i="5" s="1"/>
  <c r="BQ252" i="5" a="1"/>
  <c r="BQ252" i="5" s="1"/>
  <c r="BS252" i="5" s="1"/>
  <c r="BJ252" i="5"/>
  <c r="BR252" i="5" a="1"/>
  <c r="BR252" i="5" s="1"/>
  <c r="BJ225" i="5"/>
  <c r="BQ225" i="5" a="1"/>
  <c r="BQ225" i="5" s="1"/>
  <c r="BS225" i="5" s="1"/>
  <c r="BR225" i="5" a="1"/>
  <c r="BR225" i="5" s="1"/>
  <c r="Z210" i="5" a="1"/>
  <c r="Z210" i="5" s="1"/>
  <c r="BJ210" i="5"/>
  <c r="BQ210" i="5" a="1"/>
  <c r="BQ210" i="5" s="1"/>
  <c r="BS210" i="5" s="1"/>
  <c r="BR210" i="5" a="1"/>
  <c r="BR210" i="5" s="1"/>
  <c r="BJ196" i="5"/>
  <c r="BQ196" i="5" a="1"/>
  <c r="BQ196" i="5" s="1"/>
  <c r="BS196" i="5" s="1"/>
  <c r="BR196" i="5" a="1"/>
  <c r="BR196" i="5" s="1"/>
  <c r="BJ169" i="5"/>
  <c r="BR169" i="5" a="1"/>
  <c r="BR169" i="5" s="1"/>
  <c r="BQ169" i="5" a="1"/>
  <c r="BQ169" i="5" s="1"/>
  <c r="BS169" i="5" s="1"/>
  <c r="BJ141" i="5"/>
  <c r="BQ141" i="5" a="1"/>
  <c r="BQ141" i="5" s="1"/>
  <c r="BS141" i="5" s="1"/>
  <c r="BR141" i="5" a="1"/>
  <c r="BR141" i="5" s="1"/>
  <c r="BJ121" i="5"/>
  <c r="BQ121" i="5" a="1"/>
  <c r="BQ121" i="5" s="1"/>
  <c r="BS121" i="5" s="1"/>
  <c r="BR121" i="5" a="1"/>
  <c r="BR121" i="5" s="1"/>
  <c r="Z113" i="5" a="1"/>
  <c r="Z113" i="5" s="1"/>
  <c r="BJ113" i="5"/>
  <c r="BQ113" i="5" a="1"/>
  <c r="BQ113" i="5" s="1"/>
  <c r="BS113" i="5" s="1"/>
  <c r="BR113" i="5" a="1"/>
  <c r="BR113" i="5" s="1"/>
  <c r="BQ81" i="5" a="1"/>
  <c r="BQ81" i="5" s="1"/>
  <c r="BS81" i="5" s="1"/>
  <c r="BR81" i="5" a="1"/>
  <c r="BR81" i="5" s="1"/>
  <c r="Z74" i="5" a="1"/>
  <c r="Z74" i="5" s="1"/>
  <c r="BJ74" i="5"/>
  <c r="BR74" i="5" a="1"/>
  <c r="BR74" i="5" s="1"/>
  <c r="BQ74" i="5" a="1"/>
  <c r="BQ74" i="5" s="1"/>
  <c r="BS74" i="5" s="1"/>
  <c r="Z61" i="5" a="1"/>
  <c r="Z61" i="5" s="1"/>
  <c r="BJ61" i="5"/>
  <c r="BQ61" i="5" a="1"/>
  <c r="BQ61" i="5" s="1"/>
  <c r="BS61" i="5" s="1"/>
  <c r="BR61" i="5" a="1"/>
  <c r="BR61" i="5" s="1"/>
  <c r="Z36" i="5" a="1"/>
  <c r="Z36" i="5" s="1"/>
  <c r="BQ36" i="5" a="1"/>
  <c r="BQ36" i="5" s="1"/>
  <c r="BS36" i="5" s="1"/>
  <c r="BJ36" i="5"/>
  <c r="BR36" i="5" a="1"/>
  <c r="BR36" i="5" s="1"/>
  <c r="BJ29" i="5"/>
  <c r="BR29" i="5" a="1"/>
  <c r="BR29" i="5" s="1"/>
  <c r="BQ29" i="5" a="1"/>
  <c r="BQ29" i="5" s="1"/>
  <c r="BS29" i="5" s="1"/>
  <c r="BJ16" i="5"/>
  <c r="BQ16" i="5" a="1"/>
  <c r="BQ16" i="5" s="1"/>
  <c r="BS16" i="5" s="1"/>
  <c r="BR16" i="5" a="1"/>
  <c r="BR16" i="5" s="1"/>
  <c r="AQ442" i="5"/>
  <c r="BB442" i="5" s="1"/>
  <c r="AQ423" i="5"/>
  <c r="BB423" i="5" s="1"/>
  <c r="AQ417" i="5"/>
  <c r="BB417" i="5" s="1"/>
  <c r="AQ398" i="5"/>
  <c r="BB398" i="5" s="1"/>
  <c r="AQ392" i="5"/>
  <c r="BB392" i="5" s="1"/>
  <c r="AQ373" i="5"/>
  <c r="BB373" i="5" s="1"/>
  <c r="AQ367" i="5"/>
  <c r="BB367" i="5" s="1"/>
  <c r="AQ348" i="5"/>
  <c r="BB348" i="5" s="1"/>
  <c r="AQ342" i="5"/>
  <c r="BB342" i="5" s="1"/>
  <c r="AQ323" i="5"/>
  <c r="BB323" i="5" s="1"/>
  <c r="AQ317" i="5"/>
  <c r="BB317" i="5" s="1"/>
  <c r="AQ298" i="5"/>
  <c r="BB298" i="5" s="1"/>
  <c r="AQ292" i="5"/>
  <c r="BB292" i="5" s="1"/>
  <c r="AQ273" i="5"/>
  <c r="BB273" i="5" s="1"/>
  <c r="AQ267" i="5"/>
  <c r="BB267" i="5" s="1"/>
  <c r="AQ249" i="5"/>
  <c r="BB249" i="5" s="1"/>
  <c r="AQ243" i="5"/>
  <c r="BB243" i="5" s="1"/>
  <c r="AQ231" i="5"/>
  <c r="BB231" i="5" s="1"/>
  <c r="AQ224" i="5"/>
  <c r="BB224" i="5" s="1"/>
  <c r="AQ206" i="5"/>
  <c r="BB206" i="5" s="1"/>
  <c r="AQ200" i="5"/>
  <c r="BB200" i="5" s="1"/>
  <c r="AQ188" i="5"/>
  <c r="BB188" i="5" s="1"/>
  <c r="AQ182" i="5"/>
  <c r="BB182" i="5" s="1"/>
  <c r="AQ175" i="5"/>
  <c r="BB175" i="5" s="1"/>
  <c r="AQ145" i="5"/>
  <c r="BB145" i="5" s="1"/>
  <c r="AQ139" i="5"/>
  <c r="BB139" i="5" s="1"/>
  <c r="AQ127" i="5"/>
  <c r="BB127" i="5" s="1"/>
  <c r="AQ121" i="5"/>
  <c r="BB121" i="5" s="1"/>
  <c r="AQ91" i="5"/>
  <c r="BB91" i="5" s="1"/>
  <c r="AQ84" i="5"/>
  <c r="BB84" i="5" s="1"/>
  <c r="AQ78" i="5"/>
  <c r="BB78" i="5" s="1"/>
  <c r="AQ60" i="5"/>
  <c r="BB60" i="5" s="1"/>
  <c r="AQ42" i="5"/>
  <c r="BB42" i="5" s="1"/>
  <c r="AQ35" i="5"/>
  <c r="BB35" i="5" s="1"/>
  <c r="AQ23" i="5"/>
  <c r="BB23" i="5" s="1"/>
  <c r="AQ17" i="5"/>
  <c r="BB17" i="5" s="1"/>
  <c r="CH441" i="5"/>
  <c r="BT422" i="5" a="1"/>
  <c r="BT422" i="5" s="1"/>
  <c r="BU422" i="5" a="1"/>
  <c r="BU422" i="5" s="1"/>
  <c r="BU414" i="5" a="1"/>
  <c r="BU414" i="5" s="1"/>
  <c r="BT414" i="5" a="1"/>
  <c r="BT414" i="5" s="1"/>
  <c r="BU407" i="5" a="1"/>
  <c r="BU407" i="5" s="1"/>
  <c r="BT407" i="5" a="1"/>
  <c r="BT407" i="5" s="1"/>
  <c r="BU392" i="5" a="1"/>
  <c r="BU392" i="5" s="1"/>
  <c r="BT392" i="5" a="1"/>
  <c r="BT392" i="5" s="1"/>
  <c r="BU363" i="5" a="1"/>
  <c r="BU363" i="5" s="1"/>
  <c r="BT363" i="5" a="1"/>
  <c r="BT363" i="5" s="1"/>
  <c r="BU313" i="5" a="1"/>
  <c r="BU313" i="5" s="1"/>
  <c r="BT313" i="5" a="1"/>
  <c r="BT313" i="5" s="1"/>
  <c r="BT277" i="5" a="1"/>
  <c r="BT277" i="5" s="1"/>
  <c r="BU277" i="5" a="1"/>
  <c r="BU277" i="5" s="1"/>
  <c r="BU247" i="5" a="1"/>
  <c r="BU247" i="5" s="1"/>
  <c r="BT247" i="5" a="1"/>
  <c r="BT247" i="5" s="1"/>
  <c r="BT224" i="5" a="1"/>
  <c r="BT224" i="5" s="1"/>
  <c r="BU224" i="5" a="1"/>
  <c r="BU224" i="5" s="1"/>
  <c r="BT193" i="5" a="1"/>
  <c r="BT193" i="5" s="1"/>
  <c r="BU193" i="5" a="1"/>
  <c r="BU193" i="5" s="1"/>
  <c r="BU157" i="5" a="1"/>
  <c r="BU157" i="5" s="1"/>
  <c r="BT157" i="5" a="1"/>
  <c r="BT157" i="5" s="1"/>
  <c r="BT127" i="5" a="1"/>
  <c r="BT127" i="5" s="1"/>
  <c r="BU127" i="5" a="1"/>
  <c r="BU127" i="5" s="1"/>
  <c r="BT83" i="5" a="1"/>
  <c r="BT83" i="5" s="1"/>
  <c r="BU83" i="5" a="1"/>
  <c r="BU83" i="5" s="1"/>
  <c r="BJ439" i="5"/>
  <c r="BR439" i="5" a="1"/>
  <c r="BR439" i="5" s="1"/>
  <c r="BQ439" i="5" a="1"/>
  <c r="BQ439" i="5" s="1"/>
  <c r="BS439" i="5" s="1"/>
  <c r="BJ431" i="5"/>
  <c r="BQ431" i="5" a="1"/>
  <c r="BQ431" i="5" s="1"/>
  <c r="BS431" i="5" s="1"/>
  <c r="BR431" i="5" a="1"/>
  <c r="BR431" i="5" s="1"/>
  <c r="BQ416" i="5" a="1"/>
  <c r="BQ416" i="5" s="1"/>
  <c r="BS416" i="5" s="1"/>
  <c r="BJ416" i="5"/>
  <c r="BR416" i="5" a="1"/>
  <c r="BR416" i="5" s="1"/>
  <c r="Z408" i="5" a="1"/>
  <c r="Z408" i="5" s="1"/>
  <c r="BJ408" i="5"/>
  <c r="BR408" i="5" a="1"/>
  <c r="BR408" i="5" s="1"/>
  <c r="BQ408" i="5" a="1"/>
  <c r="BQ408" i="5" s="1"/>
  <c r="BS408" i="5" s="1"/>
  <c r="BJ385" i="5"/>
  <c r="BQ385" i="5" a="1"/>
  <c r="BQ385" i="5" s="1"/>
  <c r="BS385" i="5" s="1"/>
  <c r="BR385" i="5" a="1"/>
  <c r="BR385" i="5" s="1"/>
  <c r="BJ378" i="5"/>
  <c r="BR378" i="5" a="1"/>
  <c r="BR378" i="5" s="1"/>
  <c r="BQ378" i="5" a="1"/>
  <c r="BQ378" i="5" s="1"/>
  <c r="BS378" i="5" s="1"/>
  <c r="BJ371" i="5"/>
  <c r="BQ371" i="5" a="1"/>
  <c r="BQ371" i="5" s="1"/>
  <c r="BS371" i="5" s="1"/>
  <c r="BR371" i="5" a="1"/>
  <c r="BR371" i="5" s="1"/>
  <c r="Z363" i="5" a="1"/>
  <c r="Z363" i="5" s="1"/>
  <c r="BJ363" i="5"/>
  <c r="BR363" i="5" a="1"/>
  <c r="BR363" i="5" s="1"/>
  <c r="BQ363" i="5" a="1"/>
  <c r="BQ363" i="5" s="1"/>
  <c r="BS363" i="5" s="1"/>
  <c r="BJ355" i="5"/>
  <c r="BQ355" i="5" a="1"/>
  <c r="BQ355" i="5" s="1"/>
  <c r="BS355" i="5" s="1"/>
  <c r="BR355" i="5" a="1"/>
  <c r="BR355" i="5" s="1"/>
  <c r="Z314" i="5" a="1"/>
  <c r="Z314" i="5" s="1"/>
  <c r="BJ314" i="5"/>
  <c r="BR314" i="5" a="1"/>
  <c r="BR314" i="5" s="1"/>
  <c r="BQ314" i="5" a="1"/>
  <c r="BQ314" i="5" s="1"/>
  <c r="BS314" i="5" s="1"/>
  <c r="Z300" i="5" a="1"/>
  <c r="Z300" i="5" s="1"/>
  <c r="BJ300" i="5"/>
  <c r="BQ300" i="5" a="1"/>
  <c r="BQ300" i="5" s="1"/>
  <c r="BS300" i="5" s="1"/>
  <c r="BR300" i="5" a="1"/>
  <c r="BR300" i="5" s="1"/>
  <c r="Z286" i="5" a="1"/>
  <c r="Z286" i="5" s="1"/>
  <c r="BJ286" i="5"/>
  <c r="BQ286" i="5" a="1"/>
  <c r="BQ286" i="5" s="1"/>
  <c r="BS286" i="5" s="1"/>
  <c r="BR286" i="5" a="1"/>
  <c r="BR286" i="5" s="1"/>
  <c r="BJ279" i="5"/>
  <c r="BR279" i="5" a="1"/>
  <c r="BR279" i="5" s="1"/>
  <c r="BQ279" i="5" a="1"/>
  <c r="BQ279" i="5" s="1"/>
  <c r="BS279" i="5" s="1"/>
  <c r="BJ251" i="5"/>
  <c r="BQ251" i="5" a="1"/>
  <c r="BQ251" i="5" s="1"/>
  <c r="BS251" i="5" s="1"/>
  <c r="BR251" i="5" a="1"/>
  <c r="BR251" i="5" s="1"/>
  <c r="BJ231" i="5"/>
  <c r="BQ231" i="5" a="1"/>
  <c r="BQ231" i="5" s="1"/>
  <c r="BS231" i="5" s="1"/>
  <c r="BR231" i="5" a="1"/>
  <c r="BR231" i="5" s="1"/>
  <c r="Z224" i="5" a="1"/>
  <c r="Z224" i="5" s="1"/>
  <c r="BR224" i="5" a="1"/>
  <c r="BR224" i="5" s="1"/>
  <c r="BJ224" i="5"/>
  <c r="BQ224" i="5" a="1"/>
  <c r="BQ224" i="5" s="1"/>
  <c r="BS224" i="5" s="1"/>
  <c r="BR209" i="5" a="1"/>
  <c r="BR209" i="5" s="1"/>
  <c r="BJ209" i="5"/>
  <c r="BQ209" i="5" a="1"/>
  <c r="BQ209" i="5" s="1"/>
  <c r="BS209" i="5" s="1"/>
  <c r="BJ189" i="5"/>
  <c r="BR189" i="5" a="1"/>
  <c r="BR189" i="5" s="1"/>
  <c r="BQ189" i="5" a="1"/>
  <c r="BQ189" i="5" s="1"/>
  <c r="BS189" i="5" s="1"/>
  <c r="BJ168" i="5"/>
  <c r="BQ168" i="5" a="1"/>
  <c r="BQ168" i="5" s="1"/>
  <c r="BS168" i="5" s="1"/>
  <c r="BR168" i="5" a="1"/>
  <c r="BR168" i="5" s="1"/>
  <c r="BJ161" i="5"/>
  <c r="BQ161" i="5" a="1"/>
  <c r="BQ161" i="5" s="1"/>
  <c r="BS161" i="5" s="1"/>
  <c r="BR161" i="5" a="1"/>
  <c r="BR161" i="5" s="1"/>
  <c r="Z140" i="5" a="1"/>
  <c r="Z140" i="5" s="1"/>
  <c r="BJ140" i="5"/>
  <c r="BQ140" i="5" a="1"/>
  <c r="BQ140" i="5" s="1"/>
  <c r="BS140" i="5" s="1"/>
  <c r="BR140" i="5" a="1"/>
  <c r="BR140" i="5" s="1"/>
  <c r="Z120" i="5" a="1"/>
  <c r="Z120" i="5" s="1"/>
  <c r="BJ120" i="5"/>
  <c r="BR120" i="5" a="1"/>
  <c r="BR120" i="5" s="1"/>
  <c r="BQ120" i="5" a="1"/>
  <c r="BQ120" i="5" s="1"/>
  <c r="BS120" i="5" s="1"/>
  <c r="BR105" i="5" a="1"/>
  <c r="BR105" i="5" s="1"/>
  <c r="BJ105" i="5"/>
  <c r="BQ105" i="5" a="1"/>
  <c r="BQ105" i="5" s="1"/>
  <c r="BS105" i="5" s="1"/>
  <c r="Z80" i="5" a="1"/>
  <c r="Z80" i="5" s="1"/>
  <c r="BR80" i="5" a="1"/>
  <c r="BR80" i="5" s="1"/>
  <c r="BQ80" i="5" a="1"/>
  <c r="BQ80" i="5" s="1"/>
  <c r="BS80" i="5" s="1"/>
  <c r="Z60" i="5" a="1"/>
  <c r="Z60" i="5" s="1"/>
  <c r="BR60" i="5" a="1"/>
  <c r="BR60" i="5" s="1"/>
  <c r="BQ60" i="5" a="1"/>
  <c r="BQ60" i="5" s="1"/>
  <c r="BS60" i="5" s="1"/>
  <c r="BJ35" i="5"/>
  <c r="BR35" i="5" a="1"/>
  <c r="BR35" i="5" s="1"/>
  <c r="BQ35" i="5" a="1"/>
  <c r="BQ35" i="5" s="1"/>
  <c r="BS35" i="5" s="1"/>
  <c r="AQ429" i="5"/>
  <c r="BB429" i="5" s="1"/>
  <c r="AQ404" i="5"/>
  <c r="BB404" i="5" s="1"/>
  <c r="AQ379" i="5"/>
  <c r="BB379" i="5" s="1"/>
  <c r="AQ354" i="5"/>
  <c r="BB354" i="5" s="1"/>
  <c r="AQ329" i="5"/>
  <c r="BB329" i="5" s="1"/>
  <c r="AQ304" i="5"/>
  <c r="BB304" i="5" s="1"/>
  <c r="AQ279" i="5"/>
  <c r="BB279" i="5" s="1"/>
  <c r="AQ236" i="5"/>
  <c r="BB236" i="5" s="1"/>
  <c r="AQ218" i="5"/>
  <c r="BB218" i="5" s="1"/>
  <c r="AQ163" i="5"/>
  <c r="BB163" i="5" s="1"/>
  <c r="AQ157" i="5"/>
  <c r="BB157" i="5" s="1"/>
  <c r="AQ151" i="5"/>
  <c r="BB151" i="5" s="1"/>
  <c r="AQ126" i="5"/>
  <c r="BB126" i="5" s="1"/>
  <c r="AQ102" i="5"/>
  <c r="BB102" i="5" s="1"/>
  <c r="AQ90" i="5"/>
  <c r="BB90" i="5" s="1"/>
  <c r="AQ29" i="5"/>
  <c r="BB29" i="5" s="1"/>
  <c r="CH361" i="5"/>
  <c r="CH311" i="5"/>
  <c r="CH261" i="5"/>
  <c r="CH211" i="5"/>
  <c r="CH161" i="5"/>
  <c r="CH61" i="5"/>
  <c r="BU413" i="5" a="1"/>
  <c r="BU413" i="5" s="1"/>
  <c r="BT413" i="5" a="1"/>
  <c r="BT413" i="5" s="1"/>
  <c r="BT406" i="5" a="1"/>
  <c r="BT406" i="5" s="1"/>
  <c r="BU406" i="5" a="1"/>
  <c r="BU406" i="5" s="1"/>
  <c r="BT377" i="5" a="1"/>
  <c r="BT377" i="5" s="1"/>
  <c r="BU377" i="5" a="1"/>
  <c r="BU377" i="5" s="1"/>
  <c r="BT356" i="5" a="1"/>
  <c r="BT356" i="5" s="1"/>
  <c r="BU356" i="5" a="1"/>
  <c r="BU356" i="5" s="1"/>
  <c r="BT327" i="5" a="1"/>
  <c r="BT327" i="5" s="1"/>
  <c r="BU327" i="5" a="1"/>
  <c r="BU327" i="5" s="1"/>
  <c r="BT261" i="5" a="1"/>
  <c r="BT261" i="5" s="1"/>
  <c r="BU261" i="5" a="1"/>
  <c r="BU261" i="5" s="1"/>
  <c r="BU215" i="5" a="1"/>
  <c r="BU215" i="5" s="1"/>
  <c r="BT215" i="5" a="1"/>
  <c r="BT215" i="5" s="1"/>
  <c r="BT172" i="5" a="1"/>
  <c r="BT172" i="5" s="1"/>
  <c r="BU172" i="5" a="1"/>
  <c r="BU172" i="5" s="1"/>
  <c r="BJ438" i="5"/>
  <c r="BQ438" i="5" a="1"/>
  <c r="BQ438" i="5" s="1"/>
  <c r="BS438" i="5" s="1"/>
  <c r="BR438" i="5" a="1"/>
  <c r="BR438" i="5" s="1"/>
  <c r="Z430" i="5" a="1"/>
  <c r="Z430" i="5" s="1"/>
  <c r="BQ430" i="5" a="1"/>
  <c r="BQ430" i="5" s="1"/>
  <c r="BS430" i="5" s="1"/>
  <c r="BR430" i="5" a="1"/>
  <c r="BR430" i="5" s="1"/>
  <c r="BJ407" i="5"/>
  <c r="BQ407" i="5" a="1"/>
  <c r="BQ407" i="5" s="1"/>
  <c r="BS407" i="5" s="1"/>
  <c r="BR407" i="5" a="1"/>
  <c r="BR407" i="5" s="1"/>
  <c r="Z400" i="5" a="1"/>
  <c r="Z400" i="5" s="1"/>
  <c r="BJ400" i="5"/>
  <c r="BQ400" i="5" a="1"/>
  <c r="BQ400" i="5" s="1"/>
  <c r="BS400" i="5" s="1"/>
  <c r="BR400" i="5" a="1"/>
  <c r="BR400" i="5" s="1"/>
  <c r="Z370" i="5" a="1"/>
  <c r="Z370" i="5" s="1"/>
  <c r="BJ370" i="5"/>
  <c r="BQ370" i="5" a="1"/>
  <c r="BQ370" i="5" s="1"/>
  <c r="BS370" i="5" s="1"/>
  <c r="BR370" i="5" a="1"/>
  <c r="BR370" i="5" s="1"/>
  <c r="BJ341" i="5"/>
  <c r="BQ341" i="5" a="1"/>
  <c r="BQ341" i="5" s="1"/>
  <c r="BS341" i="5" s="1"/>
  <c r="BR341" i="5" a="1"/>
  <c r="BR341" i="5" s="1"/>
  <c r="Z321" i="5" a="1"/>
  <c r="Z321" i="5" s="1"/>
  <c r="BJ321" i="5"/>
  <c r="BQ321" i="5" a="1"/>
  <c r="BQ321" i="5" s="1"/>
  <c r="BS321" i="5" s="1"/>
  <c r="BR321" i="5" a="1"/>
  <c r="BR321" i="5" s="1"/>
  <c r="Z313" i="5" a="1"/>
  <c r="Z313" i="5" s="1"/>
  <c r="BJ313" i="5"/>
  <c r="BR313" i="5" a="1"/>
  <c r="BR313" i="5" s="1"/>
  <c r="BQ313" i="5" a="1"/>
  <c r="BQ313" i="5" s="1"/>
  <c r="BS313" i="5" s="1"/>
  <c r="BJ299" i="5"/>
  <c r="BR299" i="5" a="1"/>
  <c r="BR299" i="5" s="1"/>
  <c r="BQ299" i="5" a="1"/>
  <c r="BQ299" i="5" s="1"/>
  <c r="BS299" i="5" s="1"/>
  <c r="BJ257" i="5"/>
  <c r="BQ257" i="5" a="1"/>
  <c r="BQ257" i="5" s="1"/>
  <c r="BS257" i="5" s="1"/>
  <c r="BR257" i="5" a="1"/>
  <c r="BR257" i="5" s="1"/>
  <c r="Z244" i="5" a="1"/>
  <c r="Z244" i="5" s="1"/>
  <c r="BJ244" i="5"/>
  <c r="BR244" i="5" a="1"/>
  <c r="BR244" i="5" s="1"/>
  <c r="BQ244" i="5" a="1"/>
  <c r="BQ244" i="5" s="1"/>
  <c r="BS244" i="5" s="1"/>
  <c r="Z230" i="5" a="1"/>
  <c r="Z230" i="5" s="1"/>
  <c r="BQ230" i="5" a="1"/>
  <c r="BQ230" i="5" s="1"/>
  <c r="BS230" i="5" s="1"/>
  <c r="BR230" i="5" a="1"/>
  <c r="BR230" i="5" s="1"/>
  <c r="BJ216" i="5"/>
  <c r="BQ216" i="5" a="1"/>
  <c r="BQ216" i="5" s="1"/>
  <c r="BS216" i="5" s="1"/>
  <c r="BR216" i="5" a="1"/>
  <c r="BR216" i="5" s="1"/>
  <c r="Z202" i="5" a="1"/>
  <c r="Z202" i="5" s="1"/>
  <c r="BJ202" i="5"/>
  <c r="BQ202" i="5" a="1"/>
  <c r="BQ202" i="5" s="1"/>
  <c r="BS202" i="5" s="1"/>
  <c r="BR202" i="5" a="1"/>
  <c r="BR202" i="5" s="1"/>
  <c r="BJ175" i="5"/>
  <c r="BQ175" i="5" a="1"/>
  <c r="BQ175" i="5" s="1"/>
  <c r="BS175" i="5" s="1"/>
  <c r="BR175" i="5" a="1"/>
  <c r="BR175" i="5" s="1"/>
  <c r="Z160" i="5" a="1"/>
  <c r="Z160" i="5" s="1"/>
  <c r="BQ160" i="5" a="1"/>
  <c r="BQ160" i="5" s="1"/>
  <c r="BS160" i="5" s="1"/>
  <c r="BR160" i="5" a="1"/>
  <c r="BR160" i="5" s="1"/>
  <c r="BR119" i="5" a="1"/>
  <c r="BR119" i="5" s="1"/>
  <c r="BJ119" i="5"/>
  <c r="BQ119" i="5" a="1"/>
  <c r="BQ119" i="5" s="1"/>
  <c r="BS119" i="5" s="1"/>
  <c r="Z86" i="5" a="1"/>
  <c r="Z86" i="5" s="1"/>
  <c r="BQ86" i="5" a="1"/>
  <c r="BQ86" i="5" s="1"/>
  <c r="BS86" i="5" s="1"/>
  <c r="BJ86" i="5"/>
  <c r="BR86" i="5" a="1"/>
  <c r="BR86" i="5" s="1"/>
  <c r="BJ79" i="5"/>
  <c r="BR79" i="5" a="1"/>
  <c r="BR79" i="5" s="1"/>
  <c r="BQ79" i="5" a="1"/>
  <c r="BQ79" i="5" s="1"/>
  <c r="BS79" i="5" s="1"/>
  <c r="BJ66" i="5"/>
  <c r="BQ66" i="5" a="1"/>
  <c r="BQ66" i="5" s="1"/>
  <c r="BS66" i="5" s="1"/>
  <c r="BR66" i="5" a="1"/>
  <c r="BR66" i="5" s="1"/>
  <c r="BJ41" i="5"/>
  <c r="BQ41" i="5" a="1"/>
  <c r="BQ41" i="5" s="1"/>
  <c r="BS41" i="5" s="1"/>
  <c r="BR41" i="5" a="1"/>
  <c r="BR41" i="5" s="1"/>
  <c r="Z2" i="5" a="1"/>
  <c r="Z2" i="5" s="1"/>
  <c r="BJ2" i="5"/>
  <c r="BQ2" i="5" a="1"/>
  <c r="BQ2" i="5" s="1"/>
  <c r="BS2" i="5" s="1"/>
  <c r="BR2" i="5" a="1"/>
  <c r="BR2" i="5" s="1"/>
  <c r="BT405" i="5" a="1"/>
  <c r="BT405" i="5" s="1"/>
  <c r="BU405" i="5" a="1"/>
  <c r="BU405" i="5" s="1"/>
  <c r="BT355" i="5" a="1"/>
  <c r="BT355" i="5" s="1"/>
  <c r="BU355" i="5" a="1"/>
  <c r="BU355" i="5" s="1"/>
  <c r="BT305" i="5" a="1"/>
  <c r="BT305" i="5" s="1"/>
  <c r="BU305" i="5" a="1"/>
  <c r="BU305" i="5" s="1"/>
  <c r="BT255" i="5" a="1"/>
  <c r="BT255" i="5" s="1"/>
  <c r="BU255" i="5" a="1"/>
  <c r="BU255" i="5" s="1"/>
  <c r="BT205" i="5" a="1"/>
  <c r="BT205" i="5" s="1"/>
  <c r="BU205" i="5" a="1"/>
  <c r="BU205" i="5" s="1"/>
  <c r="BT155" i="5" a="1"/>
  <c r="BT155" i="5" s="1"/>
  <c r="BU155" i="5" a="1"/>
  <c r="BU155" i="5" s="1"/>
  <c r="BT105" i="5" a="1"/>
  <c r="BT105" i="5" s="1"/>
  <c r="BU105" i="5" a="1"/>
  <c r="BU105" i="5" s="1"/>
  <c r="BT55" i="5" a="1"/>
  <c r="BT55" i="5" s="1"/>
  <c r="BU55" i="5" a="1"/>
  <c r="BU55" i="5" s="1"/>
  <c r="BT5" i="5" a="1"/>
  <c r="BT5" i="5" s="1"/>
  <c r="BU5" i="5" a="1"/>
  <c r="BU5" i="5" s="1"/>
  <c r="BJ397" i="5"/>
  <c r="BQ397" i="5" a="1"/>
  <c r="BQ397" i="5" s="1"/>
  <c r="BS397" i="5" s="1"/>
  <c r="BR397" i="5" a="1"/>
  <c r="BR397" i="5" s="1"/>
  <c r="BJ347" i="5"/>
  <c r="BQ347" i="5" a="1"/>
  <c r="BQ347" i="5" s="1"/>
  <c r="BS347" i="5" s="1"/>
  <c r="BR347" i="5" a="1"/>
  <c r="BR347" i="5" s="1"/>
  <c r="Z308" i="5" a="1"/>
  <c r="Z308" i="5" s="1"/>
  <c r="BJ308" i="5"/>
  <c r="BR308" i="5" a="1"/>
  <c r="BR308" i="5" s="1"/>
  <c r="BQ308" i="5" a="1"/>
  <c r="BQ308" i="5" s="1"/>
  <c r="BS308" i="5" s="1"/>
  <c r="BJ297" i="5"/>
  <c r="BQ297" i="5" a="1"/>
  <c r="BQ297" i="5" s="1"/>
  <c r="BS297" i="5" s="1"/>
  <c r="Z258" i="5" a="1"/>
  <c r="Z258" i="5" s="1"/>
  <c r="BJ258" i="5"/>
  <c r="BR258" i="5" a="1"/>
  <c r="BR258" i="5" s="1"/>
  <c r="BQ258" i="5" a="1"/>
  <c r="BQ258" i="5" s="1"/>
  <c r="BS258" i="5" s="1"/>
  <c r="BJ247" i="5"/>
  <c r="BQ247" i="5" a="1"/>
  <c r="BQ247" i="5" s="1"/>
  <c r="BS247" i="5" s="1"/>
  <c r="BR247" i="5" a="1"/>
  <c r="BR247" i="5" s="1"/>
  <c r="BJ208" i="5"/>
  <c r="BR208" i="5" a="1"/>
  <c r="BR208" i="5" s="1"/>
  <c r="BQ208" i="5" a="1"/>
  <c r="BQ208" i="5" s="1"/>
  <c r="BS208" i="5" s="1"/>
  <c r="Z197" i="5" a="1"/>
  <c r="Z197" i="5" s="1"/>
  <c r="BJ197" i="5"/>
  <c r="BQ197" i="5" a="1"/>
  <c r="BQ197" i="5" s="1"/>
  <c r="BS197" i="5" s="1"/>
  <c r="BR197" i="5" a="1"/>
  <c r="BR197" i="5" s="1"/>
  <c r="BJ158" i="5"/>
  <c r="BQ158" i="5" a="1"/>
  <c r="BQ158" i="5" s="1"/>
  <c r="BS158" i="5" s="1"/>
  <c r="BR158" i="5" a="1"/>
  <c r="BR158" i="5" s="1"/>
  <c r="BJ147" i="5"/>
  <c r="BQ147" i="5" a="1"/>
  <c r="BQ147" i="5" s="1"/>
  <c r="BS147" i="5" s="1"/>
  <c r="BR147" i="5" a="1"/>
  <c r="BR147" i="5" s="1"/>
  <c r="BJ108" i="5"/>
  <c r="BQ108" i="5" a="1"/>
  <c r="BQ108" i="5" s="1"/>
  <c r="BS108" i="5" s="1"/>
  <c r="BR108" i="5" a="1"/>
  <c r="BR108" i="5" s="1"/>
  <c r="BJ97" i="5"/>
  <c r="BQ97" i="5" a="1"/>
  <c r="BQ97" i="5" s="1"/>
  <c r="BS97" i="5" s="1"/>
  <c r="BR97" i="5" a="1"/>
  <c r="BR97" i="5" s="1"/>
  <c r="BR69" i="5" a="1"/>
  <c r="BR69" i="5" s="1"/>
  <c r="BJ69" i="5"/>
  <c r="BQ69" i="5" a="1"/>
  <c r="BQ69" i="5" s="1"/>
  <c r="BS69" i="5" s="1"/>
  <c r="BJ58" i="5"/>
  <c r="BQ58" i="5" a="1"/>
  <c r="BQ58" i="5" s="1"/>
  <c r="BS58" i="5" s="1"/>
  <c r="BR58" i="5" a="1"/>
  <c r="BR58" i="5" s="1"/>
  <c r="BJ47" i="5"/>
  <c r="BQ47" i="5" a="1"/>
  <c r="BQ47" i="5" s="1"/>
  <c r="BS47" i="5" s="1"/>
  <c r="BR47" i="5" a="1"/>
  <c r="BR47" i="5" s="1"/>
  <c r="BR19" i="5" a="1"/>
  <c r="BR19" i="5" s="1"/>
  <c r="BJ19" i="5"/>
  <c r="BQ19" i="5" a="1"/>
  <c r="BQ19" i="5" s="1"/>
  <c r="BS19" i="5" s="1"/>
  <c r="Z8" i="5" a="1"/>
  <c r="Z8" i="5" s="1"/>
  <c r="BJ8" i="5"/>
  <c r="BQ8" i="5" a="1"/>
  <c r="BQ8" i="5" s="1"/>
  <c r="BS8" i="5" s="1"/>
  <c r="BR8" i="5" a="1"/>
  <c r="BR8" i="5" s="1"/>
  <c r="CA252" i="5"/>
  <c r="CA145" i="5"/>
  <c r="BY145" i="5"/>
  <c r="CA85" i="5"/>
  <c r="BY85" i="5"/>
  <c r="CA5" i="5"/>
  <c r="BY5" i="5"/>
  <c r="BU314" i="5" a="1"/>
  <c r="BU314" i="5" s="1"/>
  <c r="BT314" i="5" a="1"/>
  <c r="BT314" i="5" s="1"/>
  <c r="BU303" i="5" a="1"/>
  <c r="BU303" i="5" s="1"/>
  <c r="BT303" i="5" a="1"/>
  <c r="BT303" i="5" s="1"/>
  <c r="BU292" i="5" a="1"/>
  <c r="BU292" i="5" s="1"/>
  <c r="BT292" i="5" a="1"/>
  <c r="BT292" i="5" s="1"/>
  <c r="BT281" i="5" a="1"/>
  <c r="BT281" i="5" s="1"/>
  <c r="BU281" i="5" a="1"/>
  <c r="BU281" i="5" s="1"/>
  <c r="BU264" i="5" a="1"/>
  <c r="BU264" i="5" s="1"/>
  <c r="BT264" i="5" a="1"/>
  <c r="BT264" i="5" s="1"/>
  <c r="BU253" i="5" a="1"/>
  <c r="BU253" i="5" s="1"/>
  <c r="BT253" i="5" a="1"/>
  <c r="BT253" i="5" s="1"/>
  <c r="BU242" i="5" a="1"/>
  <c r="BU242" i="5" s="1"/>
  <c r="BT242" i="5" a="1"/>
  <c r="BT242" i="5" s="1"/>
  <c r="BT231" i="5" a="1"/>
  <c r="BT231" i="5" s="1"/>
  <c r="BU231" i="5" a="1"/>
  <c r="BU231" i="5" s="1"/>
  <c r="BU214" i="5" a="1"/>
  <c r="BU214" i="5" s="1"/>
  <c r="BT214" i="5" a="1"/>
  <c r="BT214" i="5" s="1"/>
  <c r="BU203" i="5" a="1"/>
  <c r="BU203" i="5" s="1"/>
  <c r="BT203" i="5" a="1"/>
  <c r="BT203" i="5" s="1"/>
  <c r="BU192" i="5" a="1"/>
  <c r="BU192" i="5" s="1"/>
  <c r="BT192" i="5" a="1"/>
  <c r="BT192" i="5" s="1"/>
  <c r="BT181" i="5" a="1"/>
  <c r="BT181" i="5" s="1"/>
  <c r="BU181" i="5" a="1"/>
  <c r="BU181" i="5" s="1"/>
  <c r="BU164" i="5" a="1"/>
  <c r="BU164" i="5" s="1"/>
  <c r="BT164" i="5" a="1"/>
  <c r="BT164" i="5" s="1"/>
  <c r="BU153" i="5" a="1"/>
  <c r="BU153" i="5" s="1"/>
  <c r="BT153" i="5" a="1"/>
  <c r="BT153" i="5" s="1"/>
  <c r="BU142" i="5" a="1"/>
  <c r="BU142" i="5" s="1"/>
  <c r="BT142" i="5" a="1"/>
  <c r="BT142" i="5" s="1"/>
  <c r="BT131" i="5" a="1"/>
  <c r="BT131" i="5" s="1"/>
  <c r="BU131" i="5" a="1"/>
  <c r="BU131" i="5" s="1"/>
  <c r="BU114" i="5" a="1"/>
  <c r="BU114" i="5" s="1"/>
  <c r="BT114" i="5" a="1"/>
  <c r="BT114" i="5" s="1"/>
  <c r="BU64" i="5" a="1"/>
  <c r="BU64" i="5" s="1"/>
  <c r="BT64" i="5" a="1"/>
  <c r="BT64" i="5" s="1"/>
  <c r="BU53" i="5" a="1"/>
  <c r="BU53" i="5" s="1"/>
  <c r="BT53" i="5" a="1"/>
  <c r="BT53" i="5" s="1"/>
  <c r="BU42" i="5" a="1"/>
  <c r="BU42" i="5" s="1"/>
  <c r="BT42" i="5" a="1"/>
  <c r="BT42" i="5" s="1"/>
  <c r="BT31" i="5" a="1"/>
  <c r="BT31" i="5" s="1"/>
  <c r="BU31" i="5" a="1"/>
  <c r="BU31" i="5" s="1"/>
  <c r="BU14" i="5" a="1"/>
  <c r="BU14" i="5" s="1"/>
  <c r="BT14" i="5" a="1"/>
  <c r="BT14" i="5" s="1"/>
  <c r="Z434" i="5" a="1"/>
  <c r="Z434" i="5" s="1"/>
  <c r="BJ434" i="5"/>
  <c r="BR434" i="5" a="1"/>
  <c r="BR434" i="5" s="1"/>
  <c r="BQ434" i="5" a="1"/>
  <c r="BQ434" i="5" s="1"/>
  <c r="BS434" i="5" s="1"/>
  <c r="BJ423" i="5"/>
  <c r="BQ423" i="5" a="1"/>
  <c r="BQ423" i="5" s="1"/>
  <c r="BS423" i="5" s="1"/>
  <c r="BR423" i="5" a="1"/>
  <c r="BR423" i="5" s="1"/>
  <c r="Z412" i="5" a="1"/>
  <c r="Z412" i="5" s="1"/>
  <c r="BJ412" i="5"/>
  <c r="BQ412" i="5" a="1"/>
  <c r="BQ412" i="5" s="1"/>
  <c r="BS412" i="5" s="1"/>
  <c r="BR412" i="5" a="1"/>
  <c r="BR412" i="5" s="1"/>
  <c r="BJ406" i="5"/>
  <c r="BQ406" i="5" a="1"/>
  <c r="BQ406" i="5" s="1"/>
  <c r="BS406" i="5" s="1"/>
  <c r="BR406" i="5" a="1"/>
  <c r="BR406" i="5" s="1"/>
  <c r="BJ395" i="5"/>
  <c r="BQ395" i="5" a="1"/>
  <c r="BQ395" i="5" s="1"/>
  <c r="BS395" i="5" s="1"/>
  <c r="BR395" i="5" a="1"/>
  <c r="BR395" i="5" s="1"/>
  <c r="Z384" i="5" a="1"/>
  <c r="Z384" i="5" s="1"/>
  <c r="BJ384" i="5"/>
  <c r="BR384" i="5" a="1"/>
  <c r="BR384" i="5" s="1"/>
  <c r="BQ384" i="5" a="1"/>
  <c r="BQ384" i="5" s="1"/>
  <c r="BS384" i="5" s="1"/>
  <c r="BJ373" i="5"/>
  <c r="BQ373" i="5" a="1"/>
  <c r="BQ373" i="5" s="1"/>
  <c r="BS373" i="5" s="1"/>
  <c r="BR373" i="5" a="1"/>
  <c r="BR373" i="5" s="1"/>
  <c r="Z362" i="5" a="1"/>
  <c r="Z362" i="5" s="1"/>
  <c r="BJ362" i="5"/>
  <c r="BQ362" i="5" a="1"/>
  <c r="BQ362" i="5" s="1"/>
  <c r="BS362" i="5" s="1"/>
  <c r="BR362" i="5" a="1"/>
  <c r="BR362" i="5" s="1"/>
  <c r="BJ356" i="5"/>
  <c r="BQ356" i="5" a="1"/>
  <c r="BQ356" i="5" s="1"/>
  <c r="BS356" i="5" s="1"/>
  <c r="BR356" i="5" a="1"/>
  <c r="BR356" i="5" s="1"/>
  <c r="BJ345" i="5"/>
  <c r="BQ345" i="5" a="1"/>
  <c r="BQ345" i="5" s="1"/>
  <c r="BS345" i="5" s="1"/>
  <c r="BR345" i="5" a="1"/>
  <c r="BR345" i="5" s="1"/>
  <c r="Z334" i="5" a="1"/>
  <c r="Z334" i="5" s="1"/>
  <c r="BJ334" i="5"/>
  <c r="BR334" i="5" a="1"/>
  <c r="BR334" i="5" s="1"/>
  <c r="BQ334" i="5" a="1"/>
  <c r="BQ334" i="5" s="1"/>
  <c r="BS334" i="5" s="1"/>
  <c r="BJ323" i="5"/>
  <c r="BQ323" i="5" a="1"/>
  <c r="BQ323" i="5" s="1"/>
  <c r="BS323" i="5" s="1"/>
  <c r="BR323" i="5" a="1"/>
  <c r="BR323" i="5" s="1"/>
  <c r="Z312" i="5" a="1"/>
  <c r="Z312" i="5" s="1"/>
  <c r="BJ312" i="5"/>
  <c r="BQ312" i="5" a="1"/>
  <c r="BQ312" i="5" s="1"/>
  <c r="BS312" i="5" s="1"/>
  <c r="BR312" i="5" a="1"/>
  <c r="BR312" i="5" s="1"/>
  <c r="Z306" i="5" a="1"/>
  <c r="Z306" i="5" s="1"/>
  <c r="BJ306" i="5"/>
  <c r="BQ306" i="5" a="1"/>
  <c r="BQ306" i="5" s="1"/>
  <c r="BS306" i="5" s="1"/>
  <c r="BR306" i="5" a="1"/>
  <c r="BR306" i="5" s="1"/>
  <c r="BJ295" i="5"/>
  <c r="BQ295" i="5" a="1"/>
  <c r="BQ295" i="5" s="1"/>
  <c r="BS295" i="5" s="1"/>
  <c r="BR295" i="5" a="1"/>
  <c r="BR295" i="5" s="1"/>
  <c r="Z284" i="5" a="1"/>
  <c r="Z284" i="5" s="1"/>
  <c r="BJ284" i="5"/>
  <c r="BR284" i="5" a="1"/>
  <c r="BR284" i="5" s="1"/>
  <c r="BQ284" i="5" a="1"/>
  <c r="BQ284" i="5" s="1"/>
  <c r="BS284" i="5" s="1"/>
  <c r="BJ273" i="5"/>
  <c r="BQ273" i="5" a="1"/>
  <c r="BQ273" i="5" s="1"/>
  <c r="BS273" i="5" s="1"/>
  <c r="BR273" i="5" a="1"/>
  <c r="BR273" i="5" s="1"/>
  <c r="Z262" i="5" a="1"/>
  <c r="Z262" i="5" s="1"/>
  <c r="BJ262" i="5"/>
  <c r="BQ262" i="5" a="1"/>
  <c r="BQ262" i="5" s="1"/>
  <c r="BS262" i="5" s="1"/>
  <c r="BR262" i="5" a="1"/>
  <c r="BR262" i="5" s="1"/>
  <c r="BJ256" i="5"/>
  <c r="BQ256" i="5" a="1"/>
  <c r="BQ256" i="5" s="1"/>
  <c r="BS256" i="5" s="1"/>
  <c r="BR256" i="5" a="1"/>
  <c r="BR256" i="5" s="1"/>
  <c r="BJ245" i="5"/>
  <c r="BQ245" i="5" a="1"/>
  <c r="BQ245" i="5" s="1"/>
  <c r="BS245" i="5" s="1"/>
  <c r="BR245" i="5" a="1"/>
  <c r="BR245" i="5" s="1"/>
  <c r="Z234" i="5" a="1"/>
  <c r="Z234" i="5" s="1"/>
  <c r="BJ234" i="5"/>
  <c r="BR234" i="5" a="1"/>
  <c r="BR234" i="5" s="1"/>
  <c r="BQ234" i="5" a="1"/>
  <c r="BQ234" i="5" s="1"/>
  <c r="BS234" i="5" s="1"/>
  <c r="BJ223" i="5"/>
  <c r="BQ223" i="5" a="1"/>
  <c r="BQ223" i="5" s="1"/>
  <c r="BS223" i="5" s="1"/>
  <c r="BR223" i="5" a="1"/>
  <c r="BR223" i="5" s="1"/>
  <c r="Z212" i="5" a="1"/>
  <c r="Z212" i="5" s="1"/>
  <c r="BJ212" i="5"/>
  <c r="BQ212" i="5" a="1"/>
  <c r="BQ212" i="5" s="1"/>
  <c r="BS212" i="5" s="1"/>
  <c r="BR212" i="5" a="1"/>
  <c r="BR212" i="5" s="1"/>
  <c r="BJ206" i="5"/>
  <c r="BQ206" i="5" a="1"/>
  <c r="BQ206" i="5" s="1"/>
  <c r="BS206" i="5" s="1"/>
  <c r="BR206" i="5" a="1"/>
  <c r="BR206" i="5" s="1"/>
  <c r="BJ195" i="5"/>
  <c r="BQ195" i="5" a="1"/>
  <c r="BQ195" i="5" s="1"/>
  <c r="BS195" i="5" s="1"/>
  <c r="BR195" i="5" a="1"/>
  <c r="BR195" i="5" s="1"/>
  <c r="Z184" i="5" a="1"/>
  <c r="Z184" i="5" s="1"/>
  <c r="BJ184" i="5"/>
  <c r="BR184" i="5" a="1"/>
  <c r="BR184" i="5" s="1"/>
  <c r="BQ184" i="5" a="1"/>
  <c r="BQ184" i="5" s="1"/>
  <c r="BS184" i="5" s="1"/>
  <c r="BJ173" i="5"/>
  <c r="BQ173" i="5" a="1"/>
  <c r="BQ173" i="5" s="1"/>
  <c r="BS173" i="5" s="1"/>
  <c r="BR173" i="5" a="1"/>
  <c r="BR173" i="5" s="1"/>
  <c r="Z162" i="5" a="1"/>
  <c r="Z162" i="5" s="1"/>
  <c r="BJ162" i="5"/>
  <c r="BQ162" i="5" a="1"/>
  <c r="BQ162" i="5" s="1"/>
  <c r="BS162" i="5" s="1"/>
  <c r="BR162" i="5" a="1"/>
  <c r="BR162" i="5" s="1"/>
  <c r="Z156" i="5" a="1"/>
  <c r="Z156" i="5" s="1"/>
  <c r="BJ156" i="5"/>
  <c r="BQ156" i="5" a="1"/>
  <c r="BQ156" i="5" s="1"/>
  <c r="BS156" i="5" s="1"/>
  <c r="BR156" i="5" a="1"/>
  <c r="BR156" i="5" s="1"/>
  <c r="BJ145" i="5"/>
  <c r="BQ145" i="5" a="1"/>
  <c r="BQ145" i="5" s="1"/>
  <c r="BS145" i="5" s="1"/>
  <c r="BR145" i="5" a="1"/>
  <c r="BR145" i="5" s="1"/>
  <c r="Z134" i="5" a="1"/>
  <c r="Z134" i="5" s="1"/>
  <c r="BJ134" i="5"/>
  <c r="BR134" i="5" a="1"/>
  <c r="BR134" i="5" s="1"/>
  <c r="BQ134" i="5" a="1"/>
  <c r="BQ134" i="5" s="1"/>
  <c r="BS134" i="5" s="1"/>
  <c r="BJ123" i="5"/>
  <c r="BQ123" i="5" a="1"/>
  <c r="BQ123" i="5" s="1"/>
  <c r="BS123" i="5" s="1"/>
  <c r="BR123" i="5" a="1"/>
  <c r="BR123" i="5" s="1"/>
  <c r="Z112" i="5" a="1"/>
  <c r="Z112" i="5" s="1"/>
  <c r="BJ112" i="5"/>
  <c r="BQ112" i="5" a="1"/>
  <c r="BQ112" i="5" s="1"/>
  <c r="BS112" i="5" s="1"/>
  <c r="BR112" i="5" a="1"/>
  <c r="BR112" i="5" s="1"/>
  <c r="BJ106" i="5"/>
  <c r="BQ106" i="5" a="1"/>
  <c r="BQ106" i="5" s="1"/>
  <c r="BS106" i="5" s="1"/>
  <c r="BR106" i="5" a="1"/>
  <c r="BR106" i="5" s="1"/>
  <c r="BJ95" i="5"/>
  <c r="BR95" i="5" a="1"/>
  <c r="BR95" i="5" s="1"/>
  <c r="BQ95" i="5" a="1"/>
  <c r="BQ95" i="5" s="1"/>
  <c r="BS95" i="5" s="1"/>
  <c r="Z84" i="5" a="1"/>
  <c r="Z84" i="5" s="1"/>
  <c r="BJ84" i="5"/>
  <c r="BR84" i="5" a="1"/>
  <c r="BR84" i="5" s="1"/>
  <c r="BQ84" i="5" a="1"/>
  <c r="BQ84" i="5" s="1"/>
  <c r="BS84" i="5" s="1"/>
  <c r="BJ73" i="5"/>
  <c r="BQ73" i="5" a="1"/>
  <c r="BQ73" i="5" s="1"/>
  <c r="BS73" i="5" s="1"/>
  <c r="BR73" i="5" a="1"/>
  <c r="BR73" i="5" s="1"/>
  <c r="Z62" i="5" a="1"/>
  <c r="Z62" i="5" s="1"/>
  <c r="BJ62" i="5"/>
  <c r="BQ62" i="5" a="1"/>
  <c r="BQ62" i="5" s="1"/>
  <c r="BS62" i="5" s="1"/>
  <c r="BR62" i="5" a="1"/>
  <c r="BR62" i="5" s="1"/>
  <c r="BJ56" i="5"/>
  <c r="BQ56" i="5" a="1"/>
  <c r="BQ56" i="5" s="1"/>
  <c r="BS56" i="5" s="1"/>
  <c r="BR56" i="5" a="1"/>
  <c r="BR56" i="5" s="1"/>
  <c r="BJ45" i="5"/>
  <c r="BR45" i="5" a="1"/>
  <c r="BR45" i="5" s="1"/>
  <c r="BQ45" i="5" a="1"/>
  <c r="BQ45" i="5" s="1"/>
  <c r="BS45" i="5" s="1"/>
  <c r="Z34" i="5" a="1"/>
  <c r="Z34" i="5" s="1"/>
  <c r="BJ34" i="5"/>
  <c r="BR34" i="5" a="1"/>
  <c r="BR34" i="5" s="1"/>
  <c r="BQ34" i="5" a="1"/>
  <c r="BQ34" i="5" s="1"/>
  <c r="BS34" i="5" s="1"/>
  <c r="BJ23" i="5"/>
  <c r="BQ23" i="5" a="1"/>
  <c r="BQ23" i="5" s="1"/>
  <c r="BS23" i="5" s="1"/>
  <c r="BR23" i="5" a="1"/>
  <c r="BR23" i="5" s="1"/>
  <c r="Z12" i="5" a="1"/>
  <c r="Z12" i="5" s="1"/>
  <c r="BJ12" i="5"/>
  <c r="BQ12" i="5" a="1"/>
  <c r="BQ12" i="5" s="1"/>
  <c r="BS12" i="5" s="1"/>
  <c r="BR12" i="5" a="1"/>
  <c r="BR12" i="5" s="1"/>
  <c r="Z6" i="5" a="1"/>
  <c r="Z6" i="5" s="1"/>
  <c r="BJ6" i="5"/>
  <c r="BQ6" i="5" a="1"/>
  <c r="BQ6" i="5" s="1"/>
  <c r="BS6" i="5" s="1"/>
  <c r="BR6" i="5" a="1"/>
  <c r="BR6" i="5" s="1"/>
  <c r="BY105" i="5"/>
  <c r="CA105" i="5"/>
  <c r="BY43" i="5"/>
  <c r="CA43" i="5"/>
  <c r="BY23" i="5"/>
  <c r="CA23" i="5"/>
  <c r="BU436" i="5" a="1"/>
  <c r="BU436" i="5" s="1"/>
  <c r="BT436" i="5" a="1"/>
  <c r="BT436" i="5" s="1"/>
  <c r="BU425" i="5" a="1"/>
  <c r="BU425" i="5" s="1"/>
  <c r="BT425" i="5" a="1"/>
  <c r="BT425" i="5" s="1"/>
  <c r="BU397" i="5" a="1"/>
  <c r="BU397" i="5" s="1"/>
  <c r="BT397" i="5" a="1"/>
  <c r="BT397" i="5" s="1"/>
  <c r="BU386" i="5" a="1"/>
  <c r="BU386" i="5" s="1"/>
  <c r="BT386" i="5" a="1"/>
  <c r="BT386" i="5" s="1"/>
  <c r="BU375" i="5" a="1"/>
  <c r="BU375" i="5" s="1"/>
  <c r="BT375" i="5" a="1"/>
  <c r="BT375" i="5" s="1"/>
  <c r="BU347" i="5" a="1"/>
  <c r="BU347" i="5" s="1"/>
  <c r="BT347" i="5" a="1"/>
  <c r="BT347" i="5" s="1"/>
  <c r="BU336" i="5" a="1"/>
  <c r="BU336" i="5" s="1"/>
  <c r="BT336" i="5" a="1"/>
  <c r="BT336" i="5" s="1"/>
  <c r="BU325" i="5" a="1"/>
  <c r="BU325" i="5" s="1"/>
  <c r="BT275" i="5" a="1"/>
  <c r="BT275" i="5" s="1"/>
  <c r="BU275" i="5" a="1"/>
  <c r="BU275" i="5" s="1"/>
  <c r="BT225" i="5" a="1"/>
  <c r="BT225" i="5" s="1"/>
  <c r="BU225" i="5" a="1"/>
  <c r="BU225" i="5" s="1"/>
  <c r="BT175" i="5" a="1"/>
  <c r="BT175" i="5" s="1"/>
  <c r="BU175" i="5" a="1"/>
  <c r="BU175" i="5" s="1"/>
  <c r="BT125" i="5" a="1"/>
  <c r="BT125" i="5" s="1"/>
  <c r="BU125" i="5" a="1"/>
  <c r="BU125" i="5" s="1"/>
  <c r="BT75" i="5" a="1"/>
  <c r="BT75" i="5" s="1"/>
  <c r="BU75" i="5" a="1"/>
  <c r="BU75" i="5" s="1"/>
  <c r="BT25" i="5" a="1"/>
  <c r="BT25" i="5" s="1"/>
  <c r="BU25" i="5" a="1"/>
  <c r="BU25" i="5" s="1"/>
  <c r="Z417" i="5" a="1"/>
  <c r="Z417" i="5" s="1"/>
  <c r="BJ417" i="5"/>
  <c r="BQ417" i="5" a="1"/>
  <c r="BQ417" i="5" s="1"/>
  <c r="BS417" i="5" s="1"/>
  <c r="BR417" i="5" a="1"/>
  <c r="BR417" i="5" s="1"/>
  <c r="BJ367" i="5"/>
  <c r="BQ367" i="5" a="1"/>
  <c r="BQ367" i="5" s="1"/>
  <c r="BS367" i="5" s="1"/>
  <c r="BR367" i="5" a="1"/>
  <c r="BR367" i="5" s="1"/>
  <c r="Z328" i="5" a="1"/>
  <c r="Z328" i="5" s="1"/>
  <c r="BJ328" i="5"/>
  <c r="BR328" i="5" a="1"/>
  <c r="BR328" i="5" s="1"/>
  <c r="BQ328" i="5" a="1"/>
  <c r="BQ328" i="5" s="1"/>
  <c r="BS328" i="5" s="1"/>
  <c r="BJ317" i="5"/>
  <c r="BQ317" i="5" a="1"/>
  <c r="BQ317" i="5" s="1"/>
  <c r="BS317" i="5" s="1"/>
  <c r="BR317" i="5" a="1"/>
  <c r="BR317" i="5" s="1"/>
  <c r="BJ278" i="5"/>
  <c r="BR278" i="5" a="1"/>
  <c r="BR278" i="5" s="1"/>
  <c r="BQ278" i="5" a="1"/>
  <c r="BQ278" i="5" s="1"/>
  <c r="BS278" i="5" s="1"/>
  <c r="BJ267" i="5"/>
  <c r="BQ267" i="5" a="1"/>
  <c r="BQ267" i="5" s="1"/>
  <c r="BS267" i="5" s="1"/>
  <c r="BR267" i="5" a="1"/>
  <c r="BR267" i="5" s="1"/>
  <c r="Z228" i="5" a="1"/>
  <c r="Z228" i="5" s="1"/>
  <c r="BJ228" i="5"/>
  <c r="BR228" i="5" a="1"/>
  <c r="BR228" i="5" s="1"/>
  <c r="BQ228" i="5" a="1"/>
  <c r="BQ228" i="5" s="1"/>
  <c r="BS228" i="5" s="1"/>
  <c r="BJ217" i="5"/>
  <c r="BQ217" i="5" a="1"/>
  <c r="BQ217" i="5" s="1"/>
  <c r="BS217" i="5" s="1"/>
  <c r="BR217" i="5" a="1"/>
  <c r="BR217" i="5" s="1"/>
  <c r="Z178" i="5" a="1"/>
  <c r="Z178" i="5" s="1"/>
  <c r="BJ178" i="5"/>
  <c r="BQ178" i="5" a="1"/>
  <c r="BQ178" i="5" s="1"/>
  <c r="BS178" i="5" s="1"/>
  <c r="BR178" i="5" a="1"/>
  <c r="BR178" i="5" s="1"/>
  <c r="BJ167" i="5"/>
  <c r="BQ167" i="5" a="1"/>
  <c r="BQ167" i="5" s="1"/>
  <c r="BS167" i="5" s="1"/>
  <c r="BR167" i="5" a="1"/>
  <c r="BR167" i="5" s="1"/>
  <c r="BJ128" i="5"/>
  <c r="BQ128" i="5" a="1"/>
  <c r="BQ128" i="5" s="1"/>
  <c r="BS128" i="5" s="1"/>
  <c r="BR128" i="5" a="1"/>
  <c r="BR128" i="5" s="1"/>
  <c r="BJ117" i="5"/>
  <c r="BQ117" i="5" a="1"/>
  <c r="BQ117" i="5" s="1"/>
  <c r="BS117" i="5" s="1"/>
  <c r="BJ89" i="5"/>
  <c r="BR89" i="5" a="1"/>
  <c r="BR89" i="5" s="1"/>
  <c r="BQ89" i="5" a="1"/>
  <c r="BQ89" i="5" s="1"/>
  <c r="BS89" i="5" s="1"/>
  <c r="BJ78" i="5"/>
  <c r="BQ78" i="5" a="1"/>
  <c r="BQ78" i="5" s="1"/>
  <c r="BS78" i="5" s="1"/>
  <c r="BR78" i="5" a="1"/>
  <c r="BR78" i="5" s="1"/>
  <c r="BJ67" i="5"/>
  <c r="BQ67" i="5" a="1"/>
  <c r="BQ67" i="5" s="1"/>
  <c r="BS67" i="5" s="1"/>
  <c r="BR67" i="5" a="1"/>
  <c r="BR67" i="5" s="1"/>
  <c r="BJ39" i="5"/>
  <c r="BR39" i="5" a="1"/>
  <c r="BR39" i="5" s="1"/>
  <c r="BQ39" i="5" a="1"/>
  <c r="BQ39" i="5" s="1"/>
  <c r="BS39" i="5" s="1"/>
  <c r="BJ28" i="5"/>
  <c r="BQ28" i="5" a="1"/>
  <c r="BQ28" i="5" s="1"/>
  <c r="BS28" i="5" s="1"/>
  <c r="BR28" i="5" a="1"/>
  <c r="BR28" i="5" s="1"/>
  <c r="BJ17" i="5"/>
  <c r="BQ17" i="5" a="1"/>
  <c r="BQ17" i="5" s="1"/>
  <c r="BS17" i="5" s="1"/>
  <c r="BR17" i="5" a="1"/>
  <c r="BR17" i="5" s="1"/>
  <c r="BT325" i="5" a="1"/>
  <c r="BT325" i="5" s="1"/>
  <c r="AQ246" i="5"/>
  <c r="BB246" i="5" s="1"/>
  <c r="AQ196" i="5"/>
  <c r="BB196" i="5" s="1"/>
  <c r="AQ146" i="5"/>
  <c r="BB146" i="5" s="1"/>
  <c r="AQ96" i="5"/>
  <c r="BB96" i="5" s="1"/>
  <c r="AQ46" i="5"/>
  <c r="BB46" i="5" s="1"/>
  <c r="Z422" i="5" a="1"/>
  <c r="Z422" i="5" s="1"/>
  <c r="BJ422" i="5"/>
  <c r="BQ422" i="5" a="1"/>
  <c r="BQ422" i="5" s="1"/>
  <c r="BS422" i="5" s="1"/>
  <c r="BR422" i="5" a="1"/>
  <c r="BR422" i="5" s="1"/>
  <c r="Z372" i="5" a="1"/>
  <c r="Z372" i="5" s="1"/>
  <c r="BQ372" i="5" a="1"/>
  <c r="BQ372" i="5" s="1"/>
  <c r="BS372" i="5" s="1"/>
  <c r="BJ372" i="5"/>
  <c r="BR372" i="5" a="1"/>
  <c r="BR372" i="5" s="1"/>
  <c r="Z333" i="5" a="1"/>
  <c r="Z333" i="5" s="1"/>
  <c r="BJ333" i="5"/>
  <c r="BQ333" i="5" a="1"/>
  <c r="BQ333" i="5" s="1"/>
  <c r="BS333" i="5" s="1"/>
  <c r="BR333" i="5" a="1"/>
  <c r="BR333" i="5" s="1"/>
  <c r="Z322" i="5" a="1"/>
  <c r="Z322" i="5" s="1"/>
  <c r="BJ322" i="5"/>
  <c r="BQ322" i="5" a="1"/>
  <c r="BQ322" i="5" s="1"/>
  <c r="BS322" i="5" s="1"/>
  <c r="BR322" i="5" a="1"/>
  <c r="BR322" i="5" s="1"/>
  <c r="Z283" i="5" a="1"/>
  <c r="Z283" i="5" s="1"/>
  <c r="BJ283" i="5"/>
  <c r="BQ283" i="5" a="1"/>
  <c r="BQ283" i="5" s="1"/>
  <c r="BS283" i="5" s="1"/>
  <c r="BR283" i="5" a="1"/>
  <c r="BR283" i="5" s="1"/>
  <c r="Z272" i="5" a="1"/>
  <c r="Z272" i="5" s="1"/>
  <c r="BJ272" i="5"/>
  <c r="BQ272" i="5" a="1"/>
  <c r="BQ272" i="5" s="1"/>
  <c r="BS272" i="5" s="1"/>
  <c r="BR272" i="5" a="1"/>
  <c r="BR272" i="5" s="1"/>
  <c r="Z233" i="5" a="1"/>
  <c r="Z233" i="5" s="1"/>
  <c r="BJ233" i="5"/>
  <c r="BQ233" i="5" a="1"/>
  <c r="BQ233" i="5" s="1"/>
  <c r="BS233" i="5" s="1"/>
  <c r="BR233" i="5" a="1"/>
  <c r="BR233" i="5" s="1"/>
  <c r="Z222" i="5" a="1"/>
  <c r="Z222" i="5" s="1"/>
  <c r="BJ222" i="5"/>
  <c r="BQ222" i="5" a="1"/>
  <c r="BQ222" i="5" s="1"/>
  <c r="BS222" i="5" s="1"/>
  <c r="BR222" i="5" a="1"/>
  <c r="BR222" i="5" s="1"/>
  <c r="Z183" i="5" a="1"/>
  <c r="Z183" i="5" s="1"/>
  <c r="BJ183" i="5"/>
  <c r="BQ183" i="5" a="1"/>
  <c r="BQ183" i="5" s="1"/>
  <c r="BS183" i="5" s="1"/>
  <c r="BR183" i="5" a="1"/>
  <c r="BR183" i="5" s="1"/>
  <c r="Z172" i="5" a="1"/>
  <c r="Z172" i="5" s="1"/>
  <c r="BJ172" i="5"/>
  <c r="BQ172" i="5" a="1"/>
  <c r="BQ172" i="5" s="1"/>
  <c r="BS172" i="5" s="1"/>
  <c r="BR172" i="5" a="1"/>
  <c r="BR172" i="5" s="1"/>
  <c r="Z133" i="5" a="1"/>
  <c r="Z133" i="5" s="1"/>
  <c r="BJ133" i="5"/>
  <c r="BQ133" i="5" a="1"/>
  <c r="BQ133" i="5" s="1"/>
  <c r="BS133" i="5" s="1"/>
  <c r="BR133" i="5" a="1"/>
  <c r="BR133" i="5" s="1"/>
  <c r="Z122" i="5" a="1"/>
  <c r="Z122" i="5" s="1"/>
  <c r="BJ122" i="5"/>
  <c r="BQ122" i="5" a="1"/>
  <c r="BQ122" i="5" s="1"/>
  <c r="BS122" i="5" s="1"/>
  <c r="BR122" i="5" a="1"/>
  <c r="BR122" i="5" s="1"/>
  <c r="Z94" i="5" a="1"/>
  <c r="Z94" i="5" s="1"/>
  <c r="BJ94" i="5"/>
  <c r="BR94" i="5" a="1"/>
  <c r="BR94" i="5" s="1"/>
  <c r="BQ94" i="5" a="1"/>
  <c r="BQ94" i="5" s="1"/>
  <c r="BS94" i="5" s="1"/>
  <c r="Z83" i="5" a="1"/>
  <c r="Z83" i="5" s="1"/>
  <c r="BJ83" i="5"/>
  <c r="BQ83" i="5" a="1"/>
  <c r="BQ83" i="5" s="1"/>
  <c r="BS83" i="5" s="1"/>
  <c r="BR83" i="5" a="1"/>
  <c r="BR83" i="5" s="1"/>
  <c r="Z72" i="5" a="1"/>
  <c r="Z72" i="5" s="1"/>
  <c r="BQ72" i="5" a="1"/>
  <c r="BQ72" i="5" s="1"/>
  <c r="BS72" i="5" s="1"/>
  <c r="BJ72" i="5"/>
  <c r="BR72" i="5" a="1"/>
  <c r="BR72" i="5" s="1"/>
  <c r="Z44" i="5" a="1"/>
  <c r="Z44" i="5" s="1"/>
  <c r="BJ44" i="5"/>
  <c r="BR44" i="5" a="1"/>
  <c r="BR44" i="5" s="1"/>
  <c r="BQ44" i="5" a="1"/>
  <c r="BQ44" i="5" s="1"/>
  <c r="BS44" i="5" s="1"/>
  <c r="Z33" i="5" a="1"/>
  <c r="Z33" i="5" s="1"/>
  <c r="BJ33" i="5"/>
  <c r="BQ33" i="5" a="1"/>
  <c r="BQ33" i="5" s="1"/>
  <c r="BS33" i="5" s="1"/>
  <c r="BR33" i="5" a="1"/>
  <c r="BR33" i="5" s="1"/>
  <c r="Z22" i="5" a="1"/>
  <c r="Z22" i="5" s="1"/>
  <c r="BQ22" i="5" a="1"/>
  <c r="BQ22" i="5" s="1"/>
  <c r="BS22" i="5" s="1"/>
  <c r="BJ22" i="5"/>
  <c r="BR22" i="5" a="1"/>
  <c r="BR22" i="5" s="1"/>
  <c r="CA245" i="5"/>
  <c r="BY245" i="5"/>
  <c r="CA185" i="5"/>
  <c r="BY185" i="5"/>
  <c r="BY123" i="5"/>
  <c r="CA123" i="5"/>
  <c r="BR297" i="5" a="1"/>
  <c r="BR297" i="5" s="1"/>
  <c r="BU435" i="5" a="1"/>
  <c r="BU435" i="5" s="1"/>
  <c r="BT435" i="5" a="1"/>
  <c r="BT435" i="5" s="1"/>
  <c r="BU385" i="5" a="1"/>
  <c r="BU385" i="5" s="1"/>
  <c r="BT385" i="5" a="1"/>
  <c r="BT385" i="5" s="1"/>
  <c r="BU357" i="5" a="1"/>
  <c r="BU357" i="5" s="1"/>
  <c r="BT357" i="5" a="1"/>
  <c r="BT357" i="5" s="1"/>
  <c r="BU346" i="5" a="1"/>
  <c r="BU346" i="5" s="1"/>
  <c r="BT346" i="5" a="1"/>
  <c r="BT346" i="5" s="1"/>
  <c r="BU335" i="5" a="1"/>
  <c r="BU335" i="5" s="1"/>
  <c r="BT335" i="5" a="1"/>
  <c r="BT335" i="5" s="1"/>
  <c r="BU307" i="5" a="1"/>
  <c r="BU307" i="5" s="1"/>
  <c r="BT307" i="5" a="1"/>
  <c r="BT307" i="5" s="1"/>
  <c r="BU296" i="5" a="1"/>
  <c r="BU296" i="5" s="1"/>
  <c r="BT296" i="5" a="1"/>
  <c r="BT296" i="5" s="1"/>
  <c r="BU285" i="5" a="1"/>
  <c r="BU285" i="5" s="1"/>
  <c r="BT285" i="5" a="1"/>
  <c r="BT285" i="5" s="1"/>
  <c r="BU235" i="5" a="1"/>
  <c r="BU235" i="5" s="1"/>
  <c r="BT235" i="5" a="1"/>
  <c r="BT235" i="5" s="1"/>
  <c r="BU185" i="5" a="1"/>
  <c r="BU185" i="5" s="1"/>
  <c r="BT185" i="5" a="1"/>
  <c r="BT185" i="5" s="1"/>
  <c r="BU135" i="5" a="1"/>
  <c r="BU135" i="5" s="1"/>
  <c r="BT135" i="5" a="1"/>
  <c r="BT135" i="5" s="1"/>
  <c r="BU85" i="5" a="1"/>
  <c r="BU85" i="5" s="1"/>
  <c r="BT85" i="5" a="1"/>
  <c r="BT85" i="5" s="1"/>
  <c r="BU35" i="5" a="1"/>
  <c r="BU35" i="5" s="1"/>
  <c r="BT35" i="5" a="1"/>
  <c r="BT35" i="5" s="1"/>
  <c r="Z427" i="5" a="1"/>
  <c r="Z427" i="5" s="1"/>
  <c r="BQ427" i="5" a="1"/>
  <c r="BQ427" i="5" s="1"/>
  <c r="BS427" i="5" s="1"/>
  <c r="BJ427" i="5"/>
  <c r="BR427" i="5" a="1"/>
  <c r="BR427" i="5" s="1"/>
  <c r="BJ377" i="5"/>
  <c r="BQ377" i="5" a="1"/>
  <c r="BQ377" i="5" s="1"/>
  <c r="BS377" i="5" s="1"/>
  <c r="BR377" i="5" a="1"/>
  <c r="BR377" i="5" s="1"/>
  <c r="Z338" i="5" a="1"/>
  <c r="Z338" i="5" s="1"/>
  <c r="BJ338" i="5"/>
  <c r="BQ338" i="5" a="1"/>
  <c r="BQ338" i="5" s="1"/>
  <c r="BS338" i="5" s="1"/>
  <c r="BR338" i="5" a="1"/>
  <c r="BR338" i="5" s="1"/>
  <c r="BJ327" i="5"/>
  <c r="BQ327" i="5" a="1"/>
  <c r="BQ327" i="5" s="1"/>
  <c r="BS327" i="5" s="1"/>
  <c r="BR327" i="5" a="1"/>
  <c r="BR327" i="5" s="1"/>
  <c r="Z288" i="5" a="1"/>
  <c r="Z288" i="5" s="1"/>
  <c r="BJ288" i="5"/>
  <c r="BQ288" i="5" a="1"/>
  <c r="BQ288" i="5" s="1"/>
  <c r="BS288" i="5" s="1"/>
  <c r="BR288" i="5" a="1"/>
  <c r="BR288" i="5" s="1"/>
  <c r="BJ277" i="5"/>
  <c r="BQ277" i="5" a="1"/>
  <c r="BQ277" i="5" s="1"/>
  <c r="BS277" i="5" s="1"/>
  <c r="BR277" i="5" a="1"/>
  <c r="BR277" i="5" s="1"/>
  <c r="BJ238" i="5"/>
  <c r="BQ238" i="5" a="1"/>
  <c r="BQ238" i="5" s="1"/>
  <c r="BS238" i="5" s="1"/>
  <c r="BR238" i="5" a="1"/>
  <c r="BR238" i="5" s="1"/>
  <c r="BJ227" i="5"/>
  <c r="BQ227" i="5" a="1"/>
  <c r="BQ227" i="5" s="1"/>
  <c r="BS227" i="5" s="1"/>
  <c r="BR227" i="5" a="1"/>
  <c r="BR227" i="5" s="1"/>
  <c r="BJ188" i="5"/>
  <c r="BQ188" i="5" a="1"/>
  <c r="BQ188" i="5" s="1"/>
  <c r="BS188" i="5" s="1"/>
  <c r="BR188" i="5" a="1"/>
  <c r="BR188" i="5" s="1"/>
  <c r="BJ177" i="5"/>
  <c r="BQ177" i="5" a="1"/>
  <c r="BQ177" i="5" s="1"/>
  <c r="BS177" i="5" s="1"/>
  <c r="BR177" i="5" a="1"/>
  <c r="BR177" i="5" s="1"/>
  <c r="Z138" i="5" a="1"/>
  <c r="Z138" i="5" s="1"/>
  <c r="BJ138" i="5"/>
  <c r="BQ138" i="5" a="1"/>
  <c r="BQ138" i="5" s="1"/>
  <c r="BS138" i="5" s="1"/>
  <c r="BR138" i="5" a="1"/>
  <c r="BR138" i="5" s="1"/>
  <c r="BJ127" i="5"/>
  <c r="BQ127" i="5" a="1"/>
  <c r="BQ127" i="5" s="1"/>
  <c r="BS127" i="5" s="1"/>
  <c r="BR127" i="5" a="1"/>
  <c r="BR127" i="5" s="1"/>
  <c r="BJ99" i="5"/>
  <c r="BR99" i="5" a="1"/>
  <c r="BR99" i="5" s="1"/>
  <c r="BQ88" i="5" a="1"/>
  <c r="BQ88" i="5" s="1"/>
  <c r="BS88" i="5" s="1"/>
  <c r="BJ88" i="5"/>
  <c r="BR88" i="5" a="1"/>
  <c r="BR88" i="5" s="1"/>
  <c r="Z77" i="5" a="1"/>
  <c r="Z77" i="5" s="1"/>
  <c r="BJ77" i="5"/>
  <c r="BQ77" i="5" a="1"/>
  <c r="BQ77" i="5" s="1"/>
  <c r="BS77" i="5" s="1"/>
  <c r="BR77" i="5" a="1"/>
  <c r="BR77" i="5" s="1"/>
  <c r="BJ49" i="5"/>
  <c r="BR49" i="5" a="1"/>
  <c r="BR49" i="5" s="1"/>
  <c r="BQ49" i="5" a="1"/>
  <c r="BQ49" i="5" s="1"/>
  <c r="BS49" i="5" s="1"/>
  <c r="BJ38" i="5"/>
  <c r="BQ38" i="5" a="1"/>
  <c r="BQ38" i="5" s="1"/>
  <c r="BS38" i="5" s="1"/>
  <c r="BR38" i="5" a="1"/>
  <c r="BR38" i="5" s="1"/>
  <c r="BJ27" i="5"/>
  <c r="BQ27" i="5" a="1"/>
  <c r="BQ27" i="5" s="1"/>
  <c r="BS27" i="5" s="1"/>
  <c r="BR27" i="5" a="1"/>
  <c r="BR27" i="5" s="1"/>
  <c r="CA35" i="5"/>
  <c r="BY35" i="5"/>
  <c r="BT434" i="5" a="1"/>
  <c r="BT434" i="5" s="1"/>
  <c r="BU434" i="5" a="1"/>
  <c r="BU434" i="5" s="1"/>
  <c r="BT423" i="5" a="1"/>
  <c r="BT423" i="5" s="1"/>
  <c r="BU423" i="5" a="1"/>
  <c r="BU423" i="5" s="1"/>
  <c r="BT412" i="5" a="1"/>
  <c r="BT412" i="5" s="1"/>
  <c r="BU412" i="5" a="1"/>
  <c r="BU412" i="5" s="1"/>
  <c r="BT401" i="5" a="1"/>
  <c r="BT401" i="5" s="1"/>
  <c r="BU401" i="5" a="1"/>
  <c r="BU401" i="5" s="1"/>
  <c r="BT384" i="5" a="1"/>
  <c r="BT384" i="5" s="1"/>
  <c r="BU384" i="5" a="1"/>
  <c r="BU384" i="5" s="1"/>
  <c r="BT373" i="5" a="1"/>
  <c r="BT373" i="5" s="1"/>
  <c r="BU373" i="5" a="1"/>
  <c r="BU373" i="5" s="1"/>
  <c r="BT362" i="5" a="1"/>
  <c r="BT362" i="5" s="1"/>
  <c r="BU362" i="5" a="1"/>
  <c r="BU362" i="5" s="1"/>
  <c r="BT334" i="5" a="1"/>
  <c r="BT334" i="5" s="1"/>
  <c r="BU334" i="5" a="1"/>
  <c r="BU334" i="5" s="1"/>
  <c r="BT323" i="5" a="1"/>
  <c r="BT323" i="5" s="1"/>
  <c r="BU323" i="5" a="1"/>
  <c r="BU323" i="5" s="1"/>
  <c r="BT312" i="5" a="1"/>
  <c r="BT312" i="5" s="1"/>
  <c r="BU312" i="5" a="1"/>
  <c r="BU312" i="5" s="1"/>
  <c r="BT301" i="5" a="1"/>
  <c r="BT301" i="5" s="1"/>
  <c r="BU301" i="5" a="1"/>
  <c r="BU301" i="5" s="1"/>
  <c r="BT284" i="5" a="1"/>
  <c r="BT284" i="5" s="1"/>
  <c r="BU284" i="5" a="1"/>
  <c r="BU284" i="5" s="1"/>
  <c r="BU273" i="5" a="1"/>
  <c r="BU273" i="5" s="1"/>
  <c r="BT273" i="5" a="1"/>
  <c r="BT273" i="5" s="1"/>
  <c r="BT262" i="5" a="1"/>
  <c r="BT262" i="5" s="1"/>
  <c r="BU262" i="5" a="1"/>
  <c r="BU262" i="5" s="1"/>
  <c r="BT251" i="5" a="1"/>
  <c r="BT251" i="5" s="1"/>
  <c r="BU251" i="5" a="1"/>
  <c r="BU251" i="5" s="1"/>
  <c r="BU223" i="5" a="1"/>
  <c r="BU223" i="5" s="1"/>
  <c r="BT223" i="5" a="1"/>
  <c r="BT223" i="5" s="1"/>
  <c r="BT212" i="5" a="1"/>
  <c r="BT212" i="5" s="1"/>
  <c r="BU212" i="5" a="1"/>
  <c r="BU212" i="5" s="1"/>
  <c r="BT201" i="5" a="1"/>
  <c r="BT201" i="5" s="1"/>
  <c r="BU201" i="5" a="1"/>
  <c r="BU201" i="5" s="1"/>
  <c r="BU173" i="5" a="1"/>
  <c r="BU173" i="5" s="1"/>
  <c r="BT173" i="5" a="1"/>
  <c r="BT173" i="5" s="1"/>
  <c r="BT162" i="5" a="1"/>
  <c r="BT162" i="5" s="1"/>
  <c r="BU162" i="5" a="1"/>
  <c r="BU162" i="5" s="1"/>
  <c r="BT151" i="5" a="1"/>
  <c r="BT151" i="5" s="1"/>
  <c r="BU151" i="5" a="1"/>
  <c r="BU151" i="5" s="1"/>
  <c r="BT134" i="5" a="1"/>
  <c r="BT134" i="5" s="1"/>
  <c r="BU134" i="5" a="1"/>
  <c r="BU134" i="5" s="1"/>
  <c r="BU123" i="5" a="1"/>
  <c r="BU123" i="5" s="1"/>
  <c r="BT123" i="5" a="1"/>
  <c r="BT123" i="5" s="1"/>
  <c r="BT112" i="5" a="1"/>
  <c r="BT112" i="5" s="1"/>
  <c r="BU112" i="5" a="1"/>
  <c r="BU112" i="5" s="1"/>
  <c r="BT84" i="5" a="1"/>
  <c r="BT84" i="5" s="1"/>
  <c r="BU84" i="5" a="1"/>
  <c r="BU84" i="5" s="1"/>
  <c r="BU73" i="5" a="1"/>
  <c r="BU73" i="5" s="1"/>
  <c r="BT73" i="5" a="1"/>
  <c r="BT73" i="5" s="1"/>
  <c r="BT62" i="5" a="1"/>
  <c r="BT62" i="5" s="1"/>
  <c r="BU62" i="5" a="1"/>
  <c r="BU62" i="5" s="1"/>
  <c r="BT34" i="5" a="1"/>
  <c r="BT34" i="5" s="1"/>
  <c r="BU34" i="5" a="1"/>
  <c r="BU34" i="5" s="1"/>
  <c r="BU23" i="5" a="1"/>
  <c r="BU23" i="5" s="1"/>
  <c r="BT23" i="5" a="1"/>
  <c r="BT23" i="5" s="1"/>
  <c r="BT12" i="5" a="1"/>
  <c r="BT12" i="5" s="1"/>
  <c r="BU12" i="5" a="1"/>
  <c r="BU12" i="5" s="1"/>
  <c r="Z443" i="5" a="1"/>
  <c r="Z443" i="5" s="1"/>
  <c r="BJ443" i="5"/>
  <c r="BR443" i="5" a="1"/>
  <c r="BR443" i="5" s="1"/>
  <c r="BQ443" i="5" a="1"/>
  <c r="BQ443" i="5" s="1"/>
  <c r="BS443" i="5" s="1"/>
  <c r="Z432" i="5" a="1"/>
  <c r="Z432" i="5" s="1"/>
  <c r="BJ432" i="5"/>
  <c r="BQ432" i="5" a="1"/>
  <c r="BQ432" i="5" s="1"/>
  <c r="BS432" i="5" s="1"/>
  <c r="BR432" i="5" a="1"/>
  <c r="BR432" i="5" s="1"/>
  <c r="Z426" i="5" a="1"/>
  <c r="Z426" i="5" s="1"/>
  <c r="BQ426" i="5" a="1"/>
  <c r="BQ426" i="5" s="1"/>
  <c r="BS426" i="5" s="1"/>
  <c r="BJ426" i="5"/>
  <c r="BR426" i="5" a="1"/>
  <c r="BR426" i="5" s="1"/>
  <c r="BJ415" i="5"/>
  <c r="BQ415" i="5" a="1"/>
  <c r="BQ415" i="5" s="1"/>
  <c r="BS415" i="5" s="1"/>
  <c r="BR415" i="5" a="1"/>
  <c r="BR415" i="5" s="1"/>
  <c r="Z404" i="5" a="1"/>
  <c r="Z404" i="5" s="1"/>
  <c r="BR404" i="5" a="1"/>
  <c r="BR404" i="5" s="1"/>
  <c r="BJ404" i="5"/>
  <c r="BQ404" i="5" a="1"/>
  <c r="BQ404" i="5" s="1"/>
  <c r="BS404" i="5" s="1"/>
  <c r="Z393" i="5" a="1"/>
  <c r="Z393" i="5" s="1"/>
  <c r="BJ393" i="5"/>
  <c r="BR393" i="5" a="1"/>
  <c r="BR393" i="5" s="1"/>
  <c r="BQ393" i="5" a="1"/>
  <c r="BQ393" i="5" s="1"/>
  <c r="BS393" i="5" s="1"/>
  <c r="Z382" i="5" a="1"/>
  <c r="Z382" i="5" s="1"/>
  <c r="BQ382" i="5" a="1"/>
  <c r="BQ382" i="5" s="1"/>
  <c r="BS382" i="5" s="1"/>
  <c r="BJ382" i="5"/>
  <c r="BR382" i="5" a="1"/>
  <c r="BR382" i="5" s="1"/>
  <c r="BJ376" i="5"/>
  <c r="BQ376" i="5" a="1"/>
  <c r="BQ376" i="5" s="1"/>
  <c r="BS376" i="5" s="1"/>
  <c r="BR376" i="5" a="1"/>
  <c r="BR376" i="5" s="1"/>
  <c r="BJ365" i="5"/>
  <c r="BQ365" i="5" a="1"/>
  <c r="BQ365" i="5" s="1"/>
  <c r="BS365" i="5" s="1"/>
  <c r="BR365" i="5" a="1"/>
  <c r="BR365" i="5" s="1"/>
  <c r="Z354" i="5" a="1"/>
  <c r="Z354" i="5" s="1"/>
  <c r="BJ354" i="5"/>
  <c r="BR354" i="5" a="1"/>
  <c r="BR354" i="5" s="1"/>
  <c r="BQ354" i="5" a="1"/>
  <c r="BQ354" i="5" s="1"/>
  <c r="BS354" i="5" s="1"/>
  <c r="Z343" i="5" a="1"/>
  <c r="Z343" i="5" s="1"/>
  <c r="BJ343" i="5"/>
  <c r="BR343" i="5" a="1"/>
  <c r="BR343" i="5" s="1"/>
  <c r="BQ343" i="5" a="1"/>
  <c r="BQ343" i="5" s="1"/>
  <c r="BS343" i="5" s="1"/>
  <c r="Z332" i="5" a="1"/>
  <c r="Z332" i="5" s="1"/>
  <c r="BJ332" i="5"/>
  <c r="BQ332" i="5" a="1"/>
  <c r="BQ332" i="5" s="1"/>
  <c r="BS332" i="5" s="1"/>
  <c r="BR332" i="5" a="1"/>
  <c r="BR332" i="5" s="1"/>
  <c r="BQ326" i="5" a="1"/>
  <c r="BQ326" i="5" s="1"/>
  <c r="BS326" i="5" s="1"/>
  <c r="BJ326" i="5"/>
  <c r="BR326" i="5" a="1"/>
  <c r="BR326" i="5" s="1"/>
  <c r="BJ315" i="5"/>
  <c r="BQ315" i="5" a="1"/>
  <c r="BQ315" i="5" s="1"/>
  <c r="BS315" i="5" s="1"/>
  <c r="BR315" i="5" a="1"/>
  <c r="BR315" i="5" s="1"/>
  <c r="Z304" i="5" a="1"/>
  <c r="Z304" i="5" s="1"/>
  <c r="BR304" i="5" a="1"/>
  <c r="BR304" i="5" s="1"/>
  <c r="BJ304" i="5"/>
  <c r="BQ304" i="5" a="1"/>
  <c r="BQ304" i="5" s="1"/>
  <c r="BS304" i="5" s="1"/>
  <c r="Z293" i="5" a="1"/>
  <c r="Z293" i="5" s="1"/>
  <c r="BJ293" i="5"/>
  <c r="BR293" i="5" a="1"/>
  <c r="BR293" i="5" s="1"/>
  <c r="BQ293" i="5" a="1"/>
  <c r="BQ293" i="5" s="1"/>
  <c r="BS293" i="5" s="1"/>
  <c r="Z282" i="5" a="1"/>
  <c r="Z282" i="5" s="1"/>
  <c r="BJ282" i="5"/>
  <c r="BQ282" i="5" a="1"/>
  <c r="BQ282" i="5" s="1"/>
  <c r="BS282" i="5" s="1"/>
  <c r="BR282" i="5" a="1"/>
  <c r="BR282" i="5" s="1"/>
  <c r="Z276" i="5" a="1"/>
  <c r="Z276" i="5" s="1"/>
  <c r="BJ276" i="5"/>
  <c r="BQ276" i="5" a="1"/>
  <c r="BQ276" i="5" s="1"/>
  <c r="BS276" i="5" s="1"/>
  <c r="BR276" i="5" a="1"/>
  <c r="BR276" i="5" s="1"/>
  <c r="BJ265" i="5"/>
  <c r="BQ265" i="5" a="1"/>
  <c r="BQ265" i="5" s="1"/>
  <c r="BS265" i="5" s="1"/>
  <c r="BR265" i="5" a="1"/>
  <c r="BR265" i="5" s="1"/>
  <c r="Z254" i="5" a="1"/>
  <c r="Z254" i="5" s="1"/>
  <c r="BJ254" i="5"/>
  <c r="BR254" i="5" a="1"/>
  <c r="BR254" i="5" s="1"/>
  <c r="BQ254" i="5" a="1"/>
  <c r="BQ254" i="5" s="1"/>
  <c r="BS254" i="5" s="1"/>
  <c r="Z243" i="5" a="1"/>
  <c r="Z243" i="5" s="1"/>
  <c r="BJ243" i="5"/>
  <c r="BR243" i="5" a="1"/>
  <c r="BR243" i="5" s="1"/>
  <c r="BQ243" i="5" a="1"/>
  <c r="BQ243" i="5" s="1"/>
  <c r="BS243" i="5" s="1"/>
  <c r="Z232" i="5" a="1"/>
  <c r="Z232" i="5" s="1"/>
  <c r="BJ232" i="5"/>
  <c r="BQ232" i="5" a="1"/>
  <c r="BQ232" i="5" s="1"/>
  <c r="BS232" i="5" s="1"/>
  <c r="BR232" i="5" a="1"/>
  <c r="BR232" i="5" s="1"/>
  <c r="BJ226" i="5"/>
  <c r="BQ226" i="5" a="1"/>
  <c r="BQ226" i="5" s="1"/>
  <c r="BS226" i="5" s="1"/>
  <c r="BJ215" i="5"/>
  <c r="BQ215" i="5" a="1"/>
  <c r="BQ215" i="5" s="1"/>
  <c r="BS215" i="5" s="1"/>
  <c r="BR215" i="5" a="1"/>
  <c r="BR215" i="5" s="1"/>
  <c r="Z204" i="5" a="1"/>
  <c r="Z204" i="5" s="1"/>
  <c r="BJ204" i="5"/>
  <c r="BR204" i="5" a="1"/>
  <c r="BR204" i="5" s="1"/>
  <c r="BQ204" i="5" a="1"/>
  <c r="BQ204" i="5" s="1"/>
  <c r="BS204" i="5" s="1"/>
  <c r="Z193" i="5" a="1"/>
  <c r="Z193" i="5" s="1"/>
  <c r="BJ193" i="5"/>
  <c r="BR193" i="5" a="1"/>
  <c r="BR193" i="5" s="1"/>
  <c r="BQ193" i="5" a="1"/>
  <c r="BQ193" i="5" s="1"/>
  <c r="BS193" i="5" s="1"/>
  <c r="Z182" i="5" a="1"/>
  <c r="Z182" i="5" s="1"/>
  <c r="BJ182" i="5"/>
  <c r="BQ182" i="5" a="1"/>
  <c r="BQ182" i="5" s="1"/>
  <c r="BS182" i="5" s="1"/>
  <c r="BR182" i="5" a="1"/>
  <c r="BR182" i="5" s="1"/>
  <c r="BJ176" i="5"/>
  <c r="BQ176" i="5" a="1"/>
  <c r="BQ176" i="5" s="1"/>
  <c r="BS176" i="5" s="1"/>
  <c r="BR176" i="5" a="1"/>
  <c r="BR176" i="5" s="1"/>
  <c r="BJ165" i="5"/>
  <c r="BQ165" i="5" a="1"/>
  <c r="BQ165" i="5" s="1"/>
  <c r="BS165" i="5" s="1"/>
  <c r="BR165" i="5" a="1"/>
  <c r="BR165" i="5" s="1"/>
  <c r="Z154" i="5" a="1"/>
  <c r="Z154" i="5" s="1"/>
  <c r="BJ154" i="5"/>
  <c r="BR154" i="5" a="1"/>
  <c r="BR154" i="5" s="1"/>
  <c r="BQ154" i="5" a="1"/>
  <c r="BQ154" i="5" s="1"/>
  <c r="BS154" i="5" s="1"/>
  <c r="Z143" i="5" a="1"/>
  <c r="Z143" i="5" s="1"/>
  <c r="BJ143" i="5"/>
  <c r="BQ143" i="5" a="1"/>
  <c r="BQ143" i="5" s="1"/>
  <c r="BS143" i="5" s="1"/>
  <c r="BR143" i="5" a="1"/>
  <c r="BR143" i="5" s="1"/>
  <c r="Z132" i="5" a="1"/>
  <c r="Z132" i="5" s="1"/>
  <c r="BJ132" i="5"/>
  <c r="BQ132" i="5" a="1"/>
  <c r="BQ132" i="5" s="1"/>
  <c r="BS132" i="5" s="1"/>
  <c r="BR132" i="5" a="1"/>
  <c r="BR132" i="5" s="1"/>
  <c r="Z126" i="5" a="1"/>
  <c r="Z126" i="5" s="1"/>
  <c r="BJ126" i="5"/>
  <c r="BQ126" i="5" a="1"/>
  <c r="BQ126" i="5" s="1"/>
  <c r="BS126" i="5" s="1"/>
  <c r="BR126" i="5" a="1"/>
  <c r="BR126" i="5" s="1"/>
  <c r="BJ115" i="5"/>
  <c r="BR115" i="5" a="1"/>
  <c r="BR115" i="5" s="1"/>
  <c r="BQ115" i="5" a="1"/>
  <c r="BQ115" i="5" s="1"/>
  <c r="BS115" i="5" s="1"/>
  <c r="Z104" i="5" a="1"/>
  <c r="Z104" i="5" s="1"/>
  <c r="BR104" i="5" a="1"/>
  <c r="BR104" i="5" s="1"/>
  <c r="BJ104" i="5"/>
  <c r="BQ104" i="5" a="1"/>
  <c r="BQ104" i="5" s="1"/>
  <c r="BS104" i="5" s="1"/>
  <c r="Z93" i="5" a="1"/>
  <c r="Z93" i="5" s="1"/>
  <c r="BJ93" i="5"/>
  <c r="BQ93" i="5" a="1"/>
  <c r="BQ93" i="5" s="1"/>
  <c r="BS93" i="5" s="1"/>
  <c r="BR93" i="5" a="1"/>
  <c r="BR93" i="5" s="1"/>
  <c r="Z82" i="5" a="1"/>
  <c r="Z82" i="5" s="1"/>
  <c r="BJ82" i="5"/>
  <c r="BQ82" i="5" a="1"/>
  <c r="BQ82" i="5" s="1"/>
  <c r="BS82" i="5" s="1"/>
  <c r="BR82" i="5" a="1"/>
  <c r="BR82" i="5" s="1"/>
  <c r="Z76" i="5" a="1"/>
  <c r="Z76" i="5" s="1"/>
  <c r="BJ76" i="5"/>
  <c r="BQ76" i="5" a="1"/>
  <c r="BQ76" i="5" s="1"/>
  <c r="BS76" i="5" s="1"/>
  <c r="BR76" i="5" a="1"/>
  <c r="BR76" i="5" s="1"/>
  <c r="BJ65" i="5"/>
  <c r="BR65" i="5" a="1"/>
  <c r="BR65" i="5" s="1"/>
  <c r="BQ65" i="5" a="1"/>
  <c r="BQ65" i="5" s="1"/>
  <c r="BS65" i="5" s="1"/>
  <c r="Z54" i="5" a="1"/>
  <c r="Z54" i="5" s="1"/>
  <c r="BJ54" i="5"/>
  <c r="BR54" i="5" a="1"/>
  <c r="BR54" i="5" s="1"/>
  <c r="BQ54" i="5" a="1"/>
  <c r="BQ54" i="5" s="1"/>
  <c r="BS54" i="5" s="1"/>
  <c r="Z43" i="5" a="1"/>
  <c r="Z43" i="5" s="1"/>
  <c r="BJ43" i="5"/>
  <c r="BQ43" i="5" a="1"/>
  <c r="BQ43" i="5" s="1"/>
  <c r="BS43" i="5" s="1"/>
  <c r="BR43" i="5" a="1"/>
  <c r="BR43" i="5" s="1"/>
  <c r="Z32" i="5" a="1"/>
  <c r="Z32" i="5" s="1"/>
  <c r="BJ32" i="5"/>
  <c r="BQ32" i="5" a="1"/>
  <c r="BQ32" i="5" s="1"/>
  <c r="BS32" i="5" s="1"/>
  <c r="BR32" i="5" a="1"/>
  <c r="BR32" i="5" s="1"/>
  <c r="BJ26" i="5"/>
  <c r="BQ26" i="5" a="1"/>
  <c r="BQ26" i="5" s="1"/>
  <c r="BS26" i="5" s="1"/>
  <c r="BR26" i="5" a="1"/>
  <c r="BR26" i="5" s="1"/>
  <c r="BJ15" i="5"/>
  <c r="BR15" i="5" a="1"/>
  <c r="BR15" i="5" s="1"/>
  <c r="BQ15" i="5" a="1"/>
  <c r="BQ15" i="5" s="1"/>
  <c r="BS15" i="5" s="1"/>
  <c r="Z4" i="5" a="1"/>
  <c r="Z4" i="5" s="1"/>
  <c r="BR4" i="5" a="1"/>
  <c r="BR4" i="5" s="1"/>
  <c r="BJ4" i="5"/>
  <c r="BQ4" i="5" a="1"/>
  <c r="BQ4" i="5" s="1"/>
  <c r="BS4" i="5" s="1"/>
  <c r="BY73" i="5"/>
  <c r="CA73" i="5"/>
  <c r="BR226" i="5" a="1"/>
  <c r="BR226" i="5" s="1"/>
  <c r="AQ272" i="5"/>
  <c r="BB272" i="5" s="1"/>
  <c r="AQ261" i="5"/>
  <c r="BB261" i="5" s="1"/>
  <c r="AQ255" i="5"/>
  <c r="BB255" i="5" s="1"/>
  <c r="AQ244" i="5"/>
  <c r="BB244" i="5" s="1"/>
  <c r="AQ233" i="5"/>
  <c r="BB233" i="5" s="1"/>
  <c r="AQ222" i="5"/>
  <c r="BB222" i="5" s="1"/>
  <c r="AQ211" i="5"/>
  <c r="BB211" i="5" s="1"/>
  <c r="AQ205" i="5"/>
  <c r="BB205" i="5" s="1"/>
  <c r="AQ194" i="5"/>
  <c r="BB194" i="5" s="1"/>
  <c r="AQ183" i="5"/>
  <c r="BB183" i="5" s="1"/>
  <c r="AQ172" i="5"/>
  <c r="BB172" i="5" s="1"/>
  <c r="AQ161" i="5"/>
  <c r="BB161" i="5" s="1"/>
  <c r="AQ155" i="5"/>
  <c r="BB155" i="5" s="1"/>
  <c r="AQ144" i="5"/>
  <c r="BB144" i="5" s="1"/>
  <c r="AQ133" i="5"/>
  <c r="BB133" i="5" s="1"/>
  <c r="AQ122" i="5"/>
  <c r="BB122" i="5" s="1"/>
  <c r="AQ111" i="5"/>
  <c r="BB111" i="5" s="1"/>
  <c r="AQ105" i="5"/>
  <c r="BB105" i="5" s="1"/>
  <c r="AQ94" i="5"/>
  <c r="BB94" i="5" s="1"/>
  <c r="AQ83" i="5"/>
  <c r="BB83" i="5" s="1"/>
  <c r="AQ72" i="5"/>
  <c r="BB72" i="5" s="1"/>
  <c r="AQ61" i="5"/>
  <c r="BB61" i="5" s="1"/>
  <c r="AQ55" i="5"/>
  <c r="BB55" i="5" s="1"/>
  <c r="AQ44" i="5"/>
  <c r="BB44" i="5" s="1"/>
  <c r="AQ33" i="5"/>
  <c r="BB33" i="5" s="1"/>
  <c r="AQ22" i="5"/>
  <c r="BB22" i="5" s="1"/>
  <c r="AQ11" i="5"/>
  <c r="BB11" i="5" s="1"/>
  <c r="AQ5" i="5"/>
  <c r="BB5" i="5" s="1"/>
  <c r="BT395" i="5" a="1"/>
  <c r="BT395" i="5" s="1"/>
  <c r="BU395" i="5" a="1"/>
  <c r="BU395" i="5" s="1"/>
  <c r="BT345" i="5" a="1"/>
  <c r="BT345" i="5" s="1"/>
  <c r="BU345" i="5" a="1"/>
  <c r="BU345" i="5" s="1"/>
  <c r="BT295" i="5" a="1"/>
  <c r="BT295" i="5" s="1"/>
  <c r="BU295" i="5" a="1"/>
  <c r="BU295" i="5" s="1"/>
  <c r="BT245" i="5" a="1"/>
  <c r="BT245" i="5" s="1"/>
  <c r="BU245" i="5" a="1"/>
  <c r="BU245" i="5" s="1"/>
  <c r="BT195" i="5" a="1"/>
  <c r="BT195" i="5" s="1"/>
  <c r="BU195" i="5" a="1"/>
  <c r="BU195" i="5" s="1"/>
  <c r="BT145" i="5" a="1"/>
  <c r="BT145" i="5" s="1"/>
  <c r="BU145" i="5" a="1"/>
  <c r="BU145" i="5" s="1"/>
  <c r="BT95" i="5" a="1"/>
  <c r="BT95" i="5" s="1"/>
  <c r="BU95" i="5" a="1"/>
  <c r="BU95" i="5" s="1"/>
  <c r="BT45" i="5" a="1"/>
  <c r="BT45" i="5" s="1"/>
  <c r="BU45" i="5" a="1"/>
  <c r="BU45" i="5" s="1"/>
  <c r="Z437" i="5" a="1"/>
  <c r="Z437" i="5" s="1"/>
  <c r="BQ437" i="5" a="1"/>
  <c r="BQ437" i="5" s="1"/>
  <c r="BS437" i="5" s="1"/>
  <c r="BJ437" i="5"/>
  <c r="BR437" i="5" a="1"/>
  <c r="BR437" i="5" s="1"/>
  <c r="BJ387" i="5"/>
  <c r="BQ387" i="5" a="1"/>
  <c r="BQ387" i="5" s="1"/>
  <c r="BS387" i="5" s="1"/>
  <c r="BR387" i="5" a="1"/>
  <c r="BR387" i="5" s="1"/>
  <c r="BJ348" i="5"/>
  <c r="BQ348" i="5" a="1"/>
  <c r="BQ348" i="5" s="1"/>
  <c r="BS348" i="5" s="1"/>
  <c r="BR348" i="5" a="1"/>
  <c r="BR348" i="5" s="1"/>
  <c r="BJ337" i="5"/>
  <c r="BQ337" i="5" a="1"/>
  <c r="BQ337" i="5" s="1"/>
  <c r="BS337" i="5" s="1"/>
  <c r="BR337" i="5" a="1"/>
  <c r="BR337" i="5" s="1"/>
  <c r="Z298" i="5" a="1"/>
  <c r="Z298" i="5" s="1"/>
  <c r="BJ298" i="5"/>
  <c r="BQ298" i="5" a="1"/>
  <c r="BQ298" i="5" s="1"/>
  <c r="BS298" i="5" s="1"/>
  <c r="BR298" i="5" a="1"/>
  <c r="BR298" i="5" s="1"/>
  <c r="BJ287" i="5"/>
  <c r="BQ287" i="5" a="1"/>
  <c r="BQ287" i="5" s="1"/>
  <c r="BS287" i="5" s="1"/>
  <c r="BR287" i="5" a="1"/>
  <c r="BR287" i="5" s="1"/>
  <c r="BJ248" i="5"/>
  <c r="BQ248" i="5" a="1"/>
  <c r="BQ248" i="5" s="1"/>
  <c r="BS248" i="5" s="1"/>
  <c r="BR248" i="5" a="1"/>
  <c r="BR248" i="5" s="1"/>
  <c r="BJ237" i="5"/>
  <c r="BQ237" i="5" a="1"/>
  <c r="BQ237" i="5" s="1"/>
  <c r="BS237" i="5" s="1"/>
  <c r="BR237" i="5" a="1"/>
  <c r="BR237" i="5" s="1"/>
  <c r="BJ198" i="5"/>
  <c r="BQ198" i="5" a="1"/>
  <c r="BQ198" i="5" s="1"/>
  <c r="BS198" i="5" s="1"/>
  <c r="BR198" i="5" a="1"/>
  <c r="BR198" i="5" s="1"/>
  <c r="BJ187" i="5"/>
  <c r="BQ187" i="5" a="1"/>
  <c r="BQ187" i="5" s="1"/>
  <c r="BS187" i="5" s="1"/>
  <c r="BR187" i="5" a="1"/>
  <c r="BR187" i="5" s="1"/>
  <c r="BJ148" i="5"/>
  <c r="BQ148" i="5" a="1"/>
  <c r="BQ148" i="5" s="1"/>
  <c r="BS148" i="5" s="1"/>
  <c r="BR148" i="5" a="1"/>
  <c r="BR148" i="5" s="1"/>
  <c r="BJ137" i="5"/>
  <c r="BQ137" i="5" a="1"/>
  <c r="BQ137" i="5" s="1"/>
  <c r="BS137" i="5" s="1"/>
  <c r="BR137" i="5" a="1"/>
  <c r="BR137" i="5" s="1"/>
  <c r="BJ98" i="5"/>
  <c r="BQ98" i="5" a="1"/>
  <c r="BQ98" i="5" s="1"/>
  <c r="BS98" i="5" s="1"/>
  <c r="BR98" i="5" a="1"/>
  <c r="BR98" i="5" s="1"/>
  <c r="Z87" i="5" a="1"/>
  <c r="Z87" i="5" s="1"/>
  <c r="BJ87" i="5"/>
  <c r="BQ87" i="5" a="1"/>
  <c r="BQ87" i="5" s="1"/>
  <c r="BS87" i="5" s="1"/>
  <c r="BR87" i="5" a="1"/>
  <c r="BR87" i="5" s="1"/>
  <c r="BJ59" i="5"/>
  <c r="BR59" i="5" a="1"/>
  <c r="BR59" i="5" s="1"/>
  <c r="BQ59" i="5" a="1"/>
  <c r="BQ59" i="5" s="1"/>
  <c r="BS59" i="5" s="1"/>
  <c r="BJ48" i="5"/>
  <c r="BQ48" i="5" a="1"/>
  <c r="BQ48" i="5" s="1"/>
  <c r="BS48" i="5" s="1"/>
  <c r="BR48" i="5" a="1"/>
  <c r="BR48" i="5" s="1"/>
  <c r="Z37" i="5" a="1"/>
  <c r="Z37" i="5" s="1"/>
  <c r="BJ37" i="5"/>
  <c r="BQ37" i="5" a="1"/>
  <c r="BQ37" i="5" s="1"/>
  <c r="BS37" i="5" s="1"/>
  <c r="BR37" i="5" a="1"/>
  <c r="BR37" i="5" s="1"/>
  <c r="BJ9" i="5"/>
  <c r="BR9" i="5" a="1"/>
  <c r="BR9" i="5" s="1"/>
  <c r="BQ9" i="5" a="1"/>
  <c r="BQ9" i="5" s="1"/>
  <c r="BS9" i="5" s="1"/>
  <c r="CA61" i="5"/>
  <c r="CH381" i="5"/>
  <c r="CH331" i="5"/>
  <c r="CH281" i="5"/>
  <c r="CH231" i="5"/>
  <c r="AQ266" i="5"/>
  <c r="BB266" i="5" s="1"/>
  <c r="AQ216" i="5"/>
  <c r="BB216" i="5" s="1"/>
  <c r="AQ166" i="5"/>
  <c r="BB166" i="5" s="1"/>
  <c r="AQ116" i="5"/>
  <c r="BB116" i="5" s="1"/>
  <c r="AQ66" i="5"/>
  <c r="BB66" i="5" s="1"/>
  <c r="AQ16" i="5"/>
  <c r="BB16" i="5" s="1"/>
  <c r="Z442" i="5" a="1"/>
  <c r="Z442" i="5" s="1"/>
  <c r="BJ442" i="5"/>
  <c r="BQ442" i="5" a="1"/>
  <c r="BQ442" i="5" s="1"/>
  <c r="BS442" i="5" s="1"/>
  <c r="BR442" i="5" a="1"/>
  <c r="BR442" i="5" s="1"/>
  <c r="Z392" i="5" a="1"/>
  <c r="Z392" i="5" s="1"/>
  <c r="BJ392" i="5"/>
  <c r="BQ392" i="5" a="1"/>
  <c r="BQ392" i="5" s="1"/>
  <c r="BS392" i="5" s="1"/>
  <c r="BR392" i="5" a="1"/>
  <c r="BR392" i="5" s="1"/>
  <c r="Z353" i="5" a="1"/>
  <c r="Z353" i="5" s="1"/>
  <c r="BJ353" i="5"/>
  <c r="BQ353" i="5" a="1"/>
  <c r="BQ353" i="5" s="1"/>
  <c r="BS353" i="5" s="1"/>
  <c r="BR353" i="5" a="1"/>
  <c r="BR353" i="5" s="1"/>
  <c r="Z342" i="5" a="1"/>
  <c r="Z342" i="5" s="1"/>
  <c r="BJ342" i="5"/>
  <c r="BQ342" i="5" a="1"/>
  <c r="BQ342" i="5" s="1"/>
  <c r="BS342" i="5" s="1"/>
  <c r="BR342" i="5" a="1"/>
  <c r="BR342" i="5" s="1"/>
  <c r="Z303" i="5" a="1"/>
  <c r="Z303" i="5" s="1"/>
  <c r="BJ303" i="5"/>
  <c r="BQ303" i="5" a="1"/>
  <c r="BQ303" i="5" s="1"/>
  <c r="BS303" i="5" s="1"/>
  <c r="BR303" i="5" a="1"/>
  <c r="BR303" i="5" s="1"/>
  <c r="Z292" i="5" a="1"/>
  <c r="Z292" i="5" s="1"/>
  <c r="BJ292" i="5"/>
  <c r="BQ292" i="5" a="1"/>
  <c r="BQ292" i="5" s="1"/>
  <c r="BS292" i="5" s="1"/>
  <c r="BR292" i="5" a="1"/>
  <c r="BR292" i="5" s="1"/>
  <c r="Z253" i="5" a="1"/>
  <c r="Z253" i="5" s="1"/>
  <c r="BJ253" i="5"/>
  <c r="BQ253" i="5" a="1"/>
  <c r="BQ253" i="5" s="1"/>
  <c r="BS253" i="5" s="1"/>
  <c r="BR253" i="5" a="1"/>
  <c r="BR253" i="5" s="1"/>
  <c r="Z242" i="5" a="1"/>
  <c r="Z242" i="5" s="1"/>
  <c r="BJ242" i="5"/>
  <c r="BQ242" i="5" a="1"/>
  <c r="BQ242" i="5" s="1"/>
  <c r="BS242" i="5" s="1"/>
  <c r="BR242" i="5" a="1"/>
  <c r="BR242" i="5" s="1"/>
  <c r="Z203" i="5" a="1"/>
  <c r="Z203" i="5" s="1"/>
  <c r="BJ203" i="5"/>
  <c r="BQ203" i="5" a="1"/>
  <c r="BQ203" i="5" s="1"/>
  <c r="BS203" i="5" s="1"/>
  <c r="BR203" i="5" a="1"/>
  <c r="BR203" i="5" s="1"/>
  <c r="Z192" i="5" a="1"/>
  <c r="Z192" i="5" s="1"/>
  <c r="BJ192" i="5"/>
  <c r="BQ192" i="5" a="1"/>
  <c r="BQ192" i="5" s="1"/>
  <c r="BS192" i="5" s="1"/>
  <c r="BR192" i="5" a="1"/>
  <c r="BR192" i="5" s="1"/>
  <c r="Z153" i="5" a="1"/>
  <c r="Z153" i="5" s="1"/>
  <c r="BJ153" i="5"/>
  <c r="BQ153" i="5" a="1"/>
  <c r="BQ153" i="5" s="1"/>
  <c r="BS153" i="5" s="1"/>
  <c r="BR153" i="5" a="1"/>
  <c r="BR153" i="5" s="1"/>
  <c r="Z142" i="5" a="1"/>
  <c r="Z142" i="5" s="1"/>
  <c r="BJ142" i="5"/>
  <c r="BQ142" i="5" a="1"/>
  <c r="BQ142" i="5" s="1"/>
  <c r="BS142" i="5" s="1"/>
  <c r="BR142" i="5" a="1"/>
  <c r="BR142" i="5" s="1"/>
  <c r="Z103" i="5" a="1"/>
  <c r="Z103" i="5" s="1"/>
  <c r="BJ103" i="5"/>
  <c r="BQ103" i="5" a="1"/>
  <c r="BQ103" i="5" s="1"/>
  <c r="BS103" i="5" s="1"/>
  <c r="BR103" i="5" a="1"/>
  <c r="BR103" i="5" s="1"/>
  <c r="Z92" i="5" a="1"/>
  <c r="Z92" i="5" s="1"/>
  <c r="BJ92" i="5"/>
  <c r="BQ92" i="5" a="1"/>
  <c r="BQ92" i="5" s="1"/>
  <c r="BS92" i="5" s="1"/>
  <c r="BR92" i="5" a="1"/>
  <c r="BR92" i="5" s="1"/>
  <c r="Z64" i="5" a="1"/>
  <c r="Z64" i="5" s="1"/>
  <c r="BJ64" i="5"/>
  <c r="BR64" i="5" a="1"/>
  <c r="BR64" i="5" s="1"/>
  <c r="BQ64" i="5" a="1"/>
  <c r="BQ64" i="5" s="1"/>
  <c r="BS64" i="5" s="1"/>
  <c r="Z53" i="5" a="1"/>
  <c r="Z53" i="5" s="1"/>
  <c r="BJ53" i="5"/>
  <c r="BQ53" i="5" a="1"/>
  <c r="BQ53" i="5" s="1"/>
  <c r="BS53" i="5" s="1"/>
  <c r="BR53" i="5" a="1"/>
  <c r="BR53" i="5" s="1"/>
  <c r="Z42" i="5" a="1"/>
  <c r="Z42" i="5" s="1"/>
  <c r="BJ42" i="5"/>
  <c r="BQ42" i="5" a="1"/>
  <c r="BQ42" i="5" s="1"/>
  <c r="BS42" i="5" s="1"/>
  <c r="BR42" i="5" a="1"/>
  <c r="BR42" i="5" s="1"/>
  <c r="Z14" i="5" a="1"/>
  <c r="Z14" i="5" s="1"/>
  <c r="BJ14" i="5"/>
  <c r="BR14" i="5" a="1"/>
  <c r="BR14" i="5" s="1"/>
  <c r="BQ14" i="5" a="1"/>
  <c r="BQ14" i="5" s="1"/>
  <c r="BS14" i="5" s="1"/>
  <c r="Z3" i="5" a="1"/>
  <c r="Z3" i="5" s="1"/>
  <c r="BJ3" i="5"/>
  <c r="BQ3" i="5" a="1"/>
  <c r="BQ3" i="5" s="1"/>
  <c r="BS3" i="5" s="1"/>
  <c r="BR3" i="5" a="1"/>
  <c r="BR3" i="5" s="1"/>
  <c r="CA223" i="5"/>
  <c r="CA285" i="5"/>
  <c r="BY285" i="5"/>
  <c r="BY63" i="5"/>
  <c r="BY12" i="5"/>
  <c r="AM272" i="5"/>
  <c r="AP272" i="5" s="1"/>
  <c r="AR272" i="5"/>
  <c r="AS272" i="5"/>
  <c r="AV294" i="5"/>
  <c r="BI294" i="5"/>
  <c r="BM294" i="5"/>
  <c r="AV300" i="5"/>
  <c r="AL33" i="5"/>
  <c r="AU33" i="5"/>
  <c r="AL234" i="5"/>
  <c r="AU234" i="5"/>
  <c r="BH234" i="5" a="1"/>
  <c r="BH234" i="5" s="1"/>
  <c r="AL221" i="5"/>
  <c r="BG221" i="5"/>
  <c r="BH221" i="5" a="1"/>
  <c r="BH221" i="5" s="1"/>
  <c r="AU221" i="5"/>
  <c r="AL195" i="5"/>
  <c r="BH195" i="5" a="1"/>
  <c r="BH195" i="5" s="1"/>
  <c r="AU195" i="5"/>
  <c r="BG195" i="5"/>
  <c r="AL183" i="5"/>
  <c r="AU183" i="5"/>
  <c r="AL434" i="5"/>
  <c r="AU434" i="5"/>
  <c r="AM421" i="5"/>
  <c r="AR421" i="5"/>
  <c r="AS421" i="5"/>
  <c r="AM407" i="5"/>
  <c r="AP407" i="5" s="1"/>
  <c r="AS407" i="5"/>
  <c r="AR407" i="5"/>
  <c r="AV407" i="5"/>
  <c r="AL395" i="5"/>
  <c r="AU395" i="5"/>
  <c r="AL383" i="5"/>
  <c r="AU383" i="5"/>
  <c r="AV150" i="5"/>
  <c r="AL433" i="5"/>
  <c r="AU433" i="5"/>
  <c r="AM172" i="5"/>
  <c r="AP172" i="5" s="1"/>
  <c r="AR172" i="5"/>
  <c r="AS172" i="5"/>
  <c r="AL134" i="5"/>
  <c r="AU134" i="5"/>
  <c r="AV50" i="5"/>
  <c r="AU172" i="5"/>
  <c r="AV172" i="5" s="1"/>
  <c r="AL222" i="5"/>
  <c r="AU222" i="5"/>
  <c r="AM210" i="5"/>
  <c r="AR210" i="5"/>
  <c r="AS210" i="5"/>
  <c r="AV210" i="5"/>
  <c r="AM184" i="5"/>
  <c r="AP184" i="5" s="1"/>
  <c r="AS184" i="5"/>
  <c r="AV184" i="5"/>
  <c r="AL171" i="5"/>
  <c r="AU171" i="5"/>
  <c r="AL145" i="5"/>
  <c r="AU145" i="5"/>
  <c r="AL133" i="5"/>
  <c r="AU133" i="5"/>
  <c r="AL121" i="5"/>
  <c r="AU121" i="5"/>
  <c r="AL34" i="5"/>
  <c r="AU34" i="5"/>
  <c r="AL21" i="5"/>
  <c r="AU21" i="5"/>
  <c r="AK184" i="5"/>
  <c r="AO184" i="5"/>
  <c r="AO92" i="5"/>
  <c r="AK92" i="5"/>
  <c r="AL245" i="5"/>
  <c r="AU245" i="5"/>
  <c r="AL233" i="5"/>
  <c r="AU233" i="5"/>
  <c r="AK102" i="5"/>
  <c r="AO102" i="5"/>
  <c r="AK2" i="5"/>
  <c r="AO2" i="5"/>
  <c r="BG272" i="5"/>
  <c r="AP335" i="5"/>
  <c r="AL322" i="5"/>
  <c r="AU322" i="5"/>
  <c r="AM310" i="5"/>
  <c r="AR310" i="5"/>
  <c r="AS310" i="5"/>
  <c r="AV310" i="5"/>
  <c r="AM284" i="5"/>
  <c r="AP284" i="5" s="1"/>
  <c r="AR284" i="5"/>
  <c r="AV284" i="5"/>
  <c r="AL271" i="5"/>
  <c r="AU271" i="5"/>
  <c r="AL257" i="5"/>
  <c r="AU257" i="5"/>
  <c r="AV400" i="5"/>
  <c r="AL334" i="5"/>
  <c r="AU334" i="5"/>
  <c r="AM321" i="5"/>
  <c r="AP321" i="5" s="1"/>
  <c r="AR321" i="5"/>
  <c r="AS321" i="5"/>
  <c r="AV321" i="5"/>
  <c r="AM307" i="5"/>
  <c r="AP307" i="5" s="1"/>
  <c r="AS307" i="5"/>
  <c r="AV307" i="5"/>
  <c r="AR307" i="5"/>
  <c r="AM295" i="5"/>
  <c r="AP295" i="5" s="1"/>
  <c r="AR295" i="5"/>
  <c r="AS295" i="5"/>
  <c r="AM283" i="5"/>
  <c r="AP283" i="5" s="1"/>
  <c r="AR283" i="5"/>
  <c r="AV283" i="5"/>
  <c r="AS283" i="5"/>
  <c r="AL71" i="5"/>
  <c r="AU71" i="5"/>
  <c r="BH245" i="5" a="1"/>
  <c r="BH245" i="5" s="1"/>
  <c r="AU421" i="5"/>
  <c r="BI421" i="5" s="1"/>
  <c r="AL372" i="5"/>
  <c r="AU372" i="5"/>
  <c r="AL345" i="5"/>
  <c r="AU345" i="5"/>
  <c r="AL333" i="5"/>
  <c r="AU333" i="5"/>
  <c r="AL84" i="5"/>
  <c r="AU84" i="5"/>
  <c r="AU272" i="5"/>
  <c r="AV272" i="5" s="1"/>
  <c r="AL422" i="5"/>
  <c r="AU422" i="5"/>
  <c r="AM410" i="5"/>
  <c r="AR410" i="5"/>
  <c r="AS410" i="5"/>
  <c r="AV410" i="5"/>
  <c r="AL396" i="5"/>
  <c r="AU396" i="5"/>
  <c r="AL384" i="5"/>
  <c r="AU384" i="5"/>
  <c r="AM371" i="5"/>
  <c r="AP371" i="5" s="1"/>
  <c r="AS371" i="5"/>
  <c r="AV371" i="5"/>
  <c r="AR371" i="5"/>
  <c r="AM357" i="5"/>
  <c r="AP357" i="5" s="1"/>
  <c r="AR357" i="5"/>
  <c r="AS357" i="5"/>
  <c r="AV357" i="5"/>
  <c r="AL83" i="5"/>
  <c r="AU83" i="5"/>
  <c r="AP135" i="5"/>
  <c r="AU412" i="5"/>
  <c r="AU362" i="5"/>
  <c r="AU300" i="5"/>
  <c r="BI300" i="5" s="1"/>
  <c r="AU267" i="5"/>
  <c r="AU200" i="5"/>
  <c r="BI200" i="5" s="1"/>
  <c r="AU167" i="5"/>
  <c r="AM440" i="5"/>
  <c r="AR440" i="5"/>
  <c r="AS440" i="5"/>
  <c r="AP426" i="5"/>
  <c r="AS414" i="5"/>
  <c r="AM414" i="5"/>
  <c r="AP414" i="5" s="1"/>
  <c r="AR414" i="5"/>
  <c r="AM402" i="5"/>
  <c r="AR402" i="5"/>
  <c r="AM390" i="5"/>
  <c r="AP390" i="5" s="1"/>
  <c r="AR390" i="5"/>
  <c r="AS390" i="5"/>
  <c r="AM340" i="5"/>
  <c r="AR340" i="5"/>
  <c r="AS340" i="5"/>
  <c r="AM314" i="5"/>
  <c r="AP314" i="5" s="1"/>
  <c r="AS314" i="5"/>
  <c r="AR314" i="5"/>
  <c r="AM302" i="5"/>
  <c r="AP302" i="5" s="1"/>
  <c r="AR302" i="5"/>
  <c r="AR290" i="5"/>
  <c r="AM290" i="5"/>
  <c r="AS290" i="5"/>
  <c r="AM264" i="5"/>
  <c r="AP264" i="5" s="1"/>
  <c r="AS264" i="5"/>
  <c r="AM252" i="5"/>
  <c r="AP252" i="5" s="1"/>
  <c r="AS252" i="5"/>
  <c r="AM240" i="5"/>
  <c r="AR240" i="5"/>
  <c r="AM214" i="5"/>
  <c r="AP214" i="5" s="1"/>
  <c r="AR214" i="5"/>
  <c r="AM190" i="5"/>
  <c r="AR190" i="5"/>
  <c r="AS190" i="5"/>
  <c r="AM140" i="5"/>
  <c r="AR140" i="5"/>
  <c r="AS140" i="5"/>
  <c r="AM114" i="5"/>
  <c r="AP114" i="5" s="1"/>
  <c r="AR114" i="5"/>
  <c r="AS114" i="5"/>
  <c r="AP15" i="5"/>
  <c r="AM4" i="5"/>
  <c r="AP4" i="5" s="1"/>
  <c r="AR4" i="5"/>
  <c r="AS4" i="5"/>
  <c r="AS425" i="5"/>
  <c r="AS402" i="5"/>
  <c r="AS352" i="5"/>
  <c r="AS325" i="5"/>
  <c r="AS302" i="5"/>
  <c r="AR64" i="5"/>
  <c r="AM437" i="5"/>
  <c r="AP437" i="5" s="1"/>
  <c r="AR437" i="5"/>
  <c r="AS437" i="5"/>
  <c r="AP425" i="5"/>
  <c r="AM401" i="5"/>
  <c r="AP401" i="5" s="1"/>
  <c r="AS401" i="5"/>
  <c r="AR401" i="5"/>
  <c r="AM387" i="5"/>
  <c r="AP387" i="5" s="1"/>
  <c r="AR387" i="5"/>
  <c r="AS387" i="5"/>
  <c r="AM375" i="5"/>
  <c r="AP375" i="5" s="1"/>
  <c r="AR375" i="5"/>
  <c r="AM363" i="5"/>
  <c r="AP363" i="5" s="1"/>
  <c r="AR363" i="5"/>
  <c r="AM351" i="5"/>
  <c r="AS351" i="5"/>
  <c r="AM337" i="5"/>
  <c r="AP337" i="5" s="1"/>
  <c r="AR337" i="5"/>
  <c r="AS337" i="5"/>
  <c r="AP325" i="5"/>
  <c r="AM301" i="5"/>
  <c r="AP301" i="5" s="1"/>
  <c r="AS301" i="5"/>
  <c r="AR301" i="5"/>
  <c r="AM287" i="5"/>
  <c r="AP287" i="5" s="1"/>
  <c r="AS287" i="5"/>
  <c r="AR287" i="5"/>
  <c r="AM275" i="5"/>
  <c r="AP275" i="5" s="1"/>
  <c r="AS275" i="5"/>
  <c r="AR275" i="5"/>
  <c r="AM263" i="5"/>
  <c r="AP263" i="5" s="1"/>
  <c r="AR263" i="5"/>
  <c r="AS263" i="5"/>
  <c r="AM237" i="5"/>
  <c r="AP237" i="5" s="1"/>
  <c r="AR237" i="5"/>
  <c r="AP225" i="5"/>
  <c r="AM201" i="5"/>
  <c r="AP201" i="5" s="1"/>
  <c r="AS201" i="5"/>
  <c r="AR201" i="5"/>
  <c r="AM175" i="5"/>
  <c r="AP175" i="5" s="1"/>
  <c r="AR175" i="5"/>
  <c r="AS175" i="5"/>
  <c r="AM163" i="5"/>
  <c r="AP163" i="5" s="1"/>
  <c r="AR163" i="5"/>
  <c r="AS163" i="5"/>
  <c r="AM63" i="5"/>
  <c r="AP63" i="5" s="1"/>
  <c r="AR63" i="5"/>
  <c r="AS63" i="5"/>
  <c r="AM14" i="5"/>
  <c r="AP14" i="5" s="1"/>
  <c r="AR14" i="5"/>
  <c r="AS14" i="5"/>
  <c r="AM3" i="5"/>
  <c r="AR3" i="5"/>
  <c r="AS3" i="5"/>
  <c r="AS113" i="5"/>
  <c r="AR413" i="5"/>
  <c r="AM400" i="5"/>
  <c r="AR400" i="5"/>
  <c r="AS400" i="5"/>
  <c r="AM386" i="5"/>
  <c r="AP386" i="5" s="1"/>
  <c r="AR386" i="5"/>
  <c r="AM362" i="5"/>
  <c r="AP362" i="5" s="1"/>
  <c r="AR362" i="5"/>
  <c r="AM300" i="5"/>
  <c r="AP300" i="5" s="1"/>
  <c r="AR300" i="5"/>
  <c r="AS300" i="5"/>
  <c r="AM224" i="5"/>
  <c r="AP224" i="5" s="1"/>
  <c r="AR224" i="5"/>
  <c r="AR200" i="5"/>
  <c r="AM200" i="5"/>
  <c r="AS200" i="5"/>
  <c r="AR150" i="5"/>
  <c r="AM150" i="5"/>
  <c r="AS150" i="5"/>
  <c r="AM124" i="5"/>
  <c r="AP124" i="5" s="1"/>
  <c r="AR124" i="5"/>
  <c r="AS124" i="5"/>
  <c r="AM74" i="5"/>
  <c r="AP74" i="5" s="1"/>
  <c r="AR74" i="5"/>
  <c r="AS74" i="5"/>
  <c r="AR50" i="5"/>
  <c r="AM50" i="5"/>
  <c r="AS50" i="5"/>
  <c r="AM24" i="5"/>
  <c r="AP24" i="5" s="1"/>
  <c r="AR24" i="5"/>
  <c r="AS24" i="5"/>
  <c r="AS213" i="5"/>
  <c r="AS151" i="5"/>
  <c r="AR412" i="5"/>
  <c r="AO57" i="5"/>
  <c r="AV437" i="5"/>
  <c r="AV387" i="5"/>
  <c r="AV337" i="5"/>
  <c r="AV287" i="5"/>
  <c r="AU297" i="5"/>
  <c r="AU274" i="5"/>
  <c r="AU263" i="5"/>
  <c r="AU197" i="5"/>
  <c r="AU174" i="5"/>
  <c r="AU163" i="5"/>
  <c r="AV163" i="5" s="1"/>
  <c r="AM411" i="5"/>
  <c r="AP411" i="5" s="1"/>
  <c r="AS411" i="5"/>
  <c r="AR411" i="5"/>
  <c r="AM397" i="5"/>
  <c r="AP397" i="5" s="1"/>
  <c r="AS397" i="5"/>
  <c r="AM385" i="5"/>
  <c r="AP385" i="5" s="1"/>
  <c r="AR385" i="5"/>
  <c r="AM373" i="5"/>
  <c r="AP373" i="5" s="1"/>
  <c r="AR373" i="5"/>
  <c r="AM361" i="5"/>
  <c r="AP361" i="5" s="1"/>
  <c r="AR361" i="5"/>
  <c r="AS361" i="5"/>
  <c r="AM347" i="5"/>
  <c r="AP347" i="5" s="1"/>
  <c r="AR347" i="5"/>
  <c r="AS347" i="5"/>
  <c r="AM311" i="5"/>
  <c r="AS311" i="5"/>
  <c r="AR311" i="5"/>
  <c r="AM297" i="5"/>
  <c r="AP297" i="5" s="1"/>
  <c r="AS297" i="5"/>
  <c r="AM285" i="5"/>
  <c r="AP285" i="5" s="1"/>
  <c r="AR285" i="5"/>
  <c r="AS285" i="5"/>
  <c r="AM273" i="5"/>
  <c r="AP273" i="5" s="1"/>
  <c r="AR273" i="5"/>
  <c r="AM261" i="5"/>
  <c r="AP261" i="5" s="1"/>
  <c r="AR261" i="5"/>
  <c r="AM247" i="5"/>
  <c r="AP247" i="5" s="1"/>
  <c r="AR247" i="5"/>
  <c r="AM223" i="5"/>
  <c r="AP223" i="5" s="1"/>
  <c r="AS223" i="5"/>
  <c r="AM211" i="5"/>
  <c r="AP211" i="5" s="1"/>
  <c r="AS211" i="5"/>
  <c r="AR211" i="5"/>
  <c r="AM185" i="5"/>
  <c r="AP185" i="5" s="1"/>
  <c r="AS185" i="5"/>
  <c r="AR185" i="5"/>
  <c r="AM173" i="5"/>
  <c r="AP173" i="5" s="1"/>
  <c r="AR173" i="5"/>
  <c r="AS173" i="5"/>
  <c r="AM161" i="5"/>
  <c r="AP161" i="5" s="1"/>
  <c r="AR161" i="5"/>
  <c r="AS161" i="5"/>
  <c r="AP85" i="5"/>
  <c r="AM73" i="5"/>
  <c r="AP73" i="5" s="1"/>
  <c r="AR73" i="5"/>
  <c r="AS73" i="5"/>
  <c r="AM61" i="5"/>
  <c r="AP61" i="5" s="1"/>
  <c r="AR61" i="5"/>
  <c r="AS61" i="5"/>
  <c r="AS393" i="5"/>
  <c r="AS237" i="5"/>
  <c r="AR442" i="5"/>
  <c r="AR297" i="5"/>
  <c r="AR194" i="5"/>
  <c r="AR123" i="5"/>
  <c r="AO216" i="5"/>
  <c r="AO56" i="5"/>
  <c r="AU117" i="5"/>
  <c r="AO117" i="5"/>
  <c r="AO107" i="5"/>
  <c r="AU107" i="5"/>
  <c r="AO97" i="5"/>
  <c r="AU97" i="5"/>
  <c r="AO87" i="5"/>
  <c r="AU87" i="5"/>
  <c r="AO77" i="5"/>
  <c r="AU77" i="5"/>
  <c r="AO67" i="5"/>
  <c r="AU67" i="5"/>
  <c r="AO47" i="5"/>
  <c r="AU47" i="5"/>
  <c r="AO37" i="5"/>
  <c r="AU37" i="5"/>
  <c r="AU27" i="5"/>
  <c r="AO27" i="5"/>
  <c r="AO17" i="5"/>
  <c r="AU17" i="5"/>
  <c r="AO7" i="5"/>
  <c r="AU7" i="5"/>
  <c r="AJ439" i="5"/>
  <c r="AO439" i="5" s="1"/>
  <c r="AT439" i="5"/>
  <c r="AJ429" i="5"/>
  <c r="AO429" i="5" s="1"/>
  <c r="AT429" i="5"/>
  <c r="AJ419" i="5"/>
  <c r="AO419" i="5" s="1"/>
  <c r="AT419" i="5"/>
  <c r="AJ409" i="5"/>
  <c r="AT409" i="5"/>
  <c r="AJ399" i="5"/>
  <c r="AT399" i="5"/>
  <c r="AJ389" i="5"/>
  <c r="AO389" i="5" s="1"/>
  <c r="AT389" i="5"/>
  <c r="AJ379" i="5"/>
  <c r="AO379" i="5" s="1"/>
  <c r="AT379" i="5"/>
  <c r="AJ369" i="5"/>
  <c r="AO369" i="5" s="1"/>
  <c r="AT369" i="5"/>
  <c r="AJ359" i="5"/>
  <c r="AO359" i="5" s="1"/>
  <c r="AT359" i="5"/>
  <c r="AJ349" i="5"/>
  <c r="AT349" i="5"/>
  <c r="AJ339" i="5"/>
  <c r="AO339" i="5" s="1"/>
  <c r="AT339" i="5"/>
  <c r="AJ329" i="5"/>
  <c r="AT329" i="5"/>
  <c r="AJ319" i="5"/>
  <c r="AO319" i="5" s="1"/>
  <c r="AT319" i="5"/>
  <c r="AJ309" i="5"/>
  <c r="AT309" i="5"/>
  <c r="AJ299" i="5"/>
  <c r="AT299" i="5"/>
  <c r="AJ289" i="5"/>
  <c r="AO289" i="5" s="1"/>
  <c r="AT289" i="5"/>
  <c r="AJ279" i="5"/>
  <c r="AO279" i="5" s="1"/>
  <c r="AT279" i="5"/>
  <c r="AJ269" i="5"/>
  <c r="AO269" i="5" s="1"/>
  <c r="AT269" i="5"/>
  <c r="AJ259" i="5"/>
  <c r="AO259" i="5" s="1"/>
  <c r="AT259" i="5"/>
  <c r="AJ249" i="5"/>
  <c r="AO249" i="5" s="1"/>
  <c r="AT249" i="5"/>
  <c r="AJ239" i="5"/>
  <c r="AO239" i="5" s="1"/>
  <c r="AT239" i="5"/>
  <c r="AJ229" i="5"/>
  <c r="AO229" i="5" s="1"/>
  <c r="AT229" i="5"/>
  <c r="AJ219" i="5"/>
  <c r="AO219" i="5" s="1"/>
  <c r="AT219" i="5"/>
  <c r="AJ209" i="5"/>
  <c r="AT209" i="5"/>
  <c r="AJ199" i="5"/>
  <c r="AT199" i="5"/>
  <c r="AJ189" i="5"/>
  <c r="AO189" i="5" s="1"/>
  <c r="AT189" i="5"/>
  <c r="AJ179" i="5"/>
  <c r="AO179" i="5" s="1"/>
  <c r="AT179" i="5"/>
  <c r="AJ169" i="5"/>
  <c r="AO169" i="5" s="1"/>
  <c r="AT169" i="5"/>
  <c r="AO316" i="5"/>
  <c r="AU316" i="5"/>
  <c r="AO306" i="5"/>
  <c r="AU306" i="5"/>
  <c r="AO286" i="5"/>
  <c r="AU286" i="5"/>
  <c r="AO276" i="5"/>
  <c r="AU276" i="5"/>
  <c r="AU266" i="5"/>
  <c r="AO266" i="5"/>
  <c r="AO256" i="5"/>
  <c r="AU256" i="5"/>
  <c r="AO236" i="5"/>
  <c r="AU236" i="5"/>
  <c r="AO226" i="5"/>
  <c r="AU226" i="5"/>
  <c r="AO206" i="5"/>
  <c r="AU206" i="5"/>
  <c r="AO196" i="5"/>
  <c r="AU196" i="5"/>
  <c r="AO186" i="5"/>
  <c r="AU186" i="5"/>
  <c r="AO176" i="5"/>
  <c r="AU176" i="5"/>
  <c r="AO166" i="5"/>
  <c r="AU166" i="5"/>
  <c r="AO156" i="5"/>
  <c r="AU156" i="5"/>
  <c r="AU146" i="5"/>
  <c r="AO146" i="5"/>
  <c r="AU136" i="5"/>
  <c r="AO136" i="5"/>
  <c r="AO126" i="5"/>
  <c r="AU126" i="5"/>
  <c r="AU116" i="5"/>
  <c r="AO116" i="5"/>
  <c r="AO106" i="5"/>
  <c r="AU106" i="5"/>
  <c r="AO96" i="5"/>
  <c r="AU96" i="5"/>
  <c r="AO86" i="5"/>
  <c r="AU86" i="5"/>
  <c r="AO76" i="5"/>
  <c r="AU76" i="5"/>
  <c r="AO66" i="5"/>
  <c r="AU66" i="5"/>
  <c r="AO46" i="5"/>
  <c r="AU46" i="5"/>
  <c r="AO36" i="5"/>
  <c r="AU36" i="5"/>
  <c r="AO26" i="5"/>
  <c r="AU26" i="5"/>
  <c r="AO16" i="5"/>
  <c r="AU16" i="5"/>
  <c r="AO6" i="5"/>
  <c r="AU6" i="5"/>
  <c r="AJ438" i="5"/>
  <c r="AO438" i="5" s="1"/>
  <c r="AT438" i="5"/>
  <c r="AJ428" i="5"/>
  <c r="AT428" i="5"/>
  <c r="AJ418" i="5"/>
  <c r="AO418" i="5" s="1"/>
  <c r="AT418" i="5"/>
  <c r="AJ408" i="5"/>
  <c r="AT408" i="5"/>
  <c r="AJ398" i="5"/>
  <c r="AO398" i="5" s="1"/>
  <c r="AT398" i="5"/>
  <c r="AJ388" i="5"/>
  <c r="AT388" i="5"/>
  <c r="AJ378" i="5"/>
  <c r="AO378" i="5" s="1"/>
  <c r="AT378" i="5"/>
  <c r="AJ368" i="5"/>
  <c r="AO368" i="5" s="1"/>
  <c r="AT368" i="5"/>
  <c r="AJ358" i="5"/>
  <c r="AO358" i="5" s="1"/>
  <c r="AT358" i="5"/>
  <c r="AJ348" i="5"/>
  <c r="AO348" i="5" s="1"/>
  <c r="AT348" i="5"/>
  <c r="AJ338" i="5"/>
  <c r="AT338" i="5"/>
  <c r="AJ328" i="5"/>
  <c r="AT328" i="5"/>
  <c r="AJ318" i="5"/>
  <c r="AO318" i="5" s="1"/>
  <c r="AT318" i="5"/>
  <c r="AJ308" i="5"/>
  <c r="AT308" i="5"/>
  <c r="AJ298" i="5"/>
  <c r="AO298" i="5" s="1"/>
  <c r="AT298" i="5"/>
  <c r="AJ288" i="5"/>
  <c r="AO288" i="5" s="1"/>
  <c r="AT288" i="5"/>
  <c r="AJ278" i="5"/>
  <c r="AO278" i="5" s="1"/>
  <c r="AT278" i="5"/>
  <c r="AJ268" i="5"/>
  <c r="AO268" i="5" s="1"/>
  <c r="AT268" i="5"/>
  <c r="AJ258" i="5"/>
  <c r="AO258" i="5" s="1"/>
  <c r="AT258" i="5"/>
  <c r="AJ248" i="5"/>
  <c r="AO248" i="5" s="1"/>
  <c r="AT248" i="5"/>
  <c r="AJ238" i="5"/>
  <c r="AO238" i="5" s="1"/>
  <c r="AT238" i="5"/>
  <c r="AJ228" i="5"/>
  <c r="AT228" i="5"/>
  <c r="AJ218" i="5"/>
  <c r="AO218" i="5" s="1"/>
  <c r="AT218" i="5"/>
  <c r="AJ208" i="5"/>
  <c r="AT208" i="5"/>
  <c r="AJ198" i="5"/>
  <c r="AO198" i="5" s="1"/>
  <c r="AT198" i="5"/>
  <c r="AJ188" i="5"/>
  <c r="AT188" i="5"/>
  <c r="AJ178" i="5"/>
  <c r="AO178" i="5" s="1"/>
  <c r="AT178" i="5"/>
  <c r="AJ168" i="5"/>
  <c r="AO168" i="5" s="1"/>
  <c r="AT168" i="5"/>
  <c r="AJ158" i="5"/>
  <c r="AO158" i="5" s="1"/>
  <c r="AT158" i="5"/>
  <c r="AJ148" i="5"/>
  <c r="AO148" i="5" s="1"/>
  <c r="AT148" i="5"/>
  <c r="AJ138" i="5"/>
  <c r="AT138" i="5"/>
  <c r="AJ128" i="5"/>
  <c r="AT128" i="5"/>
  <c r="AJ118" i="5"/>
  <c r="AO118" i="5" s="1"/>
  <c r="AT118" i="5"/>
  <c r="AJ108" i="5"/>
  <c r="AT108" i="5"/>
  <c r="AJ98" i="5"/>
  <c r="AO98" i="5" s="1"/>
  <c r="AT98" i="5"/>
  <c r="AJ88" i="5"/>
  <c r="AO88" i="5" s="1"/>
  <c r="AT88" i="5"/>
  <c r="AJ78" i="5"/>
  <c r="AO78" i="5" s="1"/>
  <c r="AT78" i="5"/>
  <c r="AJ68" i="5"/>
  <c r="AO68" i="5" s="1"/>
  <c r="AT68" i="5"/>
  <c r="AJ58" i="5"/>
  <c r="AO58" i="5" s="1"/>
  <c r="AT58" i="5"/>
  <c r="AJ48" i="5"/>
  <c r="AO48" i="5" s="1"/>
  <c r="AT48" i="5"/>
  <c r="AU436" i="5"/>
  <c r="AU426" i="5"/>
  <c r="AU416" i="5"/>
  <c r="AU406" i="5"/>
  <c r="AU386" i="5"/>
  <c r="AU376" i="5"/>
  <c r="AU366" i="5"/>
  <c r="AU356" i="5"/>
  <c r="AU346" i="5"/>
  <c r="AU336" i="5"/>
  <c r="AU326" i="5"/>
  <c r="AU227" i="5"/>
  <c r="AU127" i="5"/>
  <c r="AU14" i="5"/>
  <c r="AV14" i="5" s="1"/>
  <c r="AM432" i="5"/>
  <c r="AR432" i="5"/>
  <c r="AM420" i="5"/>
  <c r="AP420" i="5" s="1"/>
  <c r="AR420" i="5"/>
  <c r="AS420" i="5"/>
  <c r="AP406" i="5"/>
  <c r="AM394" i="5"/>
  <c r="AP394" i="5" s="1"/>
  <c r="AS394" i="5"/>
  <c r="AM382" i="5"/>
  <c r="AR382" i="5"/>
  <c r="AM370" i="5"/>
  <c r="AP370" i="5" s="1"/>
  <c r="AR370" i="5"/>
  <c r="AS370" i="5"/>
  <c r="AP356" i="5"/>
  <c r="AM344" i="5"/>
  <c r="AP344" i="5" s="1"/>
  <c r="AR344" i="5"/>
  <c r="AS344" i="5"/>
  <c r="AM320" i="5"/>
  <c r="AR320" i="5"/>
  <c r="AS320" i="5"/>
  <c r="AP294" i="5"/>
  <c r="AM270" i="5"/>
  <c r="AR270" i="5"/>
  <c r="AM244" i="5"/>
  <c r="AP244" i="5" s="1"/>
  <c r="AR244" i="5"/>
  <c r="AS244" i="5"/>
  <c r="AM232" i="5"/>
  <c r="AP232" i="5" s="1"/>
  <c r="AR232" i="5"/>
  <c r="AS232" i="5"/>
  <c r="AM220" i="5"/>
  <c r="AR220" i="5"/>
  <c r="AS220" i="5"/>
  <c r="AM182" i="5"/>
  <c r="AP182" i="5" s="1"/>
  <c r="AR182" i="5"/>
  <c r="AM170" i="5"/>
  <c r="AP170" i="5" s="1"/>
  <c r="AR170" i="5"/>
  <c r="AM144" i="5"/>
  <c r="AP144" i="5" s="1"/>
  <c r="AR144" i="5"/>
  <c r="AS144" i="5"/>
  <c r="AM120" i="5"/>
  <c r="AP120" i="5" s="1"/>
  <c r="AR120" i="5"/>
  <c r="AS120" i="5"/>
  <c r="AM44" i="5"/>
  <c r="AP44" i="5" s="1"/>
  <c r="AR44" i="5"/>
  <c r="AS44" i="5"/>
  <c r="AM20" i="5"/>
  <c r="AR20" i="5"/>
  <c r="AS20" i="5"/>
  <c r="AS435" i="5"/>
  <c r="AS412" i="5"/>
  <c r="AS385" i="5"/>
  <c r="AS362" i="5"/>
  <c r="AS335" i="5"/>
  <c r="AS170" i="5"/>
  <c r="AS64" i="5"/>
  <c r="AR435" i="5"/>
  <c r="AR325" i="5"/>
  <c r="AR151" i="5"/>
  <c r="AO246" i="5"/>
  <c r="AV413" i="5"/>
  <c r="AV363" i="5"/>
  <c r="AV3" i="5"/>
  <c r="AU425" i="5"/>
  <c r="AU375" i="5"/>
  <c r="AU325" i="5"/>
  <c r="AU237" i="5"/>
  <c r="AV237" i="5" s="1"/>
  <c r="AU225" i="5"/>
  <c r="AU137" i="5"/>
  <c r="AU113" i="5"/>
  <c r="BI113" i="5" s="1"/>
  <c r="AU63" i="5"/>
  <c r="AV63" i="5" s="1"/>
  <c r="AU13" i="5"/>
  <c r="BI13" i="5" s="1"/>
  <c r="AM443" i="5"/>
  <c r="AP443" i="5" s="1"/>
  <c r="AR443" i="5"/>
  <c r="AM417" i="5"/>
  <c r="AP417" i="5" s="1"/>
  <c r="AR417" i="5"/>
  <c r="AS417" i="5"/>
  <c r="AM405" i="5"/>
  <c r="AP405" i="5" s="1"/>
  <c r="AR405" i="5"/>
  <c r="AM381" i="5"/>
  <c r="AP381" i="5" s="1"/>
  <c r="AS381" i="5"/>
  <c r="AM367" i="5"/>
  <c r="AP367" i="5" s="1"/>
  <c r="AS367" i="5"/>
  <c r="AM343" i="5"/>
  <c r="AP343" i="5" s="1"/>
  <c r="AR343" i="5"/>
  <c r="AR331" i="5"/>
  <c r="AM331" i="5"/>
  <c r="AS331" i="5"/>
  <c r="AM317" i="5"/>
  <c r="AP317" i="5" s="1"/>
  <c r="AR317" i="5"/>
  <c r="AS317" i="5"/>
  <c r="AM305" i="5"/>
  <c r="AP305" i="5" s="1"/>
  <c r="AR305" i="5"/>
  <c r="AM293" i="5"/>
  <c r="AS293" i="5"/>
  <c r="AM267" i="5"/>
  <c r="AP267" i="5" s="1"/>
  <c r="AS267" i="5"/>
  <c r="AM255" i="5"/>
  <c r="AP255" i="5" s="1"/>
  <c r="AS255" i="5"/>
  <c r="AM243" i="5"/>
  <c r="AP243" i="5" s="1"/>
  <c r="AS243" i="5"/>
  <c r="AR243" i="5"/>
  <c r="AM231" i="5"/>
  <c r="AP231" i="5" s="1"/>
  <c r="AR231" i="5"/>
  <c r="AS231" i="5"/>
  <c r="AR217" i="5"/>
  <c r="AM217" i="5"/>
  <c r="AP217" i="5" s="1"/>
  <c r="AM205" i="5"/>
  <c r="AP205" i="5" s="1"/>
  <c r="AR205" i="5"/>
  <c r="AM193" i="5"/>
  <c r="AP193" i="5" s="1"/>
  <c r="AS193" i="5"/>
  <c r="AM181" i="5"/>
  <c r="AP181" i="5" s="1"/>
  <c r="AS181" i="5"/>
  <c r="AP155" i="5"/>
  <c r="AM143" i="5"/>
  <c r="AP143" i="5" s="1"/>
  <c r="AR143" i="5"/>
  <c r="AS143" i="5"/>
  <c r="AR131" i="5"/>
  <c r="AS131" i="5"/>
  <c r="AP55" i="5"/>
  <c r="AM43" i="5"/>
  <c r="AP43" i="5" s="1"/>
  <c r="AR43" i="5"/>
  <c r="AS43" i="5"/>
  <c r="AM31" i="5"/>
  <c r="AP31" i="5" s="1"/>
  <c r="AR31" i="5"/>
  <c r="AS31" i="5"/>
  <c r="AS406" i="5"/>
  <c r="AS281" i="5"/>
  <c r="AS251" i="5"/>
  <c r="AS225" i="5"/>
  <c r="AS165" i="5"/>
  <c r="AS94" i="5"/>
  <c r="AS23" i="5"/>
  <c r="AR426" i="5"/>
  <c r="AR394" i="5"/>
  <c r="AR355" i="5"/>
  <c r="AR323" i="5"/>
  <c r="AR252" i="5"/>
  <c r="AR213" i="5"/>
  <c r="AR181" i="5"/>
  <c r="AR41" i="5"/>
  <c r="AM131" i="5"/>
  <c r="AP131" i="5" s="1"/>
  <c r="AV412" i="5"/>
  <c r="AV362" i="5"/>
  <c r="AU424" i="5"/>
  <c r="AU414" i="5"/>
  <c r="AU374" i="5"/>
  <c r="AU364" i="5"/>
  <c r="AU324" i="5"/>
  <c r="AU313" i="5"/>
  <c r="AU247" i="5"/>
  <c r="AU224" i="5"/>
  <c r="AU213" i="5"/>
  <c r="AU147" i="5"/>
  <c r="AU124" i="5"/>
  <c r="AV124" i="5" s="1"/>
  <c r="AU74" i="5"/>
  <c r="AV74" i="5" s="1"/>
  <c r="AU50" i="5"/>
  <c r="BI50" i="5" s="1"/>
  <c r="AU24" i="5"/>
  <c r="AM416" i="5"/>
  <c r="AP416" i="5" s="1"/>
  <c r="AR416" i="5"/>
  <c r="AM392" i="5"/>
  <c r="AP392" i="5" s="1"/>
  <c r="AR392" i="5"/>
  <c r="AM366" i="5"/>
  <c r="AP366" i="5" s="1"/>
  <c r="AR366" i="5"/>
  <c r="AM354" i="5"/>
  <c r="AP354" i="5" s="1"/>
  <c r="AS354" i="5"/>
  <c r="AM304" i="5"/>
  <c r="AP304" i="5" s="1"/>
  <c r="AR304" i="5"/>
  <c r="AS304" i="5"/>
  <c r="AM292" i="5"/>
  <c r="AP292" i="5" s="1"/>
  <c r="AR292" i="5"/>
  <c r="AM254" i="5"/>
  <c r="AP254" i="5" s="1"/>
  <c r="AS254" i="5"/>
  <c r="AM204" i="5"/>
  <c r="AP204" i="5" s="1"/>
  <c r="AR204" i="5"/>
  <c r="AS204" i="5"/>
  <c r="AM192" i="5"/>
  <c r="AP192" i="5" s="1"/>
  <c r="AR192" i="5"/>
  <c r="AP154" i="5"/>
  <c r="AM130" i="5"/>
  <c r="AR130" i="5"/>
  <c r="AS130" i="5"/>
  <c r="AM104" i="5"/>
  <c r="AP104" i="5" s="1"/>
  <c r="AR104" i="5"/>
  <c r="AS104" i="5"/>
  <c r="AP54" i="5"/>
  <c r="AS432" i="5"/>
  <c r="AS405" i="5"/>
  <c r="AS382" i="5"/>
  <c r="AS355" i="5"/>
  <c r="AS305" i="5"/>
  <c r="AS224" i="5"/>
  <c r="AS194" i="5"/>
  <c r="AS164" i="5"/>
  <c r="AS93" i="5"/>
  <c r="AS54" i="5"/>
  <c r="AR425" i="5"/>
  <c r="AR393" i="5"/>
  <c r="AR354" i="5"/>
  <c r="AR251" i="5"/>
  <c r="AR141" i="5"/>
  <c r="AV401" i="5"/>
  <c r="AV351" i="5"/>
  <c r="AV301" i="5"/>
  <c r="AV251" i="5"/>
  <c r="AV201" i="5"/>
  <c r="AV151" i="5"/>
  <c r="AU423" i="5"/>
  <c r="AU413" i="5"/>
  <c r="AU373" i="5"/>
  <c r="AU363" i="5"/>
  <c r="AU312" i="5"/>
  <c r="AU301" i="5"/>
  <c r="AU212" i="5"/>
  <c r="AU201" i="5"/>
  <c r="AU157" i="5"/>
  <c r="AM427" i="5"/>
  <c r="AP427" i="5" s="1"/>
  <c r="AR427" i="5"/>
  <c r="AS427" i="5"/>
  <c r="AR415" i="5"/>
  <c r="AM415" i="5"/>
  <c r="AP415" i="5" s="1"/>
  <c r="AM403" i="5"/>
  <c r="AP403" i="5" s="1"/>
  <c r="AR403" i="5"/>
  <c r="AM391" i="5"/>
  <c r="AP391" i="5" s="1"/>
  <c r="AR391" i="5"/>
  <c r="AS391" i="5"/>
  <c r="AM377" i="5"/>
  <c r="AP377" i="5" s="1"/>
  <c r="AS377" i="5"/>
  <c r="AP365" i="5"/>
  <c r="AM353" i="5"/>
  <c r="AR353" i="5"/>
  <c r="AM341" i="5"/>
  <c r="AP341" i="5" s="1"/>
  <c r="AS341" i="5"/>
  <c r="AM327" i="5"/>
  <c r="AP327" i="5" s="1"/>
  <c r="AR327" i="5"/>
  <c r="AS327" i="5"/>
  <c r="AM315" i="5"/>
  <c r="AP315" i="5" s="1"/>
  <c r="AR315" i="5"/>
  <c r="AM303" i="5"/>
  <c r="AP303" i="5" s="1"/>
  <c r="AR303" i="5"/>
  <c r="AM291" i="5"/>
  <c r="AP291" i="5" s="1"/>
  <c r="AR291" i="5"/>
  <c r="AM277" i="5"/>
  <c r="AP277" i="5" s="1"/>
  <c r="AS277" i="5"/>
  <c r="AM265" i="5"/>
  <c r="AP265" i="5" s="1"/>
  <c r="AS265" i="5"/>
  <c r="AM253" i="5"/>
  <c r="AP253" i="5" s="1"/>
  <c r="AS253" i="5"/>
  <c r="AR253" i="5"/>
  <c r="AM241" i="5"/>
  <c r="AP241" i="5" s="1"/>
  <c r="AS241" i="5"/>
  <c r="AM227" i="5"/>
  <c r="AP227" i="5" s="1"/>
  <c r="AS227" i="5"/>
  <c r="AR227" i="5"/>
  <c r="AM215" i="5"/>
  <c r="AP215" i="5" s="1"/>
  <c r="AR215" i="5"/>
  <c r="AS215" i="5"/>
  <c r="AM203" i="5"/>
  <c r="AP203" i="5" s="1"/>
  <c r="AR203" i="5"/>
  <c r="AM191" i="5"/>
  <c r="AP191" i="5" s="1"/>
  <c r="AR191" i="5"/>
  <c r="AM153" i="5"/>
  <c r="AP153" i="5" s="1"/>
  <c r="AR153" i="5"/>
  <c r="AS153" i="5"/>
  <c r="AM103" i="5"/>
  <c r="AR103" i="5"/>
  <c r="AS103" i="5"/>
  <c r="AM91" i="5"/>
  <c r="AP91" i="5" s="1"/>
  <c r="AR91" i="5"/>
  <c r="AS91" i="5"/>
  <c r="AM77" i="5"/>
  <c r="AP77" i="5" s="1"/>
  <c r="AS77" i="5"/>
  <c r="AM53" i="5"/>
  <c r="AP53" i="5" s="1"/>
  <c r="AR53" i="5"/>
  <c r="AS53" i="5"/>
  <c r="AS426" i="5"/>
  <c r="AS403" i="5"/>
  <c r="AS376" i="5"/>
  <c r="AS353" i="5"/>
  <c r="AS303" i="5"/>
  <c r="AS273" i="5"/>
  <c r="AS192" i="5"/>
  <c r="AS155" i="5"/>
  <c r="AS123" i="5"/>
  <c r="AS13" i="5"/>
  <c r="AR423" i="5"/>
  <c r="AR352" i="5"/>
  <c r="AR313" i="5"/>
  <c r="AR281" i="5"/>
  <c r="AP115" i="5"/>
  <c r="AP75" i="5"/>
  <c r="AP45" i="5"/>
  <c r="AP25" i="5"/>
  <c r="AP5" i="5"/>
  <c r="AS197" i="5"/>
  <c r="AS85" i="5"/>
  <c r="AS72" i="5"/>
  <c r="AR356" i="5"/>
  <c r="AR85" i="5"/>
  <c r="AR72" i="5"/>
  <c r="AO441" i="5"/>
  <c r="Z439" i="5" a="1"/>
  <c r="Z439" i="5" s="1"/>
  <c r="Z429" i="5" a="1"/>
  <c r="Z429" i="5" s="1"/>
  <c r="Z419" i="5" a="1"/>
  <c r="Z419" i="5" s="1"/>
  <c r="Z409" i="5" a="1"/>
  <c r="Z409" i="5" s="1"/>
  <c r="Z399" i="5" a="1"/>
  <c r="Z399" i="5" s="1"/>
  <c r="Z389" i="5" a="1"/>
  <c r="Z389" i="5" s="1"/>
  <c r="Z379" i="5" a="1"/>
  <c r="Z379" i="5" s="1"/>
  <c r="Z369" i="5" a="1"/>
  <c r="Z369" i="5" s="1"/>
  <c r="Z359" i="5" a="1"/>
  <c r="Z359" i="5" s="1"/>
  <c r="Z349" i="5" a="1"/>
  <c r="Z349" i="5" s="1"/>
  <c r="Z339" i="5" a="1"/>
  <c r="Z339" i="5" s="1"/>
  <c r="Z329" i="5" a="1"/>
  <c r="Z329" i="5" s="1"/>
  <c r="Z319" i="5" a="1"/>
  <c r="Z319" i="5" s="1"/>
  <c r="AS95" i="5"/>
  <c r="AS82" i="5"/>
  <c r="AR95" i="5"/>
  <c r="AR82" i="5"/>
  <c r="AK431" i="5"/>
  <c r="AO431" i="5"/>
  <c r="AK391" i="5"/>
  <c r="AO391" i="5"/>
  <c r="AK371" i="5"/>
  <c r="AO371" i="5"/>
  <c r="AK351" i="5"/>
  <c r="AO351" i="5"/>
  <c r="AK331" i="5"/>
  <c r="AO331" i="5"/>
  <c r="AO311" i="5"/>
  <c r="AK311" i="5"/>
  <c r="AK440" i="5"/>
  <c r="AO440" i="5"/>
  <c r="AK420" i="5"/>
  <c r="AO420" i="5"/>
  <c r="AK410" i="5"/>
  <c r="AO410" i="5"/>
  <c r="AK400" i="5"/>
  <c r="AO400" i="5"/>
  <c r="AK390" i="5"/>
  <c r="AO390" i="5"/>
  <c r="AK370" i="5"/>
  <c r="AO370" i="5"/>
  <c r="AK340" i="5"/>
  <c r="AO340" i="5"/>
  <c r="AK320" i="5"/>
  <c r="AO320" i="5"/>
  <c r="AK310" i="5"/>
  <c r="AO310" i="5"/>
  <c r="AK300" i="5"/>
  <c r="AO300" i="5"/>
  <c r="AK290" i="5"/>
  <c r="AO290" i="5"/>
  <c r="AK270" i="5"/>
  <c r="AO270" i="5"/>
  <c r="AK240" i="5"/>
  <c r="AO240" i="5"/>
  <c r="AK220" i="5"/>
  <c r="AO220" i="5"/>
  <c r="AK210" i="5"/>
  <c r="AO210" i="5"/>
  <c r="AK200" i="5"/>
  <c r="AO200" i="5"/>
  <c r="AT159" i="5"/>
  <c r="AT149" i="5"/>
  <c r="AT139" i="5"/>
  <c r="AT129" i="5"/>
  <c r="AT119" i="5"/>
  <c r="AT109" i="5"/>
  <c r="AT99" i="5"/>
  <c r="AT89" i="5"/>
  <c r="AT79" i="5"/>
  <c r="AT69" i="5"/>
  <c r="AT59" i="5"/>
  <c r="AT49" i="5"/>
  <c r="AT39" i="5"/>
  <c r="AT29" i="5"/>
  <c r="AM9" i="5"/>
  <c r="AR9" i="5"/>
  <c r="AS177" i="5"/>
  <c r="AS105" i="5"/>
  <c r="AS5" i="5"/>
  <c r="AR105" i="5"/>
  <c r="AR5" i="5"/>
  <c r="AO421" i="5"/>
  <c r="AT38" i="5"/>
  <c r="AT28" i="5"/>
  <c r="AT18" i="5"/>
  <c r="AT8" i="5"/>
  <c r="AS75" i="5"/>
  <c r="AR346" i="5"/>
  <c r="AR75" i="5"/>
  <c r="AP197" i="5"/>
  <c r="AP187" i="5"/>
  <c r="AM167" i="5"/>
  <c r="AP167" i="5" s="1"/>
  <c r="AS167" i="5"/>
  <c r="AM157" i="5"/>
  <c r="AP157" i="5" s="1"/>
  <c r="AS157" i="5"/>
  <c r="AM147" i="5"/>
  <c r="AP147" i="5" s="1"/>
  <c r="AS147" i="5"/>
  <c r="AM137" i="5"/>
  <c r="AP137" i="5" s="1"/>
  <c r="AS137" i="5"/>
  <c r="AM127" i="5"/>
  <c r="AP127" i="5" s="1"/>
  <c r="AS127" i="5"/>
  <c r="AS117" i="5"/>
  <c r="AM117" i="5"/>
  <c r="AM107" i="5"/>
  <c r="AS107" i="5"/>
  <c r="AM97" i="5"/>
  <c r="AS97" i="5"/>
  <c r="AM87" i="5"/>
  <c r="AS87" i="5"/>
  <c r="AS67" i="5"/>
  <c r="AM67" i="5"/>
  <c r="AM57" i="5"/>
  <c r="AS57" i="5"/>
  <c r="AM47" i="5"/>
  <c r="AS47" i="5"/>
  <c r="AM37" i="5"/>
  <c r="AS37" i="5"/>
  <c r="AM27" i="5"/>
  <c r="AP27" i="5" s="1"/>
  <c r="AS27" i="5"/>
  <c r="AM17" i="5"/>
  <c r="AS17" i="5"/>
  <c r="AM7" i="5"/>
  <c r="AS7" i="5"/>
  <c r="AS187" i="5"/>
  <c r="AS45" i="5"/>
  <c r="AR316" i="5"/>
  <c r="AR187" i="5"/>
  <c r="AR87" i="5"/>
  <c r="AR45" i="5"/>
  <c r="AO353" i="5"/>
  <c r="AK411" i="5"/>
  <c r="AP346" i="5"/>
  <c r="AP336" i="5"/>
  <c r="AP306" i="5"/>
  <c r="AM296" i="5"/>
  <c r="AP296" i="5" s="1"/>
  <c r="AS296" i="5"/>
  <c r="AM286" i="5"/>
  <c r="AS286" i="5"/>
  <c r="AM276" i="5"/>
  <c r="AS276" i="5"/>
  <c r="AM266" i="5"/>
  <c r="AS266" i="5"/>
  <c r="AM256" i="5"/>
  <c r="AS256" i="5"/>
  <c r="AM246" i="5"/>
  <c r="AS246" i="5"/>
  <c r="AM236" i="5"/>
  <c r="AS236" i="5"/>
  <c r="AM226" i="5"/>
  <c r="AS226" i="5"/>
  <c r="AM216" i="5"/>
  <c r="AS216" i="5"/>
  <c r="AM206" i="5"/>
  <c r="AP206" i="5" s="1"/>
  <c r="AS206" i="5"/>
  <c r="AM196" i="5"/>
  <c r="AS196" i="5"/>
  <c r="AM186" i="5"/>
  <c r="AS186" i="5"/>
  <c r="AM176" i="5"/>
  <c r="AS176" i="5"/>
  <c r="AM166" i="5"/>
  <c r="AS166" i="5"/>
  <c r="AM156" i="5"/>
  <c r="AP156" i="5" s="1"/>
  <c r="AS156" i="5"/>
  <c r="AM146" i="5"/>
  <c r="AS146" i="5"/>
  <c r="AM136" i="5"/>
  <c r="AS136" i="5"/>
  <c r="AM126" i="5"/>
  <c r="AS126" i="5"/>
  <c r="AM116" i="5"/>
  <c r="AS116" i="5"/>
  <c r="AM106" i="5"/>
  <c r="AP106" i="5" s="1"/>
  <c r="AS106" i="5"/>
  <c r="AM96" i="5"/>
  <c r="AS96" i="5"/>
  <c r="AM86" i="5"/>
  <c r="AS86" i="5"/>
  <c r="AM76" i="5"/>
  <c r="AS76" i="5"/>
  <c r="AM66" i="5"/>
  <c r="AS66" i="5"/>
  <c r="AM56" i="5"/>
  <c r="AP56" i="5" s="1"/>
  <c r="AS56" i="5"/>
  <c r="AM46" i="5"/>
  <c r="AS46" i="5"/>
  <c r="AM36" i="5"/>
  <c r="AS36" i="5"/>
  <c r="AM26" i="5"/>
  <c r="AS26" i="5"/>
  <c r="AM16" i="5"/>
  <c r="AS16" i="5"/>
  <c r="AM6" i="5"/>
  <c r="AS6" i="5"/>
  <c r="AS115" i="5"/>
  <c r="AS102" i="5"/>
  <c r="AS15" i="5"/>
  <c r="AS2" i="5"/>
  <c r="AR286" i="5"/>
  <c r="AR186" i="5"/>
  <c r="AR157" i="5"/>
  <c r="AR115" i="5"/>
  <c r="AR102" i="5"/>
  <c r="AR86" i="5"/>
  <c r="AR57" i="5"/>
  <c r="AR15" i="5"/>
  <c r="AR2" i="5"/>
  <c r="AK190" i="5"/>
  <c r="AO190" i="5"/>
  <c r="AK170" i="5"/>
  <c r="AO170" i="5"/>
  <c r="AK150" i="5"/>
  <c r="AO150" i="5"/>
  <c r="AK140" i="5"/>
  <c r="AO140" i="5"/>
  <c r="AK130" i="5"/>
  <c r="AO130" i="5"/>
  <c r="AK120" i="5"/>
  <c r="AO120" i="5"/>
  <c r="AK50" i="5"/>
  <c r="AO50" i="5"/>
  <c r="AK20" i="5"/>
  <c r="AO20" i="5"/>
  <c r="AO293" i="5"/>
  <c r="AO113" i="5"/>
  <c r="AP113" i="5" s="1"/>
  <c r="AO103" i="5"/>
  <c r="AO13" i="5"/>
  <c r="AP13" i="5" s="1"/>
  <c r="AO3" i="5"/>
  <c r="AO409" i="5"/>
  <c r="AO399" i="5"/>
  <c r="AO349" i="5"/>
  <c r="AO329" i="5"/>
  <c r="AO309" i="5"/>
  <c r="AO299" i="5"/>
  <c r="AO209" i="5"/>
  <c r="AO199" i="5"/>
  <c r="AO159" i="5"/>
  <c r="AO149" i="5"/>
  <c r="AO139" i="5"/>
  <c r="AO129" i="5"/>
  <c r="AO119" i="5"/>
  <c r="AO109" i="5"/>
  <c r="AO99" i="5"/>
  <c r="AO89" i="5"/>
  <c r="AO79" i="5"/>
  <c r="AO69" i="5"/>
  <c r="AO59" i="5"/>
  <c r="AO49" i="5"/>
  <c r="AO39" i="5"/>
  <c r="AO29" i="5"/>
  <c r="AO19" i="5"/>
  <c r="AO9" i="5"/>
  <c r="AO428" i="5"/>
  <c r="AO408" i="5"/>
  <c r="AO388" i="5"/>
  <c r="AO338" i="5"/>
  <c r="AO328" i="5"/>
  <c r="AO308" i="5"/>
  <c r="AO228" i="5"/>
  <c r="AO208" i="5"/>
  <c r="AO188" i="5"/>
  <c r="AO138" i="5"/>
  <c r="AO128" i="5"/>
  <c r="AO108" i="5"/>
  <c r="AO38" i="5"/>
  <c r="AO28" i="5"/>
  <c r="AO18" i="5"/>
  <c r="AO8" i="5"/>
  <c r="Z309" i="5" a="1"/>
  <c r="Z309" i="5" s="1"/>
  <c r="Z299" i="5" a="1"/>
  <c r="Z299" i="5" s="1"/>
  <c r="Z289" i="5" a="1"/>
  <c r="Z289" i="5" s="1"/>
  <c r="Z279" i="5" a="1"/>
  <c r="Z279" i="5" s="1"/>
  <c r="Z269" i="5" a="1"/>
  <c r="Z269" i="5" s="1"/>
  <c r="Z259" i="5" a="1"/>
  <c r="Z259" i="5" s="1"/>
  <c r="Z249" i="5" a="1"/>
  <c r="Z249" i="5" s="1"/>
  <c r="Z239" i="5" a="1"/>
  <c r="Z239" i="5" s="1"/>
  <c r="Z229" i="5" a="1"/>
  <c r="Z229" i="5" s="1"/>
  <c r="Z219" i="5" a="1"/>
  <c r="Z219" i="5" s="1"/>
  <c r="Z209" i="5" a="1"/>
  <c r="Z209" i="5" s="1"/>
  <c r="Z199" i="5" a="1"/>
  <c r="Z199" i="5" s="1"/>
  <c r="Z189" i="5" a="1"/>
  <c r="Z189" i="5" s="1"/>
  <c r="Z179" i="5" a="1"/>
  <c r="Z179" i="5" s="1"/>
  <c r="Z169" i="5" a="1"/>
  <c r="Z169" i="5" s="1"/>
  <c r="Z159" i="5" a="1"/>
  <c r="Z159" i="5" s="1"/>
  <c r="Z149" i="5" a="1"/>
  <c r="Z149" i="5" s="1"/>
  <c r="Z139" i="5" a="1"/>
  <c r="Z139" i="5" s="1"/>
  <c r="Z129" i="5" a="1"/>
  <c r="Z129" i="5" s="1"/>
  <c r="Z119" i="5" a="1"/>
  <c r="Z119" i="5" s="1"/>
  <c r="Z109" i="5" a="1"/>
  <c r="Z109" i="5" s="1"/>
  <c r="Z99" i="5" a="1"/>
  <c r="Z99" i="5" s="1"/>
  <c r="Z89" i="5" a="1"/>
  <c r="Z89" i="5" s="1"/>
  <c r="Z79" i="5" a="1"/>
  <c r="Z79" i="5" s="1"/>
  <c r="Z69" i="5" a="1"/>
  <c r="Z69" i="5" s="1"/>
  <c r="Z59" i="5" a="1"/>
  <c r="Z59" i="5" s="1"/>
  <c r="Z49" i="5" a="1"/>
  <c r="Z49" i="5" s="1"/>
  <c r="Z431" i="5" a="1"/>
  <c r="Z431" i="5" s="1"/>
  <c r="Z421" i="5" a="1"/>
  <c r="Z421" i="5" s="1"/>
  <c r="Z381" i="5" a="1"/>
  <c r="Z381" i="5" s="1"/>
  <c r="Z281" i="5" a="1"/>
  <c r="Z281" i="5" s="1"/>
  <c r="Z211" i="5" a="1"/>
  <c r="Z211" i="5" s="1"/>
  <c r="Z31" i="5" a="1"/>
  <c r="Z31" i="5" s="1"/>
  <c r="Z21" i="5" a="1"/>
  <c r="Z21" i="5" s="1"/>
  <c r="Z438" i="5" a="1"/>
  <c r="Z438" i="5" s="1"/>
  <c r="Z388" i="5" a="1"/>
  <c r="Z388" i="5" s="1"/>
  <c r="Z348" i="5" a="1"/>
  <c r="Z348" i="5" s="1"/>
  <c r="Z198" i="5" a="1"/>
  <c r="Z198" i="5" s="1"/>
  <c r="Z188" i="5" a="1"/>
  <c r="Z188" i="5" s="1"/>
  <c r="Z158" i="5" a="1"/>
  <c r="Z158" i="5" s="1"/>
  <c r="Z148" i="5" a="1"/>
  <c r="Z148" i="5" s="1"/>
  <c r="Z108" i="5" a="1"/>
  <c r="Z108" i="5" s="1"/>
  <c r="Z78" i="5" a="1"/>
  <c r="Z78" i="5" s="1"/>
  <c r="Z38" i="5" a="1"/>
  <c r="Z38" i="5" s="1"/>
  <c r="Z28" i="5" a="1"/>
  <c r="Z28" i="5" s="1"/>
  <c r="Z407" i="5" a="1"/>
  <c r="Z407" i="5" s="1"/>
  <c r="Z387" i="5" a="1"/>
  <c r="Z387" i="5" s="1"/>
  <c r="Z377" i="5" a="1"/>
  <c r="Z377" i="5" s="1"/>
  <c r="Z367" i="5" a="1"/>
  <c r="Z367" i="5" s="1"/>
  <c r="Z347" i="5" a="1"/>
  <c r="Z347" i="5" s="1"/>
  <c r="Z337" i="5" a="1"/>
  <c r="Z337" i="5" s="1"/>
  <c r="Z297" i="5" a="1"/>
  <c r="Z297" i="5" s="1"/>
  <c r="Z277" i="5" a="1"/>
  <c r="Z277" i="5" s="1"/>
  <c r="Z267" i="5" a="1"/>
  <c r="Z267" i="5" s="1"/>
  <c r="Z237" i="5" a="1"/>
  <c r="Z237" i="5" s="1"/>
  <c r="Z227" i="5" a="1"/>
  <c r="Z227" i="5" s="1"/>
  <c r="Z217" i="5" a="1"/>
  <c r="Z217" i="5" s="1"/>
  <c r="Z187" i="5" a="1"/>
  <c r="Z187" i="5" s="1"/>
  <c r="Z147" i="5" a="1"/>
  <c r="Z147" i="5" s="1"/>
  <c r="Z117" i="5" a="1"/>
  <c r="Z117" i="5" s="1"/>
  <c r="Z67" i="5" a="1"/>
  <c r="Z67" i="5" s="1"/>
  <c r="Z47" i="5" a="1"/>
  <c r="Z47" i="5" s="1"/>
  <c r="Z27" i="5" a="1"/>
  <c r="Z27" i="5" s="1"/>
  <c r="Z406" i="5" a="1"/>
  <c r="Z406" i="5" s="1"/>
  <c r="Z396" i="5" a="1"/>
  <c r="Z396" i="5" s="1"/>
  <c r="Z376" i="5" a="1"/>
  <c r="Z376" i="5" s="1"/>
  <c r="Z356" i="5" a="1"/>
  <c r="Z356" i="5" s="1"/>
  <c r="Z266" i="5" a="1"/>
  <c r="Z266" i="5" s="1"/>
  <c r="Z226" i="5" a="1"/>
  <c r="Z226" i="5" s="1"/>
  <c r="Z106" i="5" a="1"/>
  <c r="Z106" i="5" s="1"/>
  <c r="Z441" i="5" a="1"/>
  <c r="Z441" i="5" s="1"/>
  <c r="Z401" i="5" a="1"/>
  <c r="Z401" i="5" s="1"/>
  <c r="Z391" i="5" a="1"/>
  <c r="Z391" i="5" s="1"/>
  <c r="Z371" i="5" a="1"/>
  <c r="Z371" i="5" s="1"/>
  <c r="Z351" i="5" a="1"/>
  <c r="Z351" i="5" s="1"/>
  <c r="Z341" i="5" a="1"/>
  <c r="Z341" i="5" s="1"/>
  <c r="Z311" i="5" a="1"/>
  <c r="Z311" i="5" s="1"/>
  <c r="Z301" i="5" a="1"/>
  <c r="Z301" i="5" s="1"/>
  <c r="Z291" i="5" a="1"/>
  <c r="Z291" i="5" s="1"/>
  <c r="Z271" i="5" a="1"/>
  <c r="Z271" i="5" s="1"/>
  <c r="Z251" i="5" a="1"/>
  <c r="Z251" i="5" s="1"/>
  <c r="Z241" i="5" a="1"/>
  <c r="Z241" i="5" s="1"/>
  <c r="Z231" i="5" a="1"/>
  <c r="Z231" i="5" s="1"/>
  <c r="Z201" i="5" a="1"/>
  <c r="Z201" i="5" s="1"/>
  <c r="Z191" i="5" a="1"/>
  <c r="Z191" i="5" s="1"/>
  <c r="Z161" i="5" a="1"/>
  <c r="Z161" i="5" s="1"/>
  <c r="Z151" i="5" a="1"/>
  <c r="Z151" i="5" s="1"/>
  <c r="Z141" i="5" a="1"/>
  <c r="Z141" i="5" s="1"/>
  <c r="Z121" i="5" a="1"/>
  <c r="Z121" i="5" s="1"/>
  <c r="Z111" i="5" a="1"/>
  <c r="Z111" i="5" s="1"/>
  <c r="Z101" i="5" a="1"/>
  <c r="Z101" i="5" s="1"/>
  <c r="Z91" i="5" a="1"/>
  <c r="Z91" i="5" s="1"/>
  <c r="Z81" i="5" a="1"/>
  <c r="Z81" i="5" s="1"/>
  <c r="Z51" i="5" a="1"/>
  <c r="Z51" i="5" s="1"/>
  <c r="Z41" i="5" a="1"/>
  <c r="Z41" i="5" s="1"/>
  <c r="Z39" i="5" a="1"/>
  <c r="Z39" i="5" s="1"/>
  <c r="Z29" i="5" a="1"/>
  <c r="Z29" i="5" s="1"/>
  <c r="Z19" i="5" a="1"/>
  <c r="Z19" i="5" s="1"/>
  <c r="Z9" i="5" a="1"/>
  <c r="Z9" i="5" s="1"/>
  <c r="Z428" i="5" a="1"/>
  <c r="Z428" i="5" s="1"/>
  <c r="Z398" i="5" a="1"/>
  <c r="Z398" i="5" s="1"/>
  <c r="Z378" i="5" a="1"/>
  <c r="Z378" i="5" s="1"/>
  <c r="Z368" i="5" a="1"/>
  <c r="Z368" i="5" s="1"/>
  <c r="Z358" i="5" a="1"/>
  <c r="Z358" i="5" s="1"/>
  <c r="Z318" i="5" a="1"/>
  <c r="Z318" i="5" s="1"/>
  <c r="Z278" i="5" a="1"/>
  <c r="Z278" i="5" s="1"/>
  <c r="Z268" i="5" a="1"/>
  <c r="Z268" i="5" s="1"/>
  <c r="Z248" i="5" a="1"/>
  <c r="Z248" i="5" s="1"/>
  <c r="Z238" i="5" a="1"/>
  <c r="Z238" i="5" s="1"/>
  <c r="Z218" i="5" a="1"/>
  <c r="Z218" i="5" s="1"/>
  <c r="Z208" i="5" a="1"/>
  <c r="Z208" i="5" s="1"/>
  <c r="Z168" i="5" a="1"/>
  <c r="Z168" i="5" s="1"/>
  <c r="Z128" i="5" a="1"/>
  <c r="Z128" i="5" s="1"/>
  <c r="Z118" i="5" a="1"/>
  <c r="Z118" i="5" s="1"/>
  <c r="Z98" i="5" a="1"/>
  <c r="Z98" i="5" s="1"/>
  <c r="Z88" i="5" a="1"/>
  <c r="Z88" i="5" s="1"/>
  <c r="Z68" i="5" a="1"/>
  <c r="Z68" i="5" s="1"/>
  <c r="Z58" i="5" a="1"/>
  <c r="Z58" i="5" s="1"/>
  <c r="Z48" i="5" a="1"/>
  <c r="Z48" i="5" s="1"/>
  <c r="Z18" i="5" a="1"/>
  <c r="Z18" i="5" s="1"/>
  <c r="Z397" i="5" a="1"/>
  <c r="Z397" i="5" s="1"/>
  <c r="Z357" i="5" a="1"/>
  <c r="Z357" i="5" s="1"/>
  <c r="Z327" i="5" a="1"/>
  <c r="Z327" i="5" s="1"/>
  <c r="Z317" i="5" a="1"/>
  <c r="Z317" i="5" s="1"/>
  <c r="Z307" i="5" a="1"/>
  <c r="Z307" i="5" s="1"/>
  <c r="Z287" i="5" a="1"/>
  <c r="Z287" i="5" s="1"/>
  <c r="Z257" i="5" a="1"/>
  <c r="Z257" i="5" s="1"/>
  <c r="Z247" i="5" a="1"/>
  <c r="Z247" i="5" s="1"/>
  <c r="Z207" i="5" a="1"/>
  <c r="Z207" i="5" s="1"/>
  <c r="Z177" i="5" a="1"/>
  <c r="Z177" i="5" s="1"/>
  <c r="Z167" i="5" a="1"/>
  <c r="Z167" i="5" s="1"/>
  <c r="Z157" i="5" a="1"/>
  <c r="Z157" i="5" s="1"/>
  <c r="Z137" i="5" a="1"/>
  <c r="Z137" i="5" s="1"/>
  <c r="Z127" i="5" a="1"/>
  <c r="Z127" i="5" s="1"/>
  <c r="Z107" i="5" a="1"/>
  <c r="Z107" i="5" s="1"/>
  <c r="Z97" i="5" a="1"/>
  <c r="Z97" i="5" s="1"/>
  <c r="Z57" i="5" a="1"/>
  <c r="Z57" i="5" s="1"/>
  <c r="Z17" i="5" a="1"/>
  <c r="Z17" i="5" s="1"/>
  <c r="Z7" i="5" a="1"/>
  <c r="Z7" i="5" s="1"/>
  <c r="Z416" i="5" a="1"/>
  <c r="Z416" i="5" s="1"/>
  <c r="Z386" i="5" a="1"/>
  <c r="Z386" i="5" s="1"/>
  <c r="Z346" i="5" a="1"/>
  <c r="Z346" i="5" s="1"/>
  <c r="Z336" i="5" a="1"/>
  <c r="Z336" i="5" s="1"/>
  <c r="Z326" i="5" a="1"/>
  <c r="Z326" i="5" s="1"/>
  <c r="Z296" i="5" a="1"/>
  <c r="Z296" i="5" s="1"/>
  <c r="Z256" i="5" a="1"/>
  <c r="Z256" i="5" s="1"/>
  <c r="Z246" i="5" a="1"/>
  <c r="Z246" i="5" s="1"/>
  <c r="Z216" i="5" a="1"/>
  <c r="Z216" i="5" s="1"/>
  <c r="Z206" i="5" a="1"/>
  <c r="Z206" i="5" s="1"/>
  <c r="Z196" i="5" a="1"/>
  <c r="Z196" i="5" s="1"/>
  <c r="Z186" i="5" a="1"/>
  <c r="Z186" i="5" s="1"/>
  <c r="Z176" i="5" a="1"/>
  <c r="Z176" i="5" s="1"/>
  <c r="Z146" i="5" a="1"/>
  <c r="Z146" i="5" s="1"/>
  <c r="Z136" i="5" a="1"/>
  <c r="Z136" i="5" s="1"/>
  <c r="Z96" i="5" a="1"/>
  <c r="Z96" i="5" s="1"/>
  <c r="Z66" i="5" a="1"/>
  <c r="Z66" i="5" s="1"/>
  <c r="Z56" i="5" a="1"/>
  <c r="Z56" i="5" s="1"/>
  <c r="Z46" i="5" a="1"/>
  <c r="Z46" i="5" s="1"/>
  <c r="Z26" i="5" a="1"/>
  <c r="Z26" i="5" s="1"/>
  <c r="Z16" i="5" a="1"/>
  <c r="Z16" i="5" s="1"/>
  <c r="Z435" i="5" a="1"/>
  <c r="Z435" i="5" s="1"/>
  <c r="Z425" i="5" a="1"/>
  <c r="Z425" i="5" s="1"/>
  <c r="Z415" i="5" a="1"/>
  <c r="Z415" i="5" s="1"/>
  <c r="Z405" i="5" a="1"/>
  <c r="Z405" i="5" s="1"/>
  <c r="Z395" i="5" a="1"/>
  <c r="Z395" i="5" s="1"/>
  <c r="Z385" i="5" a="1"/>
  <c r="Z385" i="5" s="1"/>
  <c r="Z375" i="5" a="1"/>
  <c r="Z375" i="5" s="1"/>
  <c r="Z365" i="5" a="1"/>
  <c r="Z365" i="5" s="1"/>
  <c r="Z355" i="5" a="1"/>
  <c r="Z355" i="5" s="1"/>
  <c r="Z345" i="5" a="1"/>
  <c r="Z345" i="5" s="1"/>
  <c r="Z335" i="5" a="1"/>
  <c r="Z335" i="5" s="1"/>
  <c r="Z325" i="5" a="1"/>
  <c r="Z325" i="5" s="1"/>
  <c r="Z315" i="5" a="1"/>
  <c r="Z315" i="5" s="1"/>
  <c r="Z305" i="5" a="1"/>
  <c r="Z305" i="5" s="1"/>
  <c r="Z295" i="5" a="1"/>
  <c r="Z295" i="5" s="1"/>
  <c r="Z423" i="5" a="1"/>
  <c r="Z423" i="5" s="1"/>
  <c r="Z373" i="5" a="1"/>
  <c r="Z373" i="5" s="1"/>
  <c r="Z323" i="5" a="1"/>
  <c r="Z323" i="5" s="1"/>
  <c r="Z273" i="5" a="1"/>
  <c r="Z273" i="5" s="1"/>
  <c r="Z223" i="5" a="1"/>
  <c r="Z223" i="5" s="1"/>
  <c r="Z173" i="5" a="1"/>
  <c r="Z173" i="5" s="1"/>
  <c r="Z123" i="5" a="1"/>
  <c r="Z123" i="5" s="1"/>
  <c r="Z73" i="5" a="1"/>
  <c r="Z73" i="5" s="1"/>
  <c r="Z23" i="5" a="1"/>
  <c r="Z23" i="5" s="1"/>
  <c r="Z285" i="5" a="1"/>
  <c r="Z285" i="5" s="1"/>
  <c r="Z275" i="5" a="1"/>
  <c r="Z275" i="5" s="1"/>
  <c r="Z265" i="5" a="1"/>
  <c r="Z265" i="5" s="1"/>
  <c r="Z255" i="5" a="1"/>
  <c r="Z255" i="5" s="1"/>
  <c r="Z245" i="5" a="1"/>
  <c r="Z245" i="5" s="1"/>
  <c r="Z235" i="5" a="1"/>
  <c r="Z235" i="5" s="1"/>
  <c r="Z225" i="5" a="1"/>
  <c r="Z225" i="5" s="1"/>
  <c r="Z215" i="5" a="1"/>
  <c r="Z215" i="5" s="1"/>
  <c r="Z205" i="5" a="1"/>
  <c r="Z205" i="5" s="1"/>
  <c r="Z195" i="5" a="1"/>
  <c r="Z195" i="5" s="1"/>
  <c r="Z185" i="5" a="1"/>
  <c r="Z185" i="5" s="1"/>
  <c r="Z175" i="5" a="1"/>
  <c r="Z175" i="5" s="1"/>
  <c r="Z165" i="5" a="1"/>
  <c r="Z165" i="5" s="1"/>
  <c r="Z155" i="5" a="1"/>
  <c r="Z155" i="5" s="1"/>
  <c r="Z145" i="5" a="1"/>
  <c r="Z145" i="5" s="1"/>
  <c r="Z135" i="5" a="1"/>
  <c r="Z135" i="5" s="1"/>
  <c r="Z125" i="5" a="1"/>
  <c r="Z125" i="5" s="1"/>
  <c r="Z115" i="5" a="1"/>
  <c r="Z115" i="5" s="1"/>
  <c r="Z105" i="5" a="1"/>
  <c r="Z105" i="5" s="1"/>
  <c r="Z95" i="5" a="1"/>
  <c r="Z95" i="5" s="1"/>
  <c r="Z85" i="5" a="1"/>
  <c r="Z85" i="5" s="1"/>
  <c r="Z75" i="5" a="1"/>
  <c r="Z75" i="5" s="1"/>
  <c r="Z65" i="5" a="1"/>
  <c r="Z65" i="5" s="1"/>
  <c r="Z55" i="5" a="1"/>
  <c r="Z55" i="5" s="1"/>
  <c r="Z45" i="5" a="1"/>
  <c r="Z45" i="5" s="1"/>
  <c r="Z35" i="5" a="1"/>
  <c r="Z35" i="5" s="1"/>
  <c r="Z25" i="5" a="1"/>
  <c r="Z25" i="5" s="1"/>
  <c r="Z15" i="5" a="1"/>
  <c r="Z15" i="5" s="1"/>
  <c r="Z5" i="5" a="1"/>
  <c r="Z5" i="5" s="1"/>
  <c r="O430" i="5"/>
  <c r="P430" i="5" s="1"/>
  <c r="Q430" i="5" s="1"/>
  <c r="O380" i="5"/>
  <c r="P380" i="5" s="1"/>
  <c r="Q380" i="5" s="1"/>
  <c r="O360" i="5"/>
  <c r="P360" i="5" s="1"/>
  <c r="Q360" i="5" s="1"/>
  <c r="O350" i="5"/>
  <c r="P350" i="5" s="1"/>
  <c r="Q350" i="5" s="1"/>
  <c r="O330" i="5"/>
  <c r="P330" i="5" s="1"/>
  <c r="Q330" i="5" s="1"/>
  <c r="O280" i="5"/>
  <c r="P280" i="5" s="1"/>
  <c r="Q280" i="5" s="1"/>
  <c r="O260" i="5"/>
  <c r="P260" i="5" s="1"/>
  <c r="Q260" i="5" s="1"/>
  <c r="O250" i="5"/>
  <c r="P250" i="5" s="1"/>
  <c r="Q250" i="5" s="1"/>
  <c r="O230" i="5"/>
  <c r="P230" i="5" s="1"/>
  <c r="Q230" i="5" s="1"/>
  <c r="O180" i="5"/>
  <c r="P180" i="5" s="1"/>
  <c r="Q180" i="5" s="1"/>
  <c r="CH180" i="5" s="1"/>
  <c r="O160" i="5"/>
  <c r="P160" i="5" s="1"/>
  <c r="Q160" i="5" s="1"/>
  <c r="O111" i="5"/>
  <c r="P111" i="5" s="1"/>
  <c r="Q111" i="5" s="1"/>
  <c r="O101" i="5"/>
  <c r="P101" i="5" s="1"/>
  <c r="Q101" i="5" s="1"/>
  <c r="O81" i="5"/>
  <c r="P81" i="5" s="1"/>
  <c r="Q81" i="5" s="1"/>
  <c r="O51" i="5"/>
  <c r="P51" i="5" s="1"/>
  <c r="Q51" i="5" s="1"/>
  <c r="O11" i="5"/>
  <c r="P11" i="5" s="1"/>
  <c r="Q11" i="5" s="1"/>
  <c r="CH11" i="5" s="1"/>
  <c r="O110" i="5"/>
  <c r="P110" i="5" s="1"/>
  <c r="Q110" i="5" s="1"/>
  <c r="O100" i="5"/>
  <c r="P100" i="5" s="1"/>
  <c r="Q100" i="5" s="1"/>
  <c r="O90" i="5"/>
  <c r="P90" i="5" s="1"/>
  <c r="Q90" i="5" s="1"/>
  <c r="O80" i="5"/>
  <c r="P80" i="5" s="1"/>
  <c r="Q80" i="5" s="1"/>
  <c r="O70" i="5"/>
  <c r="P70" i="5" s="1"/>
  <c r="Q70" i="5" s="1"/>
  <c r="O60" i="5"/>
  <c r="P60" i="5" s="1"/>
  <c r="Q60" i="5" s="1"/>
  <c r="O40" i="5"/>
  <c r="P40" i="5" s="1"/>
  <c r="Q40" i="5" s="1"/>
  <c r="O30" i="5"/>
  <c r="P30" i="5" s="1"/>
  <c r="Q30" i="5" s="1"/>
  <c r="O10" i="5"/>
  <c r="P10" i="5" s="1"/>
  <c r="Q10" i="5" s="1"/>
  <c r="L410" i="5"/>
  <c r="L388" i="5"/>
  <c r="L310" i="5"/>
  <c r="L288" i="5"/>
  <c r="L210" i="5"/>
  <c r="L188" i="5"/>
  <c r="L110" i="5"/>
  <c r="L88" i="5"/>
  <c r="L10" i="5"/>
  <c r="M430" i="5"/>
  <c r="L408" i="5"/>
  <c r="L330" i="5"/>
  <c r="L308" i="5"/>
  <c r="L230" i="5"/>
  <c r="L208" i="5"/>
  <c r="L130" i="5"/>
  <c r="L108" i="5"/>
  <c r="L30" i="5"/>
  <c r="L8" i="5"/>
  <c r="M438" i="5"/>
  <c r="M428" i="5"/>
  <c r="L350" i="5"/>
  <c r="L328" i="5"/>
  <c r="L250" i="5"/>
  <c r="L228" i="5"/>
  <c r="L150" i="5"/>
  <c r="L128" i="5"/>
  <c r="L50" i="5"/>
  <c r="L28" i="5"/>
  <c r="L360" i="5"/>
  <c r="L338" i="5"/>
  <c r="L260" i="5"/>
  <c r="L238" i="5"/>
  <c r="L160" i="5"/>
  <c r="L138" i="5"/>
  <c r="L60" i="5"/>
  <c r="L38" i="5"/>
  <c r="M362" i="5"/>
  <c r="M262" i="5"/>
  <c r="M162" i="5"/>
  <c r="L370" i="5"/>
  <c r="L348" i="5"/>
  <c r="L270" i="5"/>
  <c r="L248" i="5"/>
  <c r="L170" i="5"/>
  <c r="L148" i="5"/>
  <c r="L70" i="5"/>
  <c r="L48" i="5"/>
  <c r="M372" i="5"/>
  <c r="M272" i="5"/>
  <c r="M172" i="5"/>
  <c r="M72" i="5"/>
  <c r="L380" i="5"/>
  <c r="L358" i="5"/>
  <c r="L280" i="5"/>
  <c r="L258" i="5"/>
  <c r="L180" i="5"/>
  <c r="L158" i="5"/>
  <c r="L80" i="5"/>
  <c r="L58" i="5"/>
  <c r="M382" i="5"/>
  <c r="M282" i="5"/>
  <c r="M182" i="5"/>
  <c r="M82" i="5"/>
  <c r="L390" i="5"/>
  <c r="L290" i="5"/>
  <c r="L190" i="5"/>
  <c r="L90" i="5"/>
  <c r="L400" i="5"/>
  <c r="L300" i="5"/>
  <c r="L200" i="5"/>
  <c r="L100" i="5"/>
  <c r="U9" i="2"/>
  <c r="V9" i="2"/>
  <c r="W9" i="2"/>
  <c r="Y9" i="2"/>
  <c r="Z9" i="2"/>
  <c r="AA9" i="2"/>
  <c r="AC9" i="2"/>
  <c r="U8" i="2"/>
  <c r="V8" i="2"/>
  <c r="X8" i="2"/>
  <c r="Y8" i="2"/>
  <c r="Z8" i="2"/>
  <c r="AA8" i="2"/>
  <c r="AC8" i="2"/>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BF342" i="5" l="1"/>
  <c r="BM342" i="5"/>
  <c r="BW342" i="5"/>
  <c r="CP342" i="5" a="1"/>
  <c r="CP342" i="5" s="1"/>
  <c r="CR342" i="5" a="1"/>
  <c r="CR342" i="5" s="1"/>
  <c r="CO342" i="5" a="1"/>
  <c r="CO342" i="5" s="1"/>
  <c r="CS342" i="5" a="1"/>
  <c r="CS342" i="5" s="1"/>
  <c r="BU342" i="5" a="1"/>
  <c r="BU342" i="5" s="1"/>
  <c r="BT342" i="5" a="1"/>
  <c r="BT342" i="5" s="1"/>
  <c r="BF432" i="5"/>
  <c r="BW432" i="5"/>
  <c r="BM432" i="5"/>
  <c r="CR432" i="5" a="1"/>
  <c r="CR432" i="5" s="1"/>
  <c r="CP432" i="5" a="1"/>
  <c r="CP432" i="5" s="1"/>
  <c r="CO432" i="5" a="1"/>
  <c r="CO432" i="5" s="1"/>
  <c r="CS432" i="5" a="1"/>
  <c r="CS432" i="5" s="1"/>
  <c r="BU432" i="5" a="1"/>
  <c r="BU432" i="5" s="1"/>
  <c r="BT432" i="5" a="1"/>
  <c r="BT432" i="5" s="1"/>
  <c r="BW352" i="5"/>
  <c r="BM352" i="5"/>
  <c r="BF352" i="5"/>
  <c r="CO352" i="5" a="1"/>
  <c r="CO352" i="5" s="1"/>
  <c r="CR352" i="5" a="1"/>
  <c r="CR352" i="5" s="1"/>
  <c r="CS352" i="5" a="1"/>
  <c r="CS352" i="5" s="1"/>
  <c r="CP352" i="5" a="1"/>
  <c r="CP352" i="5" s="1"/>
  <c r="AP352" i="5"/>
  <c r="BU352" i="5" a="1"/>
  <c r="BU352" i="5" s="1"/>
  <c r="BT352" i="5" a="1"/>
  <c r="BT352" i="5" s="1"/>
  <c r="BW282" i="5"/>
  <c r="BF282" i="5"/>
  <c r="CP282" i="5" a="1"/>
  <c r="CP282" i="5" s="1"/>
  <c r="CO282" i="5" a="1"/>
  <c r="CO282" i="5" s="1"/>
  <c r="CR282" i="5" a="1"/>
  <c r="CR282" i="5" s="1"/>
  <c r="CS282" i="5" a="1"/>
  <c r="CS282" i="5" s="1"/>
  <c r="BT282" i="5" a="1"/>
  <c r="BT282" i="5" s="1"/>
  <c r="BU282" i="5" a="1"/>
  <c r="BU282" i="5" s="1"/>
  <c r="BF382" i="5"/>
  <c r="BM382" i="5"/>
  <c r="BW382" i="5"/>
  <c r="CR382" i="5" a="1"/>
  <c r="CR382" i="5" s="1"/>
  <c r="CP382" i="5" a="1"/>
  <c r="CP382" i="5" s="1"/>
  <c r="CO382" i="5" a="1"/>
  <c r="CO382" i="5" s="1"/>
  <c r="CS382" i="5" a="1"/>
  <c r="CS382" i="5" s="1"/>
  <c r="BU382" i="5" a="1"/>
  <c r="BU382" i="5" s="1"/>
  <c r="BT382" i="5" a="1"/>
  <c r="BT382" i="5" s="1"/>
  <c r="BF402" i="5"/>
  <c r="BM402" i="5"/>
  <c r="BW402" i="5"/>
  <c r="CR402" i="5" a="1"/>
  <c r="CR402" i="5" s="1"/>
  <c r="CP402" i="5" a="1"/>
  <c r="CP402" i="5" s="1"/>
  <c r="CO402" i="5" a="1"/>
  <c r="CO402" i="5" s="1"/>
  <c r="CS402" i="5" a="1"/>
  <c r="CS402" i="5" s="1"/>
  <c r="BU402" i="5" a="1"/>
  <c r="BU402" i="5" s="1"/>
  <c r="BT402" i="5" a="1"/>
  <c r="BT402" i="5" s="1"/>
  <c r="BF326" i="5"/>
  <c r="BW326" i="5"/>
  <c r="CS326" i="5" a="1"/>
  <c r="CS326" i="5" s="1"/>
  <c r="CO326" i="5" a="1"/>
  <c r="CO326" i="5" s="1"/>
  <c r="CP326" i="5" a="1"/>
  <c r="CP326" i="5" s="1"/>
  <c r="CR326" i="5" a="1"/>
  <c r="CR326" i="5" s="1"/>
  <c r="BF426" i="5"/>
  <c r="BW426" i="5"/>
  <c r="CP426" i="5" a="1"/>
  <c r="CP426" i="5" s="1"/>
  <c r="CO426" i="5" a="1"/>
  <c r="CO426" i="5" s="1"/>
  <c r="CR426" i="5" a="1"/>
  <c r="CR426" i="5" s="1"/>
  <c r="CS426" i="5" a="1"/>
  <c r="CS426" i="5" s="1"/>
  <c r="BF84" i="5"/>
  <c r="BW84" i="5"/>
  <c r="CO84" i="5" a="1"/>
  <c r="CO84" i="5" s="1"/>
  <c r="CP84" i="5" a="1"/>
  <c r="CP84" i="5" s="1"/>
  <c r="CR84" i="5" a="1"/>
  <c r="CR84" i="5" s="1"/>
  <c r="CS84" i="5" a="1"/>
  <c r="CS84" i="5" s="1"/>
  <c r="BM194" i="5"/>
  <c r="BF194" i="5"/>
  <c r="BW194" i="5"/>
  <c r="CS194" i="5" a="1"/>
  <c r="CS194" i="5" s="1"/>
  <c r="CO194" i="5" a="1"/>
  <c r="CO194" i="5" s="1"/>
  <c r="CR194" i="5" a="1"/>
  <c r="CR194" i="5" s="1"/>
  <c r="CP194" i="5" a="1"/>
  <c r="CP194" i="5" s="1"/>
  <c r="BF294" i="5"/>
  <c r="BW294" i="5"/>
  <c r="CO294" i="5" a="1"/>
  <c r="CO294" i="5" s="1"/>
  <c r="CP294" i="5" a="1"/>
  <c r="CP294" i="5" s="1"/>
  <c r="CS294" i="5" a="1"/>
  <c r="CS294" i="5" s="1"/>
  <c r="CR294" i="5" a="1"/>
  <c r="CR294" i="5" s="1"/>
  <c r="BF394" i="5"/>
  <c r="BM394" i="5"/>
  <c r="BW394" i="5"/>
  <c r="CR394" i="5" a="1"/>
  <c r="CR394" i="5" s="1"/>
  <c r="CP394" i="5" a="1"/>
  <c r="CP394" i="5" s="1"/>
  <c r="CO394" i="5" a="1"/>
  <c r="CO394" i="5" s="1"/>
  <c r="CS394" i="5" a="1"/>
  <c r="CS394" i="5" s="1"/>
  <c r="AL162" i="5"/>
  <c r="AU162" i="5"/>
  <c r="BI162" i="5" s="1"/>
  <c r="BG162" i="5"/>
  <c r="BH162" i="5" a="1"/>
  <c r="BH162" i="5" s="1"/>
  <c r="BL162" i="5"/>
  <c r="AL42" i="5"/>
  <c r="BG42" i="5"/>
  <c r="AU42" i="5"/>
  <c r="BL42" i="5"/>
  <c r="BH42" i="5" a="1"/>
  <c r="BH42" i="5" s="1"/>
  <c r="AL132" i="5"/>
  <c r="BG132" i="5"/>
  <c r="AU132" i="5"/>
  <c r="BL132" i="5"/>
  <c r="BH132" i="5" a="1"/>
  <c r="BH132" i="5" s="1"/>
  <c r="BF271" i="5"/>
  <c r="BW271" i="5"/>
  <c r="CP271" i="5" a="1"/>
  <c r="CP271" i="5" s="1"/>
  <c r="CO271" i="5" a="1"/>
  <c r="CO271" i="5" s="1"/>
  <c r="CR271" i="5" a="1"/>
  <c r="CR271" i="5" s="1"/>
  <c r="CS271" i="5" a="1"/>
  <c r="CS271" i="5" s="1"/>
  <c r="AL364" i="5"/>
  <c r="BG364" i="5"/>
  <c r="BL364" i="5"/>
  <c r="BH364" i="5" a="1"/>
  <c r="BH364" i="5" s="1"/>
  <c r="BM437" i="5"/>
  <c r="BI437" i="5"/>
  <c r="AV402" i="5"/>
  <c r="BI402" i="5"/>
  <c r="AV303" i="5"/>
  <c r="AV354" i="5"/>
  <c r="AV207" i="5"/>
  <c r="BI207" i="5"/>
  <c r="AV420" i="5"/>
  <c r="BI420" i="5"/>
  <c r="AR216" i="5"/>
  <c r="AV216" i="5"/>
  <c r="AP382" i="5"/>
  <c r="AP50" i="5"/>
  <c r="BF336" i="5"/>
  <c r="BW336" i="5"/>
  <c r="CO336" i="5" a="1"/>
  <c r="CO336" i="5" s="1"/>
  <c r="CS336" i="5" a="1"/>
  <c r="CS336" i="5" s="1"/>
  <c r="CP336" i="5" a="1"/>
  <c r="CP336" i="5" s="1"/>
  <c r="CR336" i="5" a="1"/>
  <c r="CR336" i="5" s="1"/>
  <c r="BF436" i="5"/>
  <c r="BW436" i="5"/>
  <c r="CS436" i="5" a="1"/>
  <c r="CS436" i="5" s="1"/>
  <c r="CP436" i="5" a="1"/>
  <c r="CP436" i="5" s="1"/>
  <c r="CO436" i="5" a="1"/>
  <c r="CO436" i="5" s="1"/>
  <c r="CR436" i="5" a="1"/>
  <c r="CR436" i="5" s="1"/>
  <c r="BF94" i="5"/>
  <c r="BM94" i="5"/>
  <c r="BW94" i="5"/>
  <c r="CO94" i="5" a="1"/>
  <c r="CO94" i="5" s="1"/>
  <c r="CP94" i="5" a="1"/>
  <c r="CP94" i="5" s="1"/>
  <c r="CR94" i="5" a="1"/>
  <c r="CR94" i="5" s="1"/>
  <c r="CS94" i="5" a="1"/>
  <c r="CS94" i="5" s="1"/>
  <c r="BF204" i="5"/>
  <c r="BM204" i="5"/>
  <c r="BW204" i="5"/>
  <c r="CP204" i="5" a="1"/>
  <c r="CP204" i="5" s="1"/>
  <c r="CR204" i="5" a="1"/>
  <c r="CR204" i="5" s="1"/>
  <c r="CO204" i="5" a="1"/>
  <c r="CO204" i="5" s="1"/>
  <c r="CS204" i="5" a="1"/>
  <c r="CS204" i="5" s="1"/>
  <c r="BF304" i="5"/>
  <c r="BW304" i="5"/>
  <c r="BM304" i="5"/>
  <c r="CP304" i="5" a="1"/>
  <c r="CP304" i="5" s="1"/>
  <c r="CO304" i="5" a="1"/>
  <c r="CO304" i="5" s="1"/>
  <c r="CS304" i="5" a="1"/>
  <c r="CS304" i="5" s="1"/>
  <c r="CR304" i="5" a="1"/>
  <c r="CR304" i="5" s="1"/>
  <c r="BF404" i="5"/>
  <c r="BW404" i="5"/>
  <c r="CP404" i="5" a="1"/>
  <c r="CP404" i="5" s="1"/>
  <c r="CR404" i="5" a="1"/>
  <c r="CR404" i="5" s="1"/>
  <c r="CO404" i="5" a="1"/>
  <c r="CO404" i="5" s="1"/>
  <c r="CS404" i="5" a="1"/>
  <c r="CS404" i="5" s="1"/>
  <c r="AL212" i="5"/>
  <c r="BG212" i="5"/>
  <c r="BL212" i="5"/>
  <c r="BH212" i="5" a="1"/>
  <c r="BH212" i="5" s="1"/>
  <c r="BF392" i="5"/>
  <c r="BW392" i="5"/>
  <c r="BM392" i="5"/>
  <c r="CP392" i="5" a="1"/>
  <c r="CP392" i="5" s="1"/>
  <c r="CO392" i="5" a="1"/>
  <c r="CO392" i="5" s="1"/>
  <c r="CR392" i="5" a="1"/>
  <c r="CR392" i="5" s="1"/>
  <c r="CS392" i="5" a="1"/>
  <c r="CS392" i="5" s="1"/>
  <c r="BF412" i="5"/>
  <c r="BW412" i="5"/>
  <c r="CR412" i="5" a="1"/>
  <c r="CR412" i="5" s="1"/>
  <c r="CO412" i="5" a="1"/>
  <c r="CO412" i="5" s="1"/>
  <c r="CS412" i="5" a="1"/>
  <c r="CS412" i="5" s="1"/>
  <c r="CP412" i="5" a="1"/>
  <c r="CP412" i="5" s="1"/>
  <c r="AL312" i="5"/>
  <c r="BL312" i="5"/>
  <c r="BG312" i="5"/>
  <c r="BH312" i="5" a="1"/>
  <c r="BH312" i="5" s="1"/>
  <c r="BI165" i="5"/>
  <c r="BM165" i="5"/>
  <c r="AV367" i="5"/>
  <c r="BM367" i="5"/>
  <c r="BI367" i="5"/>
  <c r="AL431" i="5"/>
  <c r="AU431" i="5"/>
  <c r="BH431" i="5" a="1"/>
  <c r="BH431" i="5" s="1"/>
  <c r="BL431" i="5"/>
  <c r="BG431" i="5"/>
  <c r="BF207" i="5"/>
  <c r="BM207" i="5"/>
  <c r="BW207" i="5"/>
  <c r="CO207" i="5" a="1"/>
  <c r="CO207" i="5" s="1"/>
  <c r="CS207" i="5" a="1"/>
  <c r="CS207" i="5" s="1"/>
  <c r="CP207" i="5" a="1"/>
  <c r="CP207" i="5" s="1"/>
  <c r="CR207" i="5" a="1"/>
  <c r="CR207" i="5" s="1"/>
  <c r="BW75" i="5"/>
  <c r="BM75" i="5"/>
  <c r="BF75" i="5"/>
  <c r="CO75" i="5" a="1"/>
  <c r="CO75" i="5" s="1"/>
  <c r="CR75" i="5" a="1"/>
  <c r="CR75" i="5" s="1"/>
  <c r="CS75" i="5" a="1"/>
  <c r="CS75" i="5" s="1"/>
  <c r="CP75" i="5" a="1"/>
  <c r="CP75" i="5" s="1"/>
  <c r="BM125" i="5"/>
  <c r="BF125" i="5"/>
  <c r="BW125" i="5"/>
  <c r="CO125" i="5" a="1"/>
  <c r="CO125" i="5" s="1"/>
  <c r="CS125" i="5" a="1"/>
  <c r="CS125" i="5" s="1"/>
  <c r="CR125" i="5" a="1"/>
  <c r="CR125" i="5" s="1"/>
  <c r="CP125" i="5" a="1"/>
  <c r="CP125" i="5" s="1"/>
  <c r="AP116" i="5"/>
  <c r="AP140" i="5"/>
  <c r="BW346" i="5"/>
  <c r="BF346" i="5"/>
  <c r="CP346" i="5" a="1"/>
  <c r="CP346" i="5" s="1"/>
  <c r="CO346" i="5" a="1"/>
  <c r="CO346" i="5" s="1"/>
  <c r="CS346" i="5" a="1"/>
  <c r="CS346" i="5" s="1"/>
  <c r="CR346" i="5" a="1"/>
  <c r="CR346" i="5" s="1"/>
  <c r="BF4" i="5"/>
  <c r="BM4" i="5"/>
  <c r="BW4" i="5"/>
  <c r="CO4" i="5" a="1"/>
  <c r="CO4" i="5" s="1"/>
  <c r="CS4" i="5" a="1"/>
  <c r="CS4" i="5" s="1"/>
  <c r="CP4" i="5" a="1"/>
  <c r="CP4" i="5" s="1"/>
  <c r="CR4" i="5" a="1"/>
  <c r="CR4" i="5" s="1"/>
  <c r="BF104" i="5"/>
  <c r="BM104" i="5"/>
  <c r="BW104" i="5"/>
  <c r="CO104" i="5" a="1"/>
  <c r="CO104" i="5" s="1"/>
  <c r="CP104" i="5" a="1"/>
  <c r="CP104" i="5" s="1"/>
  <c r="CS104" i="5" a="1"/>
  <c r="CS104" i="5" s="1"/>
  <c r="CR104" i="5" a="1"/>
  <c r="CR104" i="5" s="1"/>
  <c r="BF214" i="5"/>
  <c r="BW214" i="5"/>
  <c r="BM214" i="5"/>
  <c r="CO214" i="5" a="1"/>
  <c r="CO214" i="5" s="1"/>
  <c r="CP214" i="5" a="1"/>
  <c r="CP214" i="5" s="1"/>
  <c r="CR214" i="5" a="1"/>
  <c r="CR214" i="5" s="1"/>
  <c r="CS214" i="5" a="1"/>
  <c r="CS214" i="5" s="1"/>
  <c r="BF314" i="5"/>
  <c r="BW314" i="5"/>
  <c r="BM314" i="5"/>
  <c r="CS314" i="5" a="1"/>
  <c r="CS314" i="5" s="1"/>
  <c r="CO314" i="5" a="1"/>
  <c r="CO314" i="5" s="1"/>
  <c r="CR314" i="5" a="1"/>
  <c r="CR314" i="5" s="1"/>
  <c r="CP314" i="5" a="1"/>
  <c r="CP314" i="5" s="1"/>
  <c r="BF414" i="5"/>
  <c r="BW414" i="5"/>
  <c r="CP414" i="5" a="1"/>
  <c r="CP414" i="5" s="1"/>
  <c r="CO414" i="5" a="1"/>
  <c r="CO414" i="5" s="1"/>
  <c r="CR414" i="5" a="1"/>
  <c r="CR414" i="5" s="1"/>
  <c r="CS414" i="5" a="1"/>
  <c r="CS414" i="5" s="1"/>
  <c r="AL142" i="5"/>
  <c r="AU142" i="5"/>
  <c r="BL142" i="5"/>
  <c r="BH142" i="5" a="1"/>
  <c r="BH142" i="5" s="1"/>
  <c r="BG142" i="5"/>
  <c r="AV344" i="5"/>
  <c r="BF312" i="5"/>
  <c r="BW312" i="5"/>
  <c r="CO312" i="5" a="1"/>
  <c r="CO312" i="5" s="1"/>
  <c r="CR312" i="5" a="1"/>
  <c r="CR312" i="5" s="1"/>
  <c r="CP312" i="5" a="1"/>
  <c r="CP312" i="5" s="1"/>
  <c r="CS312" i="5" a="1"/>
  <c r="CS312" i="5" s="1"/>
  <c r="AP412" i="5"/>
  <c r="AM165" i="5"/>
  <c r="AP165" i="5" s="1"/>
  <c r="AV165" i="5"/>
  <c r="AR165" i="5"/>
  <c r="AM125" i="5"/>
  <c r="AP125" i="5" s="1"/>
  <c r="AS125" i="5"/>
  <c r="AR125" i="5"/>
  <c r="AV125" i="5"/>
  <c r="AV94" i="5"/>
  <c r="BI94" i="5"/>
  <c r="AM64" i="5"/>
  <c r="AP64" i="5" s="1"/>
  <c r="AV64" i="5"/>
  <c r="BF307" i="5"/>
  <c r="BM307" i="5"/>
  <c r="BW307" i="5"/>
  <c r="CO307" i="5" a="1"/>
  <c r="CO307" i="5" s="1"/>
  <c r="CR307" i="5" a="1"/>
  <c r="CR307" i="5" s="1"/>
  <c r="CP307" i="5" a="1"/>
  <c r="CP307" i="5" s="1"/>
  <c r="CS307" i="5" a="1"/>
  <c r="CS307" i="5" s="1"/>
  <c r="BF332" i="5"/>
  <c r="BW332" i="5"/>
  <c r="CP332" i="5" a="1"/>
  <c r="CP332" i="5" s="1"/>
  <c r="CR332" i="5" a="1"/>
  <c r="CR332" i="5" s="1"/>
  <c r="CO332" i="5" a="1"/>
  <c r="CO332" i="5" s="1"/>
  <c r="CS332" i="5" a="1"/>
  <c r="CS332" i="5" s="1"/>
  <c r="AV232" i="5"/>
  <c r="BI232" i="5"/>
  <c r="BM232" i="5"/>
  <c r="BM175" i="5"/>
  <c r="BW175" i="5"/>
  <c r="BF175" i="5"/>
  <c r="CO175" i="5" a="1"/>
  <c r="CO175" i="5" s="1"/>
  <c r="CP175" i="5" a="1"/>
  <c r="CP175" i="5" s="1"/>
  <c r="CS175" i="5" a="1"/>
  <c r="CS175" i="5" s="1"/>
  <c r="CR175" i="5" a="1"/>
  <c r="CR175" i="5" s="1"/>
  <c r="BM193" i="5"/>
  <c r="BI193" i="5"/>
  <c r="BF356" i="5"/>
  <c r="BW356" i="5"/>
  <c r="CP356" i="5" a="1"/>
  <c r="CP356" i="5" s="1"/>
  <c r="CO356" i="5" a="1"/>
  <c r="CO356" i="5" s="1"/>
  <c r="CS356" i="5" a="1"/>
  <c r="CS356" i="5" s="1"/>
  <c r="CR356" i="5" a="1"/>
  <c r="CR356" i="5" s="1"/>
  <c r="BF14" i="5"/>
  <c r="BW14" i="5"/>
  <c r="CO14" i="5" a="1"/>
  <c r="CO14" i="5" s="1"/>
  <c r="CP14" i="5" a="1"/>
  <c r="CP14" i="5" s="1"/>
  <c r="CR14" i="5" a="1"/>
  <c r="CR14" i="5" s="1"/>
  <c r="CS14" i="5" a="1"/>
  <c r="CS14" i="5" s="1"/>
  <c r="BF114" i="5"/>
  <c r="BM114" i="5"/>
  <c r="BW114" i="5"/>
  <c r="CO114" i="5" a="1"/>
  <c r="CO114" i="5" s="1"/>
  <c r="CR114" i="5" a="1"/>
  <c r="CR114" i="5" s="1"/>
  <c r="CS114" i="5" a="1"/>
  <c r="CS114" i="5" s="1"/>
  <c r="CP114" i="5" a="1"/>
  <c r="CP114" i="5" s="1"/>
  <c r="BF224" i="5"/>
  <c r="BW224" i="5"/>
  <c r="CO224" i="5" a="1"/>
  <c r="CO224" i="5" s="1"/>
  <c r="CR224" i="5" a="1"/>
  <c r="CR224" i="5" s="1"/>
  <c r="CP224" i="5" a="1"/>
  <c r="CP224" i="5" s="1"/>
  <c r="CS224" i="5" a="1"/>
  <c r="CS224" i="5" s="1"/>
  <c r="BF324" i="5"/>
  <c r="BW324" i="5"/>
  <c r="CO324" i="5" a="1"/>
  <c r="CO324" i="5" s="1"/>
  <c r="CP324" i="5" a="1"/>
  <c r="CP324" i="5" s="1"/>
  <c r="CR324" i="5" a="1"/>
  <c r="CR324" i="5" s="1"/>
  <c r="CS324" i="5" a="1"/>
  <c r="CS324" i="5" s="1"/>
  <c r="BF424" i="5"/>
  <c r="BW424" i="5"/>
  <c r="CP424" i="5" a="1"/>
  <c r="CP424" i="5" s="1"/>
  <c r="CO424" i="5" a="1"/>
  <c r="CO424" i="5" s="1"/>
  <c r="CR424" i="5" a="1"/>
  <c r="CR424" i="5" s="1"/>
  <c r="CS424" i="5" a="1"/>
  <c r="CS424" i="5" s="1"/>
  <c r="AL374" i="5"/>
  <c r="BG374" i="5"/>
  <c r="BH374" i="5" a="1"/>
  <c r="BH374" i="5" s="1"/>
  <c r="BL374" i="5"/>
  <c r="AV72" i="5"/>
  <c r="BI72" i="5"/>
  <c r="BM72" i="5"/>
  <c r="BG322" i="5"/>
  <c r="BL322" i="5"/>
  <c r="BH322" i="5" a="1"/>
  <c r="BH322" i="5" s="1"/>
  <c r="AP194" i="5"/>
  <c r="AV314" i="5"/>
  <c r="AM94" i="5"/>
  <c r="AP94" i="5" s="1"/>
  <c r="AR94" i="5"/>
  <c r="AV304" i="5"/>
  <c r="AV115" i="5"/>
  <c r="BI115" i="5"/>
  <c r="BM115" i="5"/>
  <c r="AL441" i="5"/>
  <c r="BG441" i="5"/>
  <c r="BH441" i="5" a="1"/>
  <c r="BH441" i="5" s="1"/>
  <c r="AU441" i="5"/>
  <c r="BL441" i="5"/>
  <c r="AV317" i="5"/>
  <c r="BI317" i="5"/>
  <c r="AV204" i="5"/>
  <c r="AM435" i="5"/>
  <c r="AP435" i="5" s="1"/>
  <c r="AV435" i="5"/>
  <c r="BM235" i="5"/>
  <c r="AV22" i="5"/>
  <c r="BI22" i="5"/>
  <c r="BM22" i="5"/>
  <c r="AR193" i="5"/>
  <c r="AV193" i="5"/>
  <c r="BM343" i="5"/>
  <c r="BI343" i="5"/>
  <c r="AP117" i="5"/>
  <c r="AP402" i="5"/>
  <c r="BT326" i="5" a="1"/>
  <c r="BT326" i="5" s="1"/>
  <c r="AP93" i="5"/>
  <c r="BF366" i="5"/>
  <c r="BW366" i="5"/>
  <c r="CO366" i="5" a="1"/>
  <c r="CO366" i="5" s="1"/>
  <c r="CP366" i="5" a="1"/>
  <c r="CP366" i="5" s="1"/>
  <c r="CR366" i="5" a="1"/>
  <c r="CR366" i="5" s="1"/>
  <c r="CS366" i="5" a="1"/>
  <c r="CS366" i="5" s="1"/>
  <c r="BF24" i="5"/>
  <c r="BW24" i="5"/>
  <c r="CO24" i="5" a="1"/>
  <c r="CO24" i="5" s="1"/>
  <c r="CR24" i="5" a="1"/>
  <c r="CR24" i="5" s="1"/>
  <c r="CS24" i="5" a="1"/>
  <c r="CS24" i="5" s="1"/>
  <c r="CP24" i="5" a="1"/>
  <c r="CP24" i="5" s="1"/>
  <c r="BF124" i="5"/>
  <c r="BW124" i="5"/>
  <c r="CO124" i="5" a="1"/>
  <c r="CO124" i="5" s="1"/>
  <c r="CR124" i="5" a="1"/>
  <c r="CR124" i="5" s="1"/>
  <c r="CS124" i="5" a="1"/>
  <c r="CS124" i="5" s="1"/>
  <c r="CP124" i="5" a="1"/>
  <c r="CP124" i="5" s="1"/>
  <c r="AO234" i="5"/>
  <c r="BF334" i="5"/>
  <c r="BW334" i="5"/>
  <c r="CP334" i="5" a="1"/>
  <c r="CP334" i="5" s="1"/>
  <c r="CR334" i="5" a="1"/>
  <c r="CR334" i="5" s="1"/>
  <c r="CO334" i="5" a="1"/>
  <c r="CO334" i="5" s="1"/>
  <c r="CS334" i="5" a="1"/>
  <c r="CS334" i="5" s="1"/>
  <c r="BF434" i="5"/>
  <c r="BW434" i="5"/>
  <c r="CO434" i="5" a="1"/>
  <c r="CO434" i="5" s="1"/>
  <c r="CR434" i="5" a="1"/>
  <c r="CR434" i="5" s="1"/>
  <c r="CP434" i="5" a="1"/>
  <c r="CP434" i="5" s="1"/>
  <c r="CS434" i="5" a="1"/>
  <c r="CS434" i="5" s="1"/>
  <c r="AL174" i="5"/>
  <c r="AV174" i="5" s="1"/>
  <c r="BG174" i="5"/>
  <c r="BL174" i="5"/>
  <c r="BH174" i="5" a="1"/>
  <c r="BH174" i="5" s="1"/>
  <c r="AL424" i="5"/>
  <c r="BG424" i="5"/>
  <c r="BH424" i="5" a="1"/>
  <c r="BH424" i="5" s="1"/>
  <c r="BL424" i="5"/>
  <c r="BF422" i="5"/>
  <c r="BW422" i="5"/>
  <c r="CO422" i="5" a="1"/>
  <c r="CO422" i="5" s="1"/>
  <c r="CR422" i="5" a="1"/>
  <c r="CR422" i="5" s="1"/>
  <c r="CP422" i="5" a="1"/>
  <c r="CP422" i="5" s="1"/>
  <c r="CS422" i="5" a="1"/>
  <c r="CS422" i="5" s="1"/>
  <c r="AL92" i="5"/>
  <c r="AU92" i="5"/>
  <c r="BG92" i="5"/>
  <c r="BL92" i="5"/>
  <c r="BH92" i="5" a="1"/>
  <c r="BH92" i="5" s="1"/>
  <c r="AL32" i="5"/>
  <c r="AU32" i="5"/>
  <c r="BG32" i="5"/>
  <c r="BH32" i="5" a="1"/>
  <c r="BH32" i="5" s="1"/>
  <c r="BL32" i="5"/>
  <c r="AM2" i="5"/>
  <c r="AP2" i="5" s="1"/>
  <c r="AV2" i="5"/>
  <c r="AP442" i="5"/>
  <c r="AV382" i="5"/>
  <c r="BI382" i="5"/>
  <c r="BI302" i="5"/>
  <c r="BM302" i="5"/>
  <c r="AV432" i="5"/>
  <c r="BI432" i="5"/>
  <c r="BF317" i="5"/>
  <c r="BM317" i="5"/>
  <c r="BW317" i="5"/>
  <c r="CO317" i="5" a="1"/>
  <c r="CO317" i="5" s="1"/>
  <c r="CP317" i="5" a="1"/>
  <c r="CP317" i="5" s="1"/>
  <c r="CR317" i="5" a="1"/>
  <c r="CR317" i="5" s="1"/>
  <c r="CS317" i="5" a="1"/>
  <c r="CS317" i="5" s="1"/>
  <c r="AV341" i="5"/>
  <c r="BM341" i="5"/>
  <c r="BI341" i="5"/>
  <c r="BF357" i="5"/>
  <c r="BW357" i="5"/>
  <c r="BM357" i="5"/>
  <c r="CP357" i="5" a="1"/>
  <c r="CP357" i="5" s="1"/>
  <c r="CO357" i="5" a="1"/>
  <c r="CO357" i="5" s="1"/>
  <c r="CS357" i="5" a="1"/>
  <c r="CS357" i="5" s="1"/>
  <c r="CR357" i="5" a="1"/>
  <c r="CR357" i="5" s="1"/>
  <c r="AV264" i="5"/>
  <c r="BI264" i="5"/>
  <c r="BM405" i="5"/>
  <c r="AV177" i="5"/>
  <c r="BM177" i="5"/>
  <c r="BI177" i="5"/>
  <c r="AM235" i="5"/>
  <c r="AP235" i="5" s="1"/>
  <c r="AS235" i="5"/>
  <c r="AV235" i="5"/>
  <c r="AR235" i="5"/>
  <c r="AM22" i="5"/>
  <c r="AP22" i="5" s="1"/>
  <c r="AR22" i="5"/>
  <c r="AS22" i="5"/>
  <c r="AS343" i="5"/>
  <c r="AV343" i="5"/>
  <c r="AP20" i="5"/>
  <c r="AP311" i="5"/>
  <c r="BW376" i="5"/>
  <c r="BF376" i="5"/>
  <c r="CO376" i="5" a="1"/>
  <c r="CO376" i="5" s="1"/>
  <c r="CP376" i="5" a="1"/>
  <c r="CP376" i="5" s="1"/>
  <c r="CS376" i="5" a="1"/>
  <c r="CS376" i="5" s="1"/>
  <c r="CR376" i="5" a="1"/>
  <c r="CR376" i="5" s="1"/>
  <c r="BF34" i="5"/>
  <c r="BW34" i="5"/>
  <c r="CO34" i="5" a="1"/>
  <c r="CO34" i="5" s="1"/>
  <c r="CP34" i="5" a="1"/>
  <c r="CP34" i="5" s="1"/>
  <c r="CS34" i="5" a="1"/>
  <c r="CS34" i="5" s="1"/>
  <c r="CR34" i="5" a="1"/>
  <c r="CR34" i="5" s="1"/>
  <c r="BF134" i="5"/>
  <c r="BW134" i="5"/>
  <c r="CR134" i="5" a="1"/>
  <c r="CR134" i="5" s="1"/>
  <c r="CP134" i="5" a="1"/>
  <c r="CP134" i="5" s="1"/>
  <c r="CO134" i="5" a="1"/>
  <c r="CO134" i="5" s="1"/>
  <c r="CS134" i="5" a="1"/>
  <c r="CS134" i="5" s="1"/>
  <c r="BF244" i="5"/>
  <c r="BW244" i="5"/>
  <c r="BM244" i="5"/>
  <c r="CR244" i="5" a="1"/>
  <c r="CR244" i="5" s="1"/>
  <c r="CP244" i="5" a="1"/>
  <c r="CP244" i="5" s="1"/>
  <c r="CO244" i="5" a="1"/>
  <c r="CO244" i="5" s="1"/>
  <c r="CS244" i="5" a="1"/>
  <c r="CS244" i="5" s="1"/>
  <c r="BF344" i="5"/>
  <c r="BM344" i="5"/>
  <c r="BW344" i="5"/>
  <c r="CP344" i="5" a="1"/>
  <c r="CP344" i="5" s="1"/>
  <c r="CR344" i="5" a="1"/>
  <c r="CR344" i="5" s="1"/>
  <c r="CO344" i="5" a="1"/>
  <c r="CO344" i="5" s="1"/>
  <c r="CS344" i="5" a="1"/>
  <c r="CS344" i="5" s="1"/>
  <c r="AL274" i="5"/>
  <c r="BL274" i="5"/>
  <c r="BG274" i="5"/>
  <c r="BH274" i="5" a="1"/>
  <c r="BH274" i="5" s="1"/>
  <c r="AP413" i="5"/>
  <c r="AL122" i="5"/>
  <c r="AU122" i="5"/>
  <c r="BG122" i="5"/>
  <c r="BH122" i="5" a="1"/>
  <c r="BH122" i="5" s="1"/>
  <c r="BL122" i="5"/>
  <c r="BF112" i="5"/>
  <c r="BM112" i="5"/>
  <c r="CO112" i="5" a="1"/>
  <c r="CO112" i="5" s="1"/>
  <c r="BW112" i="5"/>
  <c r="CS112" i="5" a="1"/>
  <c r="CS112" i="5" s="1"/>
  <c r="CR112" i="5" a="1"/>
  <c r="CR112" i="5" s="1"/>
  <c r="CP112" i="5" a="1"/>
  <c r="CP112" i="5" s="1"/>
  <c r="AL62" i="5"/>
  <c r="AU62" i="5"/>
  <c r="BI62" i="5" s="1"/>
  <c r="BG62" i="5"/>
  <c r="BH62" i="5" a="1"/>
  <c r="BH62" i="5" s="1"/>
  <c r="BL62" i="5"/>
  <c r="AL332" i="5"/>
  <c r="AU332" i="5"/>
  <c r="BH332" i="5" a="1"/>
  <c r="BH332" i="5" s="1"/>
  <c r="BG332" i="5"/>
  <c r="BL332" i="5"/>
  <c r="AV141" i="5"/>
  <c r="BI141" i="5"/>
  <c r="BM141" i="5"/>
  <c r="BM95" i="5"/>
  <c r="BI95" i="5"/>
  <c r="AV231" i="5"/>
  <c r="BI231" i="5"/>
  <c r="BM231" i="5"/>
  <c r="AL19" i="5"/>
  <c r="AU19" i="5"/>
  <c r="BI19" i="5" s="1"/>
  <c r="BG19" i="5"/>
  <c r="BL19" i="5"/>
  <c r="BH19" i="5" a="1"/>
  <c r="BH19" i="5" s="1"/>
  <c r="BM93" i="5"/>
  <c r="BF93" i="5"/>
  <c r="BW93" i="5"/>
  <c r="CP93" i="5" a="1"/>
  <c r="CP93" i="5" s="1"/>
  <c r="CR93" i="5" a="1"/>
  <c r="CR93" i="5" s="1"/>
  <c r="CS93" i="5" a="1"/>
  <c r="CS93" i="5" s="1"/>
  <c r="CO93" i="5" a="1"/>
  <c r="CO93" i="5" s="1"/>
  <c r="AV342" i="5"/>
  <c r="BI342" i="5"/>
  <c r="AP136" i="5"/>
  <c r="AP67" i="5"/>
  <c r="AP190" i="5"/>
  <c r="BT207" i="5" a="1"/>
  <c r="BT207" i="5" s="1"/>
  <c r="AV56" i="5"/>
  <c r="BI56" i="5"/>
  <c r="BF386" i="5"/>
  <c r="BW386" i="5"/>
  <c r="CO386" i="5" a="1"/>
  <c r="CO386" i="5" s="1"/>
  <c r="CS386" i="5" a="1"/>
  <c r="CS386" i="5" s="1"/>
  <c r="CP386" i="5" a="1"/>
  <c r="CP386" i="5" s="1"/>
  <c r="CR386" i="5" a="1"/>
  <c r="CR386" i="5" s="1"/>
  <c r="BF44" i="5"/>
  <c r="BM44" i="5"/>
  <c r="BW44" i="5"/>
  <c r="CO44" i="5" a="1"/>
  <c r="CO44" i="5" s="1"/>
  <c r="CS44" i="5" a="1"/>
  <c r="CS44" i="5" s="1"/>
  <c r="CP44" i="5" a="1"/>
  <c r="CP44" i="5" s="1"/>
  <c r="CR44" i="5" a="1"/>
  <c r="CR44" i="5" s="1"/>
  <c r="BF144" i="5"/>
  <c r="BW144" i="5"/>
  <c r="BM144" i="5"/>
  <c r="CO144" i="5" a="1"/>
  <c r="CO144" i="5" s="1"/>
  <c r="CP144" i="5" a="1"/>
  <c r="CP144" i="5" s="1"/>
  <c r="CR144" i="5" a="1"/>
  <c r="CR144" i="5" s="1"/>
  <c r="CS144" i="5" a="1"/>
  <c r="CS144" i="5" s="1"/>
  <c r="BF254" i="5"/>
  <c r="BM254" i="5"/>
  <c r="BW254" i="5"/>
  <c r="CR254" i="5" a="1"/>
  <c r="CR254" i="5" s="1"/>
  <c r="CP254" i="5" a="1"/>
  <c r="CP254" i="5" s="1"/>
  <c r="CO254" i="5" a="1"/>
  <c r="CO254" i="5" s="1"/>
  <c r="CS254" i="5" a="1"/>
  <c r="CS254" i="5" s="1"/>
  <c r="BF354" i="5"/>
  <c r="BW354" i="5"/>
  <c r="BM354" i="5"/>
  <c r="CO354" i="5" a="1"/>
  <c r="CO354" i="5" s="1"/>
  <c r="CR354" i="5" a="1"/>
  <c r="CR354" i="5" s="1"/>
  <c r="CP354" i="5" a="1"/>
  <c r="CP354" i="5" s="1"/>
  <c r="CS354" i="5" a="1"/>
  <c r="CS354" i="5" s="1"/>
  <c r="BF442" i="5"/>
  <c r="BW442" i="5"/>
  <c r="BM442" i="5"/>
  <c r="CS442" i="5" a="1"/>
  <c r="CS442" i="5" s="1"/>
  <c r="CO442" i="5" a="1"/>
  <c r="CO442" i="5" s="1"/>
  <c r="CP442" i="5" a="1"/>
  <c r="CP442" i="5" s="1"/>
  <c r="CR442" i="5" a="1"/>
  <c r="CR442" i="5" s="1"/>
  <c r="BF222" i="5"/>
  <c r="BW222" i="5"/>
  <c r="CO222" i="5" a="1"/>
  <c r="CO222" i="5" s="1"/>
  <c r="CR222" i="5" a="1"/>
  <c r="CR222" i="5" s="1"/>
  <c r="CS222" i="5" a="1"/>
  <c r="CS222" i="5" s="1"/>
  <c r="CP222" i="5" a="1"/>
  <c r="CP222" i="5" s="1"/>
  <c r="AL202" i="5"/>
  <c r="AU202" i="5"/>
  <c r="BG202" i="5"/>
  <c r="BL202" i="5"/>
  <c r="BH202" i="5" a="1"/>
  <c r="BH202" i="5" s="1"/>
  <c r="BF132" i="5"/>
  <c r="BM132" i="5"/>
  <c r="BW132" i="5"/>
  <c r="CP132" i="5" a="1"/>
  <c r="CP132" i="5" s="1"/>
  <c r="CO132" i="5" a="1"/>
  <c r="CO132" i="5" s="1"/>
  <c r="CR132" i="5" a="1"/>
  <c r="CR132" i="5" s="1"/>
  <c r="CS132" i="5" a="1"/>
  <c r="CS132" i="5" s="1"/>
  <c r="AL324" i="5"/>
  <c r="BL324" i="5"/>
  <c r="BG324" i="5"/>
  <c r="BH324" i="5" a="1"/>
  <c r="BH324" i="5" s="1"/>
  <c r="AM102" i="5"/>
  <c r="AP102" i="5" s="1"/>
  <c r="AV102" i="5"/>
  <c r="AS9" i="5"/>
  <c r="AV9" i="5"/>
  <c r="AV327" i="5"/>
  <c r="BI327" i="5"/>
  <c r="BM327" i="5"/>
  <c r="BM315" i="5"/>
  <c r="BI315" i="5"/>
  <c r="AM141" i="5"/>
  <c r="AP141" i="5" s="1"/>
  <c r="AS141" i="5"/>
  <c r="AM95" i="5"/>
  <c r="AP95" i="5" s="1"/>
  <c r="AV95" i="5"/>
  <c r="AV347" i="5"/>
  <c r="BI347" i="5"/>
  <c r="BM347" i="5"/>
  <c r="BF387" i="5"/>
  <c r="BM387" i="5"/>
  <c r="BW387" i="5"/>
  <c r="CP387" i="5" a="1"/>
  <c r="CP387" i="5" s="1"/>
  <c r="CO387" i="5" a="1"/>
  <c r="CO387" i="5" s="1"/>
  <c r="CR387" i="5" a="1"/>
  <c r="CR387" i="5" s="1"/>
  <c r="CS387" i="5" a="1"/>
  <c r="CS387" i="5" s="1"/>
  <c r="AV20" i="5"/>
  <c r="BI20" i="5"/>
  <c r="BF333" i="5"/>
  <c r="BW333" i="5"/>
  <c r="CP333" i="5" a="1"/>
  <c r="CP333" i="5" s="1"/>
  <c r="CR333" i="5" a="1"/>
  <c r="CR333" i="5" s="1"/>
  <c r="CO333" i="5" a="1"/>
  <c r="CO333" i="5" s="1"/>
  <c r="CS333" i="5" a="1"/>
  <c r="CS333" i="5" s="1"/>
  <c r="BI65" i="5"/>
  <c r="BM65" i="5"/>
  <c r="BI355" i="5"/>
  <c r="BM355" i="5"/>
  <c r="AM177" i="5"/>
  <c r="AP177" i="5" s="1"/>
  <c r="AR177" i="5"/>
  <c r="AM342" i="5"/>
  <c r="AP342" i="5" s="1"/>
  <c r="AR342" i="5"/>
  <c r="AS342" i="5"/>
  <c r="BY301" i="5"/>
  <c r="CA301" i="5"/>
  <c r="AV164" i="5"/>
  <c r="BI164" i="5"/>
  <c r="CA21" i="5"/>
  <c r="BY21" i="5"/>
  <c r="BU207" i="5" a="1"/>
  <c r="BU207" i="5" s="1"/>
  <c r="BF396" i="5"/>
  <c r="BW396" i="5"/>
  <c r="CP396" i="5" a="1"/>
  <c r="CP396" i="5" s="1"/>
  <c r="CR396" i="5" a="1"/>
  <c r="CR396" i="5" s="1"/>
  <c r="CO396" i="5" a="1"/>
  <c r="CO396" i="5" s="1"/>
  <c r="CS396" i="5" a="1"/>
  <c r="CS396" i="5" s="1"/>
  <c r="BF54" i="5"/>
  <c r="BW54" i="5"/>
  <c r="BM54" i="5"/>
  <c r="CO54" i="5" a="1"/>
  <c r="CO54" i="5" s="1"/>
  <c r="CP54" i="5" a="1"/>
  <c r="CP54" i="5" s="1"/>
  <c r="CR54" i="5" a="1"/>
  <c r="CR54" i="5" s="1"/>
  <c r="CS54" i="5" a="1"/>
  <c r="CS54" i="5" s="1"/>
  <c r="BF154" i="5"/>
  <c r="BW154" i="5"/>
  <c r="BM154" i="5"/>
  <c r="CO154" i="5" a="1"/>
  <c r="CO154" i="5" s="1"/>
  <c r="CS154" i="5" a="1"/>
  <c r="CS154" i="5" s="1"/>
  <c r="CP154" i="5" a="1"/>
  <c r="CP154" i="5" s="1"/>
  <c r="CR154" i="5" a="1"/>
  <c r="CR154" i="5" s="1"/>
  <c r="BW264" i="5"/>
  <c r="BM264" i="5"/>
  <c r="BF264" i="5"/>
  <c r="CR264" i="5" a="1"/>
  <c r="CR264" i="5" s="1"/>
  <c r="CO264" i="5" a="1"/>
  <c r="CO264" i="5" s="1"/>
  <c r="CP264" i="5" a="1"/>
  <c r="CP264" i="5" s="1"/>
  <c r="CS264" i="5" a="1"/>
  <c r="CS264" i="5" s="1"/>
  <c r="BF364" i="5"/>
  <c r="BW364" i="5"/>
  <c r="CO364" i="5" a="1"/>
  <c r="CO364" i="5" s="1"/>
  <c r="CS364" i="5" a="1"/>
  <c r="CS364" i="5" s="1"/>
  <c r="CR364" i="5" a="1"/>
  <c r="CR364" i="5" s="1"/>
  <c r="CP364" i="5" a="1"/>
  <c r="CP364" i="5" s="1"/>
  <c r="BF42" i="5"/>
  <c r="BM42" i="5"/>
  <c r="BW42" i="5"/>
  <c r="CO42" i="5" a="1"/>
  <c r="CO42" i="5" s="1"/>
  <c r="CR42" i="5" a="1"/>
  <c r="CR42" i="5" s="1"/>
  <c r="CP42" i="5" a="1"/>
  <c r="CP42" i="5" s="1"/>
  <c r="CS42" i="5" a="1"/>
  <c r="CS42" i="5" s="1"/>
  <c r="AP436" i="5"/>
  <c r="AV403" i="5"/>
  <c r="BM403" i="5"/>
  <c r="BI403" i="5"/>
  <c r="BF31" i="5"/>
  <c r="BM31" i="5"/>
  <c r="CO31" i="5" a="1"/>
  <c r="CO31" i="5" s="1"/>
  <c r="BW31" i="5"/>
  <c r="CR31" i="5" a="1"/>
  <c r="CR31" i="5" s="1"/>
  <c r="CP31" i="5" a="1"/>
  <c r="CP31" i="5" s="1"/>
  <c r="CS31" i="5" a="1"/>
  <c r="CS31" i="5" s="1"/>
  <c r="AL242" i="5"/>
  <c r="AU242" i="5"/>
  <c r="BG242" i="5"/>
  <c r="BL242" i="5"/>
  <c r="BH242" i="5" a="1"/>
  <c r="BH242" i="5" s="1"/>
  <c r="BF292" i="5"/>
  <c r="BM292" i="5"/>
  <c r="BW292" i="5"/>
  <c r="CO292" i="5" a="1"/>
  <c r="CO292" i="5" s="1"/>
  <c r="CP292" i="5" a="1"/>
  <c r="CP292" i="5" s="1"/>
  <c r="CR292" i="5" a="1"/>
  <c r="CR292" i="5" s="1"/>
  <c r="CS292" i="5" a="1"/>
  <c r="CS292" i="5" s="1"/>
  <c r="BF262" i="5"/>
  <c r="BW262" i="5"/>
  <c r="CS262" i="5" a="1"/>
  <c r="CS262" i="5" s="1"/>
  <c r="CP262" i="5" a="1"/>
  <c r="CP262" i="5" s="1"/>
  <c r="CO262" i="5" a="1"/>
  <c r="CO262" i="5" s="1"/>
  <c r="CR262" i="5" a="1"/>
  <c r="CR262" i="5" s="1"/>
  <c r="BM12" i="5"/>
  <c r="BI12" i="5"/>
  <c r="AV315" i="5"/>
  <c r="AS315" i="5"/>
  <c r="AV277" i="5"/>
  <c r="BI277" i="5"/>
  <c r="BM277" i="5"/>
  <c r="BF147" i="5"/>
  <c r="BW147" i="5"/>
  <c r="CO147" i="5" a="1"/>
  <c r="CO147" i="5" s="1"/>
  <c r="CP147" i="5" a="1"/>
  <c r="CP147" i="5" s="1"/>
  <c r="CR147" i="5" a="1"/>
  <c r="CR147" i="5" s="1"/>
  <c r="CS147" i="5" a="1"/>
  <c r="CS147" i="5" s="1"/>
  <c r="BF417" i="5"/>
  <c r="BM417" i="5"/>
  <c r="BW417" i="5"/>
  <c r="CP417" i="5" a="1"/>
  <c r="CP417" i="5" s="1"/>
  <c r="CO417" i="5" a="1"/>
  <c r="CO417" i="5" s="1"/>
  <c r="CR417" i="5" a="1"/>
  <c r="CR417" i="5" s="1"/>
  <c r="CS417" i="5" a="1"/>
  <c r="CS417" i="5" s="1"/>
  <c r="BW413" i="5"/>
  <c r="BF413" i="5"/>
  <c r="CP413" i="5" a="1"/>
  <c r="CP413" i="5" s="1"/>
  <c r="CR413" i="5" a="1"/>
  <c r="CR413" i="5" s="1"/>
  <c r="CO413" i="5" a="1"/>
  <c r="CO413" i="5" s="1"/>
  <c r="CS413" i="5" a="1"/>
  <c r="CS413" i="5" s="1"/>
  <c r="AM65" i="5"/>
  <c r="AP65" i="5" s="1"/>
  <c r="AS65" i="5"/>
  <c r="AV65" i="5"/>
  <c r="AR65" i="5"/>
  <c r="AM355" i="5"/>
  <c r="AP355" i="5" s="1"/>
  <c r="AV355" i="5"/>
  <c r="BI192" i="5"/>
  <c r="BM192" i="5"/>
  <c r="AM164" i="5"/>
  <c r="AP164" i="5" s="1"/>
  <c r="AR164" i="5"/>
  <c r="BT304" i="5" a="1"/>
  <c r="BT304" i="5" s="1"/>
  <c r="AV246" i="5"/>
  <c r="BI246" i="5"/>
  <c r="BF406" i="5"/>
  <c r="BW406" i="5"/>
  <c r="CP406" i="5" a="1"/>
  <c r="CP406" i="5" s="1"/>
  <c r="CO406" i="5" a="1"/>
  <c r="CO406" i="5" s="1"/>
  <c r="CS406" i="5" a="1"/>
  <c r="CS406" i="5" s="1"/>
  <c r="CR406" i="5" a="1"/>
  <c r="CR406" i="5" s="1"/>
  <c r="BF64" i="5"/>
  <c r="BM64" i="5"/>
  <c r="BW64" i="5"/>
  <c r="CO64" i="5" a="1"/>
  <c r="CO64" i="5" s="1"/>
  <c r="CR64" i="5" a="1"/>
  <c r="CR64" i="5" s="1"/>
  <c r="CP64" i="5" a="1"/>
  <c r="CP64" i="5" s="1"/>
  <c r="CS64" i="5" a="1"/>
  <c r="CS64" i="5" s="1"/>
  <c r="BF164" i="5"/>
  <c r="BM164" i="5"/>
  <c r="BW164" i="5"/>
  <c r="CP164" i="5" a="1"/>
  <c r="CP164" i="5" s="1"/>
  <c r="CO164" i="5" a="1"/>
  <c r="CO164" i="5" s="1"/>
  <c r="CR164" i="5" a="1"/>
  <c r="CR164" i="5" s="1"/>
  <c r="CS164" i="5" a="1"/>
  <c r="CS164" i="5" s="1"/>
  <c r="BF274" i="5"/>
  <c r="BW274" i="5"/>
  <c r="CR274" i="5" a="1"/>
  <c r="CR274" i="5" s="1"/>
  <c r="CS274" i="5" a="1"/>
  <c r="CS274" i="5" s="1"/>
  <c r="CP274" i="5" a="1"/>
  <c r="CP274" i="5" s="1"/>
  <c r="CO274" i="5" a="1"/>
  <c r="CO274" i="5" s="1"/>
  <c r="BF374" i="5"/>
  <c r="BW374" i="5"/>
  <c r="CR374" i="5" a="1"/>
  <c r="CR374" i="5" s="1"/>
  <c r="CP374" i="5" a="1"/>
  <c r="CP374" i="5" s="1"/>
  <c r="CO374" i="5" a="1"/>
  <c r="CO374" i="5" s="1"/>
  <c r="CS374" i="5" a="1"/>
  <c r="CS374" i="5" s="1"/>
  <c r="AP207" i="5"/>
  <c r="BM337" i="5"/>
  <c r="BI337" i="5"/>
  <c r="BF362" i="5"/>
  <c r="BW362" i="5"/>
  <c r="CR362" i="5" a="1"/>
  <c r="CR362" i="5" s="1"/>
  <c r="CS362" i="5" a="1"/>
  <c r="CS362" i="5" s="1"/>
  <c r="CP362" i="5" a="1"/>
  <c r="CP362" i="5" s="1"/>
  <c r="CO362" i="5" a="1"/>
  <c r="CO362" i="5" s="1"/>
  <c r="BF171" i="5"/>
  <c r="BW171" i="5"/>
  <c r="CO171" i="5" a="1"/>
  <c r="CO171" i="5" s="1"/>
  <c r="CR171" i="5" a="1"/>
  <c r="CR171" i="5" s="1"/>
  <c r="CP171" i="5" a="1"/>
  <c r="CP171" i="5" s="1"/>
  <c r="CS171" i="5" a="1"/>
  <c r="CS171" i="5" s="1"/>
  <c r="BW322" i="5"/>
  <c r="BF322" i="5"/>
  <c r="CP322" i="5" a="1"/>
  <c r="CP322" i="5" s="1"/>
  <c r="CR322" i="5" a="1"/>
  <c r="CR322" i="5" s="1"/>
  <c r="CO322" i="5" a="1"/>
  <c r="CO322" i="5" s="1"/>
  <c r="CS322" i="5" a="1"/>
  <c r="CS322" i="5" s="1"/>
  <c r="AL262" i="5"/>
  <c r="AU262" i="5"/>
  <c r="BI262" i="5" s="1"/>
  <c r="BL262" i="5"/>
  <c r="BH262" i="5" a="1"/>
  <c r="BH262" i="5" s="1"/>
  <c r="BG262" i="5"/>
  <c r="AV392" i="5"/>
  <c r="BI392" i="5"/>
  <c r="AM12" i="5"/>
  <c r="AP12" i="5" s="1"/>
  <c r="AS12" i="5"/>
  <c r="AV12" i="5"/>
  <c r="AR12" i="5"/>
  <c r="AV82" i="5"/>
  <c r="BI82" i="5"/>
  <c r="BM82" i="5"/>
  <c r="AV261" i="5"/>
  <c r="BM261" i="5"/>
  <c r="BI261" i="5"/>
  <c r="AV187" i="5"/>
  <c r="BI187" i="5"/>
  <c r="AV427" i="5"/>
  <c r="BI427" i="5"/>
  <c r="BM35" i="5"/>
  <c r="BI35" i="5"/>
  <c r="BM407" i="5"/>
  <c r="BI407" i="5"/>
  <c r="AP432" i="5"/>
  <c r="BU94" i="5" a="1"/>
  <c r="BU94" i="5" s="1"/>
  <c r="BU304" i="5" a="1"/>
  <c r="BU304" i="5" s="1"/>
  <c r="AV296" i="5"/>
  <c r="BI296" i="5"/>
  <c r="BM296" i="5"/>
  <c r="BF416" i="5"/>
  <c r="BW416" i="5"/>
  <c r="CP416" i="5" a="1"/>
  <c r="CP416" i="5" s="1"/>
  <c r="CO416" i="5" a="1"/>
  <c r="CO416" i="5" s="1"/>
  <c r="CR416" i="5" a="1"/>
  <c r="CR416" i="5" s="1"/>
  <c r="CS416" i="5" a="1"/>
  <c r="CS416" i="5" s="1"/>
  <c r="BF74" i="5"/>
  <c r="BW74" i="5"/>
  <c r="CR74" i="5" a="1"/>
  <c r="CR74" i="5" s="1"/>
  <c r="CS74" i="5" a="1"/>
  <c r="CS74" i="5" s="1"/>
  <c r="CP74" i="5" a="1"/>
  <c r="CP74" i="5" s="1"/>
  <c r="CO74" i="5" a="1"/>
  <c r="CO74" i="5" s="1"/>
  <c r="BF174" i="5"/>
  <c r="BW174" i="5"/>
  <c r="CO174" i="5" a="1"/>
  <c r="CO174" i="5" s="1"/>
  <c r="CP174" i="5" a="1"/>
  <c r="CP174" i="5" s="1"/>
  <c r="CS174" i="5" a="1"/>
  <c r="CS174" i="5" s="1"/>
  <c r="CR174" i="5" a="1"/>
  <c r="CR174" i="5" s="1"/>
  <c r="BF284" i="5"/>
  <c r="BM284" i="5"/>
  <c r="BW284" i="5"/>
  <c r="CR284" i="5" a="1"/>
  <c r="CR284" i="5" s="1"/>
  <c r="CP284" i="5" a="1"/>
  <c r="CP284" i="5" s="1"/>
  <c r="CO284" i="5" a="1"/>
  <c r="CO284" i="5" s="1"/>
  <c r="CS284" i="5" a="1"/>
  <c r="CS284" i="5" s="1"/>
  <c r="BF384" i="5"/>
  <c r="BW384" i="5"/>
  <c r="CS384" i="5" a="1"/>
  <c r="CS384" i="5" s="1"/>
  <c r="CR384" i="5" a="1"/>
  <c r="CR384" i="5" s="1"/>
  <c r="CP384" i="5" a="1"/>
  <c r="CP384" i="5" s="1"/>
  <c r="CO384" i="5" a="1"/>
  <c r="CO384" i="5" s="1"/>
  <c r="BF162" i="5"/>
  <c r="BW162" i="5"/>
  <c r="BM162" i="5"/>
  <c r="CS162" i="5" a="1"/>
  <c r="CS162" i="5" s="1"/>
  <c r="CP162" i="5" a="1"/>
  <c r="CP162" i="5" s="1"/>
  <c r="CR162" i="5" a="1"/>
  <c r="CR162" i="5" s="1"/>
  <c r="CO162" i="5" a="1"/>
  <c r="CO162" i="5" s="1"/>
  <c r="BF372" i="5"/>
  <c r="BW372" i="5"/>
  <c r="CR372" i="5" a="1"/>
  <c r="CR372" i="5" s="1"/>
  <c r="CP372" i="5" a="1"/>
  <c r="CP372" i="5" s="1"/>
  <c r="CO372" i="5" a="1"/>
  <c r="CO372" i="5" s="1"/>
  <c r="CS372" i="5" a="1"/>
  <c r="CS372" i="5" s="1"/>
  <c r="BW221" i="5"/>
  <c r="BF221" i="5"/>
  <c r="CS221" i="5" a="1"/>
  <c r="CS221" i="5" s="1"/>
  <c r="CP221" i="5" a="1"/>
  <c r="CP221" i="5" s="1"/>
  <c r="CO221" i="5" a="1"/>
  <c r="CO221" i="5" s="1"/>
  <c r="CR221" i="5" a="1"/>
  <c r="CR221" i="5" s="1"/>
  <c r="AL404" i="5"/>
  <c r="AU404" i="5"/>
  <c r="BI404" i="5" s="1"/>
  <c r="BL404" i="5"/>
  <c r="BG404" i="5"/>
  <c r="BH404" i="5" a="1"/>
  <c r="BH404" i="5" s="1"/>
  <c r="AL282" i="5"/>
  <c r="AU282" i="5"/>
  <c r="BI282" i="5" s="1"/>
  <c r="BG282" i="5"/>
  <c r="BH282" i="5" a="1"/>
  <c r="BH282" i="5" s="1"/>
  <c r="BL282" i="5"/>
  <c r="BM151" i="5"/>
  <c r="BI151" i="5"/>
  <c r="AV377" i="5"/>
  <c r="BM377" i="5"/>
  <c r="BI377" i="5"/>
  <c r="BI303" i="5"/>
  <c r="BM303" i="5"/>
  <c r="BF62" i="5"/>
  <c r="BW62" i="5"/>
  <c r="BM62" i="5"/>
  <c r="CO62" i="5" a="1"/>
  <c r="CO62" i="5" s="1"/>
  <c r="CS62" i="5" a="1"/>
  <c r="CS62" i="5" s="1"/>
  <c r="CP62" i="5" a="1"/>
  <c r="CP62" i="5" s="1"/>
  <c r="CR62" i="5" a="1"/>
  <c r="CR62" i="5" s="1"/>
  <c r="BF187" i="5"/>
  <c r="BW187" i="5"/>
  <c r="BM187" i="5"/>
  <c r="CP187" i="5" a="1"/>
  <c r="CP187" i="5" s="1"/>
  <c r="CS187" i="5" a="1"/>
  <c r="CS187" i="5" s="1"/>
  <c r="CO187" i="5" a="1"/>
  <c r="CO187" i="5" s="1"/>
  <c r="CR187" i="5" a="1"/>
  <c r="CR187" i="5" s="1"/>
  <c r="BF427" i="5"/>
  <c r="BW427" i="5"/>
  <c r="BM427" i="5"/>
  <c r="CP427" i="5" a="1"/>
  <c r="CP427" i="5" s="1"/>
  <c r="CO427" i="5" a="1"/>
  <c r="CO427" i="5" s="1"/>
  <c r="CR427" i="5" a="1"/>
  <c r="CR427" i="5" s="1"/>
  <c r="CS427" i="5" a="1"/>
  <c r="CS427" i="5" s="1"/>
  <c r="AM35" i="5"/>
  <c r="AP35" i="5" s="1"/>
  <c r="AR35" i="5"/>
  <c r="AS35" i="5"/>
  <c r="AV35" i="5"/>
  <c r="AV405" i="5"/>
  <c r="BM435" i="5"/>
  <c r="AV417" i="5"/>
  <c r="BI417" i="5"/>
  <c r="AV205" i="5"/>
  <c r="BI205" i="5"/>
  <c r="BM205" i="5"/>
  <c r="AM326" i="5"/>
  <c r="AP326" i="5" s="1"/>
  <c r="AS326" i="5"/>
  <c r="AR326" i="5"/>
  <c r="BF78" i="5"/>
  <c r="BT78" i="5" a="1"/>
  <c r="BT78" i="5" s="1"/>
  <c r="BW78" i="5"/>
  <c r="BU78" i="5" a="1"/>
  <c r="BU78" i="5" s="1"/>
  <c r="CP78" i="5" a="1"/>
  <c r="CP78" i="5" s="1"/>
  <c r="CR78" i="5" a="1"/>
  <c r="CR78" i="5" s="1"/>
  <c r="CO78" i="5" a="1"/>
  <c r="CO78" i="5" s="1"/>
  <c r="CS78" i="5" a="1"/>
  <c r="CS78" i="5" s="1"/>
  <c r="BF178" i="5"/>
  <c r="BT178" i="5" a="1"/>
  <c r="BT178" i="5" s="1"/>
  <c r="BU178" i="5" a="1"/>
  <c r="BU178" i="5" s="1"/>
  <c r="BW178" i="5"/>
  <c r="CP178" i="5" a="1"/>
  <c r="CP178" i="5" s="1"/>
  <c r="CR178" i="5" a="1"/>
  <c r="CR178" i="5" s="1"/>
  <c r="CO178" i="5" a="1"/>
  <c r="CO178" i="5" s="1"/>
  <c r="CS178" i="5" a="1"/>
  <c r="CS178" i="5" s="1"/>
  <c r="BF278" i="5"/>
  <c r="BT278" i="5" a="1"/>
  <c r="BT278" i="5" s="1"/>
  <c r="BU278" i="5" a="1"/>
  <c r="BU278" i="5" s="1"/>
  <c r="BW278" i="5"/>
  <c r="CO278" i="5" a="1"/>
  <c r="CO278" i="5" s="1"/>
  <c r="CP278" i="5" a="1"/>
  <c r="CP278" i="5" s="1"/>
  <c r="CR278" i="5" a="1"/>
  <c r="CR278" i="5" s="1"/>
  <c r="CS278" i="5" a="1"/>
  <c r="CS278" i="5" s="1"/>
  <c r="BF378" i="5"/>
  <c r="BT378" i="5" a="1"/>
  <c r="BT378" i="5" s="1"/>
  <c r="BU378" i="5" a="1"/>
  <c r="BU378" i="5" s="1"/>
  <c r="BW378" i="5"/>
  <c r="CO378" i="5" a="1"/>
  <c r="CO378" i="5" s="1"/>
  <c r="CP378" i="5" a="1"/>
  <c r="CP378" i="5" s="1"/>
  <c r="CR378" i="5" a="1"/>
  <c r="CR378" i="5" s="1"/>
  <c r="CS378" i="5" a="1"/>
  <c r="CS378" i="5" s="1"/>
  <c r="BF169" i="5"/>
  <c r="BU169" i="5" a="1"/>
  <c r="BU169" i="5" s="1"/>
  <c r="BT169" i="5" a="1"/>
  <c r="BT169" i="5" s="1"/>
  <c r="BW169" i="5"/>
  <c r="CO169" i="5" a="1"/>
  <c r="CO169" i="5" s="1"/>
  <c r="CP169" i="5" a="1"/>
  <c r="CP169" i="5" s="1"/>
  <c r="CR169" i="5" a="1"/>
  <c r="CR169" i="5" s="1"/>
  <c r="CS169" i="5" a="1"/>
  <c r="CS169" i="5" s="1"/>
  <c r="BF219" i="5"/>
  <c r="BU219" i="5" a="1"/>
  <c r="BU219" i="5" s="1"/>
  <c r="BT219" i="5" a="1"/>
  <c r="BT219" i="5" s="1"/>
  <c r="BW219" i="5"/>
  <c r="CO219" i="5" a="1"/>
  <c r="CO219" i="5" s="1"/>
  <c r="CP219" i="5" a="1"/>
  <c r="CP219" i="5" s="1"/>
  <c r="CR219" i="5" a="1"/>
  <c r="CR219" i="5" s="1"/>
  <c r="CS219" i="5" a="1"/>
  <c r="CS219" i="5" s="1"/>
  <c r="BF269" i="5"/>
  <c r="BU269" i="5" a="1"/>
  <c r="BU269" i="5" s="1"/>
  <c r="BT269" i="5" a="1"/>
  <c r="BT269" i="5" s="1"/>
  <c r="BW269" i="5"/>
  <c r="CO269" i="5" a="1"/>
  <c r="CO269" i="5" s="1"/>
  <c r="CP269" i="5" a="1"/>
  <c r="CP269" i="5" s="1"/>
  <c r="CR269" i="5" a="1"/>
  <c r="CR269" i="5" s="1"/>
  <c r="CS269" i="5" a="1"/>
  <c r="CS269" i="5" s="1"/>
  <c r="BF319" i="5"/>
  <c r="BU319" i="5" a="1"/>
  <c r="BU319" i="5" s="1"/>
  <c r="BT319" i="5" a="1"/>
  <c r="BT319" i="5" s="1"/>
  <c r="BW319" i="5"/>
  <c r="CO319" i="5" a="1"/>
  <c r="CO319" i="5" s="1"/>
  <c r="CP319" i="5" a="1"/>
  <c r="CP319" i="5" s="1"/>
  <c r="CR319" i="5" a="1"/>
  <c r="CR319" i="5" s="1"/>
  <c r="CS319" i="5" a="1"/>
  <c r="CS319" i="5" s="1"/>
  <c r="BF369" i="5"/>
  <c r="BU369" i="5" a="1"/>
  <c r="BU369" i="5" s="1"/>
  <c r="BT369" i="5" a="1"/>
  <c r="BT369" i="5" s="1"/>
  <c r="BW369" i="5"/>
  <c r="CP369" i="5" a="1"/>
  <c r="CP369" i="5" s="1"/>
  <c r="CR369" i="5" a="1"/>
  <c r="CR369" i="5" s="1"/>
  <c r="CO369" i="5" a="1"/>
  <c r="CO369" i="5" s="1"/>
  <c r="CS369" i="5" a="1"/>
  <c r="CS369" i="5" s="1"/>
  <c r="BF419" i="5"/>
  <c r="BU419" i="5" a="1"/>
  <c r="BU419" i="5" s="1"/>
  <c r="BT419" i="5" a="1"/>
  <c r="BT419" i="5" s="1"/>
  <c r="BW419" i="5"/>
  <c r="CP419" i="5" a="1"/>
  <c r="CP419" i="5" s="1"/>
  <c r="CR419" i="5" a="1"/>
  <c r="CR419" i="5" s="1"/>
  <c r="CO419" i="5" a="1"/>
  <c r="CO419" i="5" s="1"/>
  <c r="CS419" i="5" a="1"/>
  <c r="CS419" i="5" s="1"/>
  <c r="BF179" i="5"/>
  <c r="BU179" i="5" a="1"/>
  <c r="BU179" i="5" s="1"/>
  <c r="BT179" i="5" a="1"/>
  <c r="BT179" i="5" s="1"/>
  <c r="BW179" i="5"/>
  <c r="CO179" i="5" a="1"/>
  <c r="CO179" i="5" s="1"/>
  <c r="CS179" i="5" a="1"/>
  <c r="CS179" i="5" s="1"/>
  <c r="CP179" i="5" a="1"/>
  <c r="CP179" i="5" s="1"/>
  <c r="CR179" i="5" a="1"/>
  <c r="CR179" i="5" s="1"/>
  <c r="BF279" i="5"/>
  <c r="BU279" i="5" a="1"/>
  <c r="BU279" i="5" s="1"/>
  <c r="BT279" i="5" a="1"/>
  <c r="BT279" i="5" s="1"/>
  <c r="BW279" i="5"/>
  <c r="CO279" i="5" a="1"/>
  <c r="CO279" i="5" s="1"/>
  <c r="CS279" i="5" a="1"/>
  <c r="CS279" i="5" s="1"/>
  <c r="CP279" i="5" a="1"/>
  <c r="CP279" i="5" s="1"/>
  <c r="CR279" i="5" a="1"/>
  <c r="CR279" i="5" s="1"/>
  <c r="BF379" i="5"/>
  <c r="BT379" i="5" a="1"/>
  <c r="BT379" i="5" s="1"/>
  <c r="BU379" i="5" a="1"/>
  <c r="BU379" i="5" s="1"/>
  <c r="BW379" i="5"/>
  <c r="CO379" i="5" a="1"/>
  <c r="CO379" i="5" s="1"/>
  <c r="CS379" i="5" a="1"/>
  <c r="CS379" i="5" s="1"/>
  <c r="CP379" i="5" a="1"/>
  <c r="CP379" i="5" s="1"/>
  <c r="CR379" i="5" a="1"/>
  <c r="CR379" i="5" s="1"/>
  <c r="BF98" i="5"/>
  <c r="BU98" i="5" a="1"/>
  <c r="BU98" i="5" s="1"/>
  <c r="BT98" i="5" a="1"/>
  <c r="BT98" i="5" s="1"/>
  <c r="BW98" i="5"/>
  <c r="CO98" i="5" a="1"/>
  <c r="CO98" i="5" s="1"/>
  <c r="CP98" i="5" a="1"/>
  <c r="CP98" i="5" s="1"/>
  <c r="CR98" i="5" a="1"/>
  <c r="CR98" i="5" s="1"/>
  <c r="CS98" i="5" a="1"/>
  <c r="CS98" i="5" s="1"/>
  <c r="BF198" i="5"/>
  <c r="BU198" i="5" a="1"/>
  <c r="BU198" i="5" s="1"/>
  <c r="BT198" i="5" a="1"/>
  <c r="BT198" i="5" s="1"/>
  <c r="BW198" i="5"/>
  <c r="CO198" i="5" a="1"/>
  <c r="CO198" i="5" s="1"/>
  <c r="CP198" i="5" a="1"/>
  <c r="CP198" i="5" s="1"/>
  <c r="CR198" i="5" a="1"/>
  <c r="CR198" i="5" s="1"/>
  <c r="CS198" i="5" a="1"/>
  <c r="CS198" i="5" s="1"/>
  <c r="BF298" i="5"/>
  <c r="BU298" i="5" a="1"/>
  <c r="BU298" i="5" s="1"/>
  <c r="BT298" i="5" a="1"/>
  <c r="BT298" i="5" s="1"/>
  <c r="BW298" i="5"/>
  <c r="CO298" i="5" a="1"/>
  <c r="CO298" i="5" s="1"/>
  <c r="CP298" i="5" a="1"/>
  <c r="CP298" i="5" s="1"/>
  <c r="CR298" i="5" a="1"/>
  <c r="CR298" i="5" s="1"/>
  <c r="CS298" i="5" a="1"/>
  <c r="CS298" i="5" s="1"/>
  <c r="BF398" i="5"/>
  <c r="BU398" i="5" a="1"/>
  <c r="BU398" i="5" s="1"/>
  <c r="BT398" i="5" a="1"/>
  <c r="BT398" i="5" s="1"/>
  <c r="BW398" i="5"/>
  <c r="CP398" i="5" a="1"/>
  <c r="CP398" i="5" s="1"/>
  <c r="CO398" i="5" a="1"/>
  <c r="CO398" i="5" s="1"/>
  <c r="CR398" i="5" a="1"/>
  <c r="CR398" i="5" s="1"/>
  <c r="CS398" i="5" a="1"/>
  <c r="CS398" i="5" s="1"/>
  <c r="BF239" i="5"/>
  <c r="BT239" i="5" a="1"/>
  <c r="BT239" i="5" s="1"/>
  <c r="BU239" i="5" a="1"/>
  <c r="BU239" i="5" s="1"/>
  <c r="BW239" i="5"/>
  <c r="CO239" i="5" a="1"/>
  <c r="CO239" i="5" s="1"/>
  <c r="CS239" i="5" a="1"/>
  <c r="CS239" i="5" s="1"/>
  <c r="CP239" i="5" a="1"/>
  <c r="CP239" i="5" s="1"/>
  <c r="CR239" i="5" a="1"/>
  <c r="CR239" i="5" s="1"/>
  <c r="BF339" i="5"/>
  <c r="BT339" i="5" a="1"/>
  <c r="BT339" i="5" s="1"/>
  <c r="BW339" i="5"/>
  <c r="BU339" i="5" a="1"/>
  <c r="BU339" i="5" s="1"/>
  <c r="CS339" i="5" a="1"/>
  <c r="CS339" i="5" s="1"/>
  <c r="CP339" i="5" a="1"/>
  <c r="CP339" i="5" s="1"/>
  <c r="CO339" i="5" a="1"/>
  <c r="CO339" i="5" s="1"/>
  <c r="CR339" i="5" a="1"/>
  <c r="CR339" i="5" s="1"/>
  <c r="BF439" i="5"/>
  <c r="BT439" i="5" a="1"/>
  <c r="BT439" i="5" s="1"/>
  <c r="BW439" i="5"/>
  <c r="BU439" i="5" a="1"/>
  <c r="BU439" i="5" s="1"/>
  <c r="CO439" i="5" a="1"/>
  <c r="CO439" i="5" s="1"/>
  <c r="CS439" i="5" a="1"/>
  <c r="CS439" i="5" s="1"/>
  <c r="CP439" i="5" a="1"/>
  <c r="CP439" i="5" s="1"/>
  <c r="CR439" i="5" a="1"/>
  <c r="CR439" i="5" s="1"/>
  <c r="BF58" i="5"/>
  <c r="BU58" i="5" a="1"/>
  <c r="BU58" i="5" s="1"/>
  <c r="BT58" i="5" a="1"/>
  <c r="BT58" i="5" s="1"/>
  <c r="BW58" i="5"/>
  <c r="CO58" i="5" a="1"/>
  <c r="CO58" i="5" s="1"/>
  <c r="CP58" i="5" a="1"/>
  <c r="CP58" i="5" s="1"/>
  <c r="CR58" i="5" a="1"/>
  <c r="CR58" i="5" s="1"/>
  <c r="CS58" i="5" a="1"/>
  <c r="CS58" i="5" s="1"/>
  <c r="BF158" i="5"/>
  <c r="BU158" i="5" a="1"/>
  <c r="BU158" i="5" s="1"/>
  <c r="BT158" i="5" a="1"/>
  <c r="BT158" i="5" s="1"/>
  <c r="BW158" i="5"/>
  <c r="CO158" i="5" a="1"/>
  <c r="CO158" i="5" s="1"/>
  <c r="CP158" i="5" a="1"/>
  <c r="CP158" i="5" s="1"/>
  <c r="CR158" i="5" a="1"/>
  <c r="CR158" i="5" s="1"/>
  <c r="CS158" i="5" a="1"/>
  <c r="CS158" i="5" s="1"/>
  <c r="BF258" i="5"/>
  <c r="BU258" i="5" a="1"/>
  <c r="BU258" i="5" s="1"/>
  <c r="BT258" i="5" a="1"/>
  <c r="BT258" i="5" s="1"/>
  <c r="BW258" i="5"/>
  <c r="CO258" i="5" a="1"/>
  <c r="CO258" i="5" s="1"/>
  <c r="CP258" i="5" a="1"/>
  <c r="CP258" i="5" s="1"/>
  <c r="CR258" i="5" a="1"/>
  <c r="CR258" i="5" s="1"/>
  <c r="CS258" i="5" a="1"/>
  <c r="CS258" i="5" s="1"/>
  <c r="BF358" i="5"/>
  <c r="BU358" i="5" a="1"/>
  <c r="BU358" i="5" s="1"/>
  <c r="BT358" i="5" a="1"/>
  <c r="BT358" i="5" s="1"/>
  <c r="BW358" i="5"/>
  <c r="CP358" i="5" a="1"/>
  <c r="CP358" i="5" s="1"/>
  <c r="CR358" i="5" a="1"/>
  <c r="CR358" i="5" s="1"/>
  <c r="CO358" i="5" a="1"/>
  <c r="CO358" i="5" s="1"/>
  <c r="CS358" i="5" a="1"/>
  <c r="CS358" i="5" s="1"/>
  <c r="BF68" i="5"/>
  <c r="BT68" i="5" a="1"/>
  <c r="BT68" i="5" s="1"/>
  <c r="BU68" i="5" a="1"/>
  <c r="BU68" i="5" s="1"/>
  <c r="BW68" i="5"/>
  <c r="CO68" i="5" a="1"/>
  <c r="CO68" i="5" s="1"/>
  <c r="CS68" i="5" a="1"/>
  <c r="CS68" i="5" s="1"/>
  <c r="CP68" i="5" a="1"/>
  <c r="CP68" i="5" s="1"/>
  <c r="CR68" i="5" a="1"/>
  <c r="CR68" i="5" s="1"/>
  <c r="BF118" i="5"/>
  <c r="BT118" i="5" a="1"/>
  <c r="BT118" i="5" s="1"/>
  <c r="BU118" i="5" a="1"/>
  <c r="BU118" i="5" s="1"/>
  <c r="BW118" i="5"/>
  <c r="CO118" i="5" a="1"/>
  <c r="CO118" i="5" s="1"/>
  <c r="CS118" i="5" a="1"/>
  <c r="CS118" i="5" s="1"/>
  <c r="CP118" i="5" a="1"/>
  <c r="CP118" i="5" s="1"/>
  <c r="CR118" i="5" a="1"/>
  <c r="CR118" i="5" s="1"/>
  <c r="BF168" i="5"/>
  <c r="BT168" i="5" a="1"/>
  <c r="BT168" i="5" s="1"/>
  <c r="BU168" i="5" a="1"/>
  <c r="BU168" i="5" s="1"/>
  <c r="BW168" i="5"/>
  <c r="CO168" i="5" a="1"/>
  <c r="CO168" i="5" s="1"/>
  <c r="CS168" i="5" a="1"/>
  <c r="CS168" i="5" s="1"/>
  <c r="CP168" i="5" a="1"/>
  <c r="CP168" i="5" s="1"/>
  <c r="CR168" i="5" a="1"/>
  <c r="CR168" i="5" s="1"/>
  <c r="BF218" i="5"/>
  <c r="BT218" i="5" a="1"/>
  <c r="BT218" i="5" s="1"/>
  <c r="BU218" i="5" a="1"/>
  <c r="BU218" i="5" s="1"/>
  <c r="BW218" i="5"/>
  <c r="CO218" i="5" a="1"/>
  <c r="CO218" i="5" s="1"/>
  <c r="CP218" i="5" a="1"/>
  <c r="CP218" i="5" s="1"/>
  <c r="CR218" i="5" a="1"/>
  <c r="CR218" i="5" s="1"/>
  <c r="CS218" i="5" a="1"/>
  <c r="CS218" i="5" s="1"/>
  <c r="BF268" i="5"/>
  <c r="BT268" i="5" a="1"/>
  <c r="BT268" i="5" s="1"/>
  <c r="BU268" i="5" a="1"/>
  <c r="BU268" i="5" s="1"/>
  <c r="BW268" i="5"/>
  <c r="CO268" i="5" a="1"/>
  <c r="CO268" i="5" s="1"/>
  <c r="CP268" i="5" a="1"/>
  <c r="CP268" i="5" s="1"/>
  <c r="CR268" i="5" a="1"/>
  <c r="CR268" i="5" s="1"/>
  <c r="CS268" i="5" a="1"/>
  <c r="CS268" i="5" s="1"/>
  <c r="BF318" i="5"/>
  <c r="BU318" i="5" a="1"/>
  <c r="BU318" i="5" s="1"/>
  <c r="BT318" i="5" a="1"/>
  <c r="BT318" i="5" s="1"/>
  <c r="BW318" i="5"/>
  <c r="CO318" i="5" a="1"/>
  <c r="CO318" i="5" s="1"/>
  <c r="CP318" i="5" a="1"/>
  <c r="CP318" i="5" s="1"/>
  <c r="CR318" i="5" a="1"/>
  <c r="CR318" i="5" s="1"/>
  <c r="CS318" i="5" a="1"/>
  <c r="CS318" i="5" s="1"/>
  <c r="BF368" i="5"/>
  <c r="BU368" i="5" a="1"/>
  <c r="BU368" i="5" s="1"/>
  <c r="BT368" i="5" a="1"/>
  <c r="BT368" i="5" s="1"/>
  <c r="BW368" i="5"/>
  <c r="CO368" i="5" a="1"/>
  <c r="CO368" i="5" s="1"/>
  <c r="CP368" i="5" a="1"/>
  <c r="CP368" i="5" s="1"/>
  <c r="CR368" i="5" a="1"/>
  <c r="CR368" i="5" s="1"/>
  <c r="CS368" i="5" a="1"/>
  <c r="CS368" i="5" s="1"/>
  <c r="BF418" i="5"/>
  <c r="BU418" i="5" a="1"/>
  <c r="BU418" i="5" s="1"/>
  <c r="BT418" i="5" a="1"/>
  <c r="BT418" i="5" s="1"/>
  <c r="BW418" i="5"/>
  <c r="CO418" i="5" a="1"/>
  <c r="CO418" i="5" s="1"/>
  <c r="CP418" i="5" a="1"/>
  <c r="CP418" i="5" s="1"/>
  <c r="CR418" i="5" a="1"/>
  <c r="CR418" i="5" s="1"/>
  <c r="CS418" i="5" a="1"/>
  <c r="CS418" i="5" s="1"/>
  <c r="BF259" i="5"/>
  <c r="BU259" i="5" a="1"/>
  <c r="BU259" i="5" s="1"/>
  <c r="BT259" i="5" a="1"/>
  <c r="BT259" i="5" s="1"/>
  <c r="BW259" i="5"/>
  <c r="CO259" i="5" a="1"/>
  <c r="CO259" i="5" s="1"/>
  <c r="CP259" i="5" a="1"/>
  <c r="CP259" i="5" s="1"/>
  <c r="CR259" i="5" a="1"/>
  <c r="CR259" i="5" s="1"/>
  <c r="CS259" i="5" a="1"/>
  <c r="CS259" i="5" s="1"/>
  <c r="BF359" i="5"/>
  <c r="BU359" i="5" a="1"/>
  <c r="BU359" i="5" s="1"/>
  <c r="BW359" i="5"/>
  <c r="BT359" i="5" a="1"/>
  <c r="BT359" i="5" s="1"/>
  <c r="CO359" i="5" a="1"/>
  <c r="CO359" i="5" s="1"/>
  <c r="CP359" i="5" a="1"/>
  <c r="CP359" i="5" s="1"/>
  <c r="CR359" i="5" a="1"/>
  <c r="CR359" i="5" s="1"/>
  <c r="CS359" i="5" a="1"/>
  <c r="CS359" i="5" s="1"/>
  <c r="R51" i="5"/>
  <c r="AT51" i="5"/>
  <c r="AA248" i="5" a="1"/>
  <c r="AA248" i="5" s="1"/>
  <c r="AB248" i="5" s="1"/>
  <c r="AA65" i="5" a="1"/>
  <c r="AA65" i="5" s="1"/>
  <c r="AB65" i="5" s="1"/>
  <c r="R101" i="5"/>
  <c r="AT101" i="5"/>
  <c r="AA256" i="5" a="1"/>
  <c r="AA256" i="5" s="1"/>
  <c r="AB256" i="5" s="1"/>
  <c r="AA376" i="5" a="1"/>
  <c r="AA376" i="5" s="1"/>
  <c r="AB376" i="5"/>
  <c r="AA407" i="5" a="1"/>
  <c r="AA407" i="5" s="1"/>
  <c r="AB407" i="5" s="1"/>
  <c r="AA259" i="5" a="1"/>
  <c r="AA259" i="5" s="1"/>
  <c r="AB259" i="5" s="1"/>
  <c r="BF148" i="5"/>
  <c r="BU148" i="5" a="1"/>
  <c r="BU148" i="5" s="1"/>
  <c r="BW148" i="5"/>
  <c r="BT148" i="5" a="1"/>
  <c r="BT148" i="5" s="1"/>
  <c r="CO148" i="5" a="1"/>
  <c r="CO148" i="5" s="1"/>
  <c r="CP148" i="5" a="1"/>
  <c r="CP148" i="5" s="1"/>
  <c r="CR148" i="5" a="1"/>
  <c r="CR148" i="5" s="1"/>
  <c r="CS148" i="5" a="1"/>
  <c r="CS148" i="5" s="1"/>
  <c r="BF348" i="5"/>
  <c r="BU348" i="5" a="1"/>
  <c r="BU348" i="5" s="1"/>
  <c r="BT348" i="5" a="1"/>
  <c r="BT348" i="5" s="1"/>
  <c r="BW348" i="5"/>
  <c r="CO348" i="5" a="1"/>
  <c r="CO348" i="5" s="1"/>
  <c r="CP348" i="5" a="1"/>
  <c r="CP348" i="5" s="1"/>
  <c r="CR348" i="5" a="1"/>
  <c r="CR348" i="5" s="1"/>
  <c r="CS348" i="5" a="1"/>
  <c r="CS348" i="5" s="1"/>
  <c r="BF109" i="5"/>
  <c r="BU109" i="5" a="1"/>
  <c r="BU109" i="5" s="1"/>
  <c r="BT109" i="5" a="1"/>
  <c r="BT109" i="5" s="1"/>
  <c r="BW109" i="5"/>
  <c r="CO109" i="5" a="1"/>
  <c r="CO109" i="5" s="1"/>
  <c r="CP109" i="5" a="1"/>
  <c r="CP109" i="5" s="1"/>
  <c r="CR109" i="5" a="1"/>
  <c r="CR109" i="5" s="1"/>
  <c r="CS109" i="5" a="1"/>
  <c r="CS109" i="5" s="1"/>
  <c r="BF309" i="5"/>
  <c r="BU309" i="5" a="1"/>
  <c r="BU309" i="5" s="1"/>
  <c r="BT309" i="5" a="1"/>
  <c r="BT309" i="5" s="1"/>
  <c r="BW309" i="5"/>
  <c r="CO309" i="5" a="1"/>
  <c r="CO309" i="5" s="1"/>
  <c r="CP309" i="5" a="1"/>
  <c r="CP309" i="5" s="1"/>
  <c r="CR309" i="5" a="1"/>
  <c r="CR309" i="5" s="1"/>
  <c r="CS309" i="5" a="1"/>
  <c r="CS309" i="5" s="1"/>
  <c r="BF240" i="5"/>
  <c r="BM240" i="5"/>
  <c r="BT240" i="5" a="1"/>
  <c r="BT240" i="5" s="1"/>
  <c r="BU240" i="5" a="1"/>
  <c r="BU240" i="5" s="1"/>
  <c r="BW240" i="5"/>
  <c r="CO240" i="5" a="1"/>
  <c r="CO240" i="5" s="1"/>
  <c r="CS240" i="5" a="1"/>
  <c r="CS240" i="5" s="1"/>
  <c r="CP240" i="5" a="1"/>
  <c r="CP240" i="5" s="1"/>
  <c r="CR240" i="5" a="1"/>
  <c r="CR240" i="5" s="1"/>
  <c r="BF351" i="5"/>
  <c r="BM351" i="5"/>
  <c r="BT351" i="5" a="1"/>
  <c r="BT351" i="5" s="1"/>
  <c r="BU351" i="5" a="1"/>
  <c r="BU351" i="5" s="1"/>
  <c r="BW351" i="5"/>
  <c r="CO351" i="5" a="1"/>
  <c r="CO351" i="5" s="1"/>
  <c r="CP351" i="5" a="1"/>
  <c r="CP351" i="5" s="1"/>
  <c r="CR351" i="5" a="1"/>
  <c r="CR351" i="5" s="1"/>
  <c r="CS351" i="5" a="1"/>
  <c r="CS351" i="5" s="1"/>
  <c r="BI212" i="5"/>
  <c r="BM212" i="5"/>
  <c r="AV127" i="5"/>
  <c r="BI127" i="5"/>
  <c r="BM127" i="5"/>
  <c r="AV416" i="5"/>
  <c r="BI416" i="5"/>
  <c r="BM416" i="5"/>
  <c r="BM96" i="5"/>
  <c r="BF96" i="5"/>
  <c r="BU96" i="5" a="1"/>
  <c r="BU96" i="5" s="1"/>
  <c r="BW96" i="5"/>
  <c r="BT96" i="5" a="1"/>
  <c r="BT96" i="5" s="1"/>
  <c r="CO96" i="5" a="1"/>
  <c r="CO96" i="5" s="1"/>
  <c r="CR96" i="5" a="1"/>
  <c r="CR96" i="5" s="1"/>
  <c r="CS96" i="5" a="1"/>
  <c r="CS96" i="5" s="1"/>
  <c r="CP96" i="5" a="1"/>
  <c r="CP96" i="5" s="1"/>
  <c r="AV146" i="5"/>
  <c r="BI146" i="5"/>
  <c r="AV266" i="5"/>
  <c r="BI266" i="5"/>
  <c r="AV27" i="5"/>
  <c r="BI27" i="5"/>
  <c r="BI263" i="5"/>
  <c r="BM263" i="5"/>
  <c r="BI345" i="5"/>
  <c r="BM345" i="5"/>
  <c r="BF92" i="5"/>
  <c r="BM92" i="5"/>
  <c r="BU92" i="5" a="1"/>
  <c r="BU92" i="5" s="1"/>
  <c r="BT92" i="5" a="1"/>
  <c r="BT92" i="5" s="1"/>
  <c r="BW92" i="5"/>
  <c r="CO92" i="5" a="1"/>
  <c r="CO92" i="5" s="1"/>
  <c r="CP92" i="5" a="1"/>
  <c r="CP92" i="5" s="1"/>
  <c r="CR92" i="5" a="1"/>
  <c r="CR92" i="5" s="1"/>
  <c r="CS92" i="5" a="1"/>
  <c r="CS92" i="5" s="1"/>
  <c r="AM133" i="5"/>
  <c r="AP133" i="5" s="1"/>
  <c r="AR133" i="5"/>
  <c r="AS133" i="5"/>
  <c r="AV133" i="5"/>
  <c r="AM395" i="5"/>
  <c r="AP395" i="5" s="1"/>
  <c r="AR395" i="5"/>
  <c r="AS395" i="5"/>
  <c r="AV395" i="5"/>
  <c r="AM434" i="5"/>
  <c r="AP434" i="5" s="1"/>
  <c r="AR434" i="5"/>
  <c r="AS434" i="5"/>
  <c r="AV434" i="5"/>
  <c r="AM221" i="5"/>
  <c r="AP221" i="5" s="1"/>
  <c r="AS221" i="5"/>
  <c r="AR221" i="5"/>
  <c r="AV221" i="5"/>
  <c r="AA43" i="5" a="1"/>
  <c r="AA43" i="5" s="1"/>
  <c r="AB43" i="5" s="1"/>
  <c r="AA343" i="5" a="1"/>
  <c r="AA343" i="5" s="1"/>
  <c r="AB343" i="5" s="1"/>
  <c r="BZ173" i="5"/>
  <c r="BZ135" i="5"/>
  <c r="BZ435" i="5"/>
  <c r="BZ14" i="5"/>
  <c r="BZ303" i="5"/>
  <c r="AA197" i="5" a="1"/>
  <c r="AA197" i="5" s="1"/>
  <c r="AB197" i="5" s="1"/>
  <c r="R60" i="5"/>
  <c r="AT60" i="5"/>
  <c r="CH60" i="5"/>
  <c r="R111" i="5"/>
  <c r="AT111" i="5"/>
  <c r="R380" i="5"/>
  <c r="AT380" i="5"/>
  <c r="AA85" i="5" a="1"/>
  <c r="AA85" i="5" s="1"/>
  <c r="AB85" i="5" s="1"/>
  <c r="AA185" i="5" a="1"/>
  <c r="AA185" i="5" s="1"/>
  <c r="AB185" i="5" s="1"/>
  <c r="AA285" i="5" a="1"/>
  <c r="AA285" i="5" s="1"/>
  <c r="AB285" i="5" s="1"/>
  <c r="AA295" i="5" a="1"/>
  <c r="AA295" i="5" s="1"/>
  <c r="AB295" i="5" s="1"/>
  <c r="AA395" i="5" a="1"/>
  <c r="AA395" i="5" s="1"/>
  <c r="AB395" i="5" s="1"/>
  <c r="AA96" i="5" a="1"/>
  <c r="AA96" i="5" s="1"/>
  <c r="AB96" i="5"/>
  <c r="AA296" i="5" a="1"/>
  <c r="AA296" i="5" s="1"/>
  <c r="AB296" i="5"/>
  <c r="AA107" i="5" a="1"/>
  <c r="AA107" i="5" s="1"/>
  <c r="AB107" i="5" s="1"/>
  <c r="AA307" i="5" a="1"/>
  <c r="AA307" i="5" s="1"/>
  <c r="AB307" i="5" s="1"/>
  <c r="AA98" i="5" a="1"/>
  <c r="AA98" i="5" s="1"/>
  <c r="AB98" i="5" s="1"/>
  <c r="AA318" i="5" a="1"/>
  <c r="AA318" i="5" s="1"/>
  <c r="AB318" i="5"/>
  <c r="AA41" i="5" a="1"/>
  <c r="AA41" i="5" s="1"/>
  <c r="AB41" i="5" s="1"/>
  <c r="AA191" i="5" a="1"/>
  <c r="AA191" i="5" s="1"/>
  <c r="AB191" i="5" s="1"/>
  <c r="AA351" i="5" a="1"/>
  <c r="AA351" i="5" s="1"/>
  <c r="AB351" i="5" s="1"/>
  <c r="AA396" i="5" a="1"/>
  <c r="AA396" i="5" s="1"/>
  <c r="AB396" i="5" s="1"/>
  <c r="AA237" i="5" a="1"/>
  <c r="AA237" i="5" s="1"/>
  <c r="AB237" i="5" s="1"/>
  <c r="AA28" i="5" a="1"/>
  <c r="AA28" i="5" s="1"/>
  <c r="AB28" i="5"/>
  <c r="AA438" i="5" a="1"/>
  <c r="AA438" i="5" s="1"/>
  <c r="AB438" i="5" s="1"/>
  <c r="AA69" i="5" a="1"/>
  <c r="AA69" i="5" s="1"/>
  <c r="AB69" i="5" s="1"/>
  <c r="AA169" i="5" a="1"/>
  <c r="AA169" i="5" s="1"/>
  <c r="AB169" i="5" s="1"/>
  <c r="AA269" i="5" a="1"/>
  <c r="AA269" i="5" s="1"/>
  <c r="AB269" i="5" s="1"/>
  <c r="BF19" i="5"/>
  <c r="BM19" i="5"/>
  <c r="BU19" i="5" a="1"/>
  <c r="BU19" i="5" s="1"/>
  <c r="BT19" i="5" a="1"/>
  <c r="BT19" i="5" s="1"/>
  <c r="BW19" i="5"/>
  <c r="CO19" i="5" a="1"/>
  <c r="CO19" i="5" s="1"/>
  <c r="CP19" i="5" a="1"/>
  <c r="CP19" i="5" s="1"/>
  <c r="CR19" i="5" a="1"/>
  <c r="CR19" i="5" s="1"/>
  <c r="CS19" i="5" a="1"/>
  <c r="CS19" i="5" s="1"/>
  <c r="BF119" i="5"/>
  <c r="BU119" i="5" a="1"/>
  <c r="BU119" i="5" s="1"/>
  <c r="BT119" i="5" a="1"/>
  <c r="BT119" i="5" s="1"/>
  <c r="BW119" i="5"/>
  <c r="CO119" i="5" a="1"/>
  <c r="CO119" i="5" s="1"/>
  <c r="CP119" i="5" a="1"/>
  <c r="CP119" i="5" s="1"/>
  <c r="CR119" i="5" a="1"/>
  <c r="CR119" i="5" s="1"/>
  <c r="CS119" i="5" a="1"/>
  <c r="CS119" i="5" s="1"/>
  <c r="BF50" i="5"/>
  <c r="BM50" i="5"/>
  <c r="BT50" i="5" a="1"/>
  <c r="BT50" i="5" s="1"/>
  <c r="BW50" i="5"/>
  <c r="BU50" i="5" a="1"/>
  <c r="BU50" i="5" s="1"/>
  <c r="CS50" i="5" a="1"/>
  <c r="CS50" i="5" s="1"/>
  <c r="CP50" i="5" a="1"/>
  <c r="CP50" i="5" s="1"/>
  <c r="CR50" i="5" a="1"/>
  <c r="CR50" i="5" s="1"/>
  <c r="CO50" i="5" a="1"/>
  <c r="CO50" i="5" s="1"/>
  <c r="BF170" i="5"/>
  <c r="BM170" i="5"/>
  <c r="BU170" i="5" a="1"/>
  <c r="BU170" i="5" s="1"/>
  <c r="BT170" i="5" a="1"/>
  <c r="BT170" i="5" s="1"/>
  <c r="BW170" i="5"/>
  <c r="CO170" i="5" a="1"/>
  <c r="CO170" i="5" s="1"/>
  <c r="CP170" i="5" a="1"/>
  <c r="CP170" i="5" s="1"/>
  <c r="CR170" i="5" a="1"/>
  <c r="CR170" i="5" s="1"/>
  <c r="CS170" i="5" a="1"/>
  <c r="CS170" i="5" s="1"/>
  <c r="AP16" i="5"/>
  <c r="AP66" i="5"/>
  <c r="AP166" i="5"/>
  <c r="AP216" i="5"/>
  <c r="AP266" i="5"/>
  <c r="AP37" i="5"/>
  <c r="AP97" i="5"/>
  <c r="AL39" i="5"/>
  <c r="AU39" i="5"/>
  <c r="BG39" i="5"/>
  <c r="BH39" i="5" a="1"/>
  <c r="BH39" i="5" s="1"/>
  <c r="BL39" i="5"/>
  <c r="AL139" i="5"/>
  <c r="BG139" i="5"/>
  <c r="AU139" i="5"/>
  <c r="BH139" i="5" a="1"/>
  <c r="BH139" i="5" s="1"/>
  <c r="BL139" i="5"/>
  <c r="AA389" i="5" a="1"/>
  <c r="AA389" i="5" s="1"/>
  <c r="AB389" i="5" s="1"/>
  <c r="BM301" i="5"/>
  <c r="BI301" i="5"/>
  <c r="AV247" i="5"/>
  <c r="BI247" i="5"/>
  <c r="BM247" i="5"/>
  <c r="AV113" i="5"/>
  <c r="AV227" i="5"/>
  <c r="BI227" i="5"/>
  <c r="BM227" i="5"/>
  <c r="AV426" i="5"/>
  <c r="BI426" i="5"/>
  <c r="BM426" i="5"/>
  <c r="AV374" i="5"/>
  <c r="AL88" i="5"/>
  <c r="AU88" i="5"/>
  <c r="BM88" i="5" s="1"/>
  <c r="BG88" i="5"/>
  <c r="BH88" i="5" a="1"/>
  <c r="BH88" i="5" s="1"/>
  <c r="BL88" i="5"/>
  <c r="AL138" i="5"/>
  <c r="AU138" i="5"/>
  <c r="BG138" i="5"/>
  <c r="BH138" i="5" a="1"/>
  <c r="BH138" i="5" s="1"/>
  <c r="BL138" i="5"/>
  <c r="AL188" i="5"/>
  <c r="AU188" i="5"/>
  <c r="BM188" i="5" s="1"/>
  <c r="BG188" i="5"/>
  <c r="BH188" i="5" a="1"/>
  <c r="BH188" i="5" s="1"/>
  <c r="BL188" i="5"/>
  <c r="AL238" i="5"/>
  <c r="AU238" i="5"/>
  <c r="BG238" i="5"/>
  <c r="BH238" i="5" a="1"/>
  <c r="BH238" i="5" s="1"/>
  <c r="BL238" i="5"/>
  <c r="AL288" i="5"/>
  <c r="AU288" i="5"/>
  <c r="BM288" i="5" s="1"/>
  <c r="BG288" i="5"/>
  <c r="BL288" i="5"/>
  <c r="BH288" i="5" a="1"/>
  <c r="BH288" i="5" s="1"/>
  <c r="AL338" i="5"/>
  <c r="AU338" i="5"/>
  <c r="BG338" i="5"/>
  <c r="BH338" i="5" a="1"/>
  <c r="BH338" i="5" s="1"/>
  <c r="BL338" i="5"/>
  <c r="AL388" i="5"/>
  <c r="AU388" i="5"/>
  <c r="BM388" i="5" s="1"/>
  <c r="BG388" i="5"/>
  <c r="BH388" i="5" a="1"/>
  <c r="BH388" i="5" s="1"/>
  <c r="BL388" i="5"/>
  <c r="AL438" i="5"/>
  <c r="AU438" i="5"/>
  <c r="BG438" i="5"/>
  <c r="BL438" i="5"/>
  <c r="BH438" i="5" a="1"/>
  <c r="BH438" i="5" s="1"/>
  <c r="BI46" i="5"/>
  <c r="AV46" i="5"/>
  <c r="AV106" i="5"/>
  <c r="BI106" i="5"/>
  <c r="AV156" i="5"/>
  <c r="BI156" i="5"/>
  <c r="AV206" i="5"/>
  <c r="BI206" i="5"/>
  <c r="BI276" i="5"/>
  <c r="AV276" i="5"/>
  <c r="AL179" i="5"/>
  <c r="AU179" i="5"/>
  <c r="BG179" i="5"/>
  <c r="BH179" i="5" a="1"/>
  <c r="BH179" i="5" s="1"/>
  <c r="BL179" i="5"/>
  <c r="AL229" i="5"/>
  <c r="BG229" i="5"/>
  <c r="AU229" i="5"/>
  <c r="BM229" i="5" s="1"/>
  <c r="BH229" i="5" a="1"/>
  <c r="BH229" i="5" s="1"/>
  <c r="BL229" i="5"/>
  <c r="AL279" i="5"/>
  <c r="AU279" i="5"/>
  <c r="BG279" i="5"/>
  <c r="BH279" i="5" a="1"/>
  <c r="BH279" i="5" s="1"/>
  <c r="BL279" i="5"/>
  <c r="AL329" i="5"/>
  <c r="AU329" i="5"/>
  <c r="BG329" i="5"/>
  <c r="BH329" i="5" a="1"/>
  <c r="BH329" i="5" s="1"/>
  <c r="BL329" i="5"/>
  <c r="AL379" i="5"/>
  <c r="AU379" i="5"/>
  <c r="BG379" i="5"/>
  <c r="BH379" i="5" a="1"/>
  <c r="BH379" i="5" s="1"/>
  <c r="BL379" i="5"/>
  <c r="AL429" i="5"/>
  <c r="AU429" i="5"/>
  <c r="BG429" i="5"/>
  <c r="BH429" i="5" a="1"/>
  <c r="BH429" i="5" s="1"/>
  <c r="BL429" i="5"/>
  <c r="AV37" i="5"/>
  <c r="BI37" i="5"/>
  <c r="AV97" i="5"/>
  <c r="BI97" i="5"/>
  <c r="BI274" i="5"/>
  <c r="BM274" i="5"/>
  <c r="AP400" i="5"/>
  <c r="AM345" i="5"/>
  <c r="AP345" i="5" s="1"/>
  <c r="AR345" i="5"/>
  <c r="AS345" i="5"/>
  <c r="AV345" i="5"/>
  <c r="BF2" i="5"/>
  <c r="BM2" i="5"/>
  <c r="BU2" i="5" a="1"/>
  <c r="BU2" i="5" s="1"/>
  <c r="BT2" i="5" a="1"/>
  <c r="BT2" i="5" s="1"/>
  <c r="BW2" i="5"/>
  <c r="CO2" i="5" a="1"/>
  <c r="CO2" i="5" s="1"/>
  <c r="CR2" i="5" a="1"/>
  <c r="CR2" i="5" s="1"/>
  <c r="CS2" i="5" a="1"/>
  <c r="CS2" i="5" s="1"/>
  <c r="CP2" i="5" a="1"/>
  <c r="CP2" i="5" s="1"/>
  <c r="BF184" i="5"/>
  <c r="BM184" i="5"/>
  <c r="BT184" i="5" a="1"/>
  <c r="BT184" i="5" s="1"/>
  <c r="BU184" i="5" a="1"/>
  <c r="BU184" i="5" s="1"/>
  <c r="BW184" i="5"/>
  <c r="CO184" i="5" a="1"/>
  <c r="CO184" i="5" s="1"/>
  <c r="CS184" i="5" a="1"/>
  <c r="CS184" i="5" s="1"/>
  <c r="CP184" i="5" a="1"/>
  <c r="CP184" i="5" s="1"/>
  <c r="CR184" i="5" a="1"/>
  <c r="CR184" i="5" s="1"/>
  <c r="BI145" i="5"/>
  <c r="BM145" i="5"/>
  <c r="AP210" i="5"/>
  <c r="BI183" i="5"/>
  <c r="BM183" i="5"/>
  <c r="BZ45" i="5"/>
  <c r="BZ295" i="5"/>
  <c r="CL295" i="5"/>
  <c r="AA193" i="5" a="1"/>
  <c r="AA193" i="5" s="1"/>
  <c r="AB193" i="5" s="1"/>
  <c r="BZ112" i="5"/>
  <c r="BZ251" i="5"/>
  <c r="BZ312" i="5"/>
  <c r="BZ384" i="5"/>
  <c r="AA22" i="5" a="1"/>
  <c r="AA22" i="5" s="1"/>
  <c r="AB22" i="5" s="1"/>
  <c r="AA44" i="5" a="1"/>
  <c r="AA44" i="5" s="1"/>
  <c r="AB44" i="5" s="1"/>
  <c r="AA83" i="5" a="1"/>
  <c r="AA83" i="5" s="1"/>
  <c r="AB83" i="5" s="1"/>
  <c r="AA122" i="5" a="1"/>
  <c r="AA122" i="5" s="1"/>
  <c r="AB122" i="5" s="1"/>
  <c r="AA172" i="5" a="1"/>
  <c r="AA172" i="5" s="1"/>
  <c r="AB172" i="5" s="1"/>
  <c r="AA222" i="5" a="1"/>
  <c r="AA222" i="5" s="1"/>
  <c r="AB222" i="5" s="1"/>
  <c r="AB272" i="5"/>
  <c r="AA272" i="5" a="1"/>
  <c r="AA272" i="5" s="1"/>
  <c r="AA322" i="5" a="1"/>
  <c r="AA322" i="5" s="1"/>
  <c r="AB322" i="5" s="1"/>
  <c r="AA372" i="5" a="1"/>
  <c r="AA372" i="5" s="1"/>
  <c r="AB372" i="5" s="1"/>
  <c r="AA417" i="5" a="1"/>
  <c r="AA417" i="5" s="1"/>
  <c r="AB417" i="5" s="1"/>
  <c r="BZ225" i="5"/>
  <c r="BZ386" i="5"/>
  <c r="AA34" i="5" a="1"/>
  <c r="AA34" i="5" s="1"/>
  <c r="AB34" i="5" s="1"/>
  <c r="AA212" i="5" a="1"/>
  <c r="AA212" i="5" s="1"/>
  <c r="AB212" i="5" s="1"/>
  <c r="AA306" i="5" a="1"/>
  <c r="AA306" i="5" s="1"/>
  <c r="AB306" i="5"/>
  <c r="BZ181" i="5"/>
  <c r="AA308" i="5" a="1"/>
  <c r="AA308" i="5" s="1"/>
  <c r="AB308" i="5" s="1"/>
  <c r="BZ5" i="5"/>
  <c r="BZ255" i="5"/>
  <c r="CH111" i="5"/>
  <c r="AA120" i="5" a="1"/>
  <c r="AA120" i="5" s="1"/>
  <c r="AB120" i="5" s="1"/>
  <c r="BZ392" i="5"/>
  <c r="AA36" i="5" a="1"/>
  <c r="AA36" i="5" s="1"/>
  <c r="AB36" i="5"/>
  <c r="AA74" i="5" a="1"/>
  <c r="AA74" i="5" s="1"/>
  <c r="AB74" i="5" s="1"/>
  <c r="AB424" i="5"/>
  <c r="AA424" i="5" a="1"/>
  <c r="AA424" i="5" s="1"/>
  <c r="BZ187" i="5"/>
  <c r="AA10" i="5" a="1"/>
  <c r="AA10" i="5" s="1"/>
  <c r="AB10" i="5" s="1"/>
  <c r="AA100" i="5" a="1"/>
  <c r="AA100" i="5" s="1"/>
  <c r="AB100" i="5" s="1"/>
  <c r="BZ241" i="5"/>
  <c r="AA411" i="5" a="1"/>
  <c r="AA411" i="5" s="1"/>
  <c r="AB411" i="5" s="1"/>
  <c r="BZ152" i="5"/>
  <c r="BZ315" i="5"/>
  <c r="BZ432" i="5"/>
  <c r="CL432" i="5"/>
  <c r="AA63" i="5" a="1"/>
  <c r="AA63" i="5" s="1"/>
  <c r="AB63" i="5"/>
  <c r="AA220" i="5" a="1"/>
  <c r="AA220" i="5" s="1"/>
  <c r="AB220" i="5" s="1"/>
  <c r="AA261" i="5" a="1"/>
  <c r="AA261" i="5" s="1"/>
  <c r="AB261" i="5" s="1"/>
  <c r="BZ65" i="5"/>
  <c r="CL65" i="5"/>
  <c r="BZ352" i="5"/>
  <c r="BZ374" i="5"/>
  <c r="AA200" i="5" a="1"/>
  <c r="AA200" i="5" s="1"/>
  <c r="AB200" i="5" s="1"/>
  <c r="BZ177" i="5"/>
  <c r="BZ274" i="5"/>
  <c r="AA194" i="5" a="1"/>
  <c r="AA194" i="5" s="1"/>
  <c r="AB194" i="5" s="1"/>
  <c r="AA361" i="5" a="1"/>
  <c r="AA361" i="5" s="1"/>
  <c r="AB361" i="5" s="1"/>
  <c r="BZ244" i="5"/>
  <c r="BZ361" i="5"/>
  <c r="CL361" i="5"/>
  <c r="AA264" i="5" a="1"/>
  <c r="AA264" i="5" s="1"/>
  <c r="AB264" i="5" s="1"/>
  <c r="BZ154" i="5"/>
  <c r="BZ21" i="5"/>
  <c r="BZ354" i="5"/>
  <c r="BZ54" i="5"/>
  <c r="BZ121" i="5"/>
  <c r="AA216" i="5" a="1"/>
  <c r="AA216" i="5" s="1"/>
  <c r="AB216" i="5" s="1"/>
  <c r="AA377" i="5" a="1"/>
  <c r="AA377" i="5" s="1"/>
  <c r="AB377" i="5" s="1"/>
  <c r="R81" i="5"/>
  <c r="AT81" i="5"/>
  <c r="R40" i="5"/>
  <c r="AT40" i="5"/>
  <c r="CH40" i="5"/>
  <c r="R360" i="5"/>
  <c r="AT360" i="5"/>
  <c r="CH360" i="5"/>
  <c r="AA97" i="5" a="1"/>
  <c r="AA97" i="5" s="1"/>
  <c r="AB97" i="5" s="1"/>
  <c r="AA341" i="5" a="1"/>
  <c r="AA341" i="5" s="1"/>
  <c r="AB341" i="5" s="1"/>
  <c r="AB388" i="5"/>
  <c r="AA388" i="5" a="1"/>
  <c r="AA388" i="5" s="1"/>
  <c r="AA159" i="5" a="1"/>
  <c r="AA159" i="5" s="1"/>
  <c r="AB159" i="5" s="1"/>
  <c r="BF48" i="5"/>
  <c r="BU48" i="5" a="1"/>
  <c r="BU48" i="5" s="1"/>
  <c r="BT48" i="5" a="1"/>
  <c r="BT48" i="5" s="1"/>
  <c r="BW48" i="5"/>
  <c r="CO48" i="5" a="1"/>
  <c r="CO48" i="5" s="1"/>
  <c r="CP48" i="5" a="1"/>
  <c r="CP48" i="5" s="1"/>
  <c r="CR48" i="5" a="1"/>
  <c r="CR48" i="5" s="1"/>
  <c r="CS48" i="5" a="1"/>
  <c r="CS48" i="5" s="1"/>
  <c r="BF248" i="5"/>
  <c r="BU248" i="5" a="1"/>
  <c r="BU248" i="5" s="1"/>
  <c r="BT248" i="5" a="1"/>
  <c r="BT248" i="5" s="1"/>
  <c r="BW248" i="5"/>
  <c r="CO248" i="5" a="1"/>
  <c r="CO248" i="5" s="1"/>
  <c r="CP248" i="5" a="1"/>
  <c r="CP248" i="5" s="1"/>
  <c r="CR248" i="5" a="1"/>
  <c r="CR248" i="5" s="1"/>
  <c r="CS248" i="5" a="1"/>
  <c r="CS248" i="5" s="1"/>
  <c r="BF9" i="5"/>
  <c r="BM9" i="5"/>
  <c r="BU9" i="5" a="1"/>
  <c r="BU9" i="5" s="1"/>
  <c r="BT9" i="5" a="1"/>
  <c r="BT9" i="5" s="1"/>
  <c r="BW9" i="5"/>
  <c r="CO9" i="5" a="1"/>
  <c r="CO9" i="5" s="1"/>
  <c r="CP9" i="5" a="1"/>
  <c r="CP9" i="5" s="1"/>
  <c r="CR9" i="5" a="1"/>
  <c r="CR9" i="5" s="1"/>
  <c r="CS9" i="5" a="1"/>
  <c r="CS9" i="5" s="1"/>
  <c r="BF209" i="5"/>
  <c r="BU209" i="5" a="1"/>
  <c r="BU209" i="5" s="1"/>
  <c r="BT209" i="5" a="1"/>
  <c r="BT209" i="5" s="1"/>
  <c r="BW209" i="5"/>
  <c r="CO209" i="5" a="1"/>
  <c r="CO209" i="5" s="1"/>
  <c r="CP209" i="5" a="1"/>
  <c r="CP209" i="5" s="1"/>
  <c r="CR209" i="5" a="1"/>
  <c r="CR209" i="5" s="1"/>
  <c r="CS209" i="5" a="1"/>
  <c r="CS209" i="5" s="1"/>
  <c r="BF409" i="5"/>
  <c r="BU409" i="5" a="1"/>
  <c r="BU409" i="5" s="1"/>
  <c r="BT409" i="5" a="1"/>
  <c r="BT409" i="5" s="1"/>
  <c r="BW409" i="5"/>
  <c r="CP409" i="5" a="1"/>
  <c r="CP409" i="5" s="1"/>
  <c r="CS409" i="5" a="1"/>
  <c r="CS409" i="5" s="1"/>
  <c r="CO409" i="5" a="1"/>
  <c r="CO409" i="5" s="1"/>
  <c r="CR409" i="5" a="1"/>
  <c r="CR409" i="5" s="1"/>
  <c r="AL129" i="5"/>
  <c r="BG129" i="5"/>
  <c r="BH129" i="5" a="1"/>
  <c r="BH129" i="5" s="1"/>
  <c r="AU129" i="5"/>
  <c r="BL129" i="5"/>
  <c r="BF320" i="5"/>
  <c r="BM320" i="5"/>
  <c r="BU320" i="5" a="1"/>
  <c r="BU320" i="5" s="1"/>
  <c r="BT320" i="5" a="1"/>
  <c r="BT320" i="5" s="1"/>
  <c r="BW320" i="5"/>
  <c r="CO320" i="5" a="1"/>
  <c r="CO320" i="5" s="1"/>
  <c r="CP320" i="5" a="1"/>
  <c r="CP320" i="5" s="1"/>
  <c r="CR320" i="5" a="1"/>
  <c r="CR320" i="5" s="1"/>
  <c r="CS320" i="5" a="1"/>
  <c r="CS320" i="5" s="1"/>
  <c r="BI224" i="5"/>
  <c r="BM224" i="5"/>
  <c r="AP331" i="5"/>
  <c r="R70" i="5"/>
  <c r="AT70" i="5"/>
  <c r="CH70" i="5"/>
  <c r="R160" i="5"/>
  <c r="AT160" i="5"/>
  <c r="CH160" i="5"/>
  <c r="R430" i="5"/>
  <c r="AT430" i="5"/>
  <c r="CH430" i="5"/>
  <c r="AA195" i="5" a="1"/>
  <c r="AA195" i="5" s="1"/>
  <c r="AB195" i="5" s="1"/>
  <c r="AA305" i="5" a="1"/>
  <c r="AA305" i="5" s="1"/>
  <c r="AB305" i="5"/>
  <c r="AB136" i="5"/>
  <c r="AA136" i="5" a="1"/>
  <c r="AA136" i="5" s="1"/>
  <c r="AA317" i="5" a="1"/>
  <c r="AA317" i="5" s="1"/>
  <c r="AB317" i="5" s="1"/>
  <c r="AA358" i="5" a="1"/>
  <c r="AA358" i="5" s="1"/>
  <c r="AB358" i="5" s="1"/>
  <c r="AA201" i="5" a="1"/>
  <c r="AA201" i="5" s="1"/>
  <c r="AB201" i="5" s="1"/>
  <c r="AA406" i="5" a="1"/>
  <c r="AA406" i="5" s="1"/>
  <c r="AB406" i="5" s="1"/>
  <c r="AA38" i="5" a="1"/>
  <c r="AA38" i="5" s="1"/>
  <c r="AB38" i="5" s="1"/>
  <c r="AA79" i="5" a="1"/>
  <c r="AA79" i="5" s="1"/>
  <c r="AB79" i="5" s="1"/>
  <c r="AA279" i="5" a="1"/>
  <c r="AA279" i="5" s="1"/>
  <c r="AB279" i="5" s="1"/>
  <c r="BF29" i="5"/>
  <c r="BU29" i="5" a="1"/>
  <c r="BU29" i="5" s="1"/>
  <c r="BT29" i="5" a="1"/>
  <c r="BT29" i="5" s="1"/>
  <c r="BW29" i="5"/>
  <c r="CO29" i="5" a="1"/>
  <c r="CO29" i="5" s="1"/>
  <c r="CS29" i="5" a="1"/>
  <c r="CS29" i="5" s="1"/>
  <c r="CP29" i="5" a="1"/>
  <c r="CP29" i="5" s="1"/>
  <c r="CR29" i="5" a="1"/>
  <c r="CR29" i="5" s="1"/>
  <c r="BF129" i="5"/>
  <c r="BU129" i="5" a="1"/>
  <c r="BU129" i="5" s="1"/>
  <c r="BT129" i="5" a="1"/>
  <c r="BT129" i="5" s="1"/>
  <c r="BW129" i="5"/>
  <c r="CO129" i="5" a="1"/>
  <c r="CO129" i="5" s="1"/>
  <c r="CS129" i="5" a="1"/>
  <c r="CS129" i="5" s="1"/>
  <c r="CP129" i="5" a="1"/>
  <c r="CP129" i="5" s="1"/>
  <c r="CR129" i="5" a="1"/>
  <c r="CR129" i="5" s="1"/>
  <c r="BF229" i="5"/>
  <c r="BU229" i="5" a="1"/>
  <c r="BU229" i="5" s="1"/>
  <c r="BT229" i="5" a="1"/>
  <c r="BT229" i="5" s="1"/>
  <c r="BW229" i="5"/>
  <c r="CO229" i="5" a="1"/>
  <c r="CO229" i="5" s="1"/>
  <c r="CS229" i="5" a="1"/>
  <c r="CS229" i="5" s="1"/>
  <c r="CP229" i="5" a="1"/>
  <c r="CP229" i="5" s="1"/>
  <c r="CR229" i="5" a="1"/>
  <c r="CR229" i="5" s="1"/>
  <c r="BF329" i="5"/>
  <c r="BM329" i="5"/>
  <c r="BT329" i="5" a="1"/>
  <c r="BT329" i="5" s="1"/>
  <c r="BU329" i="5" a="1"/>
  <c r="BU329" i="5" s="1"/>
  <c r="BW329" i="5"/>
  <c r="CO329" i="5" a="1"/>
  <c r="CO329" i="5" s="1"/>
  <c r="CS329" i="5" a="1"/>
  <c r="CS329" i="5" s="1"/>
  <c r="CP329" i="5" a="1"/>
  <c r="CP329" i="5" s="1"/>
  <c r="CR329" i="5" a="1"/>
  <c r="CR329" i="5" s="1"/>
  <c r="BF429" i="5"/>
  <c r="BM429" i="5"/>
  <c r="BT429" i="5" a="1"/>
  <c r="BT429" i="5" s="1"/>
  <c r="BU429" i="5" a="1"/>
  <c r="BU429" i="5" s="1"/>
  <c r="BW429" i="5"/>
  <c r="CO429" i="5" a="1"/>
  <c r="CO429" i="5" s="1"/>
  <c r="CS429" i="5" a="1"/>
  <c r="CS429" i="5" s="1"/>
  <c r="CP429" i="5" a="1"/>
  <c r="CP429" i="5" s="1"/>
  <c r="CR429" i="5" a="1"/>
  <c r="CR429" i="5" s="1"/>
  <c r="AL49" i="5"/>
  <c r="AU49" i="5"/>
  <c r="BM49" i="5" s="1"/>
  <c r="BG49" i="5"/>
  <c r="BH49" i="5" a="1"/>
  <c r="BH49" i="5" s="1"/>
  <c r="BL49" i="5"/>
  <c r="AL149" i="5"/>
  <c r="AU149" i="5"/>
  <c r="BG149" i="5"/>
  <c r="BH149" i="5" a="1"/>
  <c r="BH149" i="5" s="1"/>
  <c r="BL149" i="5"/>
  <c r="BF270" i="5"/>
  <c r="BM270" i="5"/>
  <c r="BU270" i="5" a="1"/>
  <c r="BU270" i="5" s="1"/>
  <c r="BT270" i="5" a="1"/>
  <c r="BT270" i="5" s="1"/>
  <c r="BW270" i="5"/>
  <c r="CO270" i="5" a="1"/>
  <c r="CO270" i="5" s="1"/>
  <c r="CP270" i="5" a="1"/>
  <c r="CP270" i="5" s="1"/>
  <c r="CR270" i="5" a="1"/>
  <c r="CR270" i="5" s="1"/>
  <c r="CS270" i="5" a="1"/>
  <c r="CS270" i="5" s="1"/>
  <c r="BF340" i="5"/>
  <c r="BM340" i="5"/>
  <c r="BT340" i="5" a="1"/>
  <c r="BT340" i="5" s="1"/>
  <c r="BU340" i="5" a="1"/>
  <c r="BU340" i="5" s="1"/>
  <c r="BW340" i="5"/>
  <c r="CO340" i="5" a="1"/>
  <c r="CO340" i="5" s="1"/>
  <c r="CP340" i="5" a="1"/>
  <c r="CP340" i="5" s="1"/>
  <c r="CR340" i="5" a="1"/>
  <c r="CR340" i="5" s="1"/>
  <c r="CS340" i="5" a="1"/>
  <c r="CS340" i="5" s="1"/>
  <c r="BF420" i="5"/>
  <c r="BM420" i="5"/>
  <c r="BU420" i="5" a="1"/>
  <c r="BU420" i="5" s="1"/>
  <c r="BT420" i="5" a="1"/>
  <c r="BT420" i="5" s="1"/>
  <c r="BW420" i="5"/>
  <c r="CP420" i="5" a="1"/>
  <c r="CP420" i="5" s="1"/>
  <c r="CO420" i="5" a="1"/>
  <c r="CO420" i="5" s="1"/>
  <c r="CS420" i="5" a="1"/>
  <c r="CS420" i="5" s="1"/>
  <c r="CR420" i="5" a="1"/>
  <c r="CR420" i="5" s="1"/>
  <c r="BF371" i="5"/>
  <c r="BM371" i="5"/>
  <c r="BU371" i="5" a="1"/>
  <c r="BU371" i="5" s="1"/>
  <c r="BT371" i="5" a="1"/>
  <c r="BT371" i="5" s="1"/>
  <c r="BW371" i="5"/>
  <c r="CP371" i="5" a="1"/>
  <c r="CP371" i="5" s="1"/>
  <c r="CO371" i="5" a="1"/>
  <c r="CO371" i="5" s="1"/>
  <c r="CR371" i="5" a="1"/>
  <c r="CR371" i="5" s="1"/>
  <c r="CS371" i="5" a="1"/>
  <c r="CS371" i="5" s="1"/>
  <c r="CM7" i="5"/>
  <c r="CM17" i="5"/>
  <c r="CM27" i="5"/>
  <c r="CM37" i="5"/>
  <c r="CM47" i="5"/>
  <c r="CM57" i="5"/>
  <c r="CM67" i="5"/>
  <c r="CM77" i="5"/>
  <c r="CM87" i="5"/>
  <c r="CM97" i="5"/>
  <c r="CM107" i="5"/>
  <c r="CM117" i="5"/>
  <c r="CM127" i="5"/>
  <c r="CM137" i="5"/>
  <c r="CM147" i="5"/>
  <c r="CM157" i="5"/>
  <c r="CM167" i="5"/>
  <c r="CM177" i="5"/>
  <c r="CM187" i="5"/>
  <c r="CM197" i="5"/>
  <c r="CM207" i="5"/>
  <c r="CM217" i="5"/>
  <c r="CM227" i="5"/>
  <c r="CM237" i="5"/>
  <c r="CM247" i="5"/>
  <c r="CM257" i="5"/>
  <c r="CM267" i="5"/>
  <c r="CM277" i="5"/>
  <c r="CM287" i="5"/>
  <c r="CM297" i="5"/>
  <c r="CM307" i="5"/>
  <c r="CM317" i="5"/>
  <c r="CM327" i="5"/>
  <c r="CM337" i="5"/>
  <c r="CM347" i="5"/>
  <c r="CM357" i="5"/>
  <c r="CM367" i="5"/>
  <c r="CM377" i="5"/>
  <c r="CM387" i="5"/>
  <c r="CM397" i="5"/>
  <c r="CM407" i="5"/>
  <c r="CM417" i="5"/>
  <c r="CM427" i="5"/>
  <c r="CM437" i="5"/>
  <c r="CN5" i="5"/>
  <c r="CN15" i="5"/>
  <c r="CN25" i="5"/>
  <c r="CN35" i="5"/>
  <c r="CN45" i="5"/>
  <c r="CN55" i="5"/>
  <c r="CN65" i="5"/>
  <c r="CN75" i="5"/>
  <c r="CN85" i="5"/>
  <c r="CN95" i="5"/>
  <c r="CN105" i="5"/>
  <c r="CN115" i="5"/>
  <c r="CN125" i="5"/>
  <c r="CN135" i="5"/>
  <c r="CN145" i="5"/>
  <c r="CN155" i="5"/>
  <c r="CN165" i="5"/>
  <c r="CN175" i="5"/>
  <c r="CN185" i="5"/>
  <c r="CN195" i="5"/>
  <c r="CN205" i="5"/>
  <c r="CN215" i="5"/>
  <c r="CN225" i="5"/>
  <c r="CN235" i="5"/>
  <c r="CN245" i="5"/>
  <c r="CN255" i="5"/>
  <c r="CN265" i="5"/>
  <c r="CN275" i="5"/>
  <c r="CN285" i="5"/>
  <c r="CN295" i="5"/>
  <c r="CN305" i="5"/>
  <c r="CN315" i="5"/>
  <c r="CN325" i="5"/>
  <c r="CN335" i="5"/>
  <c r="CN345" i="5"/>
  <c r="CN355" i="5"/>
  <c r="CN365" i="5"/>
  <c r="CN375" i="5"/>
  <c r="CN385" i="5"/>
  <c r="CN395" i="5"/>
  <c r="CN405" i="5"/>
  <c r="CN415" i="5"/>
  <c r="CN425" i="5"/>
  <c r="CN435" i="5"/>
  <c r="CM6" i="5"/>
  <c r="CM18" i="5"/>
  <c r="CM29" i="5"/>
  <c r="CM40" i="5"/>
  <c r="CM51" i="5"/>
  <c r="CM62" i="5"/>
  <c r="CM73" i="5"/>
  <c r="CM84" i="5"/>
  <c r="CM95" i="5"/>
  <c r="CM106" i="5"/>
  <c r="CM118" i="5"/>
  <c r="CM129" i="5"/>
  <c r="CM140" i="5"/>
  <c r="CM151" i="5"/>
  <c r="CM162" i="5"/>
  <c r="CM173" i="5"/>
  <c r="CM184" i="5"/>
  <c r="CM195" i="5"/>
  <c r="CM206" i="5"/>
  <c r="CM218" i="5"/>
  <c r="CM229" i="5"/>
  <c r="CM240" i="5"/>
  <c r="CM251" i="5"/>
  <c r="CM262" i="5"/>
  <c r="CM273" i="5"/>
  <c r="CM284" i="5"/>
  <c r="CM295" i="5"/>
  <c r="CM306" i="5"/>
  <c r="CM318" i="5"/>
  <c r="CM329" i="5"/>
  <c r="CM340" i="5"/>
  <c r="CM351" i="5"/>
  <c r="CM362" i="5"/>
  <c r="CM373" i="5"/>
  <c r="CM384" i="5"/>
  <c r="CM395" i="5"/>
  <c r="CM406" i="5"/>
  <c r="CM418" i="5"/>
  <c r="CM429" i="5"/>
  <c r="CM440" i="5"/>
  <c r="CN9" i="5"/>
  <c r="CN20" i="5"/>
  <c r="CN31" i="5"/>
  <c r="CN42" i="5"/>
  <c r="CN53" i="5"/>
  <c r="CN64" i="5"/>
  <c r="CN76" i="5"/>
  <c r="CN87" i="5"/>
  <c r="CN98" i="5"/>
  <c r="CN109" i="5"/>
  <c r="CN120" i="5"/>
  <c r="CN131" i="5"/>
  <c r="CN142" i="5"/>
  <c r="CN153" i="5"/>
  <c r="CN164" i="5"/>
  <c r="CN176" i="5"/>
  <c r="CN187" i="5"/>
  <c r="CN198" i="5"/>
  <c r="CN209" i="5"/>
  <c r="CN220" i="5"/>
  <c r="CN231" i="5"/>
  <c r="CN242" i="5"/>
  <c r="CN253" i="5"/>
  <c r="CN264" i="5"/>
  <c r="CN276" i="5"/>
  <c r="CN287" i="5"/>
  <c r="CN298" i="5"/>
  <c r="CN309" i="5"/>
  <c r="CN320" i="5"/>
  <c r="CN331" i="5"/>
  <c r="CN342" i="5"/>
  <c r="CN353" i="5"/>
  <c r="CN364" i="5"/>
  <c r="CN376" i="5"/>
  <c r="CN387" i="5"/>
  <c r="CN398" i="5"/>
  <c r="CN409" i="5"/>
  <c r="CN420" i="5"/>
  <c r="CN431" i="5"/>
  <c r="CN442" i="5"/>
  <c r="CM8" i="5"/>
  <c r="CM19" i="5"/>
  <c r="CM30" i="5"/>
  <c r="CM41" i="5"/>
  <c r="CM52" i="5"/>
  <c r="CM63" i="5"/>
  <c r="CM74" i="5"/>
  <c r="CM85" i="5"/>
  <c r="CM96" i="5"/>
  <c r="CM108" i="5"/>
  <c r="CM119" i="5"/>
  <c r="CM130" i="5"/>
  <c r="CM141" i="5"/>
  <c r="CM152" i="5"/>
  <c r="CM163" i="5"/>
  <c r="CM174" i="5"/>
  <c r="CM185" i="5"/>
  <c r="CM196" i="5"/>
  <c r="CM208" i="5"/>
  <c r="CM219" i="5"/>
  <c r="CM230" i="5"/>
  <c r="CM241" i="5"/>
  <c r="CM252" i="5"/>
  <c r="CM263" i="5"/>
  <c r="CM274" i="5"/>
  <c r="CM285" i="5"/>
  <c r="CM296" i="5"/>
  <c r="CM308" i="5"/>
  <c r="CM319" i="5"/>
  <c r="CM330" i="5"/>
  <c r="CM341" i="5"/>
  <c r="CM352" i="5"/>
  <c r="CM363" i="5"/>
  <c r="CM374" i="5"/>
  <c r="CM385" i="5"/>
  <c r="CM396" i="5"/>
  <c r="CM408" i="5"/>
  <c r="CM419" i="5"/>
  <c r="CM430" i="5"/>
  <c r="CM441" i="5"/>
  <c r="CN10" i="5"/>
  <c r="CN21" i="5"/>
  <c r="CN32" i="5"/>
  <c r="CN43" i="5"/>
  <c r="CN54" i="5"/>
  <c r="CN66" i="5"/>
  <c r="CN77" i="5"/>
  <c r="CN88" i="5"/>
  <c r="CN99" i="5"/>
  <c r="CN110" i="5"/>
  <c r="CN121" i="5"/>
  <c r="CN132" i="5"/>
  <c r="CN143" i="5"/>
  <c r="CN154" i="5"/>
  <c r="CN166" i="5"/>
  <c r="CN177" i="5"/>
  <c r="CN188" i="5"/>
  <c r="CN199" i="5"/>
  <c r="CN210" i="5"/>
  <c r="CN221" i="5"/>
  <c r="CN232" i="5"/>
  <c r="CN243" i="5"/>
  <c r="CN254" i="5"/>
  <c r="CN266" i="5"/>
  <c r="CN277" i="5"/>
  <c r="CN288" i="5"/>
  <c r="CN299" i="5"/>
  <c r="CN310" i="5"/>
  <c r="CN321" i="5"/>
  <c r="CN332" i="5"/>
  <c r="CN343" i="5"/>
  <c r="CN354" i="5"/>
  <c r="CN366" i="5"/>
  <c r="CN377" i="5"/>
  <c r="CN388" i="5"/>
  <c r="CN399" i="5"/>
  <c r="CN410" i="5"/>
  <c r="CN421" i="5"/>
  <c r="CN432" i="5"/>
  <c r="CN443" i="5"/>
  <c r="CM9" i="5"/>
  <c r="CM20" i="5"/>
  <c r="CM31" i="5"/>
  <c r="CM42" i="5"/>
  <c r="CM53" i="5"/>
  <c r="CM64" i="5"/>
  <c r="CM75" i="5"/>
  <c r="CM86" i="5"/>
  <c r="CM98" i="5"/>
  <c r="CM109" i="5"/>
  <c r="CM120" i="5"/>
  <c r="CM131" i="5"/>
  <c r="CM142" i="5"/>
  <c r="CM153" i="5"/>
  <c r="CM164" i="5"/>
  <c r="CM175" i="5"/>
  <c r="CM186" i="5"/>
  <c r="CM198" i="5"/>
  <c r="CM209" i="5"/>
  <c r="CM220" i="5"/>
  <c r="CM231" i="5"/>
  <c r="CM242" i="5"/>
  <c r="CM253" i="5"/>
  <c r="CM264" i="5"/>
  <c r="CM275" i="5"/>
  <c r="CM286" i="5"/>
  <c r="CM298" i="5"/>
  <c r="CM309" i="5"/>
  <c r="CM320" i="5"/>
  <c r="CM331" i="5"/>
  <c r="CM342" i="5"/>
  <c r="CM353" i="5"/>
  <c r="CM364" i="5"/>
  <c r="CM375" i="5"/>
  <c r="CM386" i="5"/>
  <c r="CM398" i="5"/>
  <c r="CM409" i="5"/>
  <c r="CM420" i="5"/>
  <c r="CM431" i="5"/>
  <c r="CM442" i="5"/>
  <c r="CN11" i="5"/>
  <c r="CN22" i="5"/>
  <c r="CN33" i="5"/>
  <c r="CN44" i="5"/>
  <c r="CN56" i="5"/>
  <c r="CN67" i="5"/>
  <c r="CN78" i="5"/>
  <c r="CN89" i="5"/>
  <c r="CN100" i="5"/>
  <c r="CN111" i="5"/>
  <c r="CN122" i="5"/>
  <c r="CN133" i="5"/>
  <c r="CN144" i="5"/>
  <c r="CN156" i="5"/>
  <c r="CN167" i="5"/>
  <c r="CN178" i="5"/>
  <c r="CN189" i="5"/>
  <c r="CN200" i="5"/>
  <c r="CN211" i="5"/>
  <c r="CN222" i="5"/>
  <c r="CN233" i="5"/>
  <c r="CN244" i="5"/>
  <c r="CN256" i="5"/>
  <c r="CN267" i="5"/>
  <c r="CN278" i="5"/>
  <c r="CN289" i="5"/>
  <c r="CN300" i="5"/>
  <c r="CN311" i="5"/>
  <c r="CN322" i="5"/>
  <c r="CN333" i="5"/>
  <c r="CN344" i="5"/>
  <c r="CN356" i="5"/>
  <c r="CN367" i="5"/>
  <c r="CN378" i="5"/>
  <c r="CN389" i="5"/>
  <c r="CN400" i="5"/>
  <c r="CN411" i="5"/>
  <c r="CN422" i="5"/>
  <c r="CN433" i="5"/>
  <c r="CM10" i="5"/>
  <c r="CM21" i="5"/>
  <c r="CM32" i="5"/>
  <c r="CM43" i="5"/>
  <c r="CM54" i="5"/>
  <c r="CM65" i="5"/>
  <c r="CM76" i="5"/>
  <c r="CM88" i="5"/>
  <c r="CM99" i="5"/>
  <c r="CM110" i="5"/>
  <c r="CM121" i="5"/>
  <c r="CM132" i="5"/>
  <c r="CM143" i="5"/>
  <c r="CM154" i="5"/>
  <c r="CM165" i="5"/>
  <c r="CM176" i="5"/>
  <c r="CM188" i="5"/>
  <c r="CM199" i="5"/>
  <c r="CM210" i="5"/>
  <c r="CM221" i="5"/>
  <c r="CM232" i="5"/>
  <c r="CM243" i="5"/>
  <c r="CM254" i="5"/>
  <c r="CM265" i="5"/>
  <c r="CM276" i="5"/>
  <c r="CM288" i="5"/>
  <c r="CM299" i="5"/>
  <c r="CM310" i="5"/>
  <c r="CM321" i="5"/>
  <c r="CM332" i="5"/>
  <c r="CM343" i="5"/>
  <c r="CM354" i="5"/>
  <c r="CM365" i="5"/>
  <c r="CM376" i="5"/>
  <c r="CM388" i="5"/>
  <c r="CM399" i="5"/>
  <c r="CM410" i="5"/>
  <c r="CM421" i="5"/>
  <c r="CM432" i="5"/>
  <c r="CM443" i="5"/>
  <c r="CN12" i="5"/>
  <c r="CN23" i="5"/>
  <c r="CN34" i="5"/>
  <c r="CN46" i="5"/>
  <c r="CN57" i="5"/>
  <c r="CN68" i="5"/>
  <c r="CN79" i="5"/>
  <c r="CN90" i="5"/>
  <c r="CN101" i="5"/>
  <c r="CN112" i="5"/>
  <c r="CN123" i="5"/>
  <c r="CN134" i="5"/>
  <c r="CN146" i="5"/>
  <c r="CN157" i="5"/>
  <c r="CN168" i="5"/>
  <c r="CN179" i="5"/>
  <c r="CN190" i="5"/>
  <c r="CN201" i="5"/>
  <c r="CN212" i="5"/>
  <c r="CN223" i="5"/>
  <c r="CN234" i="5"/>
  <c r="CN246" i="5"/>
  <c r="CN257" i="5"/>
  <c r="CN268" i="5"/>
  <c r="CN279" i="5"/>
  <c r="CN290" i="5"/>
  <c r="CN301" i="5"/>
  <c r="CN312" i="5"/>
  <c r="CN323" i="5"/>
  <c r="CN334" i="5"/>
  <c r="CN346" i="5"/>
  <c r="CN357" i="5"/>
  <c r="CN368" i="5"/>
  <c r="CN379" i="5"/>
  <c r="CN390" i="5"/>
  <c r="CN401" i="5"/>
  <c r="CN412" i="5"/>
  <c r="CN423" i="5"/>
  <c r="CN434" i="5"/>
  <c r="CM11" i="5"/>
  <c r="CM22" i="5"/>
  <c r="CM33" i="5"/>
  <c r="CM44" i="5"/>
  <c r="CM55" i="5"/>
  <c r="CM66" i="5"/>
  <c r="CM78" i="5"/>
  <c r="CM89" i="5"/>
  <c r="CM100" i="5"/>
  <c r="CM111" i="5"/>
  <c r="CM122" i="5"/>
  <c r="CM133" i="5"/>
  <c r="CM144" i="5"/>
  <c r="CM155" i="5"/>
  <c r="CM166" i="5"/>
  <c r="CM178" i="5"/>
  <c r="CM189" i="5"/>
  <c r="CM200" i="5"/>
  <c r="CM211" i="5"/>
  <c r="CM222" i="5"/>
  <c r="CM233" i="5"/>
  <c r="CM244" i="5"/>
  <c r="CM255" i="5"/>
  <c r="CM266" i="5"/>
  <c r="CM278" i="5"/>
  <c r="CM289" i="5"/>
  <c r="CM300" i="5"/>
  <c r="CM311" i="5"/>
  <c r="CM322" i="5"/>
  <c r="CM333" i="5"/>
  <c r="CM344" i="5"/>
  <c r="CM355" i="5"/>
  <c r="CM366" i="5"/>
  <c r="CM378" i="5"/>
  <c r="CM389" i="5"/>
  <c r="CM400" i="5"/>
  <c r="CM411" i="5"/>
  <c r="CM422" i="5"/>
  <c r="CM433" i="5"/>
  <c r="CN2" i="5"/>
  <c r="CN13" i="5"/>
  <c r="CN24" i="5"/>
  <c r="CN36" i="5"/>
  <c r="CN47" i="5"/>
  <c r="CN58" i="5"/>
  <c r="CN69" i="5"/>
  <c r="CN80" i="5"/>
  <c r="CN91" i="5"/>
  <c r="CN102" i="5"/>
  <c r="CN113" i="5"/>
  <c r="CN124" i="5"/>
  <c r="CN136" i="5"/>
  <c r="CN147" i="5"/>
  <c r="CN158" i="5"/>
  <c r="CN169" i="5"/>
  <c r="CN180" i="5"/>
  <c r="CN191" i="5"/>
  <c r="CN202" i="5"/>
  <c r="CN213" i="5"/>
  <c r="CN224" i="5"/>
  <c r="CN236" i="5"/>
  <c r="CN247" i="5"/>
  <c r="CN258" i="5"/>
  <c r="CN269" i="5"/>
  <c r="CN280" i="5"/>
  <c r="CN291" i="5"/>
  <c r="CN302" i="5"/>
  <c r="CN313" i="5"/>
  <c r="CN324" i="5"/>
  <c r="CN336" i="5"/>
  <c r="CN347" i="5"/>
  <c r="CN358" i="5"/>
  <c r="CN369" i="5"/>
  <c r="CN380" i="5"/>
  <c r="CN391" i="5"/>
  <c r="CN402" i="5"/>
  <c r="CN413" i="5"/>
  <c r="CN424" i="5"/>
  <c r="CN436" i="5"/>
  <c r="CM12" i="5"/>
  <c r="CM23" i="5"/>
  <c r="CM34" i="5"/>
  <c r="CM45" i="5"/>
  <c r="CM56" i="5"/>
  <c r="CM68" i="5"/>
  <c r="CM79" i="5"/>
  <c r="CM90" i="5"/>
  <c r="CM101" i="5"/>
  <c r="CM112" i="5"/>
  <c r="CM123" i="5"/>
  <c r="CM134" i="5"/>
  <c r="CM145" i="5"/>
  <c r="CM156" i="5"/>
  <c r="CM168" i="5"/>
  <c r="CM179" i="5"/>
  <c r="CM190" i="5"/>
  <c r="CM201" i="5"/>
  <c r="CM212" i="5"/>
  <c r="CM223" i="5"/>
  <c r="CM234" i="5"/>
  <c r="CM245" i="5"/>
  <c r="CM256" i="5"/>
  <c r="CM268" i="5"/>
  <c r="CM279" i="5"/>
  <c r="CM290" i="5"/>
  <c r="CM301" i="5"/>
  <c r="CM312" i="5"/>
  <c r="CM323" i="5"/>
  <c r="CM334" i="5"/>
  <c r="CM345" i="5"/>
  <c r="CM356" i="5"/>
  <c r="CM368" i="5"/>
  <c r="CM379" i="5"/>
  <c r="CM390" i="5"/>
  <c r="CM401" i="5"/>
  <c r="CM412" i="5"/>
  <c r="CM423" i="5"/>
  <c r="CM434" i="5"/>
  <c r="CN3" i="5"/>
  <c r="CN14" i="5"/>
  <c r="CN26" i="5"/>
  <c r="CN37" i="5"/>
  <c r="CN48" i="5"/>
  <c r="CN59" i="5"/>
  <c r="CN70" i="5"/>
  <c r="CN81" i="5"/>
  <c r="CN92" i="5"/>
  <c r="CN103" i="5"/>
  <c r="CN114" i="5"/>
  <c r="CN126" i="5"/>
  <c r="CN137" i="5"/>
  <c r="CN148" i="5"/>
  <c r="CN159" i="5"/>
  <c r="CN170" i="5"/>
  <c r="CN181" i="5"/>
  <c r="CN192" i="5"/>
  <c r="CN203" i="5"/>
  <c r="CN214" i="5"/>
  <c r="CN226" i="5"/>
  <c r="CN237" i="5"/>
  <c r="CN248" i="5"/>
  <c r="CN259" i="5"/>
  <c r="CN270" i="5"/>
  <c r="CN281" i="5"/>
  <c r="CN292" i="5"/>
  <c r="CN303" i="5"/>
  <c r="CN314" i="5"/>
  <c r="CN326" i="5"/>
  <c r="CN337" i="5"/>
  <c r="CN348" i="5"/>
  <c r="CN359" i="5"/>
  <c r="CN370" i="5"/>
  <c r="CN381" i="5"/>
  <c r="CN392" i="5"/>
  <c r="CN403" i="5"/>
  <c r="CN414" i="5"/>
  <c r="CN426" i="5"/>
  <c r="CN437" i="5"/>
  <c r="CM2" i="5"/>
  <c r="CM13" i="5"/>
  <c r="CM24" i="5"/>
  <c r="CM35" i="5"/>
  <c r="CM46" i="5"/>
  <c r="CM58" i="5"/>
  <c r="CM69" i="5"/>
  <c r="CM80" i="5"/>
  <c r="CM91" i="5"/>
  <c r="CM102" i="5"/>
  <c r="CM113" i="5"/>
  <c r="CM124" i="5"/>
  <c r="CM135" i="5"/>
  <c r="CM146" i="5"/>
  <c r="CM158" i="5"/>
  <c r="CM169" i="5"/>
  <c r="CM180" i="5"/>
  <c r="CM191" i="5"/>
  <c r="CM202" i="5"/>
  <c r="CM213" i="5"/>
  <c r="CM224" i="5"/>
  <c r="CM235" i="5"/>
  <c r="CM246" i="5"/>
  <c r="CM258" i="5"/>
  <c r="CM269" i="5"/>
  <c r="CM280" i="5"/>
  <c r="CM291" i="5"/>
  <c r="CM302" i="5"/>
  <c r="CM313" i="5"/>
  <c r="CM324" i="5"/>
  <c r="CM335" i="5"/>
  <c r="CM346" i="5"/>
  <c r="CM358" i="5"/>
  <c r="CM369" i="5"/>
  <c r="CM380" i="5"/>
  <c r="CM391" i="5"/>
  <c r="CM402" i="5"/>
  <c r="CM413" i="5"/>
  <c r="CM424" i="5"/>
  <c r="CM435" i="5"/>
  <c r="CN4" i="5"/>
  <c r="CN16" i="5"/>
  <c r="CN27" i="5"/>
  <c r="CN38" i="5"/>
  <c r="CN49" i="5"/>
  <c r="CN60" i="5"/>
  <c r="CN71" i="5"/>
  <c r="CN82" i="5"/>
  <c r="CN93" i="5"/>
  <c r="CN104" i="5"/>
  <c r="CN116" i="5"/>
  <c r="CN127" i="5"/>
  <c r="CN138" i="5"/>
  <c r="CN149" i="5"/>
  <c r="CN160" i="5"/>
  <c r="CN171" i="5"/>
  <c r="CN182" i="5"/>
  <c r="CN193" i="5"/>
  <c r="CN204" i="5"/>
  <c r="CN216" i="5"/>
  <c r="CN227" i="5"/>
  <c r="CN238" i="5"/>
  <c r="CN249" i="5"/>
  <c r="CN260" i="5"/>
  <c r="CN271" i="5"/>
  <c r="CN282" i="5"/>
  <c r="CN293" i="5"/>
  <c r="CN304" i="5"/>
  <c r="CN316" i="5"/>
  <c r="CN327" i="5"/>
  <c r="CN338" i="5"/>
  <c r="CN349" i="5"/>
  <c r="CN360" i="5"/>
  <c r="CN371" i="5"/>
  <c r="CN382" i="5"/>
  <c r="CN393" i="5"/>
  <c r="CN404" i="5"/>
  <c r="CN416" i="5"/>
  <c r="CN427" i="5"/>
  <c r="CN438" i="5"/>
  <c r="CM3" i="5"/>
  <c r="CM14" i="5"/>
  <c r="CM25" i="5"/>
  <c r="CM36" i="5"/>
  <c r="CM48" i="5"/>
  <c r="CM59" i="5"/>
  <c r="CM70" i="5"/>
  <c r="CM81" i="5"/>
  <c r="CM92" i="5"/>
  <c r="CM103" i="5"/>
  <c r="CM114" i="5"/>
  <c r="CM125" i="5"/>
  <c r="CM136" i="5"/>
  <c r="CM148" i="5"/>
  <c r="CM159" i="5"/>
  <c r="CM170" i="5"/>
  <c r="CM181" i="5"/>
  <c r="CM192" i="5"/>
  <c r="CM203" i="5"/>
  <c r="CM214" i="5"/>
  <c r="CM225" i="5"/>
  <c r="CM236" i="5"/>
  <c r="CM248" i="5"/>
  <c r="CM259" i="5"/>
  <c r="CM270" i="5"/>
  <c r="CM281" i="5"/>
  <c r="CM292" i="5"/>
  <c r="CM303" i="5"/>
  <c r="CM314" i="5"/>
  <c r="CM325" i="5"/>
  <c r="CM336" i="5"/>
  <c r="CM348" i="5"/>
  <c r="CM359" i="5"/>
  <c r="CM370" i="5"/>
  <c r="CM381" i="5"/>
  <c r="CM392" i="5"/>
  <c r="CM403" i="5"/>
  <c r="CM414" i="5"/>
  <c r="CM425" i="5"/>
  <c r="CM436" i="5"/>
  <c r="CN6" i="5"/>
  <c r="CN17" i="5"/>
  <c r="CN28" i="5"/>
  <c r="CN39" i="5"/>
  <c r="CN50" i="5"/>
  <c r="CN61" i="5"/>
  <c r="CN72" i="5"/>
  <c r="CN83" i="5"/>
  <c r="CN94" i="5"/>
  <c r="CN106" i="5"/>
  <c r="CN117" i="5"/>
  <c r="CN128" i="5"/>
  <c r="CN139" i="5"/>
  <c r="CN150" i="5"/>
  <c r="CN161" i="5"/>
  <c r="CN172" i="5"/>
  <c r="CN183" i="5"/>
  <c r="CN194" i="5"/>
  <c r="CN206" i="5"/>
  <c r="CN217" i="5"/>
  <c r="CN228" i="5"/>
  <c r="CN239" i="5"/>
  <c r="CN250" i="5"/>
  <c r="CN261" i="5"/>
  <c r="CN272" i="5"/>
  <c r="CN283" i="5"/>
  <c r="CN294" i="5"/>
  <c r="CN306" i="5"/>
  <c r="CN317" i="5"/>
  <c r="CN328" i="5"/>
  <c r="CN339" i="5"/>
  <c r="CN350" i="5"/>
  <c r="CN361" i="5"/>
  <c r="CN372" i="5"/>
  <c r="CN383" i="5"/>
  <c r="CN394" i="5"/>
  <c r="CN406" i="5"/>
  <c r="CN417" i="5"/>
  <c r="CN428" i="5"/>
  <c r="CN439" i="5"/>
  <c r="CM4" i="5"/>
  <c r="CM15" i="5"/>
  <c r="CM26" i="5"/>
  <c r="CM38" i="5"/>
  <c r="CM49" i="5"/>
  <c r="CM60" i="5"/>
  <c r="CM71" i="5"/>
  <c r="CM82" i="5"/>
  <c r="CM93" i="5"/>
  <c r="CM104" i="5"/>
  <c r="CM115" i="5"/>
  <c r="CM126" i="5"/>
  <c r="CM138" i="5"/>
  <c r="CM149" i="5"/>
  <c r="CM160" i="5"/>
  <c r="CM171" i="5"/>
  <c r="CM182" i="5"/>
  <c r="CM193" i="5"/>
  <c r="CM204" i="5"/>
  <c r="CM215" i="5"/>
  <c r="CM5" i="5"/>
  <c r="CM16" i="5"/>
  <c r="CM28" i="5"/>
  <c r="CM39" i="5"/>
  <c r="CM50" i="5"/>
  <c r="CM61" i="5"/>
  <c r="CM72" i="5"/>
  <c r="CM83" i="5"/>
  <c r="CM94" i="5"/>
  <c r="CM105" i="5"/>
  <c r="CM116" i="5"/>
  <c r="CM128" i="5"/>
  <c r="CM139" i="5"/>
  <c r="CM150" i="5"/>
  <c r="CM161" i="5"/>
  <c r="CM172" i="5"/>
  <c r="CM183" i="5"/>
  <c r="CM194" i="5"/>
  <c r="CM205" i="5"/>
  <c r="CM216" i="5"/>
  <c r="CM228" i="5"/>
  <c r="CM239" i="5"/>
  <c r="CM250" i="5"/>
  <c r="CM261" i="5"/>
  <c r="CM272" i="5"/>
  <c r="CM283" i="5"/>
  <c r="CM294" i="5"/>
  <c r="CM305" i="5"/>
  <c r="CM316" i="5"/>
  <c r="CM328" i="5"/>
  <c r="CM339" i="5"/>
  <c r="CM350" i="5"/>
  <c r="CM361" i="5"/>
  <c r="CM372" i="5"/>
  <c r="CM383" i="5"/>
  <c r="CM394" i="5"/>
  <c r="CM405" i="5"/>
  <c r="CM416" i="5"/>
  <c r="CM428" i="5"/>
  <c r="CM439" i="5"/>
  <c r="CN8" i="5"/>
  <c r="CN19" i="5"/>
  <c r="CN30" i="5"/>
  <c r="CN41" i="5"/>
  <c r="CN52" i="5"/>
  <c r="CN63" i="5"/>
  <c r="CN74" i="5"/>
  <c r="CN86" i="5"/>
  <c r="CN97" i="5"/>
  <c r="CN108" i="5"/>
  <c r="CN119" i="5"/>
  <c r="CN130" i="5"/>
  <c r="CN141" i="5"/>
  <c r="CN152" i="5"/>
  <c r="CN163" i="5"/>
  <c r="CN174" i="5"/>
  <c r="CN186" i="5"/>
  <c r="CN197" i="5"/>
  <c r="CN208" i="5"/>
  <c r="CN219" i="5"/>
  <c r="CN230" i="5"/>
  <c r="CN241" i="5"/>
  <c r="CN252" i="5"/>
  <c r="CN263" i="5"/>
  <c r="CN274" i="5"/>
  <c r="CN286" i="5"/>
  <c r="CN297" i="5"/>
  <c r="CN308" i="5"/>
  <c r="CN319" i="5"/>
  <c r="CN330" i="5"/>
  <c r="CN341" i="5"/>
  <c r="CN352" i="5"/>
  <c r="CN363" i="5"/>
  <c r="CN374" i="5"/>
  <c r="CN386" i="5"/>
  <c r="CN397" i="5"/>
  <c r="CN408" i="5"/>
  <c r="CN419" i="5"/>
  <c r="CN430" i="5"/>
  <c r="CN441" i="5"/>
  <c r="CM293" i="5"/>
  <c r="CM404" i="5"/>
  <c r="CN73" i="5"/>
  <c r="CN184" i="5"/>
  <c r="CN296" i="5"/>
  <c r="CN407" i="5"/>
  <c r="CM304" i="5"/>
  <c r="CM415" i="5"/>
  <c r="CN84" i="5"/>
  <c r="CN196" i="5"/>
  <c r="CN307" i="5"/>
  <c r="CN418" i="5"/>
  <c r="CM315" i="5"/>
  <c r="CM426" i="5"/>
  <c r="CN96" i="5"/>
  <c r="CN207" i="5"/>
  <c r="CN318" i="5"/>
  <c r="CN429" i="5"/>
  <c r="CM326" i="5"/>
  <c r="CM438" i="5"/>
  <c r="CN107" i="5"/>
  <c r="CN218" i="5"/>
  <c r="CN329" i="5"/>
  <c r="CN440" i="5"/>
  <c r="CM226" i="5"/>
  <c r="CM338" i="5"/>
  <c r="CN7" i="5"/>
  <c r="CN118" i="5"/>
  <c r="CN229" i="5"/>
  <c r="CN340" i="5"/>
  <c r="CM238" i="5"/>
  <c r="CM349" i="5"/>
  <c r="CN18" i="5"/>
  <c r="CN129" i="5"/>
  <c r="CN240" i="5"/>
  <c r="CN351" i="5"/>
  <c r="CM249" i="5"/>
  <c r="CM360" i="5"/>
  <c r="CN29" i="5"/>
  <c r="CN140" i="5"/>
  <c r="CN251" i="5"/>
  <c r="CN362" i="5"/>
  <c r="CM260" i="5"/>
  <c r="CM371" i="5"/>
  <c r="CN40" i="5"/>
  <c r="CN151" i="5"/>
  <c r="CN262" i="5"/>
  <c r="CN373" i="5"/>
  <c r="CM271" i="5"/>
  <c r="CM382" i="5"/>
  <c r="CN51" i="5"/>
  <c r="CN162" i="5"/>
  <c r="CN273" i="5"/>
  <c r="CN384" i="5"/>
  <c r="CM282" i="5"/>
  <c r="CM393" i="5"/>
  <c r="CN62" i="5"/>
  <c r="CN173" i="5"/>
  <c r="CN284" i="5"/>
  <c r="CN396" i="5"/>
  <c r="AP353" i="5"/>
  <c r="BI312" i="5"/>
  <c r="BM312" i="5"/>
  <c r="AV137" i="5"/>
  <c r="BI137" i="5"/>
  <c r="BM137" i="5"/>
  <c r="AV436" i="5"/>
  <c r="BM436" i="5"/>
  <c r="BI436" i="5"/>
  <c r="BF106" i="5"/>
  <c r="BM106" i="5"/>
  <c r="BW106" i="5"/>
  <c r="BT106" i="5" a="1"/>
  <c r="BT106" i="5" s="1"/>
  <c r="BU106" i="5" a="1"/>
  <c r="BU106" i="5" s="1"/>
  <c r="CO106" i="5" a="1"/>
  <c r="CO106" i="5" s="1"/>
  <c r="CP106" i="5" a="1"/>
  <c r="CP106" i="5" s="1"/>
  <c r="CR106" i="5" a="1"/>
  <c r="CR106" i="5" s="1"/>
  <c r="CS106" i="5" a="1"/>
  <c r="CS106" i="5" s="1"/>
  <c r="BM206" i="5"/>
  <c r="BF206" i="5"/>
  <c r="BW206" i="5"/>
  <c r="BT206" i="5" a="1"/>
  <c r="BT206" i="5" s="1"/>
  <c r="BU206" i="5" a="1"/>
  <c r="BU206" i="5" s="1"/>
  <c r="CO206" i="5" a="1"/>
  <c r="CO206" i="5" s="1"/>
  <c r="CP206" i="5" a="1"/>
  <c r="CP206" i="5" s="1"/>
  <c r="CR206" i="5" a="1"/>
  <c r="CR206" i="5" s="1"/>
  <c r="CS206" i="5" a="1"/>
  <c r="CS206" i="5" s="1"/>
  <c r="BF37" i="5"/>
  <c r="BT37" i="5" a="1"/>
  <c r="BT37" i="5" s="1"/>
  <c r="BW37" i="5"/>
  <c r="BU37" i="5" a="1"/>
  <c r="BU37" i="5" s="1"/>
  <c r="BM37" i="5"/>
  <c r="CO37" i="5" a="1"/>
  <c r="CO37" i="5" s="1"/>
  <c r="CP37" i="5" a="1"/>
  <c r="CP37" i="5" s="1"/>
  <c r="CR37" i="5" a="1"/>
  <c r="CR37" i="5" s="1"/>
  <c r="CS37" i="5" a="1"/>
  <c r="CS37" i="5" s="1"/>
  <c r="BI362" i="5"/>
  <c r="BM362" i="5"/>
  <c r="AP410" i="5"/>
  <c r="BI372" i="5"/>
  <c r="BM372" i="5"/>
  <c r="AM145" i="5"/>
  <c r="AP145" i="5" s="1"/>
  <c r="AR145" i="5"/>
  <c r="AS145" i="5"/>
  <c r="AV145" i="5"/>
  <c r="BI222" i="5"/>
  <c r="BM222" i="5"/>
  <c r="AM183" i="5"/>
  <c r="AP183" i="5" s="1"/>
  <c r="AV183" i="5"/>
  <c r="AR183" i="5"/>
  <c r="AS183" i="5"/>
  <c r="BI234" i="5"/>
  <c r="BM234" i="5"/>
  <c r="AA298" i="5" a="1"/>
  <c r="AA298" i="5" s="1"/>
  <c r="AB298" i="5" s="1"/>
  <c r="AA4" i="5" a="1"/>
  <c r="AA4" i="5" s="1"/>
  <c r="AB4" i="5" s="1"/>
  <c r="AA304" i="5" a="1"/>
  <c r="AA304" i="5" s="1"/>
  <c r="AB304" i="5" s="1"/>
  <c r="AA432" i="5" a="1"/>
  <c r="AA432" i="5" s="1"/>
  <c r="AB432" i="5" s="1"/>
  <c r="BZ123" i="5"/>
  <c r="AA138" i="5" a="1"/>
  <c r="AA138" i="5" s="1"/>
  <c r="AB138" i="5" s="1"/>
  <c r="BZ185" i="5"/>
  <c r="CL185" i="5"/>
  <c r="BZ335" i="5"/>
  <c r="AA328" i="5" a="1"/>
  <c r="AA328" i="5" s="1"/>
  <c r="AB328" i="5"/>
  <c r="AB12" i="5"/>
  <c r="AA12" i="5" a="1"/>
  <c r="AA12" i="5" s="1"/>
  <c r="AA284" i="5" a="1"/>
  <c r="AA284" i="5" s="1"/>
  <c r="AB284" i="5"/>
  <c r="BZ192" i="5"/>
  <c r="BZ253" i="5"/>
  <c r="BZ314" i="5"/>
  <c r="AA230" i="5" a="1"/>
  <c r="AA230" i="5" s="1"/>
  <c r="AB230" i="5" s="1"/>
  <c r="AA80" i="5" a="1"/>
  <c r="AA80" i="5" s="1"/>
  <c r="AB80" i="5" s="1"/>
  <c r="BZ224" i="5"/>
  <c r="AA294" i="5" a="1"/>
  <c r="AA294" i="5" s="1"/>
  <c r="AB294" i="5" s="1"/>
  <c r="BZ4" i="5"/>
  <c r="CL4" i="5"/>
  <c r="BZ321" i="5"/>
  <c r="BZ372" i="5"/>
  <c r="CL372" i="5"/>
  <c r="BZ22" i="5"/>
  <c r="AA164" i="5" a="1"/>
  <c r="AA164" i="5" s="1"/>
  <c r="AB164" i="5"/>
  <c r="BZ227" i="5"/>
  <c r="BZ433" i="5"/>
  <c r="BZ183" i="5"/>
  <c r="AA71" i="5" a="1"/>
  <c r="AA71" i="5" s="1"/>
  <c r="AB71" i="5"/>
  <c r="BZ191" i="5"/>
  <c r="CL191" i="5"/>
  <c r="BZ332" i="5"/>
  <c r="AA166" i="5" a="1"/>
  <c r="AA166" i="5" s="1"/>
  <c r="AB166" i="5"/>
  <c r="BZ252" i="5"/>
  <c r="AA236" i="5" a="1"/>
  <c r="AA236" i="5" s="1"/>
  <c r="AB236" i="5"/>
  <c r="BZ376" i="5"/>
  <c r="CL376" i="5"/>
  <c r="BZ282" i="5"/>
  <c r="BZ393" i="5"/>
  <c r="AA17" i="5" a="1"/>
  <c r="AA17" i="5" s="1"/>
  <c r="AB17" i="5" s="1"/>
  <c r="AA385" i="5" a="1"/>
  <c r="AA385" i="5" s="1"/>
  <c r="AB385" i="5" s="1"/>
  <c r="AA227" i="5" a="1"/>
  <c r="AA227" i="5" s="1"/>
  <c r="CL227" i="5" s="1"/>
  <c r="AB227" i="5"/>
  <c r="AL29" i="5"/>
  <c r="AU29" i="5"/>
  <c r="BG29" i="5"/>
  <c r="BH29" i="5" a="1"/>
  <c r="BH29" i="5" s="1"/>
  <c r="BL29" i="5"/>
  <c r="BF410" i="5"/>
  <c r="BM410" i="5"/>
  <c r="BT410" i="5" a="1"/>
  <c r="BT410" i="5" s="1"/>
  <c r="BU410" i="5" a="1"/>
  <c r="BU410" i="5" s="1"/>
  <c r="BW410" i="5"/>
  <c r="CP410" i="5" a="1"/>
  <c r="CP410" i="5" s="1"/>
  <c r="CR410" i="5" a="1"/>
  <c r="CR410" i="5" s="1"/>
  <c r="CO410" i="5" a="1"/>
  <c r="CO410" i="5" s="1"/>
  <c r="CS410" i="5" a="1"/>
  <c r="CS410" i="5" s="1"/>
  <c r="BZ23" i="5"/>
  <c r="AA95" i="5" a="1"/>
  <c r="AA95" i="5" s="1"/>
  <c r="AB95" i="5"/>
  <c r="AA23" i="5" a="1"/>
  <c r="AA23" i="5" s="1"/>
  <c r="CL23" i="5" s="1"/>
  <c r="AA405" i="5" a="1"/>
  <c r="AA405" i="5" s="1"/>
  <c r="AB405" i="5"/>
  <c r="AA326" i="5" a="1"/>
  <c r="AA326" i="5" s="1"/>
  <c r="AB326" i="5" s="1"/>
  <c r="AB127" i="5"/>
  <c r="AA127" i="5" a="1"/>
  <c r="AA127" i="5" s="1"/>
  <c r="AA118" i="5" a="1"/>
  <c r="AA118" i="5" s="1"/>
  <c r="AB118" i="5"/>
  <c r="AA51" i="5" a="1"/>
  <c r="AA51" i="5" s="1"/>
  <c r="AB51" i="5" s="1"/>
  <c r="AA371" i="5" a="1"/>
  <c r="AA371" i="5" s="1"/>
  <c r="AB371" i="5"/>
  <c r="AA267" i="5" a="1"/>
  <c r="AA267" i="5" s="1"/>
  <c r="CL267" i="5" s="1"/>
  <c r="AB21" i="5"/>
  <c r="AA21" i="5" a="1"/>
  <c r="AA21" i="5" s="1"/>
  <c r="CL21" i="5" s="1"/>
  <c r="AA179" i="5" a="1"/>
  <c r="AA179" i="5" s="1"/>
  <c r="AB179" i="5" s="1"/>
  <c r="AA399" i="5" a="1"/>
  <c r="AA399" i="5" s="1"/>
  <c r="AB399" i="5" s="1"/>
  <c r="BI313" i="5"/>
  <c r="BM313" i="5"/>
  <c r="AP270" i="5"/>
  <c r="AV326" i="5"/>
  <c r="BI326" i="5"/>
  <c r="BM326" i="5"/>
  <c r="BF46" i="5"/>
  <c r="BM46" i="5"/>
  <c r="BU46" i="5" a="1"/>
  <c r="BU46" i="5" s="1"/>
  <c r="BW46" i="5"/>
  <c r="BT46" i="5" a="1"/>
  <c r="BT46" i="5" s="1"/>
  <c r="CO46" i="5" a="1"/>
  <c r="CO46" i="5" s="1"/>
  <c r="CR46" i="5" a="1"/>
  <c r="CR46" i="5" s="1"/>
  <c r="CS46" i="5" a="1"/>
  <c r="CS46" i="5" s="1"/>
  <c r="CP46" i="5" a="1"/>
  <c r="CP46" i="5" s="1"/>
  <c r="BF156" i="5"/>
  <c r="BM156" i="5"/>
  <c r="BW156" i="5"/>
  <c r="BT156" i="5" a="1"/>
  <c r="BT156" i="5" s="1"/>
  <c r="BU156" i="5" a="1"/>
  <c r="BU156" i="5" s="1"/>
  <c r="CO156" i="5" a="1"/>
  <c r="CO156" i="5" s="1"/>
  <c r="CP156" i="5" a="1"/>
  <c r="CP156" i="5" s="1"/>
  <c r="CR156" i="5" a="1"/>
  <c r="CR156" i="5" s="1"/>
  <c r="CS156" i="5" a="1"/>
  <c r="CS156" i="5" s="1"/>
  <c r="BF276" i="5"/>
  <c r="BM276" i="5"/>
  <c r="BW276" i="5"/>
  <c r="BT276" i="5" a="1"/>
  <c r="BT276" i="5" s="1"/>
  <c r="BU276" i="5" a="1"/>
  <c r="BU276" i="5" s="1"/>
  <c r="CP276" i="5" a="1"/>
  <c r="CP276" i="5" s="1"/>
  <c r="CR276" i="5" a="1"/>
  <c r="CR276" i="5" s="1"/>
  <c r="CO276" i="5" a="1"/>
  <c r="CO276" i="5" s="1"/>
  <c r="CS276" i="5" a="1"/>
  <c r="CS276" i="5" s="1"/>
  <c r="BF97" i="5"/>
  <c r="BM97" i="5"/>
  <c r="BW97" i="5"/>
  <c r="BU97" i="5" a="1"/>
  <c r="BU97" i="5" s="1"/>
  <c r="BT97" i="5" a="1"/>
  <c r="BT97" i="5" s="1"/>
  <c r="CO97" i="5" a="1"/>
  <c r="CO97" i="5" s="1"/>
  <c r="CP97" i="5" a="1"/>
  <c r="CP97" i="5" s="1"/>
  <c r="CR97" i="5" a="1"/>
  <c r="CR97" i="5" s="1"/>
  <c r="CS97" i="5" a="1"/>
  <c r="CS97" i="5" s="1"/>
  <c r="AV297" i="5"/>
  <c r="BI297" i="5"/>
  <c r="BM297" i="5"/>
  <c r="AA37" i="5" a="1"/>
  <c r="AA37" i="5" s="1"/>
  <c r="AB37" i="5" s="1"/>
  <c r="AA282" i="5" a="1"/>
  <c r="AA282" i="5" s="1"/>
  <c r="CL282" i="5" s="1"/>
  <c r="R80" i="5"/>
  <c r="AT80" i="5"/>
  <c r="CH80" i="5"/>
  <c r="R180" i="5"/>
  <c r="AT180" i="5"/>
  <c r="AA5" i="5" a="1"/>
  <c r="AA5" i="5" s="1"/>
  <c r="CL5" i="5" s="1"/>
  <c r="AA105" i="5" a="1"/>
  <c r="AA105" i="5" s="1"/>
  <c r="AB105" i="5" s="1"/>
  <c r="AB205" i="5"/>
  <c r="AA205" i="5" a="1"/>
  <c r="AA205" i="5" s="1"/>
  <c r="AA73" i="5" a="1"/>
  <c r="AA73" i="5" s="1"/>
  <c r="AB73" i="5"/>
  <c r="AA315" i="5" a="1"/>
  <c r="AA315" i="5" s="1"/>
  <c r="AB315" i="5" s="1"/>
  <c r="AA415" i="5" a="1"/>
  <c r="AA415" i="5" s="1"/>
  <c r="AB415" i="5" s="1"/>
  <c r="AA146" i="5" a="1"/>
  <c r="AA146" i="5" s="1"/>
  <c r="AB146" i="5" s="1"/>
  <c r="AA336" i="5" a="1"/>
  <c r="AA336" i="5" s="1"/>
  <c r="CL336" i="5" s="1"/>
  <c r="AA137" i="5" a="1"/>
  <c r="AA137" i="5" s="1"/>
  <c r="AB137" i="5" s="1"/>
  <c r="AA327" i="5" a="1"/>
  <c r="AA327" i="5" s="1"/>
  <c r="AB327" i="5" s="1"/>
  <c r="AA128" i="5" a="1"/>
  <c r="AA128" i="5" s="1"/>
  <c r="AB128" i="5" s="1"/>
  <c r="AA368" i="5" a="1"/>
  <c r="AA368" i="5" s="1"/>
  <c r="AB368" i="5" s="1"/>
  <c r="AA81" i="5" a="1"/>
  <c r="AA81" i="5" s="1"/>
  <c r="AB81" i="5" s="1"/>
  <c r="AA231" i="5" a="1"/>
  <c r="AA231" i="5" s="1"/>
  <c r="AB231" i="5"/>
  <c r="AA391" i="5" a="1"/>
  <c r="AA391" i="5" s="1"/>
  <c r="AB391" i="5" s="1"/>
  <c r="AB27" i="5"/>
  <c r="AA27" i="5" a="1"/>
  <c r="AA27" i="5" s="1"/>
  <c r="AB277" i="5"/>
  <c r="AA277" i="5" a="1"/>
  <c r="AA277" i="5" s="1"/>
  <c r="AA78" i="5" a="1"/>
  <c r="AA78" i="5" s="1"/>
  <c r="AB78" i="5" s="1"/>
  <c r="AA31" i="5" a="1"/>
  <c r="AA31" i="5" s="1"/>
  <c r="AB31" i="5" s="1"/>
  <c r="AA89" i="5" a="1"/>
  <c r="AA89" i="5" s="1"/>
  <c r="AB89" i="5" s="1"/>
  <c r="AA189" i="5" a="1"/>
  <c r="AA189" i="5" s="1"/>
  <c r="AB189" i="5" s="1"/>
  <c r="AA289" i="5" a="1"/>
  <c r="AA289" i="5" s="1"/>
  <c r="AB289" i="5" s="1"/>
  <c r="BF39" i="5"/>
  <c r="BM39" i="5"/>
  <c r="BT39" i="5" a="1"/>
  <c r="BT39" i="5" s="1"/>
  <c r="BU39" i="5" a="1"/>
  <c r="BU39" i="5" s="1"/>
  <c r="BW39" i="5"/>
  <c r="CP39" i="5" a="1"/>
  <c r="CP39" i="5" s="1"/>
  <c r="CR39" i="5" a="1"/>
  <c r="CR39" i="5" s="1"/>
  <c r="CO39" i="5" a="1"/>
  <c r="CO39" i="5" s="1"/>
  <c r="CS39" i="5" a="1"/>
  <c r="CS39" i="5" s="1"/>
  <c r="BF139" i="5"/>
  <c r="BM139" i="5"/>
  <c r="BT139" i="5" a="1"/>
  <c r="BT139" i="5" s="1"/>
  <c r="BW139" i="5"/>
  <c r="BU139" i="5" a="1"/>
  <c r="BU139" i="5" s="1"/>
  <c r="CO139" i="5" a="1"/>
  <c r="CO139" i="5" s="1"/>
  <c r="CP139" i="5" a="1"/>
  <c r="CP139" i="5" s="1"/>
  <c r="CR139" i="5" a="1"/>
  <c r="CR139" i="5" s="1"/>
  <c r="CS139" i="5" a="1"/>
  <c r="CS139" i="5" s="1"/>
  <c r="BF120" i="5"/>
  <c r="BM120" i="5"/>
  <c r="BU120" i="5" a="1"/>
  <c r="BU120" i="5" s="1"/>
  <c r="BT120" i="5" a="1"/>
  <c r="BT120" i="5" s="1"/>
  <c r="BW120" i="5"/>
  <c r="CO120" i="5" a="1"/>
  <c r="CO120" i="5" s="1"/>
  <c r="CP120" i="5" a="1"/>
  <c r="CP120" i="5" s="1"/>
  <c r="CR120" i="5" a="1"/>
  <c r="CR120" i="5" s="1"/>
  <c r="CS120" i="5" a="1"/>
  <c r="CS120" i="5" s="1"/>
  <c r="BF190" i="5"/>
  <c r="BM190" i="5"/>
  <c r="BT190" i="5" a="1"/>
  <c r="BT190" i="5" s="1"/>
  <c r="BU190" i="5" a="1"/>
  <c r="BU190" i="5" s="1"/>
  <c r="BW190" i="5"/>
  <c r="CO190" i="5" a="1"/>
  <c r="CO190" i="5" s="1"/>
  <c r="CS190" i="5" a="1"/>
  <c r="CS190" i="5" s="1"/>
  <c r="CP190" i="5" a="1"/>
  <c r="CP190" i="5" s="1"/>
  <c r="CR190" i="5" a="1"/>
  <c r="CR190" i="5" s="1"/>
  <c r="AP26" i="5"/>
  <c r="AP76" i="5"/>
  <c r="AP126" i="5"/>
  <c r="AP176" i="5"/>
  <c r="AP226" i="5"/>
  <c r="AP276" i="5"/>
  <c r="AP47" i="5"/>
  <c r="AP107" i="5"/>
  <c r="AL59" i="5"/>
  <c r="AU59" i="5"/>
  <c r="BG59" i="5"/>
  <c r="BH59" i="5" a="1"/>
  <c r="BH59" i="5" s="1"/>
  <c r="BL59" i="5"/>
  <c r="AL159" i="5"/>
  <c r="AU159" i="5"/>
  <c r="BM159" i="5" s="1"/>
  <c r="BG159" i="5"/>
  <c r="BH159" i="5" a="1"/>
  <c r="BH159" i="5" s="1"/>
  <c r="BL159" i="5"/>
  <c r="AA409" i="5" a="1"/>
  <c r="AA409" i="5" s="1"/>
  <c r="AB409" i="5" s="1"/>
  <c r="BI363" i="5"/>
  <c r="BM363" i="5"/>
  <c r="BI324" i="5"/>
  <c r="BM324" i="5"/>
  <c r="AP293" i="5"/>
  <c r="AV225" i="5"/>
  <c r="BI225" i="5"/>
  <c r="BM225" i="5"/>
  <c r="AV213" i="5"/>
  <c r="AV336" i="5"/>
  <c r="BI336" i="5"/>
  <c r="BM336" i="5"/>
  <c r="AL48" i="5"/>
  <c r="AU48" i="5"/>
  <c r="BM48" i="5" s="1"/>
  <c r="BG48" i="5"/>
  <c r="BH48" i="5" a="1"/>
  <c r="BH48" i="5" s="1"/>
  <c r="BL48" i="5"/>
  <c r="AL98" i="5"/>
  <c r="AU98" i="5"/>
  <c r="BM98" i="5" s="1"/>
  <c r="BG98" i="5"/>
  <c r="BH98" i="5" a="1"/>
  <c r="BH98" i="5" s="1"/>
  <c r="BL98" i="5"/>
  <c r="AL148" i="5"/>
  <c r="AU148" i="5"/>
  <c r="BM148" i="5" s="1"/>
  <c r="BG148" i="5"/>
  <c r="BH148" i="5" a="1"/>
  <c r="BH148" i="5" s="1"/>
  <c r="BL148" i="5"/>
  <c r="AL198" i="5"/>
  <c r="AU198" i="5"/>
  <c r="BM198" i="5" s="1"/>
  <c r="BG198" i="5"/>
  <c r="BL198" i="5"/>
  <c r="BH198" i="5" a="1"/>
  <c r="BH198" i="5" s="1"/>
  <c r="AL248" i="5"/>
  <c r="AU248" i="5"/>
  <c r="BM248" i="5" s="1"/>
  <c r="BG248" i="5"/>
  <c r="BL248" i="5"/>
  <c r="BH248" i="5" a="1"/>
  <c r="BH248" i="5" s="1"/>
  <c r="AL298" i="5"/>
  <c r="AU298" i="5"/>
  <c r="BG298" i="5"/>
  <c r="BH298" i="5" a="1"/>
  <c r="BH298" i="5" s="1"/>
  <c r="BL298" i="5"/>
  <c r="AL348" i="5"/>
  <c r="AU348" i="5"/>
  <c r="BM348" i="5" s="1"/>
  <c r="BG348" i="5"/>
  <c r="BH348" i="5" a="1"/>
  <c r="BH348" i="5" s="1"/>
  <c r="BL348" i="5"/>
  <c r="AL398" i="5"/>
  <c r="AU398" i="5"/>
  <c r="BG398" i="5"/>
  <c r="BH398" i="5" a="1"/>
  <c r="BH398" i="5" s="1"/>
  <c r="BL398" i="5"/>
  <c r="AV6" i="5"/>
  <c r="BI6" i="5"/>
  <c r="AV66" i="5"/>
  <c r="BI66" i="5"/>
  <c r="BF116" i="5"/>
  <c r="BM116" i="5"/>
  <c r="BW116" i="5"/>
  <c r="BU116" i="5" a="1"/>
  <c r="BU116" i="5" s="1"/>
  <c r="BT116" i="5" a="1"/>
  <c r="BT116" i="5" s="1"/>
  <c r="CS116" i="5" a="1"/>
  <c r="CS116" i="5" s="1"/>
  <c r="CO116" i="5" a="1"/>
  <c r="CO116" i="5" s="1"/>
  <c r="CP116" i="5" a="1"/>
  <c r="CP116" i="5" s="1"/>
  <c r="CR116" i="5" a="1"/>
  <c r="CR116" i="5" s="1"/>
  <c r="AV166" i="5"/>
  <c r="BI166" i="5"/>
  <c r="AV226" i="5"/>
  <c r="BI226" i="5"/>
  <c r="AV286" i="5"/>
  <c r="BI286" i="5"/>
  <c r="AL189" i="5"/>
  <c r="AU189" i="5"/>
  <c r="BG189" i="5"/>
  <c r="BH189" i="5" a="1"/>
  <c r="BH189" i="5" s="1"/>
  <c r="BL189" i="5"/>
  <c r="AL239" i="5"/>
  <c r="BG239" i="5"/>
  <c r="AU239" i="5"/>
  <c r="BH239" i="5" a="1"/>
  <c r="BH239" i="5" s="1"/>
  <c r="BL239" i="5"/>
  <c r="AL289" i="5"/>
  <c r="AU289" i="5"/>
  <c r="BG289" i="5"/>
  <c r="BH289" i="5" a="1"/>
  <c r="BH289" i="5" s="1"/>
  <c r="BL289" i="5"/>
  <c r="AL339" i="5"/>
  <c r="AU339" i="5"/>
  <c r="BG339" i="5"/>
  <c r="BH339" i="5" a="1"/>
  <c r="BH339" i="5" s="1"/>
  <c r="BL339" i="5"/>
  <c r="AL389" i="5"/>
  <c r="AU389" i="5"/>
  <c r="BG389" i="5"/>
  <c r="BH389" i="5" a="1"/>
  <c r="BH389" i="5" s="1"/>
  <c r="BL389" i="5"/>
  <c r="AL439" i="5"/>
  <c r="AU439" i="5"/>
  <c r="BG439" i="5"/>
  <c r="BH439" i="5" a="1"/>
  <c r="BH439" i="5" s="1"/>
  <c r="BL439" i="5"/>
  <c r="AV47" i="5"/>
  <c r="BI47" i="5"/>
  <c r="AV107" i="5"/>
  <c r="BI107" i="5"/>
  <c r="AP340" i="5"/>
  <c r="BI412" i="5"/>
  <c r="BM412" i="5"/>
  <c r="BI422" i="5"/>
  <c r="BM422" i="5"/>
  <c r="AM372" i="5"/>
  <c r="AP372" i="5" s="1"/>
  <c r="AR372" i="5"/>
  <c r="AV372" i="5"/>
  <c r="AS372" i="5"/>
  <c r="BI334" i="5"/>
  <c r="BM334" i="5"/>
  <c r="BF102" i="5"/>
  <c r="BM102" i="5"/>
  <c r="BU102" i="5" a="1"/>
  <c r="BU102" i="5" s="1"/>
  <c r="BT102" i="5" a="1"/>
  <c r="BT102" i="5" s="1"/>
  <c r="BW102" i="5"/>
  <c r="CO102" i="5" a="1"/>
  <c r="CO102" i="5" s="1"/>
  <c r="CR102" i="5" a="1"/>
  <c r="CR102" i="5" s="1"/>
  <c r="CS102" i="5" a="1"/>
  <c r="CS102" i="5" s="1"/>
  <c r="CP102" i="5" a="1"/>
  <c r="CP102" i="5" s="1"/>
  <c r="BM21" i="5"/>
  <c r="BI21" i="5"/>
  <c r="BM171" i="5"/>
  <c r="BI171" i="5"/>
  <c r="AM222" i="5"/>
  <c r="AP222" i="5" s="1"/>
  <c r="AS222" i="5"/>
  <c r="AV222" i="5"/>
  <c r="AR222" i="5"/>
  <c r="AV200" i="5"/>
  <c r="AM234" i="5"/>
  <c r="AP234" i="5" s="1"/>
  <c r="AR234" i="5"/>
  <c r="AS234" i="5"/>
  <c r="AV234" i="5"/>
  <c r="BZ95" i="5"/>
  <c r="CL95" i="5"/>
  <c r="BZ345" i="5"/>
  <c r="AA132" i="5" a="1"/>
  <c r="AA132" i="5" s="1"/>
  <c r="AB132" i="5"/>
  <c r="AA154" i="5" a="1"/>
  <c r="AA154" i="5" s="1"/>
  <c r="AB154" i="5" s="1"/>
  <c r="AA243" i="5" a="1"/>
  <c r="AA243" i="5" s="1"/>
  <c r="AB243" i="5" s="1"/>
  <c r="AB393" i="5"/>
  <c r="AA393" i="5" a="1"/>
  <c r="AA393" i="5" s="1"/>
  <c r="CL393" i="5" s="1"/>
  <c r="BZ34" i="5"/>
  <c r="CL34" i="5"/>
  <c r="BZ201" i="5"/>
  <c r="CL201" i="5"/>
  <c r="BZ262" i="5"/>
  <c r="BZ323" i="5"/>
  <c r="BZ401" i="5"/>
  <c r="BZ25" i="5"/>
  <c r="BZ275" i="5"/>
  <c r="BZ397" i="5"/>
  <c r="AA84" i="5" a="1"/>
  <c r="AA84" i="5" s="1"/>
  <c r="AB84" i="5"/>
  <c r="AA262" i="5" a="1"/>
  <c r="AA262" i="5" s="1"/>
  <c r="AB262" i="5" s="1"/>
  <c r="BZ31" i="5"/>
  <c r="BZ131" i="5"/>
  <c r="AA8" i="5" a="1"/>
  <c r="AA8" i="5" s="1"/>
  <c r="AB8" i="5" s="1"/>
  <c r="AA258" i="5" a="1"/>
  <c r="AA258" i="5" s="1"/>
  <c r="AB258" i="5" s="1"/>
  <c r="BZ55" i="5"/>
  <c r="BZ305" i="5"/>
  <c r="CL305" i="5"/>
  <c r="BZ172" i="5"/>
  <c r="CL172" i="5"/>
  <c r="BZ356" i="5"/>
  <c r="AA363" i="5" a="1"/>
  <c r="AA363" i="5" s="1"/>
  <c r="AB363" i="5" s="1"/>
  <c r="BZ247" i="5"/>
  <c r="BZ407" i="5"/>
  <c r="BZ194" i="5"/>
  <c r="CL194" i="5"/>
  <c r="BZ263" i="5"/>
  <c r="AA331" i="5" a="1"/>
  <c r="AA331" i="5" s="1"/>
  <c r="AB331" i="5" s="1"/>
  <c r="BZ257" i="5"/>
  <c r="AA102" i="5" a="1"/>
  <c r="AA102" i="5" s="1"/>
  <c r="AB102" i="5" s="1"/>
  <c r="AA130" i="5" a="1"/>
  <c r="AA130" i="5" s="1"/>
  <c r="AB130" i="5" s="1"/>
  <c r="BZ204" i="5"/>
  <c r="BZ396" i="5"/>
  <c r="BZ24" i="5"/>
  <c r="CH101" i="5"/>
  <c r="AA436" i="5" a="1"/>
  <c r="AA436" i="5" s="1"/>
  <c r="AB436" i="5" s="1"/>
  <c r="BZ383" i="5"/>
  <c r="BZ61" i="5"/>
  <c r="BZ237" i="5"/>
  <c r="CL237" i="5"/>
  <c r="BZ43" i="5"/>
  <c r="CL43" i="5"/>
  <c r="BZ271" i="5"/>
  <c r="AA155" i="5" a="1"/>
  <c r="AA155" i="5" s="1"/>
  <c r="AB155" i="5" s="1"/>
  <c r="AB19" i="5"/>
  <c r="AA19" i="5" a="1"/>
  <c r="AA19" i="5" s="1"/>
  <c r="AA75" i="5" a="1"/>
  <c r="AA75" i="5" s="1"/>
  <c r="AB75" i="5"/>
  <c r="AA39" i="5" a="1"/>
  <c r="AA39" i="5" s="1"/>
  <c r="AB39" i="5" s="1"/>
  <c r="AA115" i="5" a="1"/>
  <c r="AA115" i="5" s="1"/>
  <c r="AB115" i="5" s="1"/>
  <c r="AA425" i="5" a="1"/>
  <c r="AA425" i="5" s="1"/>
  <c r="AB425" i="5" s="1"/>
  <c r="AA357" i="5" a="1"/>
  <c r="AA357" i="5" s="1"/>
  <c r="AB357" i="5" s="1"/>
  <c r="AA401" i="5" a="1"/>
  <c r="AA401" i="5" s="1"/>
  <c r="CL401" i="5" s="1"/>
  <c r="AA211" i="5" a="1"/>
  <c r="AA211" i="5" s="1"/>
  <c r="AB211" i="5" s="1"/>
  <c r="AA319" i="5" a="1"/>
  <c r="AA319" i="5" s="1"/>
  <c r="AB319" i="5"/>
  <c r="AV263" i="5"/>
  <c r="BF66" i="5"/>
  <c r="BM66" i="5"/>
  <c r="BW66" i="5"/>
  <c r="BU66" i="5" a="1"/>
  <c r="BU66" i="5" s="1"/>
  <c r="BT66" i="5" a="1"/>
  <c r="BT66" i="5" s="1"/>
  <c r="CO66" i="5" a="1"/>
  <c r="CO66" i="5" s="1"/>
  <c r="CS66" i="5" a="1"/>
  <c r="CS66" i="5" s="1"/>
  <c r="CP66" i="5" a="1"/>
  <c r="CP66" i="5" s="1"/>
  <c r="CR66" i="5" a="1"/>
  <c r="CR66" i="5" s="1"/>
  <c r="AV116" i="5"/>
  <c r="BI116" i="5"/>
  <c r="BF286" i="5"/>
  <c r="BM286" i="5"/>
  <c r="BW286" i="5"/>
  <c r="BU286" i="5" a="1"/>
  <c r="BU286" i="5" s="1"/>
  <c r="BT286" i="5" a="1"/>
  <c r="BT286" i="5" s="1"/>
  <c r="CP286" i="5" a="1"/>
  <c r="CP286" i="5" s="1"/>
  <c r="CO286" i="5" a="1"/>
  <c r="CO286" i="5" s="1"/>
  <c r="CR286" i="5" a="1"/>
  <c r="CR286" i="5" s="1"/>
  <c r="CS286" i="5" a="1"/>
  <c r="CS286" i="5" s="1"/>
  <c r="BF107" i="5"/>
  <c r="BM107" i="5"/>
  <c r="BU107" i="5" a="1"/>
  <c r="BU107" i="5" s="1"/>
  <c r="BW107" i="5"/>
  <c r="BT107" i="5" a="1"/>
  <c r="BT107" i="5" s="1"/>
  <c r="CO107" i="5" a="1"/>
  <c r="CO107" i="5" s="1"/>
  <c r="CS107" i="5" a="1"/>
  <c r="CS107" i="5" s="1"/>
  <c r="CP107" i="5" a="1"/>
  <c r="CP107" i="5" s="1"/>
  <c r="CR107" i="5" a="1"/>
  <c r="CR107" i="5" s="1"/>
  <c r="AA64" i="5" a="1"/>
  <c r="AA64" i="5" s="1"/>
  <c r="AB64" i="5" s="1"/>
  <c r="AA253" i="5" a="1"/>
  <c r="AA253" i="5" s="1"/>
  <c r="AB253" i="5" s="1"/>
  <c r="AA353" i="5" a="1"/>
  <c r="AA353" i="5" s="1"/>
  <c r="AB353" i="5" s="1"/>
  <c r="AA76" i="5" a="1"/>
  <c r="AA76" i="5" s="1"/>
  <c r="AB76" i="5"/>
  <c r="AA93" i="5" a="1"/>
  <c r="AA93" i="5" s="1"/>
  <c r="CL93" i="5" s="1"/>
  <c r="BZ273" i="5"/>
  <c r="BZ235" i="5"/>
  <c r="BZ346" i="5"/>
  <c r="AA62" i="5" a="1"/>
  <c r="AA62" i="5" s="1"/>
  <c r="CL62" i="5" s="1"/>
  <c r="AA156" i="5" a="1"/>
  <c r="AA156" i="5" s="1"/>
  <c r="AB156" i="5" s="1"/>
  <c r="BZ42" i="5"/>
  <c r="BZ142" i="5"/>
  <c r="BZ203" i="5"/>
  <c r="BZ264" i="5"/>
  <c r="AA202" i="5" a="1"/>
  <c r="AA202" i="5" s="1"/>
  <c r="AB202" i="5" s="1"/>
  <c r="AB370" i="5"/>
  <c r="AA370" i="5" a="1"/>
  <c r="AA370" i="5" s="1"/>
  <c r="BZ215" i="5"/>
  <c r="AA286" i="5" a="1"/>
  <c r="AA286" i="5" s="1"/>
  <c r="AB286" i="5" s="1"/>
  <c r="AA314" i="5" a="1"/>
  <c r="AA314" i="5" s="1"/>
  <c r="CL314" i="5" s="1"/>
  <c r="BZ83" i="5"/>
  <c r="CL83" i="5"/>
  <c r="BZ63" i="5"/>
  <c r="CL63" i="5"/>
  <c r="BZ202" i="5"/>
  <c r="BZ343" i="5"/>
  <c r="CL343" i="5"/>
  <c r="AA440" i="5" a="1"/>
  <c r="AA440" i="5" s="1"/>
  <c r="AB440" i="5" s="1"/>
  <c r="BZ416" i="5"/>
  <c r="AA24" i="5" a="1"/>
  <c r="AA24" i="5" s="1"/>
  <c r="CL24" i="5" s="1"/>
  <c r="AA330" i="5" a="1"/>
  <c r="AA330" i="5" s="1"/>
  <c r="AB330" i="5" s="1"/>
  <c r="BZ44" i="5"/>
  <c r="CL44" i="5"/>
  <c r="BZ167" i="5"/>
  <c r="BZ366" i="5"/>
  <c r="BZ72" i="5"/>
  <c r="BZ367" i="5"/>
  <c r="AA420" i="5" a="1"/>
  <c r="AA420" i="5" s="1"/>
  <c r="AB420" i="5" s="1"/>
  <c r="AA13" i="5" a="1"/>
  <c r="AA13" i="5" s="1"/>
  <c r="AB13" i="5" s="1"/>
  <c r="AA131" i="5" a="1"/>
  <c r="AA131" i="5" s="1"/>
  <c r="AB131" i="5" s="1"/>
  <c r="BZ213" i="5"/>
  <c r="CL213" i="5"/>
  <c r="BZ382" i="5"/>
  <c r="AA263" i="5" a="1"/>
  <c r="AA263" i="5" s="1"/>
  <c r="AB263" i="5" s="1"/>
  <c r="BZ267" i="5"/>
  <c r="BZ171" i="5"/>
  <c r="BZ443" i="5"/>
  <c r="BZ132" i="5"/>
  <c r="CL132" i="5"/>
  <c r="BZ82" i="5"/>
  <c r="AA365" i="5" a="1"/>
  <c r="AA365" i="5" s="1"/>
  <c r="AB365" i="5" s="1"/>
  <c r="AB301" i="5"/>
  <c r="AA301" i="5" a="1"/>
  <c r="AA301" i="5" s="1"/>
  <c r="AA275" i="5" a="1"/>
  <c r="AA275" i="5" s="1"/>
  <c r="CL275" i="5" s="1"/>
  <c r="AB275" i="5"/>
  <c r="AA88" i="5" a="1"/>
  <c r="AA88" i="5" s="1"/>
  <c r="AB88" i="5" s="1"/>
  <c r="R90" i="5"/>
  <c r="AT90" i="5"/>
  <c r="CH90" i="5"/>
  <c r="R230" i="5"/>
  <c r="AT230" i="5"/>
  <c r="CH230" i="5"/>
  <c r="AA123" i="5" a="1"/>
  <c r="AA123" i="5" s="1"/>
  <c r="AB123" i="5" s="1"/>
  <c r="AA346" i="5" a="1"/>
  <c r="AA346" i="5" s="1"/>
  <c r="AB346" i="5" s="1"/>
  <c r="AA378" i="5" a="1"/>
  <c r="AA378" i="5" s="1"/>
  <c r="AB378" i="5" s="1"/>
  <c r="AA47" i="5" a="1"/>
  <c r="AA47" i="5" s="1"/>
  <c r="AB47" i="5"/>
  <c r="AA99" i="5" a="1"/>
  <c r="AA99" i="5" s="1"/>
  <c r="AB99" i="5" s="1"/>
  <c r="AB419" i="5"/>
  <c r="AA419" i="5" a="1"/>
  <c r="AA419" i="5" s="1"/>
  <c r="BI24" i="5"/>
  <c r="BM24" i="5"/>
  <c r="AV364" i="5"/>
  <c r="BM364" i="5"/>
  <c r="BI364" i="5"/>
  <c r="BI237" i="5"/>
  <c r="BM237" i="5"/>
  <c r="AP220" i="5"/>
  <c r="AV346" i="5"/>
  <c r="BI346" i="5"/>
  <c r="BM346" i="5"/>
  <c r="BF166" i="5"/>
  <c r="BM166" i="5"/>
  <c r="BW166" i="5"/>
  <c r="BU166" i="5" a="1"/>
  <c r="BU166" i="5" s="1"/>
  <c r="BT166" i="5" a="1"/>
  <c r="BT166" i="5" s="1"/>
  <c r="CS166" i="5" a="1"/>
  <c r="CS166" i="5" s="1"/>
  <c r="CP166" i="5" a="1"/>
  <c r="CP166" i="5" s="1"/>
  <c r="CR166" i="5" a="1"/>
  <c r="CR166" i="5" s="1"/>
  <c r="CO166" i="5" a="1"/>
  <c r="CO166" i="5" s="1"/>
  <c r="AA42" i="5" a="1"/>
  <c r="AA42" i="5" s="1"/>
  <c r="AB42" i="5" s="1"/>
  <c r="AA153" i="5" a="1"/>
  <c r="AA153" i="5" s="1"/>
  <c r="AB153" i="5"/>
  <c r="AA203" i="5" a="1"/>
  <c r="AA203" i="5" s="1"/>
  <c r="CL203" i="5" s="1"/>
  <c r="R100" i="5"/>
  <c r="AT100" i="5"/>
  <c r="CH100" i="5"/>
  <c r="R250" i="5"/>
  <c r="AT250" i="5"/>
  <c r="CH250" i="5"/>
  <c r="AA25" i="5" a="1"/>
  <c r="AA25" i="5" s="1"/>
  <c r="CL25" i="5" s="1"/>
  <c r="AB125" i="5"/>
  <c r="AA125" i="5" a="1"/>
  <c r="AA125" i="5" s="1"/>
  <c r="AA225" i="5" a="1"/>
  <c r="AA225" i="5" s="1"/>
  <c r="AB225" i="5" s="1"/>
  <c r="AA173" i="5" a="1"/>
  <c r="AA173" i="5" s="1"/>
  <c r="CL173" i="5" s="1"/>
  <c r="AB173" i="5"/>
  <c r="AA335" i="5" a="1"/>
  <c r="AA335" i="5" s="1"/>
  <c r="CL335" i="5" s="1"/>
  <c r="AA435" i="5" a="1"/>
  <c r="AA435" i="5" s="1"/>
  <c r="CL435" i="5" s="1"/>
  <c r="AA186" i="5" a="1"/>
  <c r="AA186" i="5" s="1"/>
  <c r="AB186" i="5" s="1"/>
  <c r="AA386" i="5" a="1"/>
  <c r="AA386" i="5" s="1"/>
  <c r="AB386" i="5" s="1"/>
  <c r="AA167" i="5" a="1"/>
  <c r="AA167" i="5" s="1"/>
  <c r="AB167" i="5" s="1"/>
  <c r="AA397" i="5" a="1"/>
  <c r="AA397" i="5" s="1"/>
  <c r="CL397" i="5" s="1"/>
  <c r="AA208" i="5" a="1"/>
  <c r="AA208" i="5" s="1"/>
  <c r="AB208" i="5" s="1"/>
  <c r="AA398" i="5" a="1"/>
  <c r="AA398" i="5" s="1"/>
  <c r="AB398" i="5" s="1"/>
  <c r="AA101" i="5" a="1"/>
  <c r="AA101" i="5" s="1"/>
  <c r="AB101" i="5" s="1"/>
  <c r="AA251" i="5" a="1"/>
  <c r="AA251" i="5" s="1"/>
  <c r="CL251" i="5" s="1"/>
  <c r="AA441" i="5" a="1"/>
  <c r="AA441" i="5" s="1"/>
  <c r="AB441" i="5" s="1"/>
  <c r="AA67" i="5" a="1"/>
  <c r="AA67" i="5" s="1"/>
  <c r="AB67" i="5" s="1"/>
  <c r="AB337" i="5"/>
  <c r="AA337" i="5" a="1"/>
  <c r="AA337" i="5" s="1"/>
  <c r="AA148" i="5" a="1"/>
  <c r="AA148" i="5" s="1"/>
  <c r="AB148" i="5" s="1"/>
  <c r="AA281" i="5" a="1"/>
  <c r="AA281" i="5" s="1"/>
  <c r="AB281" i="5"/>
  <c r="AA109" i="5" a="1"/>
  <c r="AA109" i="5" s="1"/>
  <c r="AB109" i="5" s="1"/>
  <c r="AA209" i="5" a="1"/>
  <c r="AA209" i="5" s="1"/>
  <c r="AB209" i="5" s="1"/>
  <c r="AA309" i="5" a="1"/>
  <c r="AA309" i="5" s="1"/>
  <c r="AB309" i="5" s="1"/>
  <c r="BF59" i="5"/>
  <c r="BM59" i="5"/>
  <c r="BU59" i="5" a="1"/>
  <c r="BU59" i="5" s="1"/>
  <c r="BT59" i="5" a="1"/>
  <c r="BT59" i="5" s="1"/>
  <c r="BW59" i="5"/>
  <c r="CO59" i="5" a="1"/>
  <c r="CO59" i="5" s="1"/>
  <c r="CP59" i="5" a="1"/>
  <c r="CP59" i="5" s="1"/>
  <c r="CR59" i="5" a="1"/>
  <c r="CR59" i="5" s="1"/>
  <c r="CS59" i="5" a="1"/>
  <c r="CS59" i="5" s="1"/>
  <c r="BF159" i="5"/>
  <c r="BU159" i="5" a="1"/>
  <c r="BU159" i="5" s="1"/>
  <c r="BT159" i="5" a="1"/>
  <c r="BT159" i="5" s="1"/>
  <c r="BW159" i="5"/>
  <c r="CO159" i="5" a="1"/>
  <c r="CO159" i="5" s="1"/>
  <c r="CP159" i="5" a="1"/>
  <c r="CP159" i="5" s="1"/>
  <c r="CR159" i="5" a="1"/>
  <c r="CR159" i="5" s="1"/>
  <c r="CS159" i="5" a="1"/>
  <c r="CS159" i="5" s="1"/>
  <c r="BF13" i="5"/>
  <c r="BM13" i="5"/>
  <c r="BU13" i="5" a="1"/>
  <c r="BU13" i="5" s="1"/>
  <c r="BT13" i="5" a="1"/>
  <c r="BT13" i="5" s="1"/>
  <c r="BW13" i="5"/>
  <c r="CO13" i="5" a="1"/>
  <c r="CO13" i="5" s="1"/>
  <c r="CR13" i="5" a="1"/>
  <c r="CR13" i="5" s="1"/>
  <c r="CS13" i="5" a="1"/>
  <c r="CS13" i="5" s="1"/>
  <c r="CP13" i="5" a="1"/>
  <c r="CP13" i="5" s="1"/>
  <c r="BF130" i="5"/>
  <c r="BM130" i="5"/>
  <c r="BT130" i="5" a="1"/>
  <c r="BT130" i="5" s="1"/>
  <c r="BU130" i="5" a="1"/>
  <c r="BU130" i="5" s="1"/>
  <c r="BW130" i="5"/>
  <c r="CO130" i="5" a="1"/>
  <c r="CO130" i="5" s="1"/>
  <c r="CP130" i="5" a="1"/>
  <c r="CP130" i="5" s="1"/>
  <c r="CR130" i="5" a="1"/>
  <c r="CR130" i="5" s="1"/>
  <c r="CS130" i="5" a="1"/>
  <c r="CS130" i="5" s="1"/>
  <c r="AP36" i="5"/>
  <c r="AP86" i="5"/>
  <c r="AP186" i="5"/>
  <c r="AP236" i="5"/>
  <c r="AP286" i="5"/>
  <c r="AP7" i="5"/>
  <c r="AP57" i="5"/>
  <c r="AL18" i="5"/>
  <c r="BG18" i="5"/>
  <c r="BH18" i="5" a="1"/>
  <c r="BH18" i="5" s="1"/>
  <c r="BL18" i="5"/>
  <c r="AU18" i="5"/>
  <c r="BM18" i="5" s="1"/>
  <c r="AL79" i="5"/>
  <c r="BG79" i="5"/>
  <c r="AU79" i="5"/>
  <c r="BH79" i="5" a="1"/>
  <c r="BH79" i="5" s="1"/>
  <c r="BL79" i="5"/>
  <c r="AA329" i="5" a="1"/>
  <c r="AA329" i="5" s="1"/>
  <c r="AB329" i="5" s="1"/>
  <c r="AA429" i="5" a="1"/>
  <c r="AA429" i="5" s="1"/>
  <c r="AB429" i="5" s="1"/>
  <c r="BI413" i="5"/>
  <c r="BM413" i="5"/>
  <c r="BI374" i="5"/>
  <c r="BM374" i="5"/>
  <c r="BI325" i="5"/>
  <c r="AV325" i="5"/>
  <c r="BM325" i="5"/>
  <c r="AV313" i="5"/>
  <c r="AV356" i="5"/>
  <c r="BI356" i="5"/>
  <c r="BM356" i="5"/>
  <c r="AL58" i="5"/>
  <c r="AU58" i="5"/>
  <c r="BM58" i="5" s="1"/>
  <c r="BG58" i="5"/>
  <c r="BH58" i="5" a="1"/>
  <c r="BH58" i="5" s="1"/>
  <c r="BL58" i="5"/>
  <c r="AL108" i="5"/>
  <c r="AU108" i="5"/>
  <c r="BG108" i="5"/>
  <c r="BH108" i="5" a="1"/>
  <c r="BH108" i="5" s="1"/>
  <c r="BL108" i="5"/>
  <c r="AL158" i="5"/>
  <c r="AU158" i="5"/>
  <c r="BM158" i="5" s="1"/>
  <c r="BG158" i="5"/>
  <c r="BL158" i="5"/>
  <c r="BH158" i="5" a="1"/>
  <c r="BH158" i="5" s="1"/>
  <c r="AL208" i="5"/>
  <c r="AU208" i="5"/>
  <c r="BG208" i="5"/>
  <c r="BH208" i="5" a="1"/>
  <c r="BH208" i="5" s="1"/>
  <c r="BL208" i="5"/>
  <c r="AL258" i="5"/>
  <c r="AU258" i="5"/>
  <c r="BM258" i="5" s="1"/>
  <c r="BG258" i="5"/>
  <c r="BH258" i="5" a="1"/>
  <c r="BH258" i="5" s="1"/>
  <c r="BL258" i="5"/>
  <c r="AL308" i="5"/>
  <c r="AU308" i="5"/>
  <c r="BM308" i="5" s="1"/>
  <c r="BG308" i="5"/>
  <c r="BH308" i="5" a="1"/>
  <c r="BH308" i="5" s="1"/>
  <c r="BL308" i="5"/>
  <c r="AL358" i="5"/>
  <c r="BG358" i="5"/>
  <c r="AU358" i="5"/>
  <c r="BM358" i="5" s="1"/>
  <c r="BH358" i="5" a="1"/>
  <c r="BH358" i="5" s="1"/>
  <c r="BL358" i="5"/>
  <c r="AL408" i="5"/>
  <c r="BG408" i="5"/>
  <c r="BL408" i="5"/>
  <c r="AU408" i="5"/>
  <c r="BM408" i="5" s="1"/>
  <c r="BH408" i="5" a="1"/>
  <c r="BH408" i="5" s="1"/>
  <c r="AV16" i="5"/>
  <c r="BI16" i="5"/>
  <c r="AV76" i="5"/>
  <c r="BI76" i="5"/>
  <c r="AV126" i="5"/>
  <c r="BI126" i="5"/>
  <c r="AV176" i="5"/>
  <c r="BI176" i="5"/>
  <c r="AV236" i="5"/>
  <c r="BI236" i="5"/>
  <c r="AV306" i="5"/>
  <c r="BI306" i="5"/>
  <c r="AL199" i="5"/>
  <c r="BG199" i="5"/>
  <c r="AU199" i="5"/>
  <c r="BH199" i="5" a="1"/>
  <c r="BH199" i="5" s="1"/>
  <c r="BL199" i="5"/>
  <c r="AL249" i="5"/>
  <c r="AU249" i="5"/>
  <c r="BG249" i="5"/>
  <c r="BH249" i="5" a="1"/>
  <c r="BH249" i="5" s="1"/>
  <c r="BL249" i="5"/>
  <c r="AL299" i="5"/>
  <c r="BG299" i="5"/>
  <c r="AU299" i="5"/>
  <c r="BH299" i="5" a="1"/>
  <c r="BH299" i="5" s="1"/>
  <c r="BL299" i="5"/>
  <c r="AL349" i="5"/>
  <c r="AU349" i="5"/>
  <c r="BG349" i="5"/>
  <c r="BH349" i="5" a="1"/>
  <c r="BH349" i="5" s="1"/>
  <c r="BL349" i="5"/>
  <c r="AL399" i="5"/>
  <c r="AU399" i="5"/>
  <c r="BG399" i="5"/>
  <c r="BH399" i="5" a="1"/>
  <c r="BH399" i="5" s="1"/>
  <c r="BL399" i="5"/>
  <c r="AV7" i="5"/>
  <c r="BI7" i="5"/>
  <c r="AV67" i="5"/>
  <c r="BI67" i="5"/>
  <c r="BF117" i="5"/>
  <c r="BM117" i="5"/>
  <c r="BW117" i="5"/>
  <c r="BU117" i="5" a="1"/>
  <c r="BU117" i="5" s="1"/>
  <c r="BT117" i="5" a="1"/>
  <c r="BT117" i="5" s="1"/>
  <c r="CO117" i="5" a="1"/>
  <c r="CO117" i="5" s="1"/>
  <c r="CP117" i="5" a="1"/>
  <c r="CP117" i="5" s="1"/>
  <c r="CR117" i="5" a="1"/>
  <c r="CR117" i="5" s="1"/>
  <c r="CS117" i="5" a="1"/>
  <c r="CS117" i="5" s="1"/>
  <c r="AP200" i="5"/>
  <c r="BI83" i="5"/>
  <c r="BM83" i="5"/>
  <c r="BM384" i="5"/>
  <c r="BI384" i="5"/>
  <c r="BI272" i="5"/>
  <c r="BM272" i="5"/>
  <c r="BI233" i="5"/>
  <c r="BM233" i="5"/>
  <c r="BI34" i="5"/>
  <c r="BM34" i="5"/>
  <c r="BI172" i="5"/>
  <c r="BM172" i="5"/>
  <c r="AM433" i="5"/>
  <c r="AP433" i="5" s="1"/>
  <c r="AR433" i="5"/>
  <c r="AS433" i="5"/>
  <c r="AV433" i="5"/>
  <c r="AV421" i="5"/>
  <c r="AM33" i="5"/>
  <c r="AP33" i="5" s="1"/>
  <c r="AR33" i="5"/>
  <c r="AS33" i="5"/>
  <c r="AV33" i="5"/>
  <c r="AA87" i="5" a="1"/>
  <c r="AA87" i="5" s="1"/>
  <c r="AB87" i="5" s="1"/>
  <c r="BZ145" i="5"/>
  <c r="BZ395" i="5"/>
  <c r="CL395" i="5"/>
  <c r="AA32" i="5" a="1"/>
  <c r="AA32" i="5" s="1"/>
  <c r="AB32" i="5" s="1"/>
  <c r="AA54" i="5" a="1"/>
  <c r="AA54" i="5" s="1"/>
  <c r="CL54" i="5" s="1"/>
  <c r="AA332" i="5" a="1"/>
  <c r="AA332" i="5" s="1"/>
  <c r="CL332" i="5" s="1"/>
  <c r="AB332" i="5"/>
  <c r="AA354" i="5" a="1"/>
  <c r="AA354" i="5" s="1"/>
  <c r="CL354" i="5" s="1"/>
  <c r="BZ62" i="5"/>
  <c r="BZ134" i="5"/>
  <c r="BZ212" i="5"/>
  <c r="CL212" i="5"/>
  <c r="BZ334" i="5"/>
  <c r="BZ412" i="5"/>
  <c r="AA427" i="5" a="1"/>
  <c r="AA427" i="5" s="1"/>
  <c r="CL427" i="5" s="1"/>
  <c r="AA228" i="5" a="1"/>
  <c r="AA228" i="5" s="1"/>
  <c r="AB228" i="5" s="1"/>
  <c r="BZ75" i="5"/>
  <c r="CL75" i="5"/>
  <c r="BZ336" i="5"/>
  <c r="BZ425" i="5"/>
  <c r="CL425" i="5"/>
  <c r="AA134" i="5" a="1"/>
  <c r="AA134" i="5" s="1"/>
  <c r="CL134" i="5" s="1"/>
  <c r="AA334" i="5" a="1"/>
  <c r="AA334" i="5" s="1"/>
  <c r="CL334" i="5" s="1"/>
  <c r="BZ105" i="5"/>
  <c r="CL105" i="5"/>
  <c r="BZ355" i="5"/>
  <c r="AA160" i="5" a="1"/>
  <c r="AA160" i="5" s="1"/>
  <c r="AB160" i="5" s="1"/>
  <c r="AA321" i="5" a="1"/>
  <c r="AA321" i="5" s="1"/>
  <c r="CL321" i="5" s="1"/>
  <c r="BZ377" i="5"/>
  <c r="CL377" i="5"/>
  <c r="BZ414" i="5"/>
  <c r="AA30" i="5" a="1"/>
  <c r="AA30" i="5" s="1"/>
  <c r="AB30" i="5"/>
  <c r="AA170" i="5" a="1"/>
  <c r="AA170" i="5" s="1"/>
  <c r="AB170" i="5"/>
  <c r="AA402" i="5" a="1"/>
  <c r="AA402" i="5" s="1"/>
  <c r="AB402" i="5" s="1"/>
  <c r="BZ91" i="5"/>
  <c r="AA163" i="5" a="1"/>
  <c r="AA163" i="5" s="1"/>
  <c r="AB163" i="5"/>
  <c r="AA302" i="5" a="1"/>
  <c r="AA302" i="5" s="1"/>
  <c r="AB302" i="5" s="1"/>
  <c r="BZ381" i="5"/>
  <c r="AA213" i="5" a="1"/>
  <c r="AA213" i="5" s="1"/>
  <c r="AB213" i="5"/>
  <c r="AA374" i="5" a="1"/>
  <c r="AA374" i="5" s="1"/>
  <c r="CL374" i="5" s="1"/>
  <c r="BZ15" i="5"/>
  <c r="BZ265" i="5"/>
  <c r="BZ403" i="5"/>
  <c r="AA270" i="5" a="1"/>
  <c r="AA270" i="5" s="1"/>
  <c r="AB270" i="5" s="1"/>
  <c r="AA383" i="5" a="1"/>
  <c r="AA383" i="5" s="1"/>
  <c r="CL383" i="5" s="1"/>
  <c r="BZ93" i="5"/>
  <c r="AA20" i="5" a="1"/>
  <c r="AA20" i="5" s="1"/>
  <c r="AB20" i="5" s="1"/>
  <c r="BZ74" i="5"/>
  <c r="CL74" i="5"/>
  <c r="BZ427" i="5"/>
  <c r="AA340" i="5" a="1"/>
  <c r="AA340" i="5" s="1"/>
  <c r="AB340" i="5" s="1"/>
  <c r="BZ133" i="5"/>
  <c r="BZ283" i="5"/>
  <c r="BZ404" i="5"/>
  <c r="AA255" i="5" a="1"/>
  <c r="AA255" i="5" s="1"/>
  <c r="AB255" i="5" s="1"/>
  <c r="AA141" i="5" a="1"/>
  <c r="AA141" i="5" s="1"/>
  <c r="CL141" i="5" s="1"/>
  <c r="AA175" i="5" a="1"/>
  <c r="AA175" i="5" s="1"/>
  <c r="CL175" i="5" s="1"/>
  <c r="AA278" i="5" a="1"/>
  <c r="AA278" i="5" s="1"/>
  <c r="AB278" i="5" s="1"/>
  <c r="AA15" i="5" a="1"/>
  <c r="AA15" i="5" s="1"/>
  <c r="CL15" i="5" s="1"/>
  <c r="AA325" i="5" a="1"/>
  <c r="AA325" i="5" s="1"/>
  <c r="AB325" i="5" s="1"/>
  <c r="AA157" i="5" a="1"/>
  <c r="AA157" i="5" s="1"/>
  <c r="AB157" i="5" s="1"/>
  <c r="AA91" i="5" a="1"/>
  <c r="AA91" i="5" s="1"/>
  <c r="CL91" i="5" s="1"/>
  <c r="AA297" i="5" a="1"/>
  <c r="AA297" i="5" s="1"/>
  <c r="AB297" i="5" s="1"/>
  <c r="AA299" i="5" a="1"/>
  <c r="AA299" i="5" s="1"/>
  <c r="AB299" i="5" s="1"/>
  <c r="BF188" i="5"/>
  <c r="BT188" i="5" a="1"/>
  <c r="BT188" i="5" s="1"/>
  <c r="BU188" i="5" a="1"/>
  <c r="BU188" i="5" s="1"/>
  <c r="BW188" i="5"/>
  <c r="CO188" i="5" a="1"/>
  <c r="CO188" i="5" s="1"/>
  <c r="CP188" i="5" a="1"/>
  <c r="CP188" i="5" s="1"/>
  <c r="CR188" i="5" a="1"/>
  <c r="CR188" i="5" s="1"/>
  <c r="CS188" i="5" a="1"/>
  <c r="CS188" i="5" s="1"/>
  <c r="BF388" i="5"/>
  <c r="BT388" i="5" a="1"/>
  <c r="BT388" i="5" s="1"/>
  <c r="BU388" i="5" a="1"/>
  <c r="BU388" i="5" s="1"/>
  <c r="BW388" i="5"/>
  <c r="CO388" i="5" a="1"/>
  <c r="CO388" i="5" s="1"/>
  <c r="CP388" i="5" a="1"/>
  <c r="CP388" i="5" s="1"/>
  <c r="CR388" i="5" a="1"/>
  <c r="CR388" i="5" s="1"/>
  <c r="CS388" i="5" a="1"/>
  <c r="CS388" i="5" s="1"/>
  <c r="BF149" i="5"/>
  <c r="BM149" i="5"/>
  <c r="BT149" i="5" a="1"/>
  <c r="BT149" i="5" s="1"/>
  <c r="BU149" i="5" a="1"/>
  <c r="BU149" i="5" s="1"/>
  <c r="BW149" i="5"/>
  <c r="CO149" i="5" a="1"/>
  <c r="CO149" i="5" s="1"/>
  <c r="CS149" i="5" a="1"/>
  <c r="CS149" i="5" s="1"/>
  <c r="CP149" i="5" a="1"/>
  <c r="CP149" i="5" s="1"/>
  <c r="CR149" i="5" a="1"/>
  <c r="CR149" i="5" s="1"/>
  <c r="BF3" i="5"/>
  <c r="BM3" i="5"/>
  <c r="BU3" i="5" a="1"/>
  <c r="BU3" i="5" s="1"/>
  <c r="BT3" i="5" a="1"/>
  <c r="BT3" i="5" s="1"/>
  <c r="BW3" i="5"/>
  <c r="CO3" i="5" a="1"/>
  <c r="CO3" i="5" s="1"/>
  <c r="CP3" i="5" a="1"/>
  <c r="CP3" i="5" s="1"/>
  <c r="CR3" i="5" a="1"/>
  <c r="CR3" i="5" s="1"/>
  <c r="CS3" i="5" a="1"/>
  <c r="CS3" i="5" s="1"/>
  <c r="BF353" i="5"/>
  <c r="BM353" i="5"/>
  <c r="BU353" i="5" a="1"/>
  <c r="BU353" i="5" s="1"/>
  <c r="BW353" i="5"/>
  <c r="BT353" i="5" a="1"/>
  <c r="BT353" i="5" s="1"/>
  <c r="CP353" i="5" a="1"/>
  <c r="CP353" i="5" s="1"/>
  <c r="CR353" i="5" a="1"/>
  <c r="CR353" i="5" s="1"/>
  <c r="CO353" i="5" a="1"/>
  <c r="CO353" i="5" s="1"/>
  <c r="CS353" i="5" a="1"/>
  <c r="CS353" i="5" s="1"/>
  <c r="AL8" i="5"/>
  <c r="AU8" i="5"/>
  <c r="BM8" i="5" s="1"/>
  <c r="BG8" i="5"/>
  <c r="BH8" i="5" a="1"/>
  <c r="BH8" i="5" s="1"/>
  <c r="BL8" i="5"/>
  <c r="BF200" i="5"/>
  <c r="BM200" i="5"/>
  <c r="BT200" i="5" a="1"/>
  <c r="BT200" i="5" s="1"/>
  <c r="BW200" i="5"/>
  <c r="BU200" i="5" a="1"/>
  <c r="BU200" i="5" s="1"/>
  <c r="CP200" i="5" a="1"/>
  <c r="CP200" i="5" s="1"/>
  <c r="CR200" i="5" a="1"/>
  <c r="CR200" i="5" s="1"/>
  <c r="CO200" i="5" a="1"/>
  <c r="CO200" i="5" s="1"/>
  <c r="CS200" i="5" a="1"/>
  <c r="CS200" i="5" s="1"/>
  <c r="BF391" i="5"/>
  <c r="BM391" i="5"/>
  <c r="BU391" i="5" a="1"/>
  <c r="BU391" i="5" s="1"/>
  <c r="BT391" i="5" a="1"/>
  <c r="BT391" i="5" s="1"/>
  <c r="BW391" i="5"/>
  <c r="CR391" i="5" a="1"/>
  <c r="CR391" i="5" s="1"/>
  <c r="CO391" i="5" a="1"/>
  <c r="CO391" i="5" s="1"/>
  <c r="CP391" i="5" a="1"/>
  <c r="CP391" i="5" s="1"/>
  <c r="CS391" i="5" a="1"/>
  <c r="CS391" i="5" s="1"/>
  <c r="AA3" i="5" a="1"/>
  <c r="AA3" i="5" s="1"/>
  <c r="AB3" i="5" s="1"/>
  <c r="AA103" i="5" a="1"/>
  <c r="AA103" i="5" s="1"/>
  <c r="AB103" i="5" s="1"/>
  <c r="AA303" i="5" a="1"/>
  <c r="AA303" i="5" s="1"/>
  <c r="AB303" i="5" s="1"/>
  <c r="AA442" i="5" a="1"/>
  <c r="AA442" i="5" s="1"/>
  <c r="AB442" i="5" s="1"/>
  <c r="AA35" i="5" a="1"/>
  <c r="AA35" i="5" s="1"/>
  <c r="CL35" i="5" s="1"/>
  <c r="AB35" i="5"/>
  <c r="AA135" i="5" a="1"/>
  <c r="AA135" i="5" s="1"/>
  <c r="CL135" i="5" s="1"/>
  <c r="AA235" i="5" a="1"/>
  <c r="AA235" i="5" s="1"/>
  <c r="CL235" i="5" s="1"/>
  <c r="AA223" i="5" a="1"/>
  <c r="AA223" i="5" s="1"/>
  <c r="AB223" i="5"/>
  <c r="AB16" i="5"/>
  <c r="AA16" i="5" a="1"/>
  <c r="AA16" i="5" s="1"/>
  <c r="AA416" i="5" a="1"/>
  <c r="AA416" i="5" s="1"/>
  <c r="CL416" i="5" s="1"/>
  <c r="AB416" i="5"/>
  <c r="AA177" i="5" a="1"/>
  <c r="AA177" i="5" s="1"/>
  <c r="CL177" i="5" s="1"/>
  <c r="AA18" i="5" a="1"/>
  <c r="AA18" i="5" s="1"/>
  <c r="AB18" i="5" s="1"/>
  <c r="AA218" i="5" a="1"/>
  <c r="AA218" i="5" s="1"/>
  <c r="AB218" i="5"/>
  <c r="AA428" i="5" a="1"/>
  <c r="AA428" i="5" s="1"/>
  <c r="AB428" i="5" s="1"/>
  <c r="AA271" i="5" a="1"/>
  <c r="AA271" i="5" s="1"/>
  <c r="CL271" i="5" s="1"/>
  <c r="AA106" i="5" a="1"/>
  <c r="AA106" i="5" s="1"/>
  <c r="AB106" i="5" s="1"/>
  <c r="AA347" i="5" a="1"/>
  <c r="AA347" i="5" s="1"/>
  <c r="AB347" i="5"/>
  <c r="AA158" i="5" a="1"/>
  <c r="AA158" i="5" s="1"/>
  <c r="AB158" i="5" s="1"/>
  <c r="AB381" i="5"/>
  <c r="AA381" i="5" a="1"/>
  <c r="AA381" i="5" s="1"/>
  <c r="CL381" i="5" s="1"/>
  <c r="AA119" i="5" a="1"/>
  <c r="AA119" i="5" s="1"/>
  <c r="AB119" i="5" s="1"/>
  <c r="AA219" i="5" a="1"/>
  <c r="AA219" i="5" s="1"/>
  <c r="AB219" i="5" s="1"/>
  <c r="BF8" i="5"/>
  <c r="BU8" i="5" a="1"/>
  <c r="BU8" i="5" s="1"/>
  <c r="BT8" i="5" a="1"/>
  <c r="BT8" i="5" s="1"/>
  <c r="BW8" i="5"/>
  <c r="CO8" i="5" a="1"/>
  <c r="CO8" i="5" s="1"/>
  <c r="CP8" i="5" a="1"/>
  <c r="CP8" i="5" s="1"/>
  <c r="CR8" i="5" a="1"/>
  <c r="CR8" i="5" s="1"/>
  <c r="CS8" i="5" a="1"/>
  <c r="CS8" i="5" s="1"/>
  <c r="BF108" i="5"/>
  <c r="BU108" i="5" a="1"/>
  <c r="BU108" i="5" s="1"/>
  <c r="BT108" i="5" a="1"/>
  <c r="BT108" i="5" s="1"/>
  <c r="BM108" i="5"/>
  <c r="BW108" i="5"/>
  <c r="CO108" i="5" a="1"/>
  <c r="CO108" i="5" s="1"/>
  <c r="CP108" i="5" a="1"/>
  <c r="CP108" i="5" s="1"/>
  <c r="CR108" i="5" a="1"/>
  <c r="CR108" i="5" s="1"/>
  <c r="CS108" i="5" a="1"/>
  <c r="CS108" i="5" s="1"/>
  <c r="BF208" i="5"/>
  <c r="BM208" i="5"/>
  <c r="BU208" i="5" a="1"/>
  <c r="BU208" i="5" s="1"/>
  <c r="BT208" i="5" a="1"/>
  <c r="BT208" i="5" s="1"/>
  <c r="BW208" i="5"/>
  <c r="CO208" i="5" a="1"/>
  <c r="CO208" i="5" s="1"/>
  <c r="CP208" i="5" a="1"/>
  <c r="CP208" i="5" s="1"/>
  <c r="CR208" i="5" a="1"/>
  <c r="CR208" i="5" s="1"/>
  <c r="CS208" i="5" a="1"/>
  <c r="CS208" i="5" s="1"/>
  <c r="BF308" i="5"/>
  <c r="BU308" i="5" a="1"/>
  <c r="BU308" i="5" s="1"/>
  <c r="BT308" i="5" a="1"/>
  <c r="BT308" i="5" s="1"/>
  <c r="BW308" i="5"/>
  <c r="CO308" i="5" a="1"/>
  <c r="CO308" i="5" s="1"/>
  <c r="CP308" i="5" a="1"/>
  <c r="CP308" i="5" s="1"/>
  <c r="CR308" i="5" a="1"/>
  <c r="CR308" i="5" s="1"/>
  <c r="CS308" i="5" a="1"/>
  <c r="CS308" i="5" s="1"/>
  <c r="BF408" i="5"/>
  <c r="BU408" i="5" a="1"/>
  <c r="BU408" i="5" s="1"/>
  <c r="BT408" i="5" a="1"/>
  <c r="BT408" i="5" s="1"/>
  <c r="BW408" i="5"/>
  <c r="CP408" i="5" a="1"/>
  <c r="CP408" i="5" s="1"/>
  <c r="CR408" i="5" a="1"/>
  <c r="CR408" i="5" s="1"/>
  <c r="CO408" i="5" a="1"/>
  <c r="CO408" i="5" s="1"/>
  <c r="CS408" i="5" a="1"/>
  <c r="CS408" i="5" s="1"/>
  <c r="BF69" i="5"/>
  <c r="BU69" i="5" a="1"/>
  <c r="BU69" i="5" s="1"/>
  <c r="BT69" i="5" a="1"/>
  <c r="BT69" i="5" s="1"/>
  <c r="BW69" i="5"/>
  <c r="CO69" i="5" a="1"/>
  <c r="CO69" i="5" s="1"/>
  <c r="CP69" i="5" a="1"/>
  <c r="CP69" i="5" s="1"/>
  <c r="CR69" i="5" a="1"/>
  <c r="CR69" i="5" s="1"/>
  <c r="CS69" i="5" a="1"/>
  <c r="CS69" i="5" s="1"/>
  <c r="BF103" i="5"/>
  <c r="BM103" i="5"/>
  <c r="BU103" i="5" a="1"/>
  <c r="BU103" i="5" s="1"/>
  <c r="BT103" i="5" a="1"/>
  <c r="BT103" i="5" s="1"/>
  <c r="BW103" i="5"/>
  <c r="CO103" i="5" a="1"/>
  <c r="CO103" i="5" s="1"/>
  <c r="CP103" i="5" a="1"/>
  <c r="CP103" i="5" s="1"/>
  <c r="CR103" i="5" a="1"/>
  <c r="CR103" i="5" s="1"/>
  <c r="CS103" i="5" a="1"/>
  <c r="CS103" i="5" s="1"/>
  <c r="AL28" i="5"/>
  <c r="AU28" i="5"/>
  <c r="BG28" i="5"/>
  <c r="BL28" i="5"/>
  <c r="BH28" i="5" a="1"/>
  <c r="BH28" i="5" s="1"/>
  <c r="AL89" i="5"/>
  <c r="AU89" i="5"/>
  <c r="BG89" i="5"/>
  <c r="BH89" i="5" a="1"/>
  <c r="BH89" i="5" s="1"/>
  <c r="BL89" i="5"/>
  <c r="BF210" i="5"/>
  <c r="BM210" i="5"/>
  <c r="BU210" i="5" a="1"/>
  <c r="BU210" i="5" s="1"/>
  <c r="BW210" i="5"/>
  <c r="BT210" i="5" a="1"/>
  <c r="BT210" i="5" s="1"/>
  <c r="CO210" i="5" a="1"/>
  <c r="CO210" i="5" s="1"/>
  <c r="CP210" i="5" a="1"/>
  <c r="CP210" i="5" s="1"/>
  <c r="CR210" i="5" a="1"/>
  <c r="CR210" i="5" s="1"/>
  <c r="CS210" i="5" a="1"/>
  <c r="CS210" i="5" s="1"/>
  <c r="BF300" i="5"/>
  <c r="BM300" i="5"/>
  <c r="BT300" i="5" a="1"/>
  <c r="BT300" i="5" s="1"/>
  <c r="BU300" i="5" a="1"/>
  <c r="BU300" i="5" s="1"/>
  <c r="BW300" i="5"/>
  <c r="CP300" i="5" a="1"/>
  <c r="CP300" i="5" s="1"/>
  <c r="CR300" i="5" a="1"/>
  <c r="CR300" i="5" s="1"/>
  <c r="CS300" i="5" a="1"/>
  <c r="CS300" i="5" s="1"/>
  <c r="CO300" i="5" a="1"/>
  <c r="CO300" i="5" s="1"/>
  <c r="BF390" i="5"/>
  <c r="BM390" i="5"/>
  <c r="BT390" i="5" a="1"/>
  <c r="BT390" i="5" s="1"/>
  <c r="BU390" i="5" a="1"/>
  <c r="BU390" i="5" s="1"/>
  <c r="BW390" i="5"/>
  <c r="CO390" i="5" a="1"/>
  <c r="CO390" i="5" s="1"/>
  <c r="CP390" i="5" a="1"/>
  <c r="CP390" i="5" s="1"/>
  <c r="CR390" i="5" a="1"/>
  <c r="CR390" i="5" s="1"/>
  <c r="CS390" i="5" a="1"/>
  <c r="CS390" i="5" s="1"/>
  <c r="BF431" i="5"/>
  <c r="BM431" i="5"/>
  <c r="BU431" i="5" a="1"/>
  <c r="BU431" i="5" s="1"/>
  <c r="BT431" i="5" a="1"/>
  <c r="BT431" i="5" s="1"/>
  <c r="BW431" i="5"/>
  <c r="CP431" i="5" a="1"/>
  <c r="CP431" i="5" s="1"/>
  <c r="CO431" i="5" a="1"/>
  <c r="CO431" i="5" s="1"/>
  <c r="CR431" i="5" a="1"/>
  <c r="CR431" i="5" s="1"/>
  <c r="CS431" i="5" a="1"/>
  <c r="CS431" i="5" s="1"/>
  <c r="AA339" i="5" a="1"/>
  <c r="AA339" i="5" s="1"/>
  <c r="AB339" i="5"/>
  <c r="AB439" i="5"/>
  <c r="AA439" i="5" a="1"/>
  <c r="AA439" i="5" s="1"/>
  <c r="AP103" i="5"/>
  <c r="AV423" i="5"/>
  <c r="BI423" i="5"/>
  <c r="BM423" i="5"/>
  <c r="BI74" i="5"/>
  <c r="BM74" i="5"/>
  <c r="AV414" i="5"/>
  <c r="BI414" i="5"/>
  <c r="BM414" i="5"/>
  <c r="BI375" i="5"/>
  <c r="AV375" i="5"/>
  <c r="BM375" i="5"/>
  <c r="AV366" i="5"/>
  <c r="BM366" i="5"/>
  <c r="BI366" i="5"/>
  <c r="BF16" i="5"/>
  <c r="BM16" i="5"/>
  <c r="BW16" i="5"/>
  <c r="BU16" i="5" a="1"/>
  <c r="BU16" i="5" s="1"/>
  <c r="BT16" i="5" a="1"/>
  <c r="BT16" i="5" s="1"/>
  <c r="CS16" i="5" a="1"/>
  <c r="CS16" i="5" s="1"/>
  <c r="CO16" i="5" a="1"/>
  <c r="CO16" i="5" s="1"/>
  <c r="CP16" i="5" a="1"/>
  <c r="CP16" i="5" s="1"/>
  <c r="CR16" i="5" a="1"/>
  <c r="CR16" i="5" s="1"/>
  <c r="BM76" i="5"/>
  <c r="BF76" i="5"/>
  <c r="BW76" i="5"/>
  <c r="BT76" i="5" a="1"/>
  <c r="BT76" i="5" s="1"/>
  <c r="BU76" i="5" a="1"/>
  <c r="BU76" i="5" s="1"/>
  <c r="CO76" i="5" a="1"/>
  <c r="CO76" i="5" s="1"/>
  <c r="CP76" i="5" a="1"/>
  <c r="CP76" i="5" s="1"/>
  <c r="CR76" i="5" a="1"/>
  <c r="CR76" i="5" s="1"/>
  <c r="CS76" i="5" a="1"/>
  <c r="CS76" i="5" s="1"/>
  <c r="BM126" i="5"/>
  <c r="BF126" i="5"/>
  <c r="BW126" i="5"/>
  <c r="BT126" i="5" a="1"/>
  <c r="BT126" i="5" s="1"/>
  <c r="BU126" i="5" a="1"/>
  <c r="BU126" i="5" s="1"/>
  <c r="CO126" i="5" a="1"/>
  <c r="CO126" i="5" s="1"/>
  <c r="CP126" i="5" a="1"/>
  <c r="CP126" i="5" s="1"/>
  <c r="CR126" i="5" a="1"/>
  <c r="CR126" i="5" s="1"/>
  <c r="CS126" i="5" a="1"/>
  <c r="CS126" i="5" s="1"/>
  <c r="BF176" i="5"/>
  <c r="BM176" i="5"/>
  <c r="BW176" i="5"/>
  <c r="BT176" i="5" a="1"/>
  <c r="BT176" i="5" s="1"/>
  <c r="BU176" i="5" a="1"/>
  <c r="BU176" i="5" s="1"/>
  <c r="CO176" i="5" a="1"/>
  <c r="CO176" i="5" s="1"/>
  <c r="CP176" i="5" a="1"/>
  <c r="CP176" i="5" s="1"/>
  <c r="CR176" i="5" a="1"/>
  <c r="CR176" i="5" s="1"/>
  <c r="CS176" i="5" a="1"/>
  <c r="CS176" i="5" s="1"/>
  <c r="BF236" i="5"/>
  <c r="BM236" i="5"/>
  <c r="BW236" i="5"/>
  <c r="BU236" i="5" a="1"/>
  <c r="BU236" i="5" s="1"/>
  <c r="BT236" i="5" a="1"/>
  <c r="BT236" i="5" s="1"/>
  <c r="CP236" i="5" a="1"/>
  <c r="CP236" i="5" s="1"/>
  <c r="CR236" i="5" a="1"/>
  <c r="CR236" i="5" s="1"/>
  <c r="CO236" i="5" a="1"/>
  <c r="CO236" i="5" s="1"/>
  <c r="CS236" i="5" a="1"/>
  <c r="CS236" i="5" s="1"/>
  <c r="BM306" i="5"/>
  <c r="BF306" i="5"/>
  <c r="BW306" i="5"/>
  <c r="BT306" i="5" a="1"/>
  <c r="BT306" i="5" s="1"/>
  <c r="BU306" i="5" a="1"/>
  <c r="BU306" i="5" s="1"/>
  <c r="CP306" i="5" a="1"/>
  <c r="CP306" i="5" s="1"/>
  <c r="CO306" i="5" a="1"/>
  <c r="CO306" i="5" s="1"/>
  <c r="CS306" i="5" a="1"/>
  <c r="CS306" i="5" s="1"/>
  <c r="CR306" i="5" a="1"/>
  <c r="CR306" i="5" s="1"/>
  <c r="BF7" i="5"/>
  <c r="BM7" i="5"/>
  <c r="BU7" i="5" a="1"/>
  <c r="BU7" i="5" s="1"/>
  <c r="BW7" i="5"/>
  <c r="BT7" i="5" a="1"/>
  <c r="BT7" i="5" s="1"/>
  <c r="CO7" i="5" a="1"/>
  <c r="CO7" i="5" s="1"/>
  <c r="CS7" i="5" a="1"/>
  <c r="CS7" i="5" s="1"/>
  <c r="CP7" i="5" a="1"/>
  <c r="CP7" i="5" s="1"/>
  <c r="CR7" i="5" a="1"/>
  <c r="CR7" i="5" s="1"/>
  <c r="BF67" i="5"/>
  <c r="BW67" i="5"/>
  <c r="BM67" i="5"/>
  <c r="BT67" i="5" a="1"/>
  <c r="BT67" i="5" s="1"/>
  <c r="BU67" i="5" a="1"/>
  <c r="BU67" i="5" s="1"/>
  <c r="CO67" i="5" a="1"/>
  <c r="CO67" i="5" s="1"/>
  <c r="CP67" i="5" a="1"/>
  <c r="CP67" i="5" s="1"/>
  <c r="CR67" i="5" a="1"/>
  <c r="CR67" i="5" s="1"/>
  <c r="CS67" i="5" a="1"/>
  <c r="CS67" i="5" s="1"/>
  <c r="AV117" i="5"/>
  <c r="BI117" i="5"/>
  <c r="AP150" i="5"/>
  <c r="AP351" i="5"/>
  <c r="AM83" i="5"/>
  <c r="AP83" i="5" s="1"/>
  <c r="AV83" i="5"/>
  <c r="AS83" i="5"/>
  <c r="AR83" i="5"/>
  <c r="AM384" i="5"/>
  <c r="AP384" i="5" s="1"/>
  <c r="AS384" i="5"/>
  <c r="AR384" i="5"/>
  <c r="AV384" i="5"/>
  <c r="BI84" i="5"/>
  <c r="BM84" i="5"/>
  <c r="BM71" i="5"/>
  <c r="BI71" i="5"/>
  <c r="BI257" i="5"/>
  <c r="BM257" i="5"/>
  <c r="AP310" i="5"/>
  <c r="AM233" i="5"/>
  <c r="AP233" i="5" s="1"/>
  <c r="AR233" i="5"/>
  <c r="AS233" i="5"/>
  <c r="AV233" i="5"/>
  <c r="AM34" i="5"/>
  <c r="AP34" i="5" s="1"/>
  <c r="AR34" i="5"/>
  <c r="AS34" i="5"/>
  <c r="AV34" i="5"/>
  <c r="AM195" i="5"/>
  <c r="AP195" i="5" s="1"/>
  <c r="AR195" i="5"/>
  <c r="AS195" i="5"/>
  <c r="AV195" i="5"/>
  <c r="AA182" i="5" a="1"/>
  <c r="AA182" i="5" s="1"/>
  <c r="AB182" i="5"/>
  <c r="AA204" i="5" a="1"/>
  <c r="AA204" i="5" s="1"/>
  <c r="AB204" i="5" s="1"/>
  <c r="BZ73" i="5"/>
  <c r="CL73" i="5"/>
  <c r="BZ223" i="5"/>
  <c r="CL223" i="5"/>
  <c r="AA77" i="5" a="1"/>
  <c r="AA77" i="5" s="1"/>
  <c r="AB77" i="5" s="1"/>
  <c r="AA338" i="5" a="1"/>
  <c r="AA338" i="5" s="1"/>
  <c r="AB338" i="5" s="1"/>
  <c r="BZ35" i="5"/>
  <c r="BZ285" i="5"/>
  <c r="CL285" i="5"/>
  <c r="BZ357" i="5"/>
  <c r="CL357" i="5"/>
  <c r="AA33" i="5" a="1"/>
  <c r="AA33" i="5" s="1"/>
  <c r="AB33" i="5" s="1"/>
  <c r="AA72" i="5" a="1"/>
  <c r="AA72" i="5" s="1"/>
  <c r="CL72" i="5" s="1"/>
  <c r="AA94" i="5" a="1"/>
  <c r="AA94" i="5" s="1"/>
  <c r="AB94" i="5" s="1"/>
  <c r="AA133" i="5" a="1"/>
  <c r="AA133" i="5" s="1"/>
  <c r="CL133" i="5" s="1"/>
  <c r="AA183" i="5" a="1"/>
  <c r="AA183" i="5" s="1"/>
  <c r="CL183" i="5" s="1"/>
  <c r="AA233" i="5" a="1"/>
  <c r="AA233" i="5" s="1"/>
  <c r="AB233" i="5"/>
  <c r="AA283" i="5" a="1"/>
  <c r="AA283" i="5" s="1"/>
  <c r="AB283" i="5" s="1"/>
  <c r="AA333" i="5" a="1"/>
  <c r="AA333" i="5" s="1"/>
  <c r="AB333" i="5" s="1"/>
  <c r="AA422" i="5" a="1"/>
  <c r="AA422" i="5" s="1"/>
  <c r="AB422" i="5" s="1"/>
  <c r="BZ325" i="5"/>
  <c r="CL325" i="5"/>
  <c r="AA178" i="5" a="1"/>
  <c r="AA178" i="5" s="1"/>
  <c r="AB178" i="5" s="1"/>
  <c r="AA112" i="5" a="1"/>
  <c r="AA112" i="5" s="1"/>
  <c r="CL112" i="5" s="1"/>
  <c r="AB112" i="5"/>
  <c r="AA312" i="5" a="1"/>
  <c r="AA312" i="5" s="1"/>
  <c r="AB312" i="5" s="1"/>
  <c r="BZ53" i="5"/>
  <c r="BZ153" i="5"/>
  <c r="CL153" i="5"/>
  <c r="BZ214" i="5"/>
  <c r="AA140" i="5" a="1"/>
  <c r="AA140" i="5" s="1"/>
  <c r="AB140" i="5" s="1"/>
  <c r="BZ127" i="5"/>
  <c r="CL127" i="5"/>
  <c r="BZ277" i="5"/>
  <c r="CL277" i="5"/>
  <c r="AA61" i="5" a="1"/>
  <c r="AA61" i="5" s="1"/>
  <c r="CL61" i="5" s="1"/>
  <c r="BZ104" i="5"/>
  <c r="BZ364" i="5"/>
  <c r="AA114" i="5" a="1"/>
  <c r="AA114" i="5" s="1"/>
  <c r="AB114" i="5" s="1"/>
  <c r="AB350" i="5"/>
  <c r="AA350" i="5" a="1"/>
  <c r="AA350" i="5" s="1"/>
  <c r="BZ322" i="5"/>
  <c r="CL322" i="5"/>
  <c r="AA260" i="5" a="1"/>
  <c r="AA260" i="5" s="1"/>
  <c r="AB260" i="5" s="1"/>
  <c r="AA403" i="5" a="1"/>
  <c r="AA403" i="5" s="1"/>
  <c r="AB403" i="5" s="1"/>
  <c r="AA418" i="5" a="1"/>
  <c r="AA418" i="5" s="1"/>
  <c r="AB418" i="5" s="1"/>
  <c r="BZ71" i="5"/>
  <c r="CL71" i="5"/>
  <c r="BZ211" i="5"/>
  <c r="CL211" i="5"/>
  <c r="BZ394" i="5"/>
  <c r="AA50" i="5" a="1"/>
  <c r="AA50" i="5" s="1"/>
  <c r="AB50" i="5"/>
  <c r="AA240" i="5" a="1"/>
  <c r="AA240" i="5" s="1"/>
  <c r="AB240" i="5" s="1"/>
  <c r="AA366" i="5" a="1"/>
  <c r="AA366" i="5" s="1"/>
  <c r="CL366" i="5" s="1"/>
  <c r="BZ137" i="5"/>
  <c r="BZ287" i="5"/>
  <c r="AA352" i="5" a="1"/>
  <c r="AA352" i="5" s="1"/>
  <c r="AB352" i="5" s="1"/>
  <c r="AA90" i="5" a="1"/>
  <c r="AA90" i="5" s="1"/>
  <c r="AB90" i="5" s="1"/>
  <c r="AA214" i="5" a="1"/>
  <c r="AA214" i="5" s="1"/>
  <c r="CL214" i="5" s="1"/>
  <c r="AB214" i="5"/>
  <c r="AB360" i="5"/>
  <c r="AA360" i="5" a="1"/>
  <c r="AA360" i="5" s="1"/>
  <c r="AA180" i="5" a="1"/>
  <c r="AA180" i="5" s="1"/>
  <c r="AB180" i="5" s="1"/>
  <c r="BZ297" i="5"/>
  <c r="AA250" i="5" a="1"/>
  <c r="AA250" i="5" s="1"/>
  <c r="AB250" i="5" s="1"/>
  <c r="BZ141" i="5"/>
  <c r="BZ291" i="5"/>
  <c r="CL291" i="5"/>
  <c r="BZ143" i="5"/>
  <c r="AA46" i="5" a="1"/>
  <c r="AA46" i="5" s="1"/>
  <c r="AB46" i="5" s="1"/>
  <c r="AA266" i="5" a="1"/>
  <c r="AA266" i="5" s="1"/>
  <c r="AB266" i="5" s="1"/>
  <c r="AB423" i="5"/>
  <c r="AA423" i="5" a="1"/>
  <c r="AA423" i="5" s="1"/>
  <c r="CL423" i="5" s="1"/>
  <c r="AA287" i="5" a="1"/>
  <c r="AA287" i="5" s="1"/>
  <c r="CL287" i="5" s="1"/>
  <c r="AA215" i="5" a="1"/>
  <c r="AA215" i="5" s="1"/>
  <c r="AB215" i="5" s="1"/>
  <c r="AA176" i="5" a="1"/>
  <c r="AA176" i="5" s="1"/>
  <c r="AB176" i="5"/>
  <c r="AA168" i="5" a="1"/>
  <c r="AA168" i="5" s="1"/>
  <c r="AB168" i="5" s="1"/>
  <c r="AA241" i="5" a="1"/>
  <c r="AA241" i="5" s="1"/>
  <c r="CL241" i="5" s="1"/>
  <c r="AA108" i="5" a="1"/>
  <c r="AA108" i="5" s="1"/>
  <c r="AB108" i="5"/>
  <c r="AB199" i="5"/>
  <c r="AA199" i="5" a="1"/>
  <c r="AA199" i="5" s="1"/>
  <c r="BF88" i="5"/>
  <c r="BT88" i="5" a="1"/>
  <c r="BT88" i="5" s="1"/>
  <c r="BU88" i="5" a="1"/>
  <c r="BU88" i="5" s="1"/>
  <c r="BW88" i="5"/>
  <c r="CO88" i="5" a="1"/>
  <c r="CO88" i="5" s="1"/>
  <c r="CS88" i="5" a="1"/>
  <c r="CS88" i="5" s="1"/>
  <c r="CP88" i="5" a="1"/>
  <c r="CP88" i="5" s="1"/>
  <c r="CR88" i="5" a="1"/>
  <c r="CR88" i="5" s="1"/>
  <c r="BF288" i="5"/>
  <c r="BT288" i="5" a="1"/>
  <c r="BT288" i="5" s="1"/>
  <c r="BU288" i="5" a="1"/>
  <c r="BU288" i="5" s="1"/>
  <c r="BW288" i="5"/>
  <c r="CO288" i="5" a="1"/>
  <c r="CO288" i="5" s="1"/>
  <c r="CP288" i="5" a="1"/>
  <c r="CP288" i="5" s="1"/>
  <c r="CR288" i="5" a="1"/>
  <c r="CR288" i="5" s="1"/>
  <c r="CS288" i="5" a="1"/>
  <c r="CS288" i="5" s="1"/>
  <c r="BF49" i="5"/>
  <c r="BT49" i="5" a="1"/>
  <c r="BT49" i="5" s="1"/>
  <c r="BU49" i="5" a="1"/>
  <c r="BU49" i="5" s="1"/>
  <c r="BW49" i="5"/>
  <c r="CO49" i="5" a="1"/>
  <c r="CO49" i="5" s="1"/>
  <c r="CS49" i="5" a="1"/>
  <c r="CS49" i="5" s="1"/>
  <c r="CP49" i="5" a="1"/>
  <c r="CP49" i="5" s="1"/>
  <c r="CR49" i="5" a="1"/>
  <c r="CR49" i="5" s="1"/>
  <c r="BM249" i="5"/>
  <c r="BF249" i="5"/>
  <c r="BT249" i="5" a="1"/>
  <c r="BT249" i="5" s="1"/>
  <c r="BU249" i="5" a="1"/>
  <c r="BU249" i="5" s="1"/>
  <c r="BW249" i="5"/>
  <c r="CO249" i="5" a="1"/>
  <c r="CO249" i="5" s="1"/>
  <c r="CP249" i="5" a="1"/>
  <c r="CP249" i="5" s="1"/>
  <c r="CR249" i="5" a="1"/>
  <c r="CR249" i="5" s="1"/>
  <c r="CS249" i="5" a="1"/>
  <c r="CS249" i="5" s="1"/>
  <c r="BF349" i="5"/>
  <c r="BM349" i="5"/>
  <c r="BT349" i="5" a="1"/>
  <c r="BT349" i="5" s="1"/>
  <c r="BU349" i="5" a="1"/>
  <c r="BU349" i="5" s="1"/>
  <c r="BW349" i="5"/>
  <c r="CO349" i="5" a="1"/>
  <c r="CO349" i="5" s="1"/>
  <c r="CP349" i="5" a="1"/>
  <c r="CP349" i="5" s="1"/>
  <c r="CR349" i="5" a="1"/>
  <c r="CR349" i="5" s="1"/>
  <c r="CS349" i="5" a="1"/>
  <c r="CS349" i="5" s="1"/>
  <c r="AL69" i="5"/>
  <c r="AU69" i="5"/>
  <c r="BG69" i="5"/>
  <c r="BH69" i="5" a="1"/>
  <c r="BH69" i="5" s="1"/>
  <c r="BL69" i="5"/>
  <c r="BF290" i="5"/>
  <c r="BM290" i="5"/>
  <c r="BT290" i="5" a="1"/>
  <c r="BT290" i="5" s="1"/>
  <c r="BU290" i="5" a="1"/>
  <c r="BU290" i="5" s="1"/>
  <c r="BW290" i="5"/>
  <c r="CO290" i="5" a="1"/>
  <c r="CO290" i="5" s="1"/>
  <c r="CS290" i="5" a="1"/>
  <c r="CS290" i="5" s="1"/>
  <c r="CP290" i="5" a="1"/>
  <c r="CP290" i="5" s="1"/>
  <c r="CR290" i="5" a="1"/>
  <c r="CR290" i="5" s="1"/>
  <c r="BF370" i="5"/>
  <c r="BM370" i="5"/>
  <c r="BU370" i="5" a="1"/>
  <c r="BU370" i="5" s="1"/>
  <c r="BT370" i="5" a="1"/>
  <c r="BT370" i="5" s="1"/>
  <c r="BW370" i="5"/>
  <c r="CO370" i="5" a="1"/>
  <c r="CO370" i="5" s="1"/>
  <c r="CP370" i="5" a="1"/>
  <c r="CP370" i="5" s="1"/>
  <c r="CR370" i="5" a="1"/>
  <c r="CR370" i="5" s="1"/>
  <c r="CS370" i="5" a="1"/>
  <c r="CS370" i="5" s="1"/>
  <c r="BF440" i="5"/>
  <c r="BM440" i="5"/>
  <c r="BT440" i="5" a="1"/>
  <c r="BT440" i="5" s="1"/>
  <c r="BU440" i="5" a="1"/>
  <c r="BU440" i="5" s="1"/>
  <c r="BW440" i="5"/>
  <c r="CO440" i="5" a="1"/>
  <c r="CO440" i="5" s="1"/>
  <c r="CP440" i="5" a="1"/>
  <c r="CP440" i="5" s="1"/>
  <c r="CR440" i="5" a="1"/>
  <c r="CR440" i="5" s="1"/>
  <c r="CS440" i="5" a="1"/>
  <c r="CS440" i="5" s="1"/>
  <c r="AV373" i="5"/>
  <c r="BI373" i="5"/>
  <c r="BM373" i="5"/>
  <c r="AV24" i="5"/>
  <c r="BF6" i="5"/>
  <c r="BM6" i="5"/>
  <c r="BW6" i="5"/>
  <c r="BT6" i="5" a="1"/>
  <c r="BT6" i="5" s="1"/>
  <c r="BU6" i="5" a="1"/>
  <c r="BU6" i="5" s="1"/>
  <c r="CO6" i="5" a="1"/>
  <c r="CO6" i="5" s="1"/>
  <c r="CP6" i="5" a="1"/>
  <c r="CP6" i="5" s="1"/>
  <c r="CR6" i="5" a="1"/>
  <c r="CR6" i="5" s="1"/>
  <c r="CS6" i="5" a="1"/>
  <c r="CS6" i="5" s="1"/>
  <c r="BM226" i="5"/>
  <c r="BF226" i="5"/>
  <c r="BW226" i="5"/>
  <c r="BT226" i="5" a="1"/>
  <c r="BT226" i="5" s="1"/>
  <c r="BU226" i="5" a="1"/>
  <c r="BU226" i="5" s="1"/>
  <c r="CP226" i="5" a="1"/>
  <c r="CP226" i="5" s="1"/>
  <c r="CR226" i="5" a="1"/>
  <c r="CR226" i="5" s="1"/>
  <c r="CO226" i="5" a="1"/>
  <c r="CO226" i="5" s="1"/>
  <c r="CS226" i="5" a="1"/>
  <c r="CS226" i="5" s="1"/>
  <c r="BF47" i="5"/>
  <c r="BM47" i="5"/>
  <c r="BW47" i="5"/>
  <c r="BU47" i="5" a="1"/>
  <c r="BU47" i="5" s="1"/>
  <c r="BT47" i="5" a="1"/>
  <c r="BT47" i="5" s="1"/>
  <c r="CO47" i="5" a="1"/>
  <c r="CO47" i="5" s="1"/>
  <c r="CP47" i="5" a="1"/>
  <c r="CP47" i="5" s="1"/>
  <c r="CR47" i="5" a="1"/>
  <c r="CR47" i="5" s="1"/>
  <c r="CS47" i="5" a="1"/>
  <c r="CS47" i="5" s="1"/>
  <c r="AP290" i="5"/>
  <c r="AM422" i="5"/>
  <c r="AP422" i="5" s="1"/>
  <c r="AV422" i="5"/>
  <c r="AS422" i="5"/>
  <c r="AR422" i="5"/>
  <c r="AM334" i="5"/>
  <c r="AP334" i="5" s="1"/>
  <c r="AR334" i="5"/>
  <c r="AS334" i="5"/>
  <c r="AV334" i="5"/>
  <c r="AM21" i="5"/>
  <c r="AP21" i="5" s="1"/>
  <c r="AR21" i="5"/>
  <c r="AS21" i="5"/>
  <c r="AV21" i="5"/>
  <c r="AM171" i="5"/>
  <c r="AP171" i="5" s="1"/>
  <c r="AR171" i="5"/>
  <c r="AV171" i="5"/>
  <c r="AS171" i="5"/>
  <c r="BI433" i="5"/>
  <c r="BM433" i="5"/>
  <c r="BI195" i="5"/>
  <c r="BM195" i="5"/>
  <c r="BI33" i="5"/>
  <c r="BM33" i="5"/>
  <c r="R110" i="5"/>
  <c r="AT110" i="5"/>
  <c r="CH110" i="5"/>
  <c r="R260" i="5"/>
  <c r="AT260" i="5"/>
  <c r="CH260" i="5"/>
  <c r="AA345" i="5" a="1"/>
  <c r="AA345" i="5" s="1"/>
  <c r="AB345" i="5" s="1"/>
  <c r="AA196" i="5" a="1"/>
  <c r="AA196" i="5" s="1"/>
  <c r="AB196" i="5" s="1"/>
  <c r="AA111" i="5" a="1"/>
  <c r="AA111" i="5" s="1"/>
  <c r="AB111" i="5" s="1"/>
  <c r="AA117" i="5" a="1"/>
  <c r="AA117" i="5" s="1"/>
  <c r="AB117" i="5" s="1"/>
  <c r="R11" i="5"/>
  <c r="AT11" i="5"/>
  <c r="R280" i="5"/>
  <c r="AT280" i="5"/>
  <c r="AA45" i="5" a="1"/>
  <c r="AA45" i="5" s="1"/>
  <c r="CL45" i="5" s="1"/>
  <c r="AA145" i="5" a="1"/>
  <c r="AA145" i="5" s="1"/>
  <c r="CL145" i="5" s="1"/>
  <c r="AA245" i="5" a="1"/>
  <c r="AA245" i="5" s="1"/>
  <c r="AB245" i="5" s="1"/>
  <c r="AA273" i="5" a="1"/>
  <c r="AA273" i="5" s="1"/>
  <c r="CL273" i="5" s="1"/>
  <c r="AA355" i="5" a="1"/>
  <c r="AA355" i="5" s="1"/>
  <c r="CL355" i="5" s="1"/>
  <c r="AA26" i="5" a="1"/>
  <c r="AA26" i="5" s="1"/>
  <c r="AB26" i="5"/>
  <c r="AA206" i="5" a="1"/>
  <c r="AA206" i="5" s="1"/>
  <c r="AB206" i="5" s="1"/>
  <c r="AA7" i="5" a="1"/>
  <c r="AA7" i="5" s="1"/>
  <c r="AB7" i="5" s="1"/>
  <c r="AA207" i="5" a="1"/>
  <c r="AA207" i="5" s="1"/>
  <c r="AB207" i="5"/>
  <c r="AA48" i="5" a="1"/>
  <c r="AA48" i="5" s="1"/>
  <c r="AB48" i="5" s="1"/>
  <c r="AA238" i="5" a="1"/>
  <c r="AA238" i="5" s="1"/>
  <c r="AB238" i="5" s="1"/>
  <c r="AA9" i="5" a="1"/>
  <c r="AA9" i="5" s="1"/>
  <c r="AB9" i="5"/>
  <c r="AA121" i="5" a="1"/>
  <c r="AA121" i="5" s="1"/>
  <c r="AB121" i="5" s="1"/>
  <c r="AA291" i="5" a="1"/>
  <c r="AA291" i="5" s="1"/>
  <c r="AB291" i="5" s="1"/>
  <c r="AA226" i="5" a="1"/>
  <c r="AA226" i="5" s="1"/>
  <c r="AB226" i="5" s="1"/>
  <c r="AA147" i="5" a="1"/>
  <c r="AA147" i="5" s="1"/>
  <c r="AB147" i="5"/>
  <c r="AA367" i="5" a="1"/>
  <c r="AA367" i="5" s="1"/>
  <c r="CL367" i="5" s="1"/>
  <c r="AA188" i="5" a="1"/>
  <c r="AA188" i="5" s="1"/>
  <c r="AB188" i="5" s="1"/>
  <c r="AA421" i="5" a="1"/>
  <c r="AA421" i="5" s="1"/>
  <c r="AB421" i="5" s="1"/>
  <c r="AA129" i="5" a="1"/>
  <c r="AA129" i="5" s="1"/>
  <c r="AB129" i="5" s="1"/>
  <c r="AA229" i="5" a="1"/>
  <c r="AA229" i="5" s="1"/>
  <c r="AB229" i="5" s="1"/>
  <c r="BF18" i="5"/>
  <c r="BT18" i="5" a="1"/>
  <c r="BT18" i="5" s="1"/>
  <c r="BU18" i="5" a="1"/>
  <c r="BU18" i="5" s="1"/>
  <c r="BW18" i="5"/>
  <c r="CO18" i="5" a="1"/>
  <c r="CO18" i="5" s="1"/>
  <c r="CS18" i="5" a="1"/>
  <c r="CS18" i="5" s="1"/>
  <c r="CP18" i="5" a="1"/>
  <c r="CP18" i="5" s="1"/>
  <c r="CR18" i="5" a="1"/>
  <c r="CR18" i="5" s="1"/>
  <c r="BF79" i="5"/>
  <c r="BM79" i="5"/>
  <c r="BU79" i="5" a="1"/>
  <c r="BU79" i="5" s="1"/>
  <c r="BW79" i="5"/>
  <c r="BT79" i="5" a="1"/>
  <c r="BT79" i="5" s="1"/>
  <c r="CO79" i="5" a="1"/>
  <c r="CO79" i="5" s="1"/>
  <c r="CS79" i="5" a="1"/>
  <c r="CS79" i="5" s="1"/>
  <c r="CP79" i="5" a="1"/>
  <c r="CP79" i="5" s="1"/>
  <c r="CR79" i="5" a="1"/>
  <c r="CR79" i="5" s="1"/>
  <c r="BF113" i="5"/>
  <c r="BM113" i="5"/>
  <c r="BU113" i="5" a="1"/>
  <c r="BU113" i="5" s="1"/>
  <c r="BT113" i="5" a="1"/>
  <c r="BT113" i="5" s="1"/>
  <c r="BW113" i="5"/>
  <c r="CO113" i="5" a="1"/>
  <c r="CO113" i="5" s="1"/>
  <c r="CR113" i="5" a="1"/>
  <c r="CR113" i="5" s="1"/>
  <c r="CS113" i="5" a="1"/>
  <c r="CS113" i="5" s="1"/>
  <c r="CP113" i="5" a="1"/>
  <c r="CP113" i="5" s="1"/>
  <c r="BF140" i="5"/>
  <c r="BM140" i="5"/>
  <c r="BT140" i="5" a="1"/>
  <c r="BT140" i="5" s="1"/>
  <c r="BU140" i="5" a="1"/>
  <c r="BU140" i="5" s="1"/>
  <c r="BW140" i="5"/>
  <c r="CO140" i="5" a="1"/>
  <c r="CO140" i="5" s="1"/>
  <c r="CS140" i="5" a="1"/>
  <c r="CS140" i="5" s="1"/>
  <c r="CP140" i="5" a="1"/>
  <c r="CP140" i="5" s="1"/>
  <c r="CR140" i="5" a="1"/>
  <c r="CR140" i="5" s="1"/>
  <c r="AP46" i="5"/>
  <c r="AP96" i="5"/>
  <c r="AP146" i="5"/>
  <c r="AP196" i="5"/>
  <c r="AP246" i="5"/>
  <c r="AP17" i="5"/>
  <c r="AL38" i="5"/>
  <c r="AU38" i="5"/>
  <c r="BM38" i="5" s="1"/>
  <c r="BG38" i="5"/>
  <c r="BH38" i="5" a="1"/>
  <c r="BH38" i="5" s="1"/>
  <c r="BL38" i="5"/>
  <c r="AP9" i="5"/>
  <c r="AL99" i="5"/>
  <c r="AU99" i="5"/>
  <c r="BM99" i="5" s="1"/>
  <c r="BG99" i="5"/>
  <c r="BH99" i="5" a="1"/>
  <c r="BH99" i="5" s="1"/>
  <c r="BL99" i="5"/>
  <c r="BF311" i="5"/>
  <c r="BM311" i="5"/>
  <c r="BT311" i="5" a="1"/>
  <c r="BT311" i="5" s="1"/>
  <c r="BU311" i="5" a="1"/>
  <c r="BU311" i="5" s="1"/>
  <c r="BW311" i="5"/>
  <c r="CO311" i="5" a="1"/>
  <c r="CO311" i="5" s="1"/>
  <c r="CP311" i="5" a="1"/>
  <c r="CP311" i="5" s="1"/>
  <c r="CR311" i="5" a="1"/>
  <c r="CR311" i="5" s="1"/>
  <c r="CS311" i="5" a="1"/>
  <c r="CS311" i="5" s="1"/>
  <c r="AA349" i="5" a="1"/>
  <c r="AA349" i="5" s="1"/>
  <c r="AB349" i="5" s="1"/>
  <c r="BF441" i="5"/>
  <c r="BM441" i="5"/>
  <c r="BU441" i="5" a="1"/>
  <c r="BU441" i="5" s="1"/>
  <c r="BT441" i="5" a="1"/>
  <c r="BT441" i="5" s="1"/>
  <c r="BW441" i="5"/>
  <c r="CR441" i="5" a="1"/>
  <c r="CR441" i="5" s="1"/>
  <c r="CO441" i="5" a="1"/>
  <c r="CO441" i="5" s="1"/>
  <c r="CP441" i="5" a="1"/>
  <c r="CP441" i="5" s="1"/>
  <c r="CS441" i="5" a="1"/>
  <c r="CS441" i="5" s="1"/>
  <c r="AP130" i="5"/>
  <c r="BI124" i="5"/>
  <c r="BM124" i="5"/>
  <c r="BI424" i="5"/>
  <c r="BM424" i="5"/>
  <c r="AV425" i="5"/>
  <c r="BI425" i="5"/>
  <c r="BM425" i="5"/>
  <c r="AV376" i="5"/>
  <c r="BI376" i="5"/>
  <c r="BM376" i="5"/>
  <c r="AL68" i="5"/>
  <c r="AU68" i="5"/>
  <c r="BM68" i="5" s="1"/>
  <c r="BG68" i="5"/>
  <c r="BL68" i="5"/>
  <c r="BH68" i="5" a="1"/>
  <c r="BH68" i="5" s="1"/>
  <c r="AL118" i="5"/>
  <c r="AU118" i="5"/>
  <c r="BG118" i="5"/>
  <c r="BH118" i="5" a="1"/>
  <c r="BH118" i="5" s="1"/>
  <c r="BL118" i="5"/>
  <c r="AL168" i="5"/>
  <c r="AU168" i="5"/>
  <c r="BG168" i="5"/>
  <c r="BH168" i="5" a="1"/>
  <c r="BH168" i="5" s="1"/>
  <c r="BL168" i="5"/>
  <c r="AL218" i="5"/>
  <c r="BG218" i="5"/>
  <c r="BH218" i="5" a="1"/>
  <c r="BH218" i="5" s="1"/>
  <c r="AU218" i="5"/>
  <c r="BM218" i="5" s="1"/>
  <c r="BL218" i="5"/>
  <c r="AL268" i="5"/>
  <c r="AU268" i="5"/>
  <c r="BG268" i="5"/>
  <c r="BH268" i="5" a="1"/>
  <c r="BH268" i="5" s="1"/>
  <c r="BL268" i="5"/>
  <c r="AL318" i="5"/>
  <c r="AU318" i="5"/>
  <c r="BG318" i="5"/>
  <c r="BH318" i="5" a="1"/>
  <c r="BH318" i="5" s="1"/>
  <c r="BL318" i="5"/>
  <c r="AL368" i="5"/>
  <c r="AU368" i="5"/>
  <c r="BM368" i="5" s="1"/>
  <c r="BG368" i="5"/>
  <c r="BL368" i="5"/>
  <c r="BH368" i="5" a="1"/>
  <c r="BH368" i="5" s="1"/>
  <c r="AL418" i="5"/>
  <c r="AU418" i="5"/>
  <c r="BG418" i="5"/>
  <c r="BH418" i="5" a="1"/>
  <c r="BH418" i="5" s="1"/>
  <c r="BL418" i="5"/>
  <c r="AV26" i="5"/>
  <c r="BI26" i="5"/>
  <c r="AV86" i="5"/>
  <c r="BI86" i="5"/>
  <c r="BM136" i="5"/>
  <c r="BF136" i="5"/>
  <c r="BW136" i="5"/>
  <c r="BU136" i="5" a="1"/>
  <c r="BU136" i="5" s="1"/>
  <c r="BT136" i="5" a="1"/>
  <c r="BT136" i="5" s="1"/>
  <c r="CO136" i="5" a="1"/>
  <c r="CO136" i="5" s="1"/>
  <c r="CP136" i="5" a="1"/>
  <c r="CP136" i="5" s="1"/>
  <c r="CR136" i="5" a="1"/>
  <c r="CR136" i="5" s="1"/>
  <c r="CS136" i="5" a="1"/>
  <c r="CS136" i="5" s="1"/>
  <c r="AV186" i="5"/>
  <c r="BI186" i="5"/>
  <c r="AV256" i="5"/>
  <c r="BI256" i="5"/>
  <c r="AV316" i="5"/>
  <c r="BI316" i="5"/>
  <c r="AL209" i="5"/>
  <c r="AU209" i="5"/>
  <c r="BG209" i="5"/>
  <c r="BH209" i="5" a="1"/>
  <c r="BH209" i="5" s="1"/>
  <c r="BL209" i="5"/>
  <c r="AL259" i="5"/>
  <c r="AU259" i="5"/>
  <c r="BG259" i="5"/>
  <c r="BH259" i="5" a="1"/>
  <c r="BH259" i="5" s="1"/>
  <c r="BL259" i="5"/>
  <c r="AL309" i="5"/>
  <c r="AU309" i="5"/>
  <c r="BG309" i="5"/>
  <c r="BH309" i="5" a="1"/>
  <c r="BH309" i="5" s="1"/>
  <c r="BL309" i="5"/>
  <c r="AL359" i="5"/>
  <c r="AU359" i="5"/>
  <c r="BG359" i="5"/>
  <c r="BH359" i="5" a="1"/>
  <c r="BH359" i="5" s="1"/>
  <c r="BL359" i="5"/>
  <c r="AL409" i="5"/>
  <c r="AU409" i="5"/>
  <c r="BG409" i="5"/>
  <c r="BH409" i="5" a="1"/>
  <c r="BH409" i="5" s="1"/>
  <c r="BL409" i="5"/>
  <c r="AV17" i="5"/>
  <c r="BI17" i="5"/>
  <c r="AV77" i="5"/>
  <c r="BI77" i="5"/>
  <c r="BF56" i="5"/>
  <c r="BM56" i="5"/>
  <c r="BW56" i="5"/>
  <c r="BT56" i="5" a="1"/>
  <c r="BT56" i="5" s="1"/>
  <c r="BU56" i="5" a="1"/>
  <c r="BU56" i="5" s="1"/>
  <c r="CO56" i="5" a="1"/>
  <c r="CO56" i="5" s="1"/>
  <c r="CP56" i="5" a="1"/>
  <c r="CP56" i="5" s="1"/>
  <c r="CR56" i="5" a="1"/>
  <c r="CR56" i="5" s="1"/>
  <c r="CS56" i="5" a="1"/>
  <c r="CS56" i="5" s="1"/>
  <c r="BI163" i="5"/>
  <c r="BM163" i="5"/>
  <c r="AP440" i="5"/>
  <c r="BM396" i="5"/>
  <c r="BI396" i="5"/>
  <c r="AM84" i="5"/>
  <c r="AP84" i="5" s="1"/>
  <c r="AS84" i="5"/>
  <c r="AV84" i="5"/>
  <c r="AR84" i="5"/>
  <c r="AM71" i="5"/>
  <c r="AP71" i="5" s="1"/>
  <c r="AV71" i="5"/>
  <c r="AR71" i="5"/>
  <c r="AS71" i="5"/>
  <c r="AM257" i="5"/>
  <c r="AP257" i="5" s="1"/>
  <c r="AR257" i="5"/>
  <c r="AS257" i="5"/>
  <c r="AV257" i="5"/>
  <c r="BI322" i="5"/>
  <c r="BM322" i="5"/>
  <c r="BI245" i="5"/>
  <c r="BM245" i="5"/>
  <c r="BM121" i="5"/>
  <c r="BI121" i="5"/>
  <c r="BI134" i="5"/>
  <c r="BM134" i="5"/>
  <c r="BI383" i="5"/>
  <c r="BM383" i="5"/>
  <c r="BM221" i="5"/>
  <c r="BI221" i="5"/>
  <c r="BZ195" i="5"/>
  <c r="AA276" i="5" a="1"/>
  <c r="AA276" i="5" s="1"/>
  <c r="AB276" i="5" s="1"/>
  <c r="AA293" i="5" a="1"/>
  <c r="AA293" i="5" s="1"/>
  <c r="AB293" i="5" s="1"/>
  <c r="AA426" i="5" a="1"/>
  <c r="AA426" i="5" s="1"/>
  <c r="AB426" i="5" s="1"/>
  <c r="AA443" i="5" a="1"/>
  <c r="AA443" i="5" s="1"/>
  <c r="CL443" i="5" s="1"/>
  <c r="BZ151" i="5"/>
  <c r="BZ284" i="5"/>
  <c r="CL284" i="5"/>
  <c r="BZ362" i="5"/>
  <c r="BZ423" i="5"/>
  <c r="AA288" i="5" a="1"/>
  <c r="AA288" i="5" s="1"/>
  <c r="AB288" i="5" s="1"/>
  <c r="BZ125" i="5"/>
  <c r="CL125" i="5"/>
  <c r="BZ347" i="5"/>
  <c r="CL347" i="5"/>
  <c r="BZ436" i="5"/>
  <c r="CL436" i="5"/>
  <c r="AA6" i="5" a="1"/>
  <c r="AA6" i="5" s="1"/>
  <c r="AB6" i="5" s="1"/>
  <c r="AA384" i="5" a="1"/>
  <c r="AA384" i="5" s="1"/>
  <c r="CL384" i="5" s="1"/>
  <c r="AB384" i="5"/>
  <c r="BZ281" i="5"/>
  <c r="CL281" i="5"/>
  <c r="BZ155" i="5"/>
  <c r="CL155" i="5"/>
  <c r="BZ405" i="5"/>
  <c r="CL405" i="5"/>
  <c r="AA86" i="5" a="1"/>
  <c r="AA86" i="5" s="1"/>
  <c r="AB86" i="5" s="1"/>
  <c r="AA244" i="5" a="1"/>
  <c r="AA244" i="5" s="1"/>
  <c r="CL244" i="5" s="1"/>
  <c r="AA430" i="5" a="1"/>
  <c r="AA430" i="5" s="1"/>
  <c r="AB430" i="5" s="1"/>
  <c r="BZ261" i="5"/>
  <c r="CL261" i="5"/>
  <c r="BZ406" i="5"/>
  <c r="CL406" i="5"/>
  <c r="AA224" i="5" a="1"/>
  <c r="AA224" i="5" s="1"/>
  <c r="CL224" i="5" s="1"/>
  <c r="BZ157" i="5"/>
  <c r="CL157" i="5"/>
  <c r="BZ313" i="5"/>
  <c r="AA280" i="5" a="1"/>
  <c r="AA280" i="5" s="1"/>
  <c r="AB280" i="5" s="1"/>
  <c r="BZ217" i="5"/>
  <c r="AA380" i="5" a="1"/>
  <c r="AA380" i="5" s="1"/>
  <c r="AB380" i="5" s="1"/>
  <c r="AA150" i="5" a="1"/>
  <c r="AA150" i="5" s="1"/>
  <c r="AB150" i="5" s="1"/>
  <c r="BZ302" i="5"/>
  <c r="CL302" i="5"/>
  <c r="BZ387" i="5"/>
  <c r="AA310" i="5" a="1"/>
  <c r="AA310" i="5" s="1"/>
  <c r="AB310" i="5" s="1"/>
  <c r="BZ115" i="5"/>
  <c r="BZ124" i="5"/>
  <c r="BZ221" i="5"/>
  <c r="BZ411" i="5"/>
  <c r="CL411" i="5"/>
  <c r="CH51" i="5"/>
  <c r="AA152" i="5" a="1"/>
  <c r="AA152" i="5" s="1"/>
  <c r="CL152" i="5" s="1"/>
  <c r="BZ94" i="5"/>
  <c r="CL94" i="5"/>
  <c r="BZ304" i="5"/>
  <c r="CL304" i="5"/>
  <c r="R10" i="5"/>
  <c r="AT10" i="5"/>
  <c r="CH10" i="5"/>
  <c r="R330" i="5"/>
  <c r="AT330" i="5"/>
  <c r="CH330" i="5"/>
  <c r="AA58" i="5" a="1"/>
  <c r="AA58" i="5" s="1"/>
  <c r="AB58" i="5"/>
  <c r="AA198" i="5" a="1"/>
  <c r="AA198" i="5" s="1"/>
  <c r="AB198" i="5" s="1"/>
  <c r="AA431" i="5" a="1"/>
  <c r="AA431" i="5" s="1"/>
  <c r="AB431" i="5" s="1"/>
  <c r="AA139" i="5" a="1"/>
  <c r="AA139" i="5" s="1"/>
  <c r="AB139" i="5" s="1"/>
  <c r="AA239" i="5" a="1"/>
  <c r="AA239" i="5" s="1"/>
  <c r="AB239" i="5" s="1"/>
  <c r="BF28" i="5"/>
  <c r="BM28" i="5"/>
  <c r="BT28" i="5" a="1"/>
  <c r="BT28" i="5" s="1"/>
  <c r="BW28" i="5"/>
  <c r="BU28" i="5" a="1"/>
  <c r="BU28" i="5" s="1"/>
  <c r="CO28" i="5" a="1"/>
  <c r="CO28" i="5" s="1"/>
  <c r="CP28" i="5" a="1"/>
  <c r="CP28" i="5" s="1"/>
  <c r="CR28" i="5" a="1"/>
  <c r="CR28" i="5" s="1"/>
  <c r="CS28" i="5" a="1"/>
  <c r="CS28" i="5" s="1"/>
  <c r="BF128" i="5"/>
  <c r="BT128" i="5" a="1"/>
  <c r="BT128" i="5" s="1"/>
  <c r="BW128" i="5"/>
  <c r="BU128" i="5" a="1"/>
  <c r="BU128" i="5" s="1"/>
  <c r="CO128" i="5" a="1"/>
  <c r="CO128" i="5" s="1"/>
  <c r="CP128" i="5" a="1"/>
  <c r="CP128" i="5" s="1"/>
  <c r="CR128" i="5" a="1"/>
  <c r="CR128" i="5" s="1"/>
  <c r="CS128" i="5" a="1"/>
  <c r="CS128" i="5" s="1"/>
  <c r="BF228" i="5"/>
  <c r="BT228" i="5" a="1"/>
  <c r="BT228" i="5" s="1"/>
  <c r="BU228" i="5" a="1"/>
  <c r="BU228" i="5" s="1"/>
  <c r="BW228" i="5"/>
  <c r="CP228" i="5" a="1"/>
  <c r="CP228" i="5" s="1"/>
  <c r="CR228" i="5" a="1"/>
  <c r="CR228" i="5" s="1"/>
  <c r="CO228" i="5" a="1"/>
  <c r="CO228" i="5" s="1"/>
  <c r="CS228" i="5" a="1"/>
  <c r="CS228" i="5" s="1"/>
  <c r="BF328" i="5"/>
  <c r="BT328" i="5" a="1"/>
  <c r="BT328" i="5" s="1"/>
  <c r="BU328" i="5" a="1"/>
  <c r="BU328" i="5" s="1"/>
  <c r="BW328" i="5"/>
  <c r="CO328" i="5" a="1"/>
  <c r="CO328" i="5" s="1"/>
  <c r="CP328" i="5" a="1"/>
  <c r="CP328" i="5" s="1"/>
  <c r="CR328" i="5" a="1"/>
  <c r="CR328" i="5" s="1"/>
  <c r="CS328" i="5" a="1"/>
  <c r="CS328" i="5" s="1"/>
  <c r="BF428" i="5"/>
  <c r="BT428" i="5" a="1"/>
  <c r="BT428" i="5" s="1"/>
  <c r="BU428" i="5" a="1"/>
  <c r="BU428" i="5" s="1"/>
  <c r="BW428" i="5"/>
  <c r="CO428" i="5" a="1"/>
  <c r="CO428" i="5" s="1"/>
  <c r="CP428" i="5" a="1"/>
  <c r="CP428" i="5" s="1"/>
  <c r="CR428" i="5" a="1"/>
  <c r="CR428" i="5" s="1"/>
  <c r="CS428" i="5" a="1"/>
  <c r="CS428" i="5" s="1"/>
  <c r="BF89" i="5"/>
  <c r="BM89" i="5"/>
  <c r="BT89" i="5" a="1"/>
  <c r="BT89" i="5" s="1"/>
  <c r="BW89" i="5"/>
  <c r="BU89" i="5" a="1"/>
  <c r="BU89" i="5" s="1"/>
  <c r="CO89" i="5" a="1"/>
  <c r="CO89" i="5" s="1"/>
  <c r="CP89" i="5" a="1"/>
  <c r="CP89" i="5" s="1"/>
  <c r="CR89" i="5" a="1"/>
  <c r="CR89" i="5" s="1"/>
  <c r="CS89" i="5" a="1"/>
  <c r="CS89" i="5" s="1"/>
  <c r="BF189" i="5"/>
  <c r="BM189" i="5"/>
  <c r="BT189" i="5" a="1"/>
  <c r="BT189" i="5" s="1"/>
  <c r="BW189" i="5"/>
  <c r="BU189" i="5" a="1"/>
  <c r="BU189" i="5" s="1"/>
  <c r="CS189" i="5" a="1"/>
  <c r="CS189" i="5" s="1"/>
  <c r="CO189" i="5" a="1"/>
  <c r="CO189" i="5" s="1"/>
  <c r="CP189" i="5" a="1"/>
  <c r="CP189" i="5" s="1"/>
  <c r="CR189" i="5" a="1"/>
  <c r="CR189" i="5" s="1"/>
  <c r="BF289" i="5"/>
  <c r="BM289" i="5"/>
  <c r="BT289" i="5" a="1"/>
  <c r="BT289" i="5" s="1"/>
  <c r="BU289" i="5" a="1"/>
  <c r="BU289" i="5" s="1"/>
  <c r="BW289" i="5"/>
  <c r="CO289" i="5" a="1"/>
  <c r="CO289" i="5" s="1"/>
  <c r="CS289" i="5" a="1"/>
  <c r="CS289" i="5" s="1"/>
  <c r="CP289" i="5" a="1"/>
  <c r="CP289" i="5" s="1"/>
  <c r="CR289" i="5" a="1"/>
  <c r="CR289" i="5" s="1"/>
  <c r="BF389" i="5"/>
  <c r="BM389" i="5"/>
  <c r="BT389" i="5" a="1"/>
  <c r="BT389" i="5" s="1"/>
  <c r="BW389" i="5"/>
  <c r="BU389" i="5" a="1"/>
  <c r="BU389" i="5" s="1"/>
  <c r="CO389" i="5" a="1"/>
  <c r="CO389" i="5" s="1"/>
  <c r="CS389" i="5" a="1"/>
  <c r="CS389" i="5" s="1"/>
  <c r="CP389" i="5" a="1"/>
  <c r="CP389" i="5" s="1"/>
  <c r="CR389" i="5" a="1"/>
  <c r="CR389" i="5" s="1"/>
  <c r="BF293" i="5"/>
  <c r="BM293" i="5"/>
  <c r="BT293" i="5" a="1"/>
  <c r="BT293" i="5" s="1"/>
  <c r="BU293" i="5" a="1"/>
  <c r="BU293" i="5" s="1"/>
  <c r="BW293" i="5"/>
  <c r="CO293" i="5" a="1"/>
  <c r="CO293" i="5" s="1"/>
  <c r="CP293" i="5" a="1"/>
  <c r="CP293" i="5" s="1"/>
  <c r="CR293" i="5" a="1"/>
  <c r="CR293" i="5" s="1"/>
  <c r="CS293" i="5" a="1"/>
  <c r="CS293" i="5" s="1"/>
  <c r="BF421" i="5"/>
  <c r="BM421" i="5"/>
  <c r="BU421" i="5" a="1"/>
  <c r="BU421" i="5" s="1"/>
  <c r="BT421" i="5" a="1"/>
  <c r="BT421" i="5" s="1"/>
  <c r="BW421" i="5"/>
  <c r="CP421" i="5" a="1"/>
  <c r="CP421" i="5" s="1"/>
  <c r="CR421" i="5" a="1"/>
  <c r="CR421" i="5" s="1"/>
  <c r="CO421" i="5" a="1"/>
  <c r="CO421" i="5" s="1"/>
  <c r="CS421" i="5" a="1"/>
  <c r="CS421" i="5" s="1"/>
  <c r="AL109" i="5"/>
  <c r="AU109" i="5"/>
  <c r="BG109" i="5"/>
  <c r="BH109" i="5" a="1"/>
  <c r="BH109" i="5" s="1"/>
  <c r="BL109" i="5"/>
  <c r="BF220" i="5"/>
  <c r="BM220" i="5"/>
  <c r="BU220" i="5" a="1"/>
  <c r="BU220" i="5" s="1"/>
  <c r="BT220" i="5" a="1"/>
  <c r="BT220" i="5" s="1"/>
  <c r="BW220" i="5"/>
  <c r="CO220" i="5" a="1"/>
  <c r="CO220" i="5" s="1"/>
  <c r="CP220" i="5" a="1"/>
  <c r="CP220" i="5" s="1"/>
  <c r="CR220" i="5" a="1"/>
  <c r="CR220" i="5" s="1"/>
  <c r="CS220" i="5" a="1"/>
  <c r="CS220" i="5" s="1"/>
  <c r="BF310" i="5"/>
  <c r="BM310" i="5"/>
  <c r="BT310" i="5" a="1"/>
  <c r="BT310" i="5" s="1"/>
  <c r="BU310" i="5" a="1"/>
  <c r="BU310" i="5" s="1"/>
  <c r="BW310" i="5"/>
  <c r="CO310" i="5" a="1"/>
  <c r="CO310" i="5" s="1"/>
  <c r="CP310" i="5" a="1"/>
  <c r="CP310" i="5" s="1"/>
  <c r="CR310" i="5" a="1"/>
  <c r="CR310" i="5" s="1"/>
  <c r="CS310" i="5" a="1"/>
  <c r="CS310" i="5" s="1"/>
  <c r="BF400" i="5"/>
  <c r="BM400" i="5"/>
  <c r="BT400" i="5" a="1"/>
  <c r="BT400" i="5" s="1"/>
  <c r="BU400" i="5" a="1"/>
  <c r="BU400" i="5" s="1"/>
  <c r="BW400" i="5"/>
  <c r="CO400" i="5" a="1"/>
  <c r="CO400" i="5" s="1"/>
  <c r="CP400" i="5" a="1"/>
  <c r="CP400" i="5" s="1"/>
  <c r="CR400" i="5" a="1"/>
  <c r="CR400" i="5" s="1"/>
  <c r="CS400" i="5" a="1"/>
  <c r="CS400" i="5" s="1"/>
  <c r="BF331" i="5"/>
  <c r="BM331" i="5"/>
  <c r="BU331" i="5" a="1"/>
  <c r="BU331" i="5" s="1"/>
  <c r="BT331" i="5" a="1"/>
  <c r="BT331" i="5" s="1"/>
  <c r="BW331" i="5"/>
  <c r="CO331" i="5" a="1"/>
  <c r="CO331" i="5" s="1"/>
  <c r="CP331" i="5" a="1"/>
  <c r="CP331" i="5" s="1"/>
  <c r="CR331" i="5" a="1"/>
  <c r="CR331" i="5" s="1"/>
  <c r="CS331" i="5" a="1"/>
  <c r="CS331" i="5" s="1"/>
  <c r="AA359" i="5" a="1"/>
  <c r="AA359" i="5" s="1"/>
  <c r="AB359" i="5"/>
  <c r="AV157" i="5"/>
  <c r="BI157" i="5"/>
  <c r="BM157" i="5"/>
  <c r="AV147" i="5"/>
  <c r="BI147" i="5"/>
  <c r="BM147" i="5"/>
  <c r="BF246" i="5"/>
  <c r="BM246" i="5"/>
  <c r="BU246" i="5" a="1"/>
  <c r="BU246" i="5" s="1"/>
  <c r="BW246" i="5"/>
  <c r="BT246" i="5" a="1"/>
  <c r="BT246" i="5" s="1"/>
  <c r="CR246" i="5" a="1"/>
  <c r="CR246" i="5" s="1"/>
  <c r="CO246" i="5" a="1"/>
  <c r="CO246" i="5" s="1"/>
  <c r="CP246" i="5" a="1"/>
  <c r="CP246" i="5" s="1"/>
  <c r="CS246" i="5" a="1"/>
  <c r="CS246" i="5" s="1"/>
  <c r="AV386" i="5"/>
  <c r="BI386" i="5"/>
  <c r="BM386" i="5"/>
  <c r="AV224" i="5"/>
  <c r="BF26" i="5"/>
  <c r="BM26" i="5"/>
  <c r="BW26" i="5"/>
  <c r="BT26" i="5" a="1"/>
  <c r="BT26" i="5" s="1"/>
  <c r="BU26" i="5" a="1"/>
  <c r="BU26" i="5" s="1"/>
  <c r="CO26" i="5" a="1"/>
  <c r="CO26" i="5" s="1"/>
  <c r="CP26" i="5" a="1"/>
  <c r="CP26" i="5" s="1"/>
  <c r="CR26" i="5" a="1"/>
  <c r="CR26" i="5" s="1"/>
  <c r="CS26" i="5" a="1"/>
  <c r="CS26" i="5" s="1"/>
  <c r="BF86" i="5"/>
  <c r="BM86" i="5"/>
  <c r="BW86" i="5"/>
  <c r="BU86" i="5" a="1"/>
  <c r="BU86" i="5" s="1"/>
  <c r="BT86" i="5" a="1"/>
  <c r="BT86" i="5" s="1"/>
  <c r="CO86" i="5" a="1"/>
  <c r="CO86" i="5" s="1"/>
  <c r="CP86" i="5" a="1"/>
  <c r="CP86" i="5" s="1"/>
  <c r="CR86" i="5" a="1"/>
  <c r="CR86" i="5" s="1"/>
  <c r="CS86" i="5" a="1"/>
  <c r="CS86" i="5" s="1"/>
  <c r="AV136" i="5"/>
  <c r="BI136" i="5"/>
  <c r="BF186" i="5"/>
  <c r="BM186" i="5"/>
  <c r="BW186" i="5"/>
  <c r="BU186" i="5" a="1"/>
  <c r="BU186" i="5" s="1"/>
  <c r="BT186" i="5" a="1"/>
  <c r="BT186" i="5" s="1"/>
  <c r="CO186" i="5" a="1"/>
  <c r="CO186" i="5" s="1"/>
  <c r="CP186" i="5" a="1"/>
  <c r="CP186" i="5" s="1"/>
  <c r="CR186" i="5" a="1"/>
  <c r="CR186" i="5" s="1"/>
  <c r="CS186" i="5" a="1"/>
  <c r="CS186" i="5" s="1"/>
  <c r="BF256" i="5"/>
  <c r="BM256" i="5"/>
  <c r="BW256" i="5"/>
  <c r="BT256" i="5" a="1"/>
  <c r="BT256" i="5" s="1"/>
  <c r="BU256" i="5" a="1"/>
  <c r="BU256" i="5" s="1"/>
  <c r="CO256" i="5" a="1"/>
  <c r="CO256" i="5" s="1"/>
  <c r="CP256" i="5" a="1"/>
  <c r="CP256" i="5" s="1"/>
  <c r="CS256" i="5" a="1"/>
  <c r="CS256" i="5" s="1"/>
  <c r="CR256" i="5" a="1"/>
  <c r="CR256" i="5" s="1"/>
  <c r="BF316" i="5"/>
  <c r="BM316" i="5"/>
  <c r="BT316" i="5" a="1"/>
  <c r="BT316" i="5" s="1"/>
  <c r="BW316" i="5"/>
  <c r="BU316" i="5" a="1"/>
  <c r="BU316" i="5" s="1"/>
  <c r="CP316" i="5" a="1"/>
  <c r="CP316" i="5" s="1"/>
  <c r="CR316" i="5" a="1"/>
  <c r="CR316" i="5" s="1"/>
  <c r="CO316" i="5" a="1"/>
  <c r="CO316" i="5" s="1"/>
  <c r="CS316" i="5" a="1"/>
  <c r="CS316" i="5" s="1"/>
  <c r="BF17" i="5"/>
  <c r="BW17" i="5"/>
  <c r="BM17" i="5"/>
  <c r="BU17" i="5" a="1"/>
  <c r="BU17" i="5" s="1"/>
  <c r="BT17" i="5" a="1"/>
  <c r="BT17" i="5" s="1"/>
  <c r="CO17" i="5" a="1"/>
  <c r="CO17" i="5" s="1"/>
  <c r="CP17" i="5" a="1"/>
  <c r="CP17" i="5" s="1"/>
  <c r="CR17" i="5" a="1"/>
  <c r="CR17" i="5" s="1"/>
  <c r="CS17" i="5" a="1"/>
  <c r="CS17" i="5" s="1"/>
  <c r="BM77" i="5"/>
  <c r="BF77" i="5"/>
  <c r="BW77" i="5"/>
  <c r="BT77" i="5" a="1"/>
  <c r="BT77" i="5" s="1"/>
  <c r="BU77" i="5" a="1"/>
  <c r="BU77" i="5" s="1"/>
  <c r="CS77" i="5" a="1"/>
  <c r="CS77" i="5" s="1"/>
  <c r="CP77" i="5" a="1"/>
  <c r="CP77" i="5" s="1"/>
  <c r="CR77" i="5" a="1"/>
  <c r="CR77" i="5" s="1"/>
  <c r="CO77" i="5" a="1"/>
  <c r="CO77" i="5" s="1"/>
  <c r="BM216" i="5"/>
  <c r="BF216" i="5"/>
  <c r="BW216" i="5"/>
  <c r="BU216" i="5" a="1"/>
  <c r="BU216" i="5" s="1"/>
  <c r="BT216" i="5" a="1"/>
  <c r="BT216" i="5" s="1"/>
  <c r="CO216" i="5" a="1"/>
  <c r="CO216" i="5" s="1"/>
  <c r="CP216" i="5" a="1"/>
  <c r="CP216" i="5" s="1"/>
  <c r="CR216" i="5" a="1"/>
  <c r="CR216" i="5" s="1"/>
  <c r="CS216" i="5" a="1"/>
  <c r="CS216" i="5" s="1"/>
  <c r="BI174" i="5"/>
  <c r="BM174" i="5"/>
  <c r="BF57" i="5"/>
  <c r="BM57" i="5"/>
  <c r="BU57" i="5" a="1"/>
  <c r="BU57" i="5" s="1"/>
  <c r="BW57" i="5"/>
  <c r="BT57" i="5" a="1"/>
  <c r="BT57" i="5" s="1"/>
  <c r="CO57" i="5" a="1"/>
  <c r="CO57" i="5" s="1"/>
  <c r="CS57" i="5" a="1"/>
  <c r="CS57" i="5" s="1"/>
  <c r="CP57" i="5" a="1"/>
  <c r="CP57" i="5" s="1"/>
  <c r="CR57" i="5" a="1"/>
  <c r="CR57" i="5" s="1"/>
  <c r="AP240" i="5"/>
  <c r="AV167" i="5"/>
  <c r="BI167" i="5"/>
  <c r="BM167" i="5"/>
  <c r="AM396" i="5"/>
  <c r="AP396" i="5" s="1"/>
  <c r="AR396" i="5"/>
  <c r="AS396" i="5"/>
  <c r="AV396" i="5"/>
  <c r="BI333" i="5"/>
  <c r="BM333" i="5"/>
  <c r="BI271" i="5"/>
  <c r="BM271" i="5"/>
  <c r="AM322" i="5"/>
  <c r="AP322" i="5" s="1"/>
  <c r="AR322" i="5"/>
  <c r="AV322" i="5"/>
  <c r="AS322" i="5"/>
  <c r="AM245" i="5"/>
  <c r="AP245" i="5" s="1"/>
  <c r="AR245" i="5"/>
  <c r="AS245" i="5"/>
  <c r="AV245" i="5"/>
  <c r="AM121" i="5"/>
  <c r="AP121" i="5" s="1"/>
  <c r="AR121" i="5"/>
  <c r="AS121" i="5"/>
  <c r="AV121" i="5"/>
  <c r="AM134" i="5"/>
  <c r="AP134" i="5" s="1"/>
  <c r="AR134" i="5"/>
  <c r="AS134" i="5"/>
  <c r="AV134" i="5"/>
  <c r="AM383" i="5"/>
  <c r="AP383" i="5" s="1"/>
  <c r="AS383" i="5"/>
  <c r="AV383" i="5"/>
  <c r="AR383" i="5"/>
  <c r="AP421" i="5"/>
  <c r="AA126" i="5" a="1"/>
  <c r="AA126" i="5" s="1"/>
  <c r="AB126" i="5" s="1"/>
  <c r="AA143" i="5" a="1"/>
  <c r="AA143" i="5" s="1"/>
  <c r="CL143" i="5" s="1"/>
  <c r="AA232" i="5" a="1"/>
  <c r="AA232" i="5" s="1"/>
  <c r="AB232" i="5" s="1"/>
  <c r="AA254" i="5" a="1"/>
  <c r="AA254" i="5" s="1"/>
  <c r="AB254" i="5" s="1"/>
  <c r="AA382" i="5" a="1"/>
  <c r="AA382" i="5" s="1"/>
  <c r="AB382" i="5" s="1"/>
  <c r="AA404" i="5" a="1"/>
  <c r="AA404" i="5" s="1"/>
  <c r="CL404" i="5" s="1"/>
  <c r="AB404" i="5"/>
  <c r="BZ85" i="5"/>
  <c r="CL85" i="5"/>
  <c r="BZ296" i="5"/>
  <c r="CL296" i="5"/>
  <c r="BZ385" i="5"/>
  <c r="CL385" i="5"/>
  <c r="AA184" i="5" a="1"/>
  <c r="AA184" i="5" s="1"/>
  <c r="AB184" i="5" s="1"/>
  <c r="AA362" i="5" a="1"/>
  <c r="AA362" i="5" s="1"/>
  <c r="AB362" i="5" s="1"/>
  <c r="BZ64" i="5"/>
  <c r="BZ164" i="5"/>
  <c r="CL164" i="5"/>
  <c r="BZ292" i="5"/>
  <c r="BZ413" i="5"/>
  <c r="AA60" i="5" a="1"/>
  <c r="AA60" i="5" s="1"/>
  <c r="AB60" i="5"/>
  <c r="BZ422" i="5"/>
  <c r="CL422" i="5"/>
  <c r="AA394" i="5" a="1"/>
  <c r="AA394" i="5" s="1"/>
  <c r="CL394" i="5" s="1"/>
  <c r="BZ165" i="5"/>
  <c r="BZ415" i="5"/>
  <c r="CL415" i="5"/>
  <c r="BZ174" i="5"/>
  <c r="BZ344" i="5"/>
  <c r="BZ122" i="5"/>
  <c r="CL122" i="5"/>
  <c r="BZ272" i="5"/>
  <c r="CL272" i="5"/>
  <c r="BZ417" i="5"/>
  <c r="CL417" i="5"/>
  <c r="AB324" i="5"/>
  <c r="AA324" i="5" a="1"/>
  <c r="AA324" i="5" s="1"/>
  <c r="BZ182" i="5"/>
  <c r="CL182" i="5"/>
  <c r="AA70" i="5" a="1"/>
  <c r="AA70" i="5" s="1"/>
  <c r="AB70" i="5" s="1"/>
  <c r="AA116" i="5" a="1"/>
  <c r="AA116" i="5" s="1"/>
  <c r="AB116" i="5" s="1"/>
  <c r="AA144" i="5" a="1"/>
  <c r="AA144" i="5" s="1"/>
  <c r="AB144" i="5" s="1"/>
  <c r="BZ317" i="5"/>
  <c r="CL317" i="5"/>
  <c r="BZ147" i="5"/>
  <c r="CL147" i="5"/>
  <c r="BZ426" i="5"/>
  <c r="CL426" i="5"/>
  <c r="AA110" i="5" a="1"/>
  <c r="AA110" i="5" s="1"/>
  <c r="AB110" i="5" s="1"/>
  <c r="AA414" i="5" a="1"/>
  <c r="AA414" i="5" s="1"/>
  <c r="AB414" i="5" s="1"/>
  <c r="BZ163" i="5"/>
  <c r="CL163" i="5"/>
  <c r="BZ326" i="5"/>
  <c r="CL326" i="5"/>
  <c r="AA323" i="5" a="1"/>
  <c r="AA323" i="5" s="1"/>
  <c r="CL323" i="5" s="1"/>
  <c r="AA165" i="5" a="1"/>
  <c r="AA165" i="5" s="1"/>
  <c r="CL165" i="5" s="1"/>
  <c r="AA265" i="5" a="1"/>
  <c r="AA265" i="5" s="1"/>
  <c r="CL265" i="5" s="1"/>
  <c r="AA373" i="5" a="1"/>
  <c r="AA373" i="5" s="1"/>
  <c r="AB373" i="5" s="1"/>
  <c r="AA375" i="5" a="1"/>
  <c r="AA375" i="5" s="1"/>
  <c r="AB375" i="5" s="1"/>
  <c r="AA56" i="5" a="1"/>
  <c r="AA56" i="5" s="1"/>
  <c r="AB56" i="5" s="1"/>
  <c r="AA246" i="5" a="1"/>
  <c r="AA246" i="5" s="1"/>
  <c r="AB246" i="5" s="1"/>
  <c r="AB57" i="5"/>
  <c r="AA57" i="5" a="1"/>
  <c r="AA57" i="5" s="1"/>
  <c r="AA257" i="5" a="1"/>
  <c r="AA257" i="5" s="1"/>
  <c r="CL257" i="5" s="1"/>
  <c r="AB257" i="5"/>
  <c r="AA68" i="5" a="1"/>
  <c r="AA68" i="5" s="1"/>
  <c r="AB68" i="5" s="1"/>
  <c r="AA268" i="5" a="1"/>
  <c r="AA268" i="5" s="1"/>
  <c r="AB268" i="5" s="1"/>
  <c r="AA29" i="5" a="1"/>
  <c r="AA29" i="5" s="1"/>
  <c r="AB29" i="5" s="1"/>
  <c r="AA151" i="5" a="1"/>
  <c r="AA151" i="5" s="1"/>
  <c r="AB151" i="5" s="1"/>
  <c r="AA311" i="5" a="1"/>
  <c r="AA311" i="5" s="1"/>
  <c r="AB311" i="5" s="1"/>
  <c r="AA356" i="5" a="1"/>
  <c r="AA356" i="5" s="1"/>
  <c r="CL356" i="5" s="1"/>
  <c r="AA217" i="5" a="1"/>
  <c r="AA217" i="5" s="1"/>
  <c r="CL217" i="5" s="1"/>
  <c r="AA387" i="5" a="1"/>
  <c r="AA387" i="5" s="1"/>
  <c r="CL387" i="5" s="1"/>
  <c r="AA348" i="5" a="1"/>
  <c r="AA348" i="5" s="1"/>
  <c r="AB348" i="5" s="1"/>
  <c r="AA49" i="5" a="1"/>
  <c r="AA49" i="5" s="1"/>
  <c r="AB49" i="5" s="1"/>
  <c r="AA149" i="5" a="1"/>
  <c r="AA149" i="5" s="1"/>
  <c r="AB149" i="5" s="1"/>
  <c r="AA249" i="5" a="1"/>
  <c r="AA249" i="5" s="1"/>
  <c r="AB249" i="5" s="1"/>
  <c r="BF38" i="5"/>
  <c r="BT38" i="5" a="1"/>
  <c r="BT38" i="5" s="1"/>
  <c r="BU38" i="5" a="1"/>
  <c r="BU38" i="5" s="1"/>
  <c r="BW38" i="5"/>
  <c r="CO38" i="5" a="1"/>
  <c r="CO38" i="5" s="1"/>
  <c r="CS38" i="5" a="1"/>
  <c r="CS38" i="5" s="1"/>
  <c r="CP38" i="5" a="1"/>
  <c r="CP38" i="5" s="1"/>
  <c r="CR38" i="5" a="1"/>
  <c r="CR38" i="5" s="1"/>
  <c r="BF138" i="5"/>
  <c r="BM138" i="5"/>
  <c r="BT138" i="5" a="1"/>
  <c r="BT138" i="5" s="1"/>
  <c r="BU138" i="5" a="1"/>
  <c r="BU138" i="5" s="1"/>
  <c r="BW138" i="5"/>
  <c r="CO138" i="5" a="1"/>
  <c r="CO138" i="5" s="1"/>
  <c r="CS138" i="5" a="1"/>
  <c r="CS138" i="5" s="1"/>
  <c r="CP138" i="5" a="1"/>
  <c r="CP138" i="5" s="1"/>
  <c r="CR138" i="5" a="1"/>
  <c r="CR138" i="5" s="1"/>
  <c r="BF238" i="5"/>
  <c r="BM238" i="5"/>
  <c r="BT238" i="5" a="1"/>
  <c r="BT238" i="5" s="1"/>
  <c r="BU238" i="5" a="1"/>
  <c r="BU238" i="5" s="1"/>
  <c r="BW238" i="5"/>
  <c r="CO238" i="5" a="1"/>
  <c r="CO238" i="5" s="1"/>
  <c r="CP238" i="5" a="1"/>
  <c r="CP238" i="5" s="1"/>
  <c r="CR238" i="5" a="1"/>
  <c r="CR238" i="5" s="1"/>
  <c r="CS238" i="5" a="1"/>
  <c r="CS238" i="5" s="1"/>
  <c r="BF338" i="5"/>
  <c r="BM338" i="5"/>
  <c r="BT338" i="5" a="1"/>
  <c r="BT338" i="5" s="1"/>
  <c r="BU338" i="5" a="1"/>
  <c r="BU338" i="5" s="1"/>
  <c r="BW338" i="5"/>
  <c r="CP338" i="5" a="1"/>
  <c r="CP338" i="5" s="1"/>
  <c r="CO338" i="5" a="1"/>
  <c r="CO338" i="5" s="1"/>
  <c r="CR338" i="5" a="1"/>
  <c r="CR338" i="5" s="1"/>
  <c r="CS338" i="5" a="1"/>
  <c r="CS338" i="5" s="1"/>
  <c r="BF438" i="5"/>
  <c r="BM438" i="5"/>
  <c r="BT438" i="5" a="1"/>
  <c r="BT438" i="5" s="1"/>
  <c r="BU438" i="5" a="1"/>
  <c r="BU438" i="5" s="1"/>
  <c r="BW438" i="5"/>
  <c r="CP438" i="5" a="1"/>
  <c r="CP438" i="5" s="1"/>
  <c r="CR438" i="5" a="1"/>
  <c r="CR438" i="5" s="1"/>
  <c r="CO438" i="5" a="1"/>
  <c r="CO438" i="5" s="1"/>
  <c r="CS438" i="5" a="1"/>
  <c r="CS438" i="5" s="1"/>
  <c r="BF99" i="5"/>
  <c r="BT99" i="5" a="1"/>
  <c r="BT99" i="5" s="1"/>
  <c r="BU99" i="5" a="1"/>
  <c r="BU99" i="5" s="1"/>
  <c r="BW99" i="5"/>
  <c r="CO99" i="5" a="1"/>
  <c r="CO99" i="5" s="1"/>
  <c r="CS99" i="5" a="1"/>
  <c r="CS99" i="5" s="1"/>
  <c r="CP99" i="5" a="1"/>
  <c r="CP99" i="5" s="1"/>
  <c r="CR99" i="5" a="1"/>
  <c r="CR99" i="5" s="1"/>
  <c r="BF199" i="5"/>
  <c r="BM199" i="5"/>
  <c r="BT199" i="5" a="1"/>
  <c r="BT199" i="5" s="1"/>
  <c r="BU199" i="5" a="1"/>
  <c r="BU199" i="5" s="1"/>
  <c r="BW199" i="5"/>
  <c r="CO199" i="5" a="1"/>
  <c r="CO199" i="5" s="1"/>
  <c r="CP199" i="5" a="1"/>
  <c r="CP199" i="5" s="1"/>
  <c r="CR199" i="5" a="1"/>
  <c r="CR199" i="5" s="1"/>
  <c r="CS199" i="5" a="1"/>
  <c r="CS199" i="5" s="1"/>
  <c r="BF299" i="5"/>
  <c r="BM299" i="5"/>
  <c r="BT299" i="5" a="1"/>
  <c r="BT299" i="5" s="1"/>
  <c r="BU299" i="5" a="1"/>
  <c r="BU299" i="5" s="1"/>
  <c r="BW299" i="5"/>
  <c r="CO299" i="5" a="1"/>
  <c r="CO299" i="5" s="1"/>
  <c r="CP299" i="5" a="1"/>
  <c r="CP299" i="5" s="1"/>
  <c r="CS299" i="5" a="1"/>
  <c r="CS299" i="5" s="1"/>
  <c r="CR299" i="5" a="1"/>
  <c r="CR299" i="5" s="1"/>
  <c r="BF399" i="5"/>
  <c r="BM399" i="5"/>
  <c r="BT399" i="5" a="1"/>
  <c r="BT399" i="5" s="1"/>
  <c r="BU399" i="5" a="1"/>
  <c r="BU399" i="5" s="1"/>
  <c r="BW399" i="5"/>
  <c r="CP399" i="5" a="1"/>
  <c r="CP399" i="5" s="1"/>
  <c r="CR399" i="5" a="1"/>
  <c r="CR399" i="5" s="1"/>
  <c r="CS399" i="5" a="1"/>
  <c r="CS399" i="5" s="1"/>
  <c r="CO399" i="5" a="1"/>
  <c r="CO399" i="5" s="1"/>
  <c r="BF20" i="5"/>
  <c r="BM20" i="5"/>
  <c r="BU20" i="5" a="1"/>
  <c r="BU20" i="5" s="1"/>
  <c r="BT20" i="5" a="1"/>
  <c r="BT20" i="5" s="1"/>
  <c r="BW20" i="5"/>
  <c r="CO20" i="5" a="1"/>
  <c r="CO20" i="5" s="1"/>
  <c r="CP20" i="5" a="1"/>
  <c r="CP20" i="5" s="1"/>
  <c r="CR20" i="5" a="1"/>
  <c r="CR20" i="5" s="1"/>
  <c r="CS20" i="5" a="1"/>
  <c r="CS20" i="5" s="1"/>
  <c r="BF150" i="5"/>
  <c r="BM150" i="5"/>
  <c r="BT150" i="5" a="1"/>
  <c r="BT150" i="5" s="1"/>
  <c r="BU150" i="5" a="1"/>
  <c r="BU150" i="5" s="1"/>
  <c r="BW150" i="5"/>
  <c r="CO150" i="5" a="1"/>
  <c r="CO150" i="5" s="1"/>
  <c r="CP150" i="5" a="1"/>
  <c r="CP150" i="5" s="1"/>
  <c r="CR150" i="5" a="1"/>
  <c r="CR150" i="5" s="1"/>
  <c r="CS150" i="5" a="1"/>
  <c r="CS150" i="5" s="1"/>
  <c r="AP6" i="5"/>
  <c r="AP256" i="5"/>
  <c r="AP316" i="5"/>
  <c r="AP87" i="5"/>
  <c r="AL119" i="5"/>
  <c r="AU119" i="5"/>
  <c r="BM119" i="5" s="1"/>
  <c r="BG119" i="5"/>
  <c r="BH119" i="5" a="1"/>
  <c r="BH119" i="5" s="1"/>
  <c r="BL119" i="5"/>
  <c r="AA369" i="5" a="1"/>
  <c r="AA369" i="5" s="1"/>
  <c r="AB369" i="5" s="1"/>
  <c r="BM201" i="5"/>
  <c r="BI201" i="5"/>
  <c r="BI213" i="5"/>
  <c r="BM213" i="5"/>
  <c r="AV212" i="5"/>
  <c r="AV13" i="5"/>
  <c r="AP320" i="5"/>
  <c r="BI14" i="5"/>
  <c r="BM14" i="5"/>
  <c r="AV406" i="5"/>
  <c r="BM406" i="5"/>
  <c r="BI406" i="5"/>
  <c r="AL78" i="5"/>
  <c r="AU78" i="5"/>
  <c r="BM78" i="5" s="1"/>
  <c r="BG78" i="5"/>
  <c r="BH78" i="5" a="1"/>
  <c r="BH78" i="5" s="1"/>
  <c r="BL78" i="5"/>
  <c r="AL128" i="5"/>
  <c r="AU128" i="5"/>
  <c r="BM128" i="5" s="1"/>
  <c r="BG128" i="5"/>
  <c r="BL128" i="5"/>
  <c r="BH128" i="5" a="1"/>
  <c r="BH128" i="5" s="1"/>
  <c r="AL178" i="5"/>
  <c r="AU178" i="5"/>
  <c r="BM178" i="5" s="1"/>
  <c r="BG178" i="5"/>
  <c r="BH178" i="5" a="1"/>
  <c r="BH178" i="5" s="1"/>
  <c r="BL178" i="5"/>
  <c r="AL228" i="5"/>
  <c r="AU228" i="5"/>
  <c r="BM228" i="5" s="1"/>
  <c r="BG228" i="5"/>
  <c r="BH228" i="5" a="1"/>
  <c r="BH228" i="5" s="1"/>
  <c r="BL228" i="5"/>
  <c r="AL278" i="5"/>
  <c r="AU278" i="5"/>
  <c r="BM278" i="5" s="1"/>
  <c r="BG278" i="5"/>
  <c r="BH278" i="5" a="1"/>
  <c r="BH278" i="5" s="1"/>
  <c r="BL278" i="5"/>
  <c r="AL328" i="5"/>
  <c r="AU328" i="5"/>
  <c r="BM328" i="5" s="1"/>
  <c r="BG328" i="5"/>
  <c r="BL328" i="5"/>
  <c r="BH328" i="5" a="1"/>
  <c r="BH328" i="5" s="1"/>
  <c r="AL378" i="5"/>
  <c r="AU378" i="5"/>
  <c r="BM378" i="5" s="1"/>
  <c r="BG378" i="5"/>
  <c r="BH378" i="5" a="1"/>
  <c r="BH378" i="5" s="1"/>
  <c r="BL378" i="5"/>
  <c r="AL428" i="5"/>
  <c r="AU428" i="5"/>
  <c r="BG428" i="5"/>
  <c r="BH428" i="5" a="1"/>
  <c r="BH428" i="5" s="1"/>
  <c r="BL428" i="5"/>
  <c r="AV36" i="5"/>
  <c r="BI36" i="5"/>
  <c r="AV96" i="5"/>
  <c r="BI96" i="5"/>
  <c r="BF146" i="5"/>
  <c r="BM146" i="5"/>
  <c r="BU146" i="5" a="1"/>
  <c r="BU146" i="5" s="1"/>
  <c r="BW146" i="5"/>
  <c r="BT146" i="5" a="1"/>
  <c r="BT146" i="5" s="1"/>
  <c r="CO146" i="5" a="1"/>
  <c r="CO146" i="5" s="1"/>
  <c r="CR146" i="5" a="1"/>
  <c r="CR146" i="5" s="1"/>
  <c r="CS146" i="5" a="1"/>
  <c r="CS146" i="5" s="1"/>
  <c r="CP146" i="5" a="1"/>
  <c r="CP146" i="5" s="1"/>
  <c r="BI196" i="5"/>
  <c r="AV196" i="5"/>
  <c r="BF266" i="5"/>
  <c r="BM266" i="5"/>
  <c r="BW266" i="5"/>
  <c r="BU266" i="5" a="1"/>
  <c r="BU266" i="5" s="1"/>
  <c r="BT266" i="5" a="1"/>
  <c r="BT266" i="5" s="1"/>
  <c r="CP266" i="5" a="1"/>
  <c r="CP266" i="5" s="1"/>
  <c r="CO266" i="5" a="1"/>
  <c r="CO266" i="5" s="1"/>
  <c r="CR266" i="5" a="1"/>
  <c r="CR266" i="5" s="1"/>
  <c r="CS266" i="5" a="1"/>
  <c r="CS266" i="5" s="1"/>
  <c r="AL169" i="5"/>
  <c r="AU169" i="5"/>
  <c r="BG169" i="5"/>
  <c r="BH169" i="5" a="1"/>
  <c r="BH169" i="5" s="1"/>
  <c r="BL169" i="5"/>
  <c r="AL219" i="5"/>
  <c r="AU219" i="5"/>
  <c r="BM219" i="5" s="1"/>
  <c r="BG219" i="5"/>
  <c r="BH219" i="5" a="1"/>
  <c r="BH219" i="5" s="1"/>
  <c r="BL219" i="5"/>
  <c r="AL269" i="5"/>
  <c r="AU269" i="5"/>
  <c r="BG269" i="5"/>
  <c r="BH269" i="5" a="1"/>
  <c r="BH269" i="5" s="1"/>
  <c r="BL269" i="5"/>
  <c r="AL319" i="5"/>
  <c r="AU319" i="5"/>
  <c r="BM319" i="5" s="1"/>
  <c r="BG319" i="5"/>
  <c r="BH319" i="5" a="1"/>
  <c r="BH319" i="5" s="1"/>
  <c r="BL319" i="5"/>
  <c r="AL369" i="5"/>
  <c r="AU369" i="5"/>
  <c r="BM369" i="5" s="1"/>
  <c r="BG369" i="5"/>
  <c r="BH369" i="5" a="1"/>
  <c r="BH369" i="5" s="1"/>
  <c r="BL369" i="5"/>
  <c r="AL419" i="5"/>
  <c r="AU419" i="5"/>
  <c r="BM419" i="5" s="1"/>
  <c r="BG419" i="5"/>
  <c r="BH419" i="5" a="1"/>
  <c r="BH419" i="5" s="1"/>
  <c r="BL419" i="5"/>
  <c r="BF27" i="5"/>
  <c r="BM27" i="5"/>
  <c r="BW27" i="5"/>
  <c r="BT27" i="5" a="1"/>
  <c r="BT27" i="5" s="1"/>
  <c r="BU27" i="5" a="1"/>
  <c r="BU27" i="5" s="1"/>
  <c r="CO27" i="5" a="1"/>
  <c r="CO27" i="5" s="1"/>
  <c r="CS27" i="5" a="1"/>
  <c r="CS27" i="5" s="1"/>
  <c r="CP27" i="5" a="1"/>
  <c r="CP27" i="5" s="1"/>
  <c r="CR27" i="5" a="1"/>
  <c r="CR27" i="5" s="1"/>
  <c r="AV87" i="5"/>
  <c r="BI87" i="5"/>
  <c r="AV197" i="5"/>
  <c r="BI197" i="5"/>
  <c r="BM197" i="5"/>
  <c r="AP3" i="5"/>
  <c r="AM333" i="5"/>
  <c r="AP333" i="5" s="1"/>
  <c r="AR333" i="5"/>
  <c r="AS333" i="5"/>
  <c r="AV333" i="5"/>
  <c r="AM271" i="5"/>
  <c r="AP271" i="5" s="1"/>
  <c r="AS271" i="5"/>
  <c r="AV271" i="5"/>
  <c r="AR271" i="5"/>
  <c r="BI133" i="5"/>
  <c r="BM133" i="5"/>
  <c r="BI395" i="5"/>
  <c r="BM395" i="5"/>
  <c r="BM434" i="5"/>
  <c r="BI434" i="5"/>
  <c r="AA14" i="5" a="1"/>
  <c r="AA14" i="5" s="1"/>
  <c r="CL14" i="5" s="1"/>
  <c r="AA53" i="5" a="1"/>
  <c r="AA53" i="5" s="1"/>
  <c r="AB53" i="5" s="1"/>
  <c r="AA92" i="5" a="1"/>
  <c r="AA92" i="5" s="1"/>
  <c r="AB92" i="5" s="1"/>
  <c r="AA142" i="5" a="1"/>
  <c r="AA142" i="5" s="1"/>
  <c r="CL142" i="5" s="1"/>
  <c r="AA192" i="5" a="1"/>
  <c r="AA192" i="5" s="1"/>
  <c r="AB192" i="5" s="1"/>
  <c r="AA242" i="5" a="1"/>
  <c r="AA242" i="5" s="1"/>
  <c r="AB242" i="5"/>
  <c r="AA292" i="5" a="1"/>
  <c r="AA292" i="5" s="1"/>
  <c r="CL292" i="5" s="1"/>
  <c r="AA342" i="5" a="1"/>
  <c r="AA342" i="5" s="1"/>
  <c r="AB342" i="5" s="1"/>
  <c r="AA392" i="5" a="1"/>
  <c r="AA392" i="5" s="1"/>
  <c r="CL392" i="5" s="1"/>
  <c r="AA437" i="5" a="1"/>
  <c r="AA437" i="5" s="1"/>
  <c r="AB437" i="5" s="1"/>
  <c r="BZ245" i="5"/>
  <c r="CL245" i="5"/>
  <c r="AA82" i="5" a="1"/>
  <c r="AA82" i="5" s="1"/>
  <c r="CL82" i="5" s="1"/>
  <c r="AA104" i="5" a="1"/>
  <c r="AA104" i="5" s="1"/>
  <c r="CL104" i="5" s="1"/>
  <c r="AB104" i="5"/>
  <c r="BZ12" i="5"/>
  <c r="CL12" i="5"/>
  <c r="BZ84" i="5"/>
  <c r="CL84" i="5"/>
  <c r="BZ162" i="5"/>
  <c r="BZ301" i="5"/>
  <c r="CL301" i="5"/>
  <c r="BZ373" i="5"/>
  <c r="CL373" i="5"/>
  <c r="BZ434" i="5"/>
  <c r="BZ175" i="5"/>
  <c r="BZ375" i="5"/>
  <c r="AB162" i="5"/>
  <c r="AA162" i="5" a="1"/>
  <c r="AA162" i="5" s="1"/>
  <c r="CL162" i="5" s="1"/>
  <c r="AA434" i="5" a="1"/>
  <c r="AA434" i="5" s="1"/>
  <c r="CL434" i="5" s="1"/>
  <c r="AB434" i="5"/>
  <c r="BZ231" i="5"/>
  <c r="CL231" i="5"/>
  <c r="BZ205" i="5"/>
  <c r="CL205" i="5"/>
  <c r="AA400" i="5" a="1"/>
  <c r="AA400" i="5" s="1"/>
  <c r="AB400" i="5" s="1"/>
  <c r="BZ327" i="5"/>
  <c r="CL327" i="5"/>
  <c r="AA300" i="5" a="1"/>
  <c r="AA300" i="5" s="1"/>
  <c r="AB300" i="5" s="1"/>
  <c r="BZ363" i="5"/>
  <c r="CL363" i="5"/>
  <c r="AA113" i="5" a="1"/>
  <c r="AA113" i="5" s="1"/>
  <c r="AB113" i="5" s="1"/>
  <c r="AA252" i="5" a="1"/>
  <c r="AA252" i="5" s="1"/>
  <c r="CL252" i="5" s="1"/>
  <c r="AA364" i="5" a="1"/>
  <c r="AA364" i="5" s="1"/>
  <c r="CL364" i="5" s="1"/>
  <c r="BZ232" i="5"/>
  <c r="AA433" i="5" a="1"/>
  <c r="AA433" i="5" s="1"/>
  <c r="CL433" i="5" s="1"/>
  <c r="BZ365" i="5"/>
  <c r="CL365" i="5"/>
  <c r="AA11" i="5" a="1"/>
  <c r="AA11" i="5" s="1"/>
  <c r="AB11" i="5"/>
  <c r="AA344" i="5" a="1"/>
  <c r="AA344" i="5" s="1"/>
  <c r="CL344" i="5" s="1"/>
  <c r="BZ424" i="5"/>
  <c r="CL424" i="5"/>
  <c r="BZ52" i="5"/>
  <c r="BZ197" i="5"/>
  <c r="CL197" i="5"/>
  <c r="BZ337" i="5"/>
  <c r="CL337" i="5"/>
  <c r="BZ402" i="5"/>
  <c r="CL402" i="5"/>
  <c r="BZ324" i="5"/>
  <c r="CL324" i="5"/>
  <c r="BB2" i="5"/>
  <c r="CJ16" i="5" a="1"/>
  <c r="CJ16" i="5" s="1"/>
  <c r="CJ27" i="5" a="1"/>
  <c r="CJ27" i="5" s="1"/>
  <c r="CJ38" i="5" a="1"/>
  <c r="CJ38" i="5" s="1"/>
  <c r="CJ49" i="5" a="1"/>
  <c r="CJ49" i="5" s="1"/>
  <c r="CJ66" i="5" a="1"/>
  <c r="CJ66" i="5" s="1"/>
  <c r="CJ77" i="5" a="1"/>
  <c r="CJ77" i="5" s="1"/>
  <c r="CJ88" i="5" a="1"/>
  <c r="CJ88" i="5" s="1"/>
  <c r="CJ99" i="5" a="1"/>
  <c r="CJ99" i="5" s="1"/>
  <c r="CJ116" i="5" a="1"/>
  <c r="CJ116" i="5" s="1"/>
  <c r="CJ127" i="5" a="1"/>
  <c r="CJ127" i="5" s="1"/>
  <c r="CJ138" i="5" a="1"/>
  <c r="CJ138" i="5" s="1"/>
  <c r="CJ149" i="5" a="1"/>
  <c r="CJ149" i="5" s="1"/>
  <c r="CJ166" i="5" a="1"/>
  <c r="CJ166" i="5" s="1"/>
  <c r="CJ177" i="5" a="1"/>
  <c r="CJ177" i="5" s="1"/>
  <c r="CJ188" i="5" a="1"/>
  <c r="CJ188" i="5" s="1"/>
  <c r="CJ199" i="5" a="1"/>
  <c r="CJ199" i="5" s="1"/>
  <c r="CJ210" i="5" a="1"/>
  <c r="CJ210" i="5" s="1"/>
  <c r="CJ216" i="5" a="1"/>
  <c r="CJ216" i="5" s="1"/>
  <c r="CJ227" i="5" a="1"/>
  <c r="CJ227" i="5" s="1"/>
  <c r="CJ238" i="5" a="1"/>
  <c r="CJ238" i="5" s="1"/>
  <c r="CJ249" i="5" a="1"/>
  <c r="CJ249" i="5" s="1"/>
  <c r="CJ266" i="5" a="1"/>
  <c r="CJ266" i="5" s="1"/>
  <c r="CJ277" i="5" a="1"/>
  <c r="CJ277" i="5" s="1"/>
  <c r="CJ288" i="5" a="1"/>
  <c r="CJ288" i="5" s="1"/>
  <c r="CJ299" i="5" a="1"/>
  <c r="CJ299" i="5" s="1"/>
  <c r="CJ310" i="5" a="1"/>
  <c r="CJ310" i="5" s="1"/>
  <c r="CJ316" i="5" a="1"/>
  <c r="CJ316" i="5" s="1"/>
  <c r="CJ327" i="5" a="1"/>
  <c r="CJ327" i="5" s="1"/>
  <c r="CJ338" i="5" a="1"/>
  <c r="CJ338" i="5" s="1"/>
  <c r="CJ349" i="5" a="1"/>
  <c r="CJ349" i="5" s="1"/>
  <c r="CJ366" i="5" a="1"/>
  <c r="CJ366" i="5" s="1"/>
  <c r="CJ377" i="5" a="1"/>
  <c r="CJ377" i="5" s="1"/>
  <c r="CJ388" i="5" a="1"/>
  <c r="CJ388" i="5" s="1"/>
  <c r="CJ399" i="5" a="1"/>
  <c r="CJ399" i="5" s="1"/>
  <c r="CJ410" i="5" a="1"/>
  <c r="CJ410" i="5" s="1"/>
  <c r="CJ416" i="5" a="1"/>
  <c r="CJ416" i="5" s="1"/>
  <c r="CJ427" i="5" a="1"/>
  <c r="CJ427" i="5" s="1"/>
  <c r="CJ438" i="5" a="1"/>
  <c r="CJ438" i="5" s="1"/>
  <c r="CJ12" i="5" a="1"/>
  <c r="CJ12" i="5" s="1"/>
  <c r="CJ23" i="5" a="1"/>
  <c r="CJ23" i="5" s="1"/>
  <c r="CJ34" i="5" a="1"/>
  <c r="CJ34" i="5" s="1"/>
  <c r="CJ45" i="5" a="1"/>
  <c r="CJ45" i="5" s="1"/>
  <c r="CJ62" i="5" a="1"/>
  <c r="CJ62" i="5" s="1"/>
  <c r="CJ73" i="5" a="1"/>
  <c r="CJ73" i="5" s="1"/>
  <c r="CJ84" i="5" a="1"/>
  <c r="CJ84" i="5" s="1"/>
  <c r="CJ95" i="5" a="1"/>
  <c r="CJ95" i="5" s="1"/>
  <c r="CJ112" i="5" a="1"/>
  <c r="CJ112" i="5" s="1"/>
  <c r="CJ123" i="5" a="1"/>
  <c r="CJ123" i="5" s="1"/>
  <c r="CJ134" i="5" a="1"/>
  <c r="CJ134" i="5" s="1"/>
  <c r="CJ145" i="5" a="1"/>
  <c r="CJ145" i="5" s="1"/>
  <c r="CJ151" i="5" a="1"/>
  <c r="CJ151" i="5" s="1"/>
  <c r="CJ9" i="5" a="1"/>
  <c r="CJ9" i="5" s="1"/>
  <c r="CJ37" i="5" a="1"/>
  <c r="CJ37" i="5" s="1"/>
  <c r="CJ44" i="5" a="1"/>
  <c r="CJ44" i="5" s="1"/>
  <c r="CJ58" i="5" a="1"/>
  <c r="CJ58" i="5" s="1"/>
  <c r="CJ72" i="5" a="1"/>
  <c r="CJ72" i="5" s="1"/>
  <c r="CJ79" i="5" a="1"/>
  <c r="CJ79" i="5" s="1"/>
  <c r="CJ86" i="5" a="1"/>
  <c r="CJ86" i="5" s="1"/>
  <c r="CJ107" i="5" a="1"/>
  <c r="CJ107" i="5" s="1"/>
  <c r="CJ120" i="5" a="1"/>
  <c r="CJ120" i="5" s="1"/>
  <c r="CJ148" i="5" a="1"/>
  <c r="CJ148" i="5" s="1"/>
  <c r="CJ155" i="5" a="1"/>
  <c r="CJ155" i="5" s="1"/>
  <c r="CJ186" i="5" a="1"/>
  <c r="CJ186" i="5" s="1"/>
  <c r="CJ192" i="5" a="1"/>
  <c r="CJ192" i="5" s="1"/>
  <c r="CJ198" i="5" a="1"/>
  <c r="CJ198" i="5" s="1"/>
  <c r="CJ204" i="5" a="1"/>
  <c r="CJ204" i="5" s="1"/>
  <c r="CJ211" i="5" a="1"/>
  <c r="CJ211" i="5" s="1"/>
  <c r="CJ217" i="5" a="1"/>
  <c r="CJ217" i="5" s="1"/>
  <c r="CJ223" i="5" a="1"/>
  <c r="CJ223" i="5" s="1"/>
  <c r="CJ229" i="5" a="1"/>
  <c r="CJ229" i="5" s="1"/>
  <c r="CJ235" i="5" a="1"/>
  <c r="CJ235" i="5" s="1"/>
  <c r="CJ291" i="5" a="1"/>
  <c r="CJ291" i="5" s="1"/>
  <c r="CJ297" i="5" a="1"/>
  <c r="CJ297" i="5" s="1"/>
  <c r="CJ303" i="5" a="1"/>
  <c r="CJ303" i="5" s="1"/>
  <c r="CJ309" i="5" a="1"/>
  <c r="CJ309" i="5" s="1"/>
  <c r="CJ315" i="5" a="1"/>
  <c r="CJ315" i="5" s="1"/>
  <c r="CJ322" i="5" a="1"/>
  <c r="CJ322" i="5" s="1"/>
  <c r="CJ328" i="5" a="1"/>
  <c r="CJ328" i="5" s="1"/>
  <c r="CJ334" i="5" a="1"/>
  <c r="CJ334" i="5" s="1"/>
  <c r="CJ340" i="5" a="1"/>
  <c r="CJ340" i="5" s="1"/>
  <c r="CJ371" i="5" a="1"/>
  <c r="CJ371" i="5" s="1"/>
  <c r="CJ396" i="5" a="1"/>
  <c r="CJ396" i="5" s="1"/>
  <c r="CJ402" i="5" a="1"/>
  <c r="CJ402" i="5" s="1"/>
  <c r="CJ408" i="5" a="1"/>
  <c r="CJ408" i="5" s="1"/>
  <c r="CJ414" i="5" a="1"/>
  <c r="CJ414" i="5" s="1"/>
  <c r="CJ420" i="5" a="1"/>
  <c r="CJ420" i="5" s="1"/>
  <c r="CJ433" i="5" a="1"/>
  <c r="CJ433" i="5" s="1"/>
  <c r="CJ439" i="5" a="1"/>
  <c r="CJ439" i="5" s="1"/>
  <c r="CJ3" i="5" a="1"/>
  <c r="CJ3" i="5" s="1"/>
  <c r="CJ17" i="5" a="1"/>
  <c r="CJ17" i="5" s="1"/>
  <c r="CJ24" i="5" a="1"/>
  <c r="CJ24" i="5" s="1"/>
  <c r="CJ31" i="5" a="1"/>
  <c r="CJ31" i="5" s="1"/>
  <c r="CJ52" i="5" a="1"/>
  <c r="CJ52" i="5" s="1"/>
  <c r="CJ65" i="5" a="1"/>
  <c r="CJ65" i="5" s="1"/>
  <c r="CJ93" i="5" a="1"/>
  <c r="CJ93" i="5" s="1"/>
  <c r="CJ114" i="5" a="1"/>
  <c r="CJ114" i="5" s="1"/>
  <c r="CJ121" i="5" a="1"/>
  <c r="CJ121" i="5" s="1"/>
  <c r="CJ128" i="5" a="1"/>
  <c r="CJ128" i="5" s="1"/>
  <c r="CJ135" i="5" a="1"/>
  <c r="CJ135" i="5" s="1"/>
  <c r="CJ142" i="5" a="1"/>
  <c r="CJ142" i="5" s="1"/>
  <c r="CJ156" i="5" a="1"/>
  <c r="CJ156" i="5" s="1"/>
  <c r="CJ162" i="5" a="1"/>
  <c r="CJ162" i="5" s="1"/>
  <c r="CJ168" i="5" a="1"/>
  <c r="CJ168" i="5" s="1"/>
  <c r="CJ174" i="5" a="1"/>
  <c r="CJ174" i="5" s="1"/>
  <c r="CJ205" i="5" a="1"/>
  <c r="CJ205" i="5" s="1"/>
  <c r="CJ236" i="5" a="1"/>
  <c r="CJ236" i="5" s="1"/>
  <c r="CJ242" i="5" a="1"/>
  <c r="CJ242" i="5" s="1"/>
  <c r="CJ248" i="5" a="1"/>
  <c r="CJ248" i="5" s="1"/>
  <c r="CJ254" i="5" a="1"/>
  <c r="CJ254" i="5" s="1"/>
  <c r="CJ261" i="5" a="1"/>
  <c r="CJ261" i="5" s="1"/>
  <c r="CJ267" i="5" a="1"/>
  <c r="CJ267" i="5" s="1"/>
  <c r="CJ273" i="5" a="1"/>
  <c r="CJ273" i="5" s="1"/>
  <c r="CJ279" i="5" a="1"/>
  <c r="CJ279" i="5" s="1"/>
  <c r="CJ285" i="5" a="1"/>
  <c r="CJ285" i="5" s="1"/>
  <c r="CJ341" i="5" a="1"/>
  <c r="CJ341" i="5" s="1"/>
  <c r="CJ347" i="5" a="1"/>
  <c r="CJ347" i="5" s="1"/>
  <c r="CJ353" i="5" a="1"/>
  <c r="CJ353" i="5" s="1"/>
  <c r="CJ359" i="5" a="1"/>
  <c r="CJ359" i="5" s="1"/>
  <c r="CJ365" i="5" a="1"/>
  <c r="CJ365" i="5" s="1"/>
  <c r="CJ372" i="5" a="1"/>
  <c r="CJ372" i="5" s="1"/>
  <c r="CJ378" i="5" a="1"/>
  <c r="CJ378" i="5" s="1"/>
  <c r="CJ384" i="5" a="1"/>
  <c r="CJ384" i="5" s="1"/>
  <c r="CJ390" i="5" a="1"/>
  <c r="CJ390" i="5" s="1"/>
  <c r="CJ421" i="5" a="1"/>
  <c r="CJ421" i="5" s="1"/>
  <c r="CJ18" i="5" a="1"/>
  <c r="CJ18" i="5" s="1"/>
  <c r="CJ46" i="5" a="1"/>
  <c r="CJ46" i="5" s="1"/>
  <c r="CJ59" i="5" a="1"/>
  <c r="CJ59" i="5" s="1"/>
  <c r="CJ87" i="5" a="1"/>
  <c r="CJ87" i="5" s="1"/>
  <c r="CJ94" i="5" a="1"/>
  <c r="CJ94" i="5" s="1"/>
  <c r="CJ108" i="5" a="1"/>
  <c r="CJ108" i="5" s="1"/>
  <c r="CJ122" i="5" a="1"/>
  <c r="CJ122" i="5" s="1"/>
  <c r="CJ129" i="5" a="1"/>
  <c r="CJ129" i="5" s="1"/>
  <c r="CJ136" i="5" a="1"/>
  <c r="CJ136" i="5" s="1"/>
  <c r="CJ181" i="5" a="1"/>
  <c r="CJ181" i="5" s="1"/>
  <c r="CJ187" i="5" a="1"/>
  <c r="CJ187" i="5" s="1"/>
  <c r="CJ193" i="5" a="1"/>
  <c r="CJ193" i="5" s="1"/>
  <c r="CJ206" i="5" a="1"/>
  <c r="CJ206" i="5" s="1"/>
  <c r="CJ212" i="5" a="1"/>
  <c r="CJ212" i="5" s="1"/>
  <c r="CJ218" i="5" a="1"/>
  <c r="CJ218" i="5" s="1"/>
  <c r="CJ224" i="5" a="1"/>
  <c r="CJ224" i="5" s="1"/>
  <c r="CJ255" i="5" a="1"/>
  <c r="CJ255" i="5" s="1"/>
  <c r="CJ286" i="5" a="1"/>
  <c r="CJ286" i="5" s="1"/>
  <c r="CJ292" i="5" a="1"/>
  <c r="CJ292" i="5" s="1"/>
  <c r="CJ298" i="5" a="1"/>
  <c r="CJ298" i="5" s="1"/>
  <c r="CJ304" i="5" a="1"/>
  <c r="CJ304" i="5" s="1"/>
  <c r="CJ311" i="5" a="1"/>
  <c r="CJ311" i="5" s="1"/>
  <c r="CJ317" i="5" a="1"/>
  <c r="CJ317" i="5" s="1"/>
  <c r="CJ323" i="5" a="1"/>
  <c r="CJ323" i="5" s="1"/>
  <c r="CJ329" i="5" a="1"/>
  <c r="CJ329" i="5" s="1"/>
  <c r="CJ335" i="5" a="1"/>
  <c r="CJ335" i="5" s="1"/>
  <c r="CJ391" i="5" a="1"/>
  <c r="CJ391" i="5" s="1"/>
  <c r="CJ397" i="5" a="1"/>
  <c r="CJ397" i="5" s="1"/>
  <c r="CJ403" i="5" a="1"/>
  <c r="CJ403" i="5" s="1"/>
  <c r="CJ409" i="5" a="1"/>
  <c r="CJ409" i="5" s="1"/>
  <c r="CJ415" i="5" a="1"/>
  <c r="CJ415" i="5" s="1"/>
  <c r="CJ422" i="5" a="1"/>
  <c r="CJ422" i="5" s="1"/>
  <c r="CJ428" i="5" a="1"/>
  <c r="CJ428" i="5" s="1"/>
  <c r="CJ434" i="5" a="1"/>
  <c r="CJ434" i="5" s="1"/>
  <c r="CJ440" i="5" a="1"/>
  <c r="CJ440" i="5" s="1"/>
  <c r="CJ4" i="5" a="1"/>
  <c r="CJ4" i="5" s="1"/>
  <c r="CJ25" i="5" a="1"/>
  <c r="CJ25" i="5" s="1"/>
  <c r="CJ32" i="5" a="1"/>
  <c r="CJ32" i="5" s="1"/>
  <c r="CJ39" i="5" a="1"/>
  <c r="CJ39" i="5" s="1"/>
  <c r="CJ53" i="5" a="1"/>
  <c r="CJ53" i="5" s="1"/>
  <c r="CJ67" i="5" a="1"/>
  <c r="CJ67" i="5" s="1"/>
  <c r="CJ74" i="5" a="1"/>
  <c r="CJ74" i="5" s="1"/>
  <c r="CJ102" i="5" a="1"/>
  <c r="CJ102" i="5" s="1"/>
  <c r="CJ115" i="5" a="1"/>
  <c r="CJ115" i="5" s="1"/>
  <c r="CJ143" i="5" a="1"/>
  <c r="CJ143" i="5" s="1"/>
  <c r="CJ150" i="5" a="1"/>
  <c r="CJ150" i="5" s="1"/>
  <c r="CJ157" i="5" a="1"/>
  <c r="CJ157" i="5" s="1"/>
  <c r="CJ163" i="5" a="1"/>
  <c r="CJ163" i="5" s="1"/>
  <c r="CJ169" i="5" a="1"/>
  <c r="CJ169" i="5" s="1"/>
  <c r="CJ175" i="5" a="1"/>
  <c r="CJ175" i="5" s="1"/>
  <c r="CJ194" i="5" a="1"/>
  <c r="CJ194" i="5" s="1"/>
  <c r="CJ200" i="5" a="1"/>
  <c r="CJ200" i="5" s="1"/>
  <c r="CJ231" i="5" a="1"/>
  <c r="CJ231" i="5" s="1"/>
  <c r="CJ237" i="5" a="1"/>
  <c r="CJ237" i="5" s="1"/>
  <c r="CJ243" i="5" a="1"/>
  <c r="CJ243" i="5" s="1"/>
  <c r="CJ256" i="5" a="1"/>
  <c r="CJ256" i="5" s="1"/>
  <c r="CJ262" i="5" a="1"/>
  <c r="CJ262" i="5" s="1"/>
  <c r="CJ268" i="5" a="1"/>
  <c r="CJ268" i="5" s="1"/>
  <c r="CJ274" i="5" a="1"/>
  <c r="CJ274" i="5" s="1"/>
  <c r="CJ305" i="5" a="1"/>
  <c r="CJ305" i="5" s="1"/>
  <c r="CJ336" i="5" a="1"/>
  <c r="CJ336" i="5" s="1"/>
  <c r="CJ342" i="5" a="1"/>
  <c r="CJ342" i="5" s="1"/>
  <c r="CJ348" i="5" a="1"/>
  <c r="CJ348" i="5" s="1"/>
  <c r="CJ354" i="5" a="1"/>
  <c r="CJ354" i="5" s="1"/>
  <c r="CJ361" i="5" a="1"/>
  <c r="CJ361" i="5" s="1"/>
  <c r="CJ367" i="5" a="1"/>
  <c r="CJ367" i="5" s="1"/>
  <c r="CJ373" i="5" a="1"/>
  <c r="CJ373" i="5" s="1"/>
  <c r="CJ379" i="5" a="1"/>
  <c r="CJ379" i="5" s="1"/>
  <c r="CJ385" i="5" a="1"/>
  <c r="CJ385" i="5" s="1"/>
  <c r="CJ441" i="5" a="1"/>
  <c r="CJ441" i="5" s="1"/>
  <c r="CJ5" i="5" a="1"/>
  <c r="CJ5" i="5" s="1"/>
  <c r="CJ19" i="5" a="1"/>
  <c r="CJ19" i="5" s="1"/>
  <c r="CJ26" i="5" a="1"/>
  <c r="CJ26" i="5" s="1"/>
  <c r="CJ33" i="5" a="1"/>
  <c r="CJ33" i="5" s="1"/>
  <c r="CJ47" i="5" a="1"/>
  <c r="CJ47" i="5" s="1"/>
  <c r="CJ61" i="5" a="1"/>
  <c r="CJ61" i="5" s="1"/>
  <c r="CJ68" i="5" a="1"/>
  <c r="CJ68" i="5" s="1"/>
  <c r="CJ96" i="5" a="1"/>
  <c r="CJ96" i="5" s="1"/>
  <c r="CJ109" i="5" a="1"/>
  <c r="CJ109" i="5" s="1"/>
  <c r="CJ130" i="5" a="1"/>
  <c r="CJ130" i="5" s="1"/>
  <c r="CJ137" i="5" a="1"/>
  <c r="CJ137" i="5" s="1"/>
  <c r="CJ144" i="5" a="1"/>
  <c r="CJ144" i="5" s="1"/>
  <c r="CJ176" i="5" a="1"/>
  <c r="CJ176" i="5" s="1"/>
  <c r="CJ182" i="5" a="1"/>
  <c r="CJ182" i="5" s="1"/>
  <c r="CJ201" i="5" a="1"/>
  <c r="CJ201" i="5" s="1"/>
  <c r="CJ207" i="5" a="1"/>
  <c r="CJ207" i="5" s="1"/>
  <c r="CJ213" i="5" a="1"/>
  <c r="CJ213" i="5" s="1"/>
  <c r="CJ219" i="5" a="1"/>
  <c r="CJ219" i="5" s="1"/>
  <c r="CJ225" i="5" a="1"/>
  <c r="CJ225" i="5" s="1"/>
  <c r="CJ244" i="5" a="1"/>
  <c r="CJ244" i="5" s="1"/>
  <c r="CJ281" i="5" a="1"/>
  <c r="CJ281" i="5" s="1"/>
  <c r="CJ287" i="5" a="1"/>
  <c r="CJ287" i="5" s="1"/>
  <c r="CJ293" i="5" a="1"/>
  <c r="CJ293" i="5" s="1"/>
  <c r="CJ306" i="5" a="1"/>
  <c r="CJ306" i="5" s="1"/>
  <c r="CJ312" i="5" a="1"/>
  <c r="CJ312" i="5" s="1"/>
  <c r="CJ318" i="5" a="1"/>
  <c r="CJ318" i="5" s="1"/>
  <c r="CJ324" i="5" a="1"/>
  <c r="CJ324" i="5" s="1"/>
  <c r="CJ355" i="5" a="1"/>
  <c r="CJ355" i="5" s="1"/>
  <c r="CJ386" i="5" a="1"/>
  <c r="CJ386" i="5" s="1"/>
  <c r="CJ392" i="5" a="1"/>
  <c r="CJ392" i="5" s="1"/>
  <c r="CJ398" i="5" a="1"/>
  <c r="CJ398" i="5" s="1"/>
  <c r="CJ404" i="5" a="1"/>
  <c r="CJ404" i="5" s="1"/>
  <c r="CJ411" i="5" a="1"/>
  <c r="CJ411" i="5" s="1"/>
  <c r="CJ417" i="5" a="1"/>
  <c r="CJ417" i="5" s="1"/>
  <c r="CJ423" i="5" a="1"/>
  <c r="CJ423" i="5" s="1"/>
  <c r="CJ429" i="5" a="1"/>
  <c r="CJ429" i="5" s="1"/>
  <c r="CJ435" i="5" a="1"/>
  <c r="CJ435" i="5" s="1"/>
  <c r="CJ6" i="5" a="1"/>
  <c r="CJ6" i="5" s="1"/>
  <c r="CJ13" i="5" a="1"/>
  <c r="CJ13" i="5" s="1"/>
  <c r="CJ41" i="5" a="1"/>
  <c r="CJ41" i="5" s="1"/>
  <c r="CJ54" i="5" a="1"/>
  <c r="CJ54" i="5" s="1"/>
  <c r="CJ75" i="5" a="1"/>
  <c r="CJ75" i="5" s="1"/>
  <c r="CJ82" i="5" a="1"/>
  <c r="CJ82" i="5" s="1"/>
  <c r="CJ89" i="5" a="1"/>
  <c r="CJ89" i="5" s="1"/>
  <c r="CJ103" i="5" a="1"/>
  <c r="CJ103" i="5" s="1"/>
  <c r="CJ117" i="5" a="1"/>
  <c r="CJ117" i="5" s="1"/>
  <c r="CJ124" i="5" a="1"/>
  <c r="CJ124" i="5" s="1"/>
  <c r="CJ131" i="5" a="1"/>
  <c r="CJ131" i="5" s="1"/>
  <c r="CJ152" i="5" a="1"/>
  <c r="CJ152" i="5" s="1"/>
  <c r="CJ158" i="5" a="1"/>
  <c r="CJ158" i="5" s="1"/>
  <c r="CJ164" i="5" a="1"/>
  <c r="CJ164" i="5" s="1"/>
  <c r="CJ170" i="5" a="1"/>
  <c r="CJ170" i="5" s="1"/>
  <c r="CJ183" i="5" a="1"/>
  <c r="CJ183" i="5" s="1"/>
  <c r="CJ189" i="5" a="1"/>
  <c r="CJ189" i="5" s="1"/>
  <c r="CJ195" i="5" a="1"/>
  <c r="CJ195" i="5" s="1"/>
  <c r="CJ226" i="5" a="1"/>
  <c r="CJ226" i="5" s="1"/>
  <c r="CJ232" i="5" a="1"/>
  <c r="CJ232" i="5" s="1"/>
  <c r="CJ251" i="5" a="1"/>
  <c r="CJ251" i="5" s="1"/>
  <c r="CJ257" i="5" a="1"/>
  <c r="CJ257" i="5" s="1"/>
  <c r="CJ263" i="5" a="1"/>
  <c r="CJ263" i="5" s="1"/>
  <c r="CJ269" i="5" a="1"/>
  <c r="CJ269" i="5" s="1"/>
  <c r="CJ275" i="5" a="1"/>
  <c r="CJ275" i="5" s="1"/>
  <c r="CJ294" i="5" a="1"/>
  <c r="CJ294" i="5" s="1"/>
  <c r="CJ300" i="5" a="1"/>
  <c r="CJ300" i="5" s="1"/>
  <c r="CJ331" i="5" a="1"/>
  <c r="CJ331" i="5" s="1"/>
  <c r="CJ337" i="5" a="1"/>
  <c r="CJ337" i="5" s="1"/>
  <c r="CJ343" i="5" a="1"/>
  <c r="CJ343" i="5" s="1"/>
  <c r="CJ356" i="5" a="1"/>
  <c r="CJ356" i="5" s="1"/>
  <c r="CJ362" i="5" a="1"/>
  <c r="CJ362" i="5" s="1"/>
  <c r="CJ368" i="5" a="1"/>
  <c r="CJ368" i="5" s="1"/>
  <c r="CJ374" i="5" a="1"/>
  <c r="CJ374" i="5" s="1"/>
  <c r="CJ405" i="5" a="1"/>
  <c r="CJ405" i="5" s="1"/>
  <c r="CJ436" i="5" a="1"/>
  <c r="CJ436" i="5" s="1"/>
  <c r="CJ442" i="5" a="1"/>
  <c r="CJ442" i="5" s="1"/>
  <c r="CJ7" i="5" a="1"/>
  <c r="CJ7" i="5" s="1"/>
  <c r="CJ20" i="5" a="1"/>
  <c r="CJ20" i="5" s="1"/>
  <c r="CJ48" i="5" a="1"/>
  <c r="CJ48" i="5" s="1"/>
  <c r="CJ55" i="5" a="1"/>
  <c r="CJ55" i="5" s="1"/>
  <c r="CJ69" i="5" a="1"/>
  <c r="CJ69" i="5" s="1"/>
  <c r="CJ76" i="5" a="1"/>
  <c r="CJ76" i="5" s="1"/>
  <c r="CJ83" i="5" a="1"/>
  <c r="CJ83" i="5" s="1"/>
  <c r="CJ97" i="5" a="1"/>
  <c r="CJ97" i="5" s="1"/>
  <c r="CJ118" i="5" a="1"/>
  <c r="CJ118" i="5" s="1"/>
  <c r="CJ146" i="5" a="1"/>
  <c r="CJ146" i="5" s="1"/>
  <c r="CJ171" i="5" a="1"/>
  <c r="CJ171" i="5" s="1"/>
  <c r="CJ196" i="5" a="1"/>
  <c r="CJ196" i="5" s="1"/>
  <c r="CJ202" i="5" a="1"/>
  <c r="CJ202" i="5" s="1"/>
  <c r="CJ208" i="5" a="1"/>
  <c r="CJ208" i="5" s="1"/>
  <c r="CJ214" i="5" a="1"/>
  <c r="CJ214" i="5" s="1"/>
  <c r="CJ220" i="5" a="1"/>
  <c r="CJ220" i="5" s="1"/>
  <c r="CJ233" i="5" a="1"/>
  <c r="CJ233" i="5" s="1"/>
  <c r="CJ239" i="5" a="1"/>
  <c r="CJ239" i="5" s="1"/>
  <c r="CJ245" i="5" a="1"/>
  <c r="CJ245" i="5" s="1"/>
  <c r="CJ276" i="5" a="1"/>
  <c r="CJ276" i="5" s="1"/>
  <c r="CJ282" i="5" a="1"/>
  <c r="CJ282" i="5" s="1"/>
  <c r="CJ301" i="5" a="1"/>
  <c r="CJ301" i="5" s="1"/>
  <c r="CJ307" i="5" a="1"/>
  <c r="CJ307" i="5" s="1"/>
  <c r="CJ313" i="5" a="1"/>
  <c r="CJ313" i="5" s="1"/>
  <c r="CJ319" i="5" a="1"/>
  <c r="CJ319" i="5" s="1"/>
  <c r="CJ325" i="5" a="1"/>
  <c r="CJ325" i="5" s="1"/>
  <c r="CJ344" i="5" a="1"/>
  <c r="CJ344" i="5" s="1"/>
  <c r="CJ381" i="5" a="1"/>
  <c r="CJ381" i="5" s="1"/>
  <c r="CJ387" i="5" a="1"/>
  <c r="CJ387" i="5" s="1"/>
  <c r="CJ393" i="5" a="1"/>
  <c r="CJ393" i="5" s="1"/>
  <c r="CJ406" i="5" a="1"/>
  <c r="CJ406" i="5" s="1"/>
  <c r="CJ412" i="5" a="1"/>
  <c r="CJ412" i="5" s="1"/>
  <c r="CJ418" i="5" a="1"/>
  <c r="CJ418" i="5" s="1"/>
  <c r="CJ424" i="5" a="1"/>
  <c r="CJ424" i="5" s="1"/>
  <c r="CJ14" i="5" a="1"/>
  <c r="CJ14" i="5" s="1"/>
  <c r="CJ21" i="5" a="1"/>
  <c r="CJ21" i="5" s="1"/>
  <c r="CJ28" i="5" a="1"/>
  <c r="CJ28" i="5" s="1"/>
  <c r="CJ35" i="5" a="1"/>
  <c r="CJ35" i="5" s="1"/>
  <c r="CJ42" i="5" a="1"/>
  <c r="CJ42" i="5" s="1"/>
  <c r="CJ56" i="5" a="1"/>
  <c r="CJ56" i="5" s="1"/>
  <c r="CJ63" i="5" a="1"/>
  <c r="CJ63" i="5" s="1"/>
  <c r="CJ91" i="5" a="1"/>
  <c r="CJ91" i="5" s="1"/>
  <c r="CJ104" i="5" a="1"/>
  <c r="CJ104" i="5" s="1"/>
  <c r="CJ125" i="5" a="1"/>
  <c r="CJ125" i="5" s="1"/>
  <c r="CJ132" i="5" a="1"/>
  <c r="CJ132" i="5" s="1"/>
  <c r="CJ139" i="5" a="1"/>
  <c r="CJ139" i="5" s="1"/>
  <c r="CJ153" i="5" a="1"/>
  <c r="CJ153" i="5" s="1"/>
  <c r="CJ159" i="5" a="1"/>
  <c r="CJ159" i="5" s="1"/>
  <c r="CJ165" i="5" a="1"/>
  <c r="CJ165" i="5" s="1"/>
  <c r="CJ172" i="5" a="1"/>
  <c r="CJ172" i="5" s="1"/>
  <c r="CJ178" i="5" a="1"/>
  <c r="CJ178" i="5" s="1"/>
  <c r="CJ184" i="5" a="1"/>
  <c r="CJ184" i="5" s="1"/>
  <c r="CJ190" i="5" a="1"/>
  <c r="CJ190" i="5" s="1"/>
  <c r="CJ221" i="5" a="1"/>
  <c r="CJ221" i="5" s="1"/>
  <c r="CJ246" i="5" a="1"/>
  <c r="CJ246" i="5" s="1"/>
  <c r="CJ252" i="5" a="1"/>
  <c r="CJ252" i="5" s="1"/>
  <c r="CJ258" i="5" a="1"/>
  <c r="CJ258" i="5" s="1"/>
  <c r="CJ264" i="5" a="1"/>
  <c r="CJ264" i="5" s="1"/>
  <c r="CJ270" i="5" a="1"/>
  <c r="CJ270" i="5" s="1"/>
  <c r="CJ283" i="5" a="1"/>
  <c r="CJ283" i="5" s="1"/>
  <c r="CJ289" i="5" a="1"/>
  <c r="CJ289" i="5" s="1"/>
  <c r="CJ295" i="5" a="1"/>
  <c r="CJ295" i="5" s="1"/>
  <c r="CJ326" i="5" a="1"/>
  <c r="CJ326" i="5" s="1"/>
  <c r="CJ332" i="5" a="1"/>
  <c r="CJ332" i="5" s="1"/>
  <c r="CJ351" i="5" a="1"/>
  <c r="CJ351" i="5" s="1"/>
  <c r="CJ357" i="5" a="1"/>
  <c r="CJ357" i="5" s="1"/>
  <c r="CJ363" i="5" a="1"/>
  <c r="CJ363" i="5" s="1"/>
  <c r="CJ369" i="5" a="1"/>
  <c r="CJ369" i="5" s="1"/>
  <c r="CJ375" i="5" a="1"/>
  <c r="CJ375" i="5" s="1"/>
  <c r="CJ394" i="5" a="1"/>
  <c r="CJ394" i="5" s="1"/>
  <c r="CJ400" i="5" a="1"/>
  <c r="CJ400" i="5" s="1"/>
  <c r="CJ431" i="5" a="1"/>
  <c r="CJ431" i="5" s="1"/>
  <c r="CJ437" i="5" a="1"/>
  <c r="CJ437" i="5" s="1"/>
  <c r="CJ443" i="5" a="1"/>
  <c r="CJ443" i="5" s="1"/>
  <c r="CJ8" i="5" a="1"/>
  <c r="CJ8" i="5" s="1"/>
  <c r="CJ22" i="5" a="1"/>
  <c r="CJ22" i="5" s="1"/>
  <c r="CJ29" i="5" a="1"/>
  <c r="CJ29" i="5" s="1"/>
  <c r="CJ36" i="5" a="1"/>
  <c r="CJ36" i="5" s="1"/>
  <c r="CJ57" i="5" a="1"/>
  <c r="CJ57" i="5" s="1"/>
  <c r="CJ98" i="5" a="1"/>
  <c r="CJ98" i="5" s="1"/>
  <c r="CJ105" i="5" a="1"/>
  <c r="CJ105" i="5" s="1"/>
  <c r="CJ119" i="5" a="1"/>
  <c r="CJ119" i="5" s="1"/>
  <c r="CJ126" i="5" a="1"/>
  <c r="CJ126" i="5" s="1"/>
  <c r="CJ133" i="5" a="1"/>
  <c r="CJ133" i="5" s="1"/>
  <c r="CJ140" i="5" a="1"/>
  <c r="CJ140" i="5" s="1"/>
  <c r="CJ147" i="5" a="1"/>
  <c r="CJ147" i="5" s="1"/>
  <c r="CJ191" i="5" a="1"/>
  <c r="CJ191" i="5" s="1"/>
  <c r="CJ197" i="5" a="1"/>
  <c r="CJ197" i="5" s="1"/>
  <c r="CJ203" i="5" a="1"/>
  <c r="CJ203" i="5" s="1"/>
  <c r="CJ209" i="5" a="1"/>
  <c r="CJ209" i="5" s="1"/>
  <c r="CJ215" i="5" a="1"/>
  <c r="CJ215" i="5" s="1"/>
  <c r="CJ222" i="5" a="1"/>
  <c r="CJ222" i="5" s="1"/>
  <c r="CJ228" i="5" a="1"/>
  <c r="CJ228" i="5" s="1"/>
  <c r="CJ234" i="5" a="1"/>
  <c r="CJ234" i="5" s="1"/>
  <c r="CJ240" i="5" a="1"/>
  <c r="CJ240" i="5" s="1"/>
  <c r="CJ271" i="5" a="1"/>
  <c r="CJ271" i="5" s="1"/>
  <c r="CJ296" i="5" a="1"/>
  <c r="CJ296" i="5" s="1"/>
  <c r="CJ302" i="5" a="1"/>
  <c r="CJ302" i="5" s="1"/>
  <c r="CJ308" i="5" a="1"/>
  <c r="CJ308" i="5" s="1"/>
  <c r="CJ314" i="5" a="1"/>
  <c r="CJ314" i="5" s="1"/>
  <c r="CJ320" i="5" a="1"/>
  <c r="CJ320" i="5" s="1"/>
  <c r="CJ333" i="5" a="1"/>
  <c r="CJ333" i="5" s="1"/>
  <c r="CJ339" i="5" a="1"/>
  <c r="CJ339" i="5" s="1"/>
  <c r="CJ345" i="5" a="1"/>
  <c r="CJ345" i="5" s="1"/>
  <c r="CJ376" i="5" a="1"/>
  <c r="CJ376" i="5" s="1"/>
  <c r="CJ382" i="5" a="1"/>
  <c r="CJ382" i="5" s="1"/>
  <c r="CJ401" i="5" a="1"/>
  <c r="CJ401" i="5" s="1"/>
  <c r="CJ407" i="5" a="1"/>
  <c r="CJ407" i="5" s="1"/>
  <c r="CJ413" i="5" a="1"/>
  <c r="CJ413" i="5" s="1"/>
  <c r="CJ419" i="5" a="1"/>
  <c r="CJ419" i="5" s="1"/>
  <c r="CJ425" i="5" a="1"/>
  <c r="CJ425" i="5" s="1"/>
  <c r="CJ2" i="5" a="1"/>
  <c r="CJ2" i="5" s="1"/>
  <c r="CJ15" i="5" a="1"/>
  <c r="CJ15" i="5" s="1"/>
  <c r="CJ43" i="5" a="1"/>
  <c r="CJ43" i="5" s="1"/>
  <c r="CJ50" i="5" a="1"/>
  <c r="CJ50" i="5" s="1"/>
  <c r="CJ64" i="5" a="1"/>
  <c r="CJ64" i="5" s="1"/>
  <c r="CJ71" i="5" a="1"/>
  <c r="CJ71" i="5" s="1"/>
  <c r="CJ78" i="5" a="1"/>
  <c r="CJ78" i="5" s="1"/>
  <c r="CJ85" i="5" a="1"/>
  <c r="CJ85" i="5" s="1"/>
  <c r="CJ92" i="5" a="1"/>
  <c r="CJ92" i="5" s="1"/>
  <c r="CJ106" i="5" a="1"/>
  <c r="CJ106" i="5" s="1"/>
  <c r="CJ113" i="5" a="1"/>
  <c r="CJ113" i="5" s="1"/>
  <c r="CJ141" i="5" a="1"/>
  <c r="CJ141" i="5" s="1"/>
  <c r="CJ154" i="5" a="1"/>
  <c r="CJ154" i="5" s="1"/>
  <c r="CJ161" i="5" a="1"/>
  <c r="CJ161" i="5" s="1"/>
  <c r="CJ167" i="5" a="1"/>
  <c r="CJ167" i="5" s="1"/>
  <c r="CJ173" i="5" a="1"/>
  <c r="CJ173" i="5" s="1"/>
  <c r="CJ179" i="5" a="1"/>
  <c r="CJ179" i="5" s="1"/>
  <c r="CJ185" i="5" a="1"/>
  <c r="CJ185" i="5" s="1"/>
  <c r="CJ241" i="5" a="1"/>
  <c r="CJ241" i="5" s="1"/>
  <c r="CJ247" i="5" a="1"/>
  <c r="CJ247" i="5" s="1"/>
  <c r="CJ253" i="5" a="1"/>
  <c r="CJ253" i="5" s="1"/>
  <c r="CJ259" i="5" a="1"/>
  <c r="CJ259" i="5" s="1"/>
  <c r="CJ265" i="5" a="1"/>
  <c r="CJ265" i="5" s="1"/>
  <c r="CJ272" i="5" a="1"/>
  <c r="CJ272" i="5" s="1"/>
  <c r="CJ278" i="5" a="1"/>
  <c r="CJ278" i="5" s="1"/>
  <c r="CJ284" i="5" a="1"/>
  <c r="CJ284" i="5" s="1"/>
  <c r="CJ290" i="5" a="1"/>
  <c r="CJ290" i="5" s="1"/>
  <c r="CJ321" i="5" a="1"/>
  <c r="CJ321" i="5" s="1"/>
  <c r="CJ346" i="5" a="1"/>
  <c r="CJ346" i="5" s="1"/>
  <c r="CJ352" i="5" a="1"/>
  <c r="CJ352" i="5" s="1"/>
  <c r="CJ358" i="5" a="1"/>
  <c r="CJ358" i="5" s="1"/>
  <c r="CJ364" i="5" a="1"/>
  <c r="CJ364" i="5" s="1"/>
  <c r="CJ370" i="5" a="1"/>
  <c r="CJ370" i="5" s="1"/>
  <c r="CJ383" i="5" a="1"/>
  <c r="CJ383" i="5" s="1"/>
  <c r="CJ389" i="5" a="1"/>
  <c r="CJ389" i="5" s="1"/>
  <c r="CJ395" i="5" a="1"/>
  <c r="CJ395" i="5" s="1"/>
  <c r="CJ426" i="5" a="1"/>
  <c r="CJ426" i="5" s="1"/>
  <c r="CJ432" i="5" a="1"/>
  <c r="CJ432" i="5" s="1"/>
  <c r="AA124" i="5" a="1"/>
  <c r="AA124" i="5" s="1"/>
  <c r="CL124" i="5" s="1"/>
  <c r="AA413" i="5" a="1"/>
  <c r="AA413" i="5" s="1"/>
  <c r="CL413" i="5" s="1"/>
  <c r="BZ243" i="5"/>
  <c r="CL243" i="5"/>
  <c r="BZ222" i="5"/>
  <c r="CL222" i="5"/>
  <c r="BZ333" i="5"/>
  <c r="CL333" i="5"/>
  <c r="AA40" i="5" a="1"/>
  <c r="AA40" i="5" s="1"/>
  <c r="AB40" i="5" s="1"/>
  <c r="AA181" i="5" a="1"/>
  <c r="AA181" i="5" s="1"/>
  <c r="CL181" i="5" s="1"/>
  <c r="AB181" i="5"/>
  <c r="BZ33" i="5"/>
  <c r="CL33" i="5"/>
  <c r="AA55" i="5" a="1"/>
  <c r="AA55" i="5" s="1"/>
  <c r="CL55" i="5" s="1"/>
  <c r="AB55" i="5"/>
  <c r="AA247" i="5" a="1"/>
  <c r="AA247" i="5" s="1"/>
  <c r="AB247" i="5" s="1"/>
  <c r="AA187" i="5" a="1"/>
  <c r="AA187" i="5" s="1"/>
  <c r="CL187" i="5" s="1"/>
  <c r="R30" i="5"/>
  <c r="AT30" i="5"/>
  <c r="CH30" i="5"/>
  <c r="R350" i="5"/>
  <c r="AT350" i="5"/>
  <c r="CH350" i="5"/>
  <c r="AA66" i="5" a="1"/>
  <c r="AA66" i="5" s="1"/>
  <c r="AB66" i="5" s="1"/>
  <c r="AA161" i="5" a="1"/>
  <c r="AA161" i="5" s="1"/>
  <c r="CL161" i="5" s="1"/>
  <c r="AA59" i="5" a="1"/>
  <c r="AA59" i="5" s="1"/>
  <c r="AB59" i="5"/>
  <c r="AA379" i="5" a="1"/>
  <c r="AA379" i="5" s="1"/>
  <c r="AB379" i="5" s="1"/>
  <c r="BI63" i="5"/>
  <c r="BM63" i="5"/>
  <c r="BF36" i="5"/>
  <c r="BM36" i="5"/>
  <c r="BW36" i="5"/>
  <c r="BU36" i="5" a="1"/>
  <c r="BU36" i="5" s="1"/>
  <c r="BT36" i="5" a="1"/>
  <c r="BT36" i="5" s="1"/>
  <c r="CO36" i="5" a="1"/>
  <c r="CO36" i="5" s="1"/>
  <c r="CP36" i="5" a="1"/>
  <c r="CP36" i="5" s="1"/>
  <c r="CR36" i="5" a="1"/>
  <c r="CR36" i="5" s="1"/>
  <c r="CS36" i="5" a="1"/>
  <c r="CS36" i="5" s="1"/>
  <c r="BF196" i="5"/>
  <c r="BM196" i="5"/>
  <c r="BU196" i="5" a="1"/>
  <c r="BU196" i="5" s="1"/>
  <c r="BW196" i="5"/>
  <c r="BT196" i="5" a="1"/>
  <c r="BT196" i="5" s="1"/>
  <c r="CO196" i="5" a="1"/>
  <c r="CO196" i="5" s="1"/>
  <c r="CR196" i="5" a="1"/>
  <c r="CR196" i="5" s="1"/>
  <c r="CP196" i="5" a="1"/>
  <c r="CP196" i="5" s="1"/>
  <c r="CS196" i="5" a="1"/>
  <c r="CS196" i="5" s="1"/>
  <c r="BF87" i="5"/>
  <c r="BM87" i="5"/>
  <c r="BT87" i="5" a="1"/>
  <c r="BT87" i="5" s="1"/>
  <c r="BW87" i="5"/>
  <c r="BU87" i="5" a="1"/>
  <c r="BU87" i="5" s="1"/>
  <c r="CO87" i="5" a="1"/>
  <c r="CO87" i="5" s="1"/>
  <c r="CP87" i="5" a="1"/>
  <c r="CP87" i="5" s="1"/>
  <c r="CR87" i="5" a="1"/>
  <c r="CR87" i="5" s="1"/>
  <c r="CS87" i="5" a="1"/>
  <c r="CS87" i="5" s="1"/>
  <c r="AV267" i="5"/>
  <c r="BI267" i="5"/>
  <c r="BM267" i="5"/>
  <c r="BZ307" i="5"/>
  <c r="CL307" i="5"/>
  <c r="AA234" i="5" a="1"/>
  <c r="AA234" i="5" s="1"/>
  <c r="AA412" i="5" a="1"/>
  <c r="AA412" i="5" s="1"/>
  <c r="CL412" i="5" s="1"/>
  <c r="BZ114" i="5"/>
  <c r="CL114" i="5"/>
  <c r="BZ242" i="5"/>
  <c r="CL242" i="5"/>
  <c r="AA2" i="5" a="1"/>
  <c r="AA2" i="5" s="1"/>
  <c r="CK185" i="5" s="1"/>
  <c r="AA313" i="5" a="1"/>
  <c r="AA313" i="5" s="1"/>
  <c r="CL313" i="5" s="1"/>
  <c r="BZ342" i="5"/>
  <c r="AA408" i="5" a="1"/>
  <c r="AA408" i="5" s="1"/>
  <c r="AB408" i="5"/>
  <c r="BZ193" i="5"/>
  <c r="CL193" i="5"/>
  <c r="AA210" i="5" a="1"/>
  <c r="AA210" i="5" s="1"/>
  <c r="AB210" i="5" s="1"/>
  <c r="BZ254" i="5"/>
  <c r="CL254" i="5"/>
  <c r="BZ437" i="5"/>
  <c r="CL437" i="5"/>
  <c r="AA190" i="5" a="1"/>
  <c r="AA190" i="5" s="1"/>
  <c r="AB190" i="5" s="1"/>
  <c r="AA410" i="5" a="1"/>
  <c r="AA410" i="5" s="1"/>
  <c r="AB410" i="5" s="1"/>
  <c r="BZ233" i="5"/>
  <c r="CL233" i="5"/>
  <c r="AA171" i="5" a="1"/>
  <c r="AA171" i="5" s="1"/>
  <c r="CL171" i="5" s="1"/>
  <c r="AB171" i="5"/>
  <c r="AA316" i="5" a="1"/>
  <c r="AA316" i="5" s="1"/>
  <c r="AB316" i="5" s="1"/>
  <c r="BZ144" i="5"/>
  <c r="BZ294" i="5"/>
  <c r="CL294" i="5"/>
  <c r="CH81" i="5"/>
  <c r="AA221" i="5" a="1"/>
  <c r="AA221" i="5" s="1"/>
  <c r="CL221" i="5" s="1"/>
  <c r="BZ161" i="5"/>
  <c r="AA290" i="5" a="1"/>
  <c r="AA290" i="5" s="1"/>
  <c r="AB290" i="5" s="1"/>
  <c r="AA390" i="5" a="1"/>
  <c r="AA390" i="5" s="1"/>
  <c r="AB390" i="5" s="1"/>
  <c r="BZ442" i="5"/>
  <c r="CL442" i="5"/>
  <c r="AA52" i="5" a="1"/>
  <c r="AA52" i="5" s="1"/>
  <c r="AB52" i="5" s="1"/>
  <c r="AA320" i="5" a="1"/>
  <c r="AA320" i="5" s="1"/>
  <c r="AB320" i="5"/>
  <c r="BZ41" i="5"/>
  <c r="CL41" i="5"/>
  <c r="BZ207" i="5"/>
  <c r="CL207" i="5"/>
  <c r="BZ341" i="5"/>
  <c r="CL341" i="5"/>
  <c r="AA174" i="5" a="1"/>
  <c r="AA174" i="5" s="1"/>
  <c r="CL174" i="5" s="1"/>
  <c r="AB174" i="5"/>
  <c r="CH380" i="5"/>
  <c r="AA274" i="5" a="1"/>
  <c r="AA274" i="5" s="1"/>
  <c r="CL274" i="5" s="1"/>
  <c r="BZ32" i="5"/>
  <c r="CL32" i="5"/>
  <c r="CH280" i="5"/>
  <c r="T9" i="2"/>
  <c r="T8" i="2"/>
  <c r="A390" i="6"/>
  <c r="A391" i="6"/>
  <c r="A392" i="6"/>
  <c r="A393" i="6"/>
  <c r="AB217" i="5" l="1"/>
  <c r="AB91" i="5"/>
  <c r="AB175" i="5"/>
  <c r="AB374" i="5"/>
  <c r="AB354" i="5"/>
  <c r="AB62" i="5"/>
  <c r="AB267" i="5"/>
  <c r="BY384" i="5"/>
  <c r="CA384" i="5"/>
  <c r="CA333" i="5"/>
  <c r="BY333" i="5"/>
  <c r="AV324" i="5"/>
  <c r="AM324" i="5"/>
  <c r="AP324" i="5" s="1"/>
  <c r="AR324" i="5"/>
  <c r="AS324" i="5"/>
  <c r="CA356" i="5"/>
  <c r="BY356" i="5"/>
  <c r="BY175" i="5"/>
  <c r="CA175" i="5"/>
  <c r="BY332" i="5"/>
  <c r="CA332" i="5"/>
  <c r="BY125" i="5"/>
  <c r="CA125" i="5"/>
  <c r="AV431" i="5"/>
  <c r="BI431" i="5"/>
  <c r="AM312" i="5"/>
  <c r="AP312" i="5" s="1"/>
  <c r="AS312" i="5"/>
  <c r="AR312" i="5"/>
  <c r="BY304" i="5"/>
  <c r="CA304" i="5"/>
  <c r="CA436" i="5"/>
  <c r="BY436" i="5"/>
  <c r="BY271" i="5"/>
  <c r="CA271" i="5"/>
  <c r="BY382" i="5"/>
  <c r="CA382" i="5"/>
  <c r="CA187" i="5"/>
  <c r="BY187" i="5"/>
  <c r="AV282" i="5"/>
  <c r="AM282" i="5"/>
  <c r="AP282" i="5" s="1"/>
  <c r="AR282" i="5"/>
  <c r="AS282" i="5"/>
  <c r="CA147" i="5"/>
  <c r="BY147" i="5"/>
  <c r="CA292" i="5"/>
  <c r="BY292" i="5"/>
  <c r="BY364" i="5"/>
  <c r="CA364" i="5"/>
  <c r="BM202" i="5"/>
  <c r="BI202" i="5"/>
  <c r="BY354" i="5"/>
  <c r="CA354" i="5"/>
  <c r="CA44" i="5"/>
  <c r="BY44" i="5"/>
  <c r="AV332" i="5"/>
  <c r="BI332" i="5"/>
  <c r="BY112" i="5"/>
  <c r="CA112" i="5"/>
  <c r="CA124" i="5"/>
  <c r="BY124" i="5"/>
  <c r="CA224" i="5"/>
  <c r="BY224" i="5"/>
  <c r="AV142" i="5"/>
  <c r="BI142" i="5"/>
  <c r="BM142" i="5"/>
  <c r="BY214" i="5"/>
  <c r="CA214" i="5"/>
  <c r="AM431" i="5"/>
  <c r="AP431" i="5" s="1"/>
  <c r="AR431" i="5"/>
  <c r="AS431" i="5"/>
  <c r="AM42" i="5"/>
  <c r="AP42" i="5" s="1"/>
  <c r="AR42" i="5"/>
  <c r="AS42" i="5"/>
  <c r="CA394" i="5"/>
  <c r="BY394" i="5"/>
  <c r="BY84" i="5"/>
  <c r="CA84" i="5"/>
  <c r="BY402" i="5"/>
  <c r="CA402" i="5"/>
  <c r="BY282" i="5"/>
  <c r="CA282" i="5"/>
  <c r="BY352" i="5"/>
  <c r="CA352" i="5"/>
  <c r="AB443" i="5"/>
  <c r="CL264" i="5"/>
  <c r="CL31" i="5"/>
  <c r="BY221" i="5"/>
  <c r="CA221" i="5"/>
  <c r="BY64" i="5"/>
  <c r="CA64" i="5"/>
  <c r="BY31" i="5"/>
  <c r="CA31" i="5"/>
  <c r="BY54" i="5"/>
  <c r="CA54" i="5"/>
  <c r="AV202" i="5"/>
  <c r="AR202" i="5"/>
  <c r="AS202" i="5"/>
  <c r="AM202" i="5"/>
  <c r="AP202" i="5" s="1"/>
  <c r="CA93" i="5"/>
  <c r="BY93" i="5"/>
  <c r="AS332" i="5"/>
  <c r="AM332" i="5"/>
  <c r="AP332" i="5" s="1"/>
  <c r="AR332" i="5"/>
  <c r="AM142" i="5"/>
  <c r="AP142" i="5" s="1"/>
  <c r="AS142" i="5"/>
  <c r="AR142" i="5"/>
  <c r="CA346" i="5"/>
  <c r="BY346" i="5"/>
  <c r="BY392" i="5"/>
  <c r="CA392" i="5"/>
  <c r="CA404" i="5"/>
  <c r="BY404" i="5"/>
  <c r="AB356" i="5"/>
  <c r="AB265" i="5"/>
  <c r="CL262" i="5"/>
  <c r="AB336" i="5"/>
  <c r="BY174" i="5"/>
  <c r="CA174" i="5"/>
  <c r="BY322" i="5"/>
  <c r="CA322" i="5"/>
  <c r="BY374" i="5"/>
  <c r="CA374" i="5"/>
  <c r="BY134" i="5"/>
  <c r="CA134" i="5"/>
  <c r="AV32" i="5"/>
  <c r="BI32" i="5"/>
  <c r="BM32" i="5"/>
  <c r="AM174" i="5"/>
  <c r="AP174" i="5" s="1"/>
  <c r="AR174" i="5"/>
  <c r="AS174" i="5"/>
  <c r="CA366" i="5"/>
  <c r="BY366" i="5"/>
  <c r="AV441" i="5"/>
  <c r="BI441" i="5"/>
  <c r="BM404" i="5"/>
  <c r="BY94" i="5"/>
  <c r="CA94" i="5"/>
  <c r="CA326" i="5"/>
  <c r="BY326" i="5"/>
  <c r="AB82" i="5"/>
  <c r="AB273" i="5"/>
  <c r="AB383" i="5"/>
  <c r="AB134" i="5"/>
  <c r="AB203" i="5"/>
  <c r="CL263" i="5"/>
  <c r="AB23" i="5"/>
  <c r="CA427" i="5"/>
  <c r="BY427" i="5"/>
  <c r="BY162" i="5"/>
  <c r="CA162" i="5"/>
  <c r="BY362" i="5"/>
  <c r="CA362" i="5"/>
  <c r="BY417" i="5"/>
  <c r="CA417" i="5"/>
  <c r="BY262" i="5"/>
  <c r="CA262" i="5"/>
  <c r="BY42" i="5"/>
  <c r="CA42" i="5"/>
  <c r="BY442" i="5"/>
  <c r="CA442" i="5"/>
  <c r="AM274" i="5"/>
  <c r="AP274" i="5" s="1"/>
  <c r="AS274" i="5"/>
  <c r="AV274" i="5"/>
  <c r="AR274" i="5"/>
  <c r="AM32" i="5"/>
  <c r="AP32" i="5" s="1"/>
  <c r="AR32" i="5"/>
  <c r="AS32" i="5"/>
  <c r="BY422" i="5"/>
  <c r="CA422" i="5"/>
  <c r="CA334" i="5"/>
  <c r="BY334" i="5"/>
  <c r="AR374" i="5"/>
  <c r="AS374" i="5"/>
  <c r="AM374" i="5"/>
  <c r="AP374" i="5" s="1"/>
  <c r="BY14" i="5"/>
  <c r="CA14" i="5"/>
  <c r="CA314" i="5"/>
  <c r="BY314" i="5"/>
  <c r="BY4" i="5"/>
  <c r="CA4" i="5"/>
  <c r="AV312" i="5"/>
  <c r="CA207" i="5"/>
  <c r="BY207" i="5"/>
  <c r="AV132" i="5"/>
  <c r="BI132" i="5"/>
  <c r="CA194" i="5"/>
  <c r="BY194" i="5"/>
  <c r="AB124" i="5"/>
  <c r="AB142" i="5"/>
  <c r="AB323" i="5"/>
  <c r="CL115" i="5"/>
  <c r="CL297" i="5"/>
  <c r="AB397" i="5"/>
  <c r="AB401" i="5"/>
  <c r="CA416" i="5"/>
  <c r="BY416" i="5"/>
  <c r="BY164" i="5"/>
  <c r="CA164" i="5"/>
  <c r="CA154" i="5"/>
  <c r="BY154" i="5"/>
  <c r="BY132" i="5"/>
  <c r="CA132" i="5"/>
  <c r="CA144" i="5"/>
  <c r="BY144" i="5"/>
  <c r="BY324" i="5"/>
  <c r="CA324" i="5"/>
  <c r="BY312" i="5"/>
  <c r="CA312" i="5"/>
  <c r="BY412" i="5"/>
  <c r="CA412" i="5"/>
  <c r="AM364" i="5"/>
  <c r="AP364" i="5" s="1"/>
  <c r="AS364" i="5"/>
  <c r="AR364" i="5"/>
  <c r="AV404" i="5"/>
  <c r="AR404" i="5"/>
  <c r="AM404" i="5"/>
  <c r="AP404" i="5" s="1"/>
  <c r="AS404" i="5"/>
  <c r="BY284" i="5"/>
  <c r="CA284" i="5"/>
  <c r="BM262" i="5"/>
  <c r="CA376" i="5"/>
  <c r="BY376" i="5"/>
  <c r="BF234" i="5"/>
  <c r="BW234" i="5"/>
  <c r="CR234" i="5" a="1"/>
  <c r="CR234" i="5" s="1"/>
  <c r="CP234" i="5" a="1"/>
  <c r="CP234" i="5" s="1"/>
  <c r="CS234" i="5" a="1"/>
  <c r="CS234" i="5" s="1"/>
  <c r="CO234" i="5" a="1"/>
  <c r="CO234" i="5" s="1"/>
  <c r="BT234" i="5" a="1"/>
  <c r="BT234" i="5" s="1"/>
  <c r="BZ234" i="5" s="1"/>
  <c r="BU234" i="5" a="1"/>
  <c r="BU234" i="5" s="1"/>
  <c r="AR441" i="5"/>
  <c r="AM441" i="5"/>
  <c r="AP441" i="5" s="1"/>
  <c r="AS441" i="5"/>
  <c r="BY307" i="5"/>
  <c r="CA307" i="5"/>
  <c r="BY204" i="5"/>
  <c r="CA204" i="5"/>
  <c r="CA336" i="5"/>
  <c r="BY336" i="5"/>
  <c r="AM132" i="5"/>
  <c r="AP132" i="5" s="1"/>
  <c r="AR132" i="5"/>
  <c r="AS132" i="5"/>
  <c r="AV162" i="5"/>
  <c r="AM162" i="5"/>
  <c r="AP162" i="5" s="1"/>
  <c r="AR162" i="5"/>
  <c r="AS162" i="5"/>
  <c r="CL375" i="5"/>
  <c r="CL144" i="5"/>
  <c r="CL234" i="5"/>
  <c r="CL64" i="5"/>
  <c r="CL195" i="5"/>
  <c r="CL137" i="5"/>
  <c r="AB15" i="5"/>
  <c r="CL396" i="5"/>
  <c r="BY372" i="5"/>
  <c r="CA372" i="5"/>
  <c r="AM262" i="5"/>
  <c r="AP262" i="5" s="1"/>
  <c r="AS262" i="5"/>
  <c r="AR262" i="5"/>
  <c r="AV262" i="5"/>
  <c r="AV242" i="5"/>
  <c r="BI242" i="5"/>
  <c r="BM242" i="5"/>
  <c r="BY222" i="5"/>
  <c r="CA222" i="5"/>
  <c r="BY254" i="5"/>
  <c r="CA254" i="5"/>
  <c r="AM62" i="5"/>
  <c r="AP62" i="5" s="1"/>
  <c r="AV62" i="5"/>
  <c r="AR62" i="5"/>
  <c r="AS62" i="5"/>
  <c r="BY244" i="5"/>
  <c r="CA244" i="5"/>
  <c r="CA24" i="5"/>
  <c r="BY24" i="5"/>
  <c r="CA114" i="5"/>
  <c r="BY114" i="5"/>
  <c r="CA414" i="5"/>
  <c r="BY414" i="5"/>
  <c r="BY104" i="5"/>
  <c r="CA104" i="5"/>
  <c r="AR212" i="5"/>
  <c r="AM212" i="5"/>
  <c r="AP212" i="5" s="1"/>
  <c r="AS212" i="5"/>
  <c r="CA426" i="5"/>
  <c r="BY426" i="5"/>
  <c r="BY342" i="5"/>
  <c r="CA342" i="5"/>
  <c r="CL342" i="5"/>
  <c r="AB412" i="5"/>
  <c r="AB313" i="5"/>
  <c r="AB364" i="5"/>
  <c r="AB152" i="5"/>
  <c r="AB45" i="5"/>
  <c r="AB235" i="5"/>
  <c r="CL407" i="5"/>
  <c r="AB282" i="5"/>
  <c r="CL22" i="5"/>
  <c r="BY62" i="5"/>
  <c r="CA62" i="5"/>
  <c r="CA171" i="5"/>
  <c r="BY171" i="5"/>
  <c r="AM242" i="5"/>
  <c r="AP242" i="5" s="1"/>
  <c r="AS242" i="5"/>
  <c r="AR242" i="5"/>
  <c r="CA396" i="5"/>
  <c r="BY396" i="5"/>
  <c r="BY387" i="5"/>
  <c r="CA387" i="5"/>
  <c r="CA386" i="5"/>
  <c r="BY386" i="5"/>
  <c r="AV122" i="5"/>
  <c r="BI122" i="5"/>
  <c r="BM122" i="5"/>
  <c r="BY317" i="5"/>
  <c r="CA317" i="5"/>
  <c r="AV92" i="5"/>
  <c r="BI92" i="5"/>
  <c r="BY434" i="5"/>
  <c r="CA434" i="5"/>
  <c r="BY294" i="5"/>
  <c r="CA294" i="5"/>
  <c r="AB14" i="5"/>
  <c r="AB366" i="5"/>
  <c r="AB251" i="5"/>
  <c r="CA74" i="5"/>
  <c r="BY74" i="5"/>
  <c r="BY274" i="5"/>
  <c r="CA274" i="5"/>
  <c r="CA406" i="5"/>
  <c r="BY406" i="5"/>
  <c r="CA413" i="5"/>
  <c r="BY413" i="5"/>
  <c r="BY264" i="5"/>
  <c r="CA264" i="5"/>
  <c r="AV19" i="5"/>
  <c r="AM19" i="5"/>
  <c r="AP19" i="5" s="1"/>
  <c r="AS19" i="5"/>
  <c r="AR19" i="5"/>
  <c r="AM122" i="5"/>
  <c r="AP122" i="5" s="1"/>
  <c r="AS122" i="5"/>
  <c r="AR122" i="5"/>
  <c r="BY344" i="5"/>
  <c r="CA344" i="5"/>
  <c r="BY34" i="5"/>
  <c r="CA34" i="5"/>
  <c r="BY357" i="5"/>
  <c r="CA357" i="5"/>
  <c r="AM92" i="5"/>
  <c r="AP92" i="5" s="1"/>
  <c r="AS92" i="5"/>
  <c r="AR92" i="5"/>
  <c r="AR424" i="5"/>
  <c r="AV424" i="5"/>
  <c r="AS424" i="5"/>
  <c r="AM424" i="5"/>
  <c r="AP424" i="5" s="1"/>
  <c r="BY424" i="5"/>
  <c r="CA424" i="5"/>
  <c r="BM332" i="5"/>
  <c r="CA75" i="5"/>
  <c r="BY75" i="5"/>
  <c r="AV42" i="5"/>
  <c r="BI42" i="5"/>
  <c r="BM282" i="5"/>
  <c r="BY432" i="5"/>
  <c r="CA432" i="5"/>
  <c r="CK294" i="5"/>
  <c r="AB2" i="5"/>
  <c r="CA196" i="5"/>
  <c r="BY196" i="5"/>
  <c r="CA36" i="5"/>
  <c r="BY36" i="5"/>
  <c r="AB161" i="5"/>
  <c r="CK333" i="5"/>
  <c r="CK32" i="5"/>
  <c r="CK442" i="5"/>
  <c r="CK161" i="5"/>
  <c r="AB234" i="5"/>
  <c r="CA87" i="5"/>
  <c r="BY87" i="5"/>
  <c r="CK84" i="5"/>
  <c r="AB392" i="5"/>
  <c r="AR419" i="5"/>
  <c r="AS419" i="5"/>
  <c r="AM419" i="5"/>
  <c r="AP419" i="5" s="1"/>
  <c r="AV419" i="5"/>
  <c r="AR319" i="5"/>
  <c r="AM319" i="5"/>
  <c r="AP319" i="5" s="1"/>
  <c r="AS319" i="5"/>
  <c r="AV319" i="5"/>
  <c r="AM219" i="5"/>
  <c r="AP219" i="5" s="1"/>
  <c r="AR219" i="5"/>
  <c r="AS219" i="5"/>
  <c r="AV219" i="5"/>
  <c r="BZ266" i="5"/>
  <c r="CL266" i="5"/>
  <c r="CK266" i="5"/>
  <c r="CA338" i="5"/>
  <c r="BY338" i="5"/>
  <c r="BZ138" i="5"/>
  <c r="CL138" i="5"/>
  <c r="CK138" i="5"/>
  <c r="AB387" i="5"/>
  <c r="AB165" i="5"/>
  <c r="CK164" i="5"/>
  <c r="CK85" i="5"/>
  <c r="AB143" i="5"/>
  <c r="CA57" i="5"/>
  <c r="BY57" i="5"/>
  <c r="BZ216" i="5"/>
  <c r="CL216" i="5"/>
  <c r="CK216" i="5"/>
  <c r="BZ77" i="5"/>
  <c r="CL77" i="5"/>
  <c r="CK77" i="5"/>
  <c r="BI109" i="5"/>
  <c r="CA428" i="5"/>
  <c r="BY428" i="5"/>
  <c r="BZ228" i="5"/>
  <c r="CL228" i="5"/>
  <c r="CK228" i="5"/>
  <c r="AL10" i="5"/>
  <c r="AU10" i="5"/>
  <c r="BG10" i="5"/>
  <c r="BH10" i="5" a="1"/>
  <c r="BH10" i="5" s="1"/>
  <c r="CK94" i="5"/>
  <c r="CK124" i="5"/>
  <c r="CK217" i="5"/>
  <c r="CK157" i="5"/>
  <c r="CK155" i="5"/>
  <c r="CK125" i="5"/>
  <c r="CL362" i="5"/>
  <c r="CA136" i="5"/>
  <c r="BY136" i="5"/>
  <c r="BI418" i="5"/>
  <c r="BI318" i="5"/>
  <c r="BI118" i="5"/>
  <c r="BY140" i="5"/>
  <c r="CA140" i="5"/>
  <c r="BZ113" i="5"/>
  <c r="CK113" i="5"/>
  <c r="CL113" i="5"/>
  <c r="BI69" i="5"/>
  <c r="AB287" i="5"/>
  <c r="CK277" i="5"/>
  <c r="CK153" i="5"/>
  <c r="CK325" i="5"/>
  <c r="CA7" i="5"/>
  <c r="BY7" i="5"/>
  <c r="CA306" i="5"/>
  <c r="BY306" i="5"/>
  <c r="BY300" i="5"/>
  <c r="CA300" i="5"/>
  <c r="BY210" i="5"/>
  <c r="CA210" i="5"/>
  <c r="BM69" i="5"/>
  <c r="AB271" i="5"/>
  <c r="CK212" i="5"/>
  <c r="AM358" i="5"/>
  <c r="AP358" i="5" s="1"/>
  <c r="AR358" i="5"/>
  <c r="AS358" i="5"/>
  <c r="AV358" i="5"/>
  <c r="AM258" i="5"/>
  <c r="AP258" i="5" s="1"/>
  <c r="AR258" i="5"/>
  <c r="AS258" i="5"/>
  <c r="AV258" i="5"/>
  <c r="AM158" i="5"/>
  <c r="AP158" i="5" s="1"/>
  <c r="AR158" i="5"/>
  <c r="AS158" i="5"/>
  <c r="AV158" i="5"/>
  <c r="AM58" i="5"/>
  <c r="AP58" i="5" s="1"/>
  <c r="AR58" i="5"/>
  <c r="AS58" i="5"/>
  <c r="AV58" i="5"/>
  <c r="AM79" i="5"/>
  <c r="AP79" i="5" s="1"/>
  <c r="AR79" i="5"/>
  <c r="AS79" i="5"/>
  <c r="AV79" i="5"/>
  <c r="AL90" i="5"/>
  <c r="AU90" i="5"/>
  <c r="BG90" i="5"/>
  <c r="BH90" i="5" a="1"/>
  <c r="BH90" i="5" s="1"/>
  <c r="CL382" i="5"/>
  <c r="CK273" i="5"/>
  <c r="CK43" i="5"/>
  <c r="CK204" i="5"/>
  <c r="CK194" i="5"/>
  <c r="CK305" i="5"/>
  <c r="CK25" i="5"/>
  <c r="CK262" i="5"/>
  <c r="CL345" i="5"/>
  <c r="BY102" i="5"/>
  <c r="CA102" i="5"/>
  <c r="BZ116" i="5"/>
  <c r="CK116" i="5"/>
  <c r="CL116" i="5"/>
  <c r="AM348" i="5"/>
  <c r="AP348" i="5" s="1"/>
  <c r="AR348" i="5"/>
  <c r="AS348" i="5"/>
  <c r="AV348" i="5"/>
  <c r="AM248" i="5"/>
  <c r="AP248" i="5" s="1"/>
  <c r="AR248" i="5"/>
  <c r="AS248" i="5"/>
  <c r="AV248" i="5"/>
  <c r="AM148" i="5"/>
  <c r="AP148" i="5" s="1"/>
  <c r="AR148" i="5"/>
  <c r="AS148" i="5"/>
  <c r="AV148" i="5"/>
  <c r="AM48" i="5"/>
  <c r="AP48" i="5" s="1"/>
  <c r="AR48" i="5"/>
  <c r="AS48" i="5"/>
  <c r="AV48" i="5"/>
  <c r="CA46" i="5"/>
  <c r="BY46" i="5"/>
  <c r="CK393" i="5"/>
  <c r="CK321" i="5"/>
  <c r="CK253" i="5"/>
  <c r="BY270" i="5"/>
  <c r="CA270" i="5"/>
  <c r="BZ329" i="5"/>
  <c r="CL329" i="5"/>
  <c r="CK329" i="5"/>
  <c r="BY320" i="5"/>
  <c r="CA320" i="5"/>
  <c r="CA48" i="5"/>
  <c r="BY48" i="5"/>
  <c r="CK54" i="5"/>
  <c r="CK177" i="5"/>
  <c r="CK241" i="5"/>
  <c r="CK384" i="5"/>
  <c r="CK112" i="5"/>
  <c r="CK295" i="5"/>
  <c r="BY170" i="5"/>
  <c r="CA170" i="5"/>
  <c r="BY50" i="5"/>
  <c r="CA50" i="5"/>
  <c r="CK173" i="5"/>
  <c r="BZ96" i="5"/>
  <c r="CL96" i="5"/>
  <c r="CK96" i="5"/>
  <c r="BZ359" i="5"/>
  <c r="CL359" i="5"/>
  <c r="CK359" i="5"/>
  <c r="BZ259" i="5"/>
  <c r="CL259" i="5"/>
  <c r="CK259" i="5"/>
  <c r="BZ418" i="5"/>
  <c r="CL418" i="5"/>
  <c r="CK418" i="5"/>
  <c r="BM318" i="5"/>
  <c r="CA198" i="5"/>
  <c r="BY198" i="5"/>
  <c r="BZ98" i="5"/>
  <c r="CL98" i="5"/>
  <c r="CK98" i="5"/>
  <c r="BZ419" i="5"/>
  <c r="CL419" i="5"/>
  <c r="CK419" i="5"/>
  <c r="CK197" i="5"/>
  <c r="AB433" i="5"/>
  <c r="AB252" i="5"/>
  <c r="BZ146" i="5"/>
  <c r="CK146" i="5"/>
  <c r="CL146" i="5"/>
  <c r="CA438" i="5"/>
  <c r="BY438" i="5"/>
  <c r="BZ238" i="5"/>
  <c r="CL238" i="5"/>
  <c r="CK238" i="5"/>
  <c r="CK163" i="5"/>
  <c r="CK272" i="5"/>
  <c r="CK165" i="5"/>
  <c r="CA77" i="5"/>
  <c r="BY77" i="5"/>
  <c r="CA17" i="5"/>
  <c r="BY17" i="5"/>
  <c r="AM109" i="5"/>
  <c r="AP109" i="5" s="1"/>
  <c r="AR109" i="5"/>
  <c r="AS109" i="5"/>
  <c r="AV109" i="5"/>
  <c r="BZ328" i="5"/>
  <c r="CL328" i="5"/>
  <c r="CK328" i="5"/>
  <c r="CK302" i="5"/>
  <c r="BI359" i="5"/>
  <c r="BI259" i="5"/>
  <c r="AM418" i="5"/>
  <c r="AP418" i="5" s="1"/>
  <c r="AR418" i="5"/>
  <c r="AS418" i="5"/>
  <c r="AV418" i="5"/>
  <c r="AM318" i="5"/>
  <c r="AP318" i="5" s="1"/>
  <c r="AR318" i="5"/>
  <c r="AS318" i="5"/>
  <c r="AV318" i="5"/>
  <c r="AR218" i="5"/>
  <c r="AM218" i="5"/>
  <c r="AP218" i="5" s="1"/>
  <c r="AS218" i="5"/>
  <c r="AV218" i="5"/>
  <c r="AR118" i="5"/>
  <c r="AS118" i="5"/>
  <c r="AM118" i="5"/>
  <c r="AP118" i="5" s="1"/>
  <c r="AV118" i="5"/>
  <c r="AB367" i="5"/>
  <c r="AB145" i="5"/>
  <c r="AL11" i="5"/>
  <c r="AU11" i="5"/>
  <c r="BG11" i="5"/>
  <c r="BH11" i="5" a="1"/>
  <c r="BH11" i="5" s="1"/>
  <c r="AL110" i="5"/>
  <c r="AU110" i="5"/>
  <c r="BG110" i="5"/>
  <c r="BH110" i="5" a="1"/>
  <c r="BH110" i="5" s="1"/>
  <c r="AM69" i="5"/>
  <c r="AP69" i="5" s="1"/>
  <c r="AR69" i="5"/>
  <c r="AS69" i="5"/>
  <c r="AV69" i="5"/>
  <c r="AB241" i="5"/>
  <c r="CK143" i="5"/>
  <c r="CK211" i="5"/>
  <c r="CK364" i="5"/>
  <c r="AB183" i="5"/>
  <c r="BZ67" i="5"/>
  <c r="CK67" i="5"/>
  <c r="CL67" i="5"/>
  <c r="BY390" i="5"/>
  <c r="CA390" i="5"/>
  <c r="BI8" i="5"/>
  <c r="CK15" i="5"/>
  <c r="AB321" i="5"/>
  <c r="AB427" i="5"/>
  <c r="CK395" i="5"/>
  <c r="BI18" i="5"/>
  <c r="AB435" i="5"/>
  <c r="AB25" i="5"/>
  <c r="CK132" i="5"/>
  <c r="CL167" i="5"/>
  <c r="AB24" i="5"/>
  <c r="CK343" i="5"/>
  <c r="CK83" i="5"/>
  <c r="CL42" i="5"/>
  <c r="BZ286" i="5"/>
  <c r="CL286" i="5"/>
  <c r="CK286" i="5"/>
  <c r="CK383" i="5"/>
  <c r="CL204" i="5"/>
  <c r="CK407" i="5"/>
  <c r="CK356" i="5"/>
  <c r="CL131" i="5"/>
  <c r="BZ102" i="5"/>
  <c r="CL102" i="5"/>
  <c r="CK102" i="5"/>
  <c r="AB5" i="5"/>
  <c r="AL80" i="5"/>
  <c r="BG80" i="5"/>
  <c r="BH80" i="5" a="1"/>
  <c r="BH80" i="5" s="1"/>
  <c r="AU80" i="5"/>
  <c r="BZ156" i="5"/>
  <c r="CK156" i="5"/>
  <c r="CL156" i="5"/>
  <c r="BI29" i="5"/>
  <c r="CK191" i="5"/>
  <c r="CK372" i="5"/>
  <c r="CL253" i="5"/>
  <c r="BY340" i="5"/>
  <c r="CA340" i="5"/>
  <c r="BZ270" i="5"/>
  <c r="CK270" i="5"/>
  <c r="CL270" i="5"/>
  <c r="BZ429" i="5"/>
  <c r="CL429" i="5"/>
  <c r="CK429" i="5"/>
  <c r="S160" i="5"/>
  <c r="T160" i="5" s="1"/>
  <c r="AY160" i="5"/>
  <c r="BZ320" i="5"/>
  <c r="CL320" i="5"/>
  <c r="CK320" i="5"/>
  <c r="CA248" i="5"/>
  <c r="BY248" i="5"/>
  <c r="BZ48" i="5"/>
  <c r="CL48" i="5"/>
  <c r="CK48" i="5"/>
  <c r="CK361" i="5"/>
  <c r="CK315" i="5"/>
  <c r="CK181" i="5"/>
  <c r="BI379" i="5"/>
  <c r="BI279" i="5"/>
  <c r="BI179" i="5"/>
  <c r="BI388" i="5"/>
  <c r="BI288" i="5"/>
  <c r="BI188" i="5"/>
  <c r="BI88" i="5"/>
  <c r="BI139" i="5"/>
  <c r="BZ170" i="5"/>
  <c r="CK170" i="5"/>
  <c r="CL170" i="5"/>
  <c r="BZ50" i="5"/>
  <c r="CL50" i="5"/>
  <c r="CK50" i="5"/>
  <c r="BY92" i="5"/>
  <c r="CA92" i="5"/>
  <c r="CA96" i="5"/>
  <c r="BY96" i="5"/>
  <c r="BY359" i="5"/>
  <c r="CA359" i="5"/>
  <c r="BM418" i="5"/>
  <c r="CA58" i="5"/>
  <c r="BY58" i="5"/>
  <c r="CA298" i="5"/>
  <c r="BY298" i="5"/>
  <c r="BZ198" i="5"/>
  <c r="CL198" i="5"/>
  <c r="CK198" i="5"/>
  <c r="CA178" i="5"/>
  <c r="BY178" i="5"/>
  <c r="CA78" i="5"/>
  <c r="BY78" i="5"/>
  <c r="CK437" i="5"/>
  <c r="BZ87" i="5"/>
  <c r="CL87" i="5"/>
  <c r="CK87" i="5"/>
  <c r="AL30" i="5"/>
  <c r="AU30" i="5"/>
  <c r="BG30" i="5"/>
  <c r="BH30" i="5" a="1"/>
  <c r="BH30" i="5" s="1"/>
  <c r="CK301" i="5"/>
  <c r="BZ27" i="5"/>
  <c r="CL27" i="5"/>
  <c r="CK27" i="5"/>
  <c r="CA266" i="5"/>
  <c r="BY266" i="5"/>
  <c r="CA146" i="5"/>
  <c r="BY146" i="5"/>
  <c r="CA99" i="5"/>
  <c r="BY99" i="5"/>
  <c r="BZ338" i="5"/>
  <c r="CL338" i="5"/>
  <c r="CK338" i="5"/>
  <c r="CK317" i="5"/>
  <c r="CK64" i="5"/>
  <c r="CA216" i="5"/>
  <c r="BY216" i="5"/>
  <c r="BY220" i="5"/>
  <c r="CA220" i="5"/>
  <c r="CA89" i="5"/>
  <c r="BY89" i="5"/>
  <c r="BZ428" i="5"/>
  <c r="CL428" i="5"/>
  <c r="CK428" i="5"/>
  <c r="S10" i="5"/>
  <c r="T10" i="5" s="1"/>
  <c r="AY10" i="5"/>
  <c r="CK284" i="5"/>
  <c r="AM359" i="5"/>
  <c r="AP359" i="5" s="1"/>
  <c r="AR359" i="5"/>
  <c r="AS359" i="5"/>
  <c r="AV359" i="5"/>
  <c r="AM259" i="5"/>
  <c r="AP259" i="5" s="1"/>
  <c r="AR259" i="5"/>
  <c r="AS259" i="5"/>
  <c r="AV259" i="5"/>
  <c r="BI99" i="5"/>
  <c r="BZ140" i="5"/>
  <c r="CK140" i="5"/>
  <c r="CL140" i="5"/>
  <c r="BZ6" i="5"/>
  <c r="CK6" i="5"/>
  <c r="CL6" i="5"/>
  <c r="BY290" i="5"/>
  <c r="CA290" i="5"/>
  <c r="CA88" i="5"/>
  <c r="BY88" i="5"/>
  <c r="CL53" i="5"/>
  <c r="CK357" i="5"/>
  <c r="BY431" i="5"/>
  <c r="CA431" i="5"/>
  <c r="BZ300" i="5"/>
  <c r="CL300" i="5"/>
  <c r="CK300" i="5"/>
  <c r="BI28" i="5"/>
  <c r="CA8" i="5"/>
  <c r="BY8" i="5"/>
  <c r="AM8" i="5"/>
  <c r="AP8" i="5" s="1"/>
  <c r="AR8" i="5"/>
  <c r="AS8" i="5"/>
  <c r="AV8" i="5"/>
  <c r="CK283" i="5"/>
  <c r="CK427" i="5"/>
  <c r="CK336" i="5"/>
  <c r="BI349" i="5"/>
  <c r="BI249" i="5"/>
  <c r="BI408" i="5"/>
  <c r="AL100" i="5"/>
  <c r="AU100" i="5"/>
  <c r="BG100" i="5"/>
  <c r="BH100" i="5" a="1"/>
  <c r="BH100" i="5" s="1"/>
  <c r="S90" i="5"/>
  <c r="T90" i="5" s="1"/>
  <c r="AY90" i="5"/>
  <c r="CK167" i="5"/>
  <c r="CK264" i="5"/>
  <c r="CK42" i="5"/>
  <c r="BZ107" i="5"/>
  <c r="CK107" i="5"/>
  <c r="CL107" i="5"/>
  <c r="BZ66" i="5"/>
  <c r="CK66" i="5"/>
  <c r="CL66" i="5"/>
  <c r="CK131" i="5"/>
  <c r="BI239" i="5"/>
  <c r="BY116" i="5"/>
  <c r="CA116" i="5"/>
  <c r="BZ97" i="5"/>
  <c r="CL97" i="5"/>
  <c r="CK97" i="5"/>
  <c r="BZ276" i="5"/>
  <c r="CL276" i="5"/>
  <c r="CK276" i="5"/>
  <c r="CA156" i="5"/>
  <c r="BY156" i="5"/>
  <c r="AM29" i="5"/>
  <c r="AP29" i="5" s="1"/>
  <c r="AR29" i="5"/>
  <c r="AS29" i="5"/>
  <c r="AV29" i="5"/>
  <c r="CK22" i="5"/>
  <c r="BZ106" i="5"/>
  <c r="CK106" i="5"/>
  <c r="CL106" i="5"/>
  <c r="BY420" i="5"/>
  <c r="CA420" i="5"/>
  <c r="CA9" i="5"/>
  <c r="BY9" i="5"/>
  <c r="BZ248" i="5"/>
  <c r="CL248" i="5"/>
  <c r="CK248" i="5"/>
  <c r="AL40" i="5"/>
  <c r="AU40" i="5"/>
  <c r="BG40" i="5"/>
  <c r="BH40" i="5" a="1"/>
  <c r="BH40" i="5" s="1"/>
  <c r="CL154" i="5"/>
  <c r="CL315" i="5"/>
  <c r="CK255" i="5"/>
  <c r="CK386" i="5"/>
  <c r="AM379" i="5"/>
  <c r="AP379" i="5" s="1"/>
  <c r="AR379" i="5"/>
  <c r="AS379" i="5"/>
  <c r="AV379" i="5"/>
  <c r="AM279" i="5"/>
  <c r="AP279" i="5" s="1"/>
  <c r="AR279" i="5"/>
  <c r="AS279" i="5"/>
  <c r="AV279" i="5"/>
  <c r="AM179" i="5"/>
  <c r="AP179" i="5" s="1"/>
  <c r="AR179" i="5"/>
  <c r="AS179" i="5"/>
  <c r="AV179" i="5"/>
  <c r="AM388" i="5"/>
  <c r="AP388" i="5" s="1"/>
  <c r="AR388" i="5"/>
  <c r="AS388" i="5"/>
  <c r="AV388" i="5"/>
  <c r="AM288" i="5"/>
  <c r="AP288" i="5" s="1"/>
  <c r="AR288" i="5"/>
  <c r="AS288" i="5"/>
  <c r="AV288" i="5"/>
  <c r="AM188" i="5"/>
  <c r="AP188" i="5" s="1"/>
  <c r="AR188" i="5"/>
  <c r="AS188" i="5"/>
  <c r="AV188" i="5"/>
  <c r="AM88" i="5"/>
  <c r="AP88" i="5" s="1"/>
  <c r="AR88" i="5"/>
  <c r="AS88" i="5"/>
  <c r="AV88" i="5"/>
  <c r="AL111" i="5"/>
  <c r="AU111" i="5"/>
  <c r="BG111" i="5"/>
  <c r="BH111" i="5" a="1"/>
  <c r="BH111" i="5" s="1"/>
  <c r="CL303" i="5"/>
  <c r="BZ92" i="5"/>
  <c r="CK92" i="5"/>
  <c r="CL92" i="5"/>
  <c r="BZ148" i="5"/>
  <c r="CL148" i="5"/>
  <c r="CK148" i="5"/>
  <c r="BM259" i="5"/>
  <c r="CA68" i="5"/>
  <c r="BY68" i="5"/>
  <c r="CA158" i="5"/>
  <c r="BY158" i="5"/>
  <c r="BZ58" i="5"/>
  <c r="CK58" i="5"/>
  <c r="CL58" i="5"/>
  <c r="CA398" i="5"/>
  <c r="BY398" i="5"/>
  <c r="BZ298" i="5"/>
  <c r="CL298" i="5"/>
  <c r="CK298" i="5"/>
  <c r="CA278" i="5"/>
  <c r="BY278" i="5"/>
  <c r="BZ78" i="5"/>
  <c r="CK78" i="5"/>
  <c r="CL78" i="5"/>
  <c r="CK222" i="5"/>
  <c r="AB274" i="5"/>
  <c r="CK207" i="5"/>
  <c r="AB221" i="5"/>
  <c r="CK144" i="5"/>
  <c r="CK193" i="5"/>
  <c r="CK342" i="5"/>
  <c r="S30" i="5"/>
  <c r="T30" i="5" s="1"/>
  <c r="AY30" i="5"/>
  <c r="CK243" i="5"/>
  <c r="AB344" i="5"/>
  <c r="CK363" i="5"/>
  <c r="CK231" i="5"/>
  <c r="AB292" i="5"/>
  <c r="BY27" i="5"/>
  <c r="CA27" i="5"/>
  <c r="BI428" i="5"/>
  <c r="BI328" i="5"/>
  <c r="BI228" i="5"/>
  <c r="BI128" i="5"/>
  <c r="BY199" i="5"/>
  <c r="CA199" i="5"/>
  <c r="BZ438" i="5"/>
  <c r="CL438" i="5"/>
  <c r="CK438" i="5"/>
  <c r="AB394" i="5"/>
  <c r="CK385" i="5"/>
  <c r="BY310" i="5"/>
  <c r="CA310" i="5"/>
  <c r="BZ220" i="5"/>
  <c r="CL220" i="5"/>
  <c r="CK220" i="5"/>
  <c r="BY289" i="5"/>
  <c r="CA289" i="5"/>
  <c r="BY189" i="5"/>
  <c r="CA189" i="5"/>
  <c r="BZ89" i="5"/>
  <c r="CL89" i="5"/>
  <c r="CK89" i="5"/>
  <c r="BM428" i="5"/>
  <c r="AB224" i="5"/>
  <c r="AB244" i="5"/>
  <c r="BY441" i="5"/>
  <c r="CA441" i="5"/>
  <c r="AM99" i="5"/>
  <c r="AP99" i="5" s="1"/>
  <c r="AR99" i="5"/>
  <c r="AS99" i="5"/>
  <c r="AV99" i="5"/>
  <c r="S11" i="5"/>
  <c r="T11" i="5" s="1"/>
  <c r="AY11" i="5"/>
  <c r="S110" i="5"/>
  <c r="T110" i="5" s="1"/>
  <c r="AY110" i="5"/>
  <c r="BZ47" i="5"/>
  <c r="CK47" i="5"/>
  <c r="CL47" i="5"/>
  <c r="BZ226" i="5"/>
  <c r="CL226" i="5"/>
  <c r="CK226" i="5"/>
  <c r="CA6" i="5"/>
  <c r="BY6" i="5"/>
  <c r="BY370" i="5"/>
  <c r="CA370" i="5"/>
  <c r="CA288" i="5"/>
  <c r="BY288" i="5"/>
  <c r="CK287" i="5"/>
  <c r="CK71" i="5"/>
  <c r="CK127" i="5"/>
  <c r="CK53" i="5"/>
  <c r="AB133" i="5"/>
  <c r="CA67" i="5"/>
  <c r="BY67" i="5"/>
  <c r="BZ16" i="5"/>
  <c r="CL16" i="5"/>
  <c r="CK16" i="5"/>
  <c r="BZ431" i="5"/>
  <c r="CK431" i="5"/>
  <c r="CL431" i="5"/>
  <c r="BZ390" i="5"/>
  <c r="CK390" i="5"/>
  <c r="CL390" i="5"/>
  <c r="AM28" i="5"/>
  <c r="AP28" i="5" s="1"/>
  <c r="AR28" i="5"/>
  <c r="AS28" i="5"/>
  <c r="AV28" i="5"/>
  <c r="BY108" i="5"/>
  <c r="CA108" i="5"/>
  <c r="BZ8" i="5"/>
  <c r="CK8" i="5"/>
  <c r="CL8" i="5"/>
  <c r="CA188" i="5"/>
  <c r="BY188" i="5"/>
  <c r="CL283" i="5"/>
  <c r="CL414" i="5"/>
  <c r="AB334" i="5"/>
  <c r="AM349" i="5"/>
  <c r="AP349" i="5" s="1"/>
  <c r="AR349" i="5"/>
  <c r="AS349" i="5"/>
  <c r="AV349" i="5"/>
  <c r="AM249" i="5"/>
  <c r="AP249" i="5" s="1"/>
  <c r="AR249" i="5"/>
  <c r="AS249" i="5"/>
  <c r="AV249" i="5"/>
  <c r="BZ166" i="5"/>
  <c r="CK166" i="5"/>
  <c r="CL166" i="5"/>
  <c r="CK82" i="5"/>
  <c r="CK443" i="5"/>
  <c r="CK213" i="5"/>
  <c r="CK367" i="5"/>
  <c r="BY107" i="5"/>
  <c r="CA107" i="5"/>
  <c r="CA286" i="5"/>
  <c r="BY286" i="5"/>
  <c r="CK24" i="5"/>
  <c r="CK397" i="5"/>
  <c r="CK95" i="5"/>
  <c r="BI439" i="5"/>
  <c r="BI339" i="5"/>
  <c r="BI59" i="5"/>
  <c r="S80" i="5"/>
  <c r="T80" i="5" s="1"/>
  <c r="AY80" i="5"/>
  <c r="CA276" i="5"/>
  <c r="BY276" i="5"/>
  <c r="BY410" i="5"/>
  <c r="CA410" i="5"/>
  <c r="CK433" i="5"/>
  <c r="CK4" i="5"/>
  <c r="CL192" i="5"/>
  <c r="CL123" i="5"/>
  <c r="BZ206" i="5"/>
  <c r="CL206" i="5"/>
  <c r="CK206" i="5"/>
  <c r="BY106" i="5"/>
  <c r="CA106" i="5"/>
  <c r="BY371" i="5"/>
  <c r="CA371" i="5"/>
  <c r="BZ420" i="5"/>
  <c r="CL420" i="5"/>
  <c r="CK420" i="5"/>
  <c r="BZ340" i="5"/>
  <c r="CL340" i="5"/>
  <c r="CK340" i="5"/>
  <c r="BI49" i="5"/>
  <c r="AL430" i="5"/>
  <c r="BG430" i="5"/>
  <c r="BH430" i="5" a="1"/>
  <c r="BH430" i="5" s="1"/>
  <c r="AU430" i="5"/>
  <c r="BY209" i="5"/>
  <c r="CA209" i="5"/>
  <c r="BZ9" i="5"/>
  <c r="CL9" i="5"/>
  <c r="CK9" i="5"/>
  <c r="CK154" i="5"/>
  <c r="CK244" i="5"/>
  <c r="CL255" i="5"/>
  <c r="CL386" i="5"/>
  <c r="CK312" i="5"/>
  <c r="AM139" i="5"/>
  <c r="AP139" i="5" s="1"/>
  <c r="AR139" i="5"/>
  <c r="AS139" i="5"/>
  <c r="AV139" i="5"/>
  <c r="S111" i="5"/>
  <c r="T111" i="5" s="1"/>
  <c r="AY111" i="5"/>
  <c r="CK303" i="5"/>
  <c r="CA348" i="5"/>
  <c r="BY348" i="5"/>
  <c r="CA148" i="5"/>
  <c r="BY148" i="5"/>
  <c r="BM359" i="5"/>
  <c r="BY118" i="5"/>
  <c r="CA118" i="5"/>
  <c r="CA258" i="5"/>
  <c r="BY258" i="5"/>
  <c r="BZ158" i="5"/>
  <c r="CK158" i="5"/>
  <c r="CL158" i="5"/>
  <c r="BY239" i="5"/>
  <c r="CA239" i="5"/>
  <c r="BZ398" i="5"/>
  <c r="CL398" i="5"/>
  <c r="CK398" i="5"/>
  <c r="CA378" i="5"/>
  <c r="BY378" i="5"/>
  <c r="BZ178" i="5"/>
  <c r="CK178" i="5"/>
  <c r="CL178" i="5"/>
  <c r="CK341" i="5"/>
  <c r="CK242" i="5"/>
  <c r="CK254" i="5"/>
  <c r="AB187" i="5"/>
  <c r="CK52" i="5"/>
  <c r="CK234" i="5"/>
  <c r="CK12" i="5"/>
  <c r="CK245" i="5"/>
  <c r="BI369" i="5"/>
  <c r="BI269" i="5"/>
  <c r="BI169" i="5"/>
  <c r="AM428" i="5"/>
  <c r="AP428" i="5" s="1"/>
  <c r="AR428" i="5"/>
  <c r="AS428" i="5"/>
  <c r="AV428" i="5"/>
  <c r="AM328" i="5"/>
  <c r="AP328" i="5" s="1"/>
  <c r="AR328" i="5"/>
  <c r="AS328" i="5"/>
  <c r="AV328" i="5"/>
  <c r="AM228" i="5"/>
  <c r="AP228" i="5" s="1"/>
  <c r="AR228" i="5"/>
  <c r="AS228" i="5"/>
  <c r="AV228" i="5"/>
  <c r="AM128" i="5"/>
  <c r="AP128" i="5" s="1"/>
  <c r="AR128" i="5"/>
  <c r="AS128" i="5"/>
  <c r="AV128" i="5"/>
  <c r="BY299" i="5"/>
  <c r="CA299" i="5"/>
  <c r="BZ99" i="5"/>
  <c r="CL99" i="5"/>
  <c r="CK99" i="5"/>
  <c r="CK426" i="5"/>
  <c r="CK182" i="5"/>
  <c r="BY400" i="5"/>
  <c r="CA400" i="5"/>
  <c r="BZ189" i="5"/>
  <c r="CL189" i="5"/>
  <c r="CK189" i="5"/>
  <c r="AL330" i="5"/>
  <c r="BG330" i="5"/>
  <c r="BH330" i="5" a="1"/>
  <c r="BH330" i="5" s="1"/>
  <c r="AU330" i="5"/>
  <c r="CK411" i="5"/>
  <c r="CK406" i="5"/>
  <c r="CK281" i="5"/>
  <c r="CK436" i="5"/>
  <c r="BZ441" i="5"/>
  <c r="CK441" i="5"/>
  <c r="CL441" i="5"/>
  <c r="BY311" i="5"/>
  <c r="CA311" i="5"/>
  <c r="AB355" i="5"/>
  <c r="CA226" i="5"/>
  <c r="BY226" i="5"/>
  <c r="BY440" i="5"/>
  <c r="CA440" i="5"/>
  <c r="BZ370" i="5"/>
  <c r="CK370" i="5"/>
  <c r="CL370" i="5"/>
  <c r="BZ290" i="5"/>
  <c r="CK290" i="5"/>
  <c r="CL290" i="5"/>
  <c r="BY49" i="5"/>
  <c r="CA49" i="5"/>
  <c r="BZ88" i="5"/>
  <c r="CL88" i="5"/>
  <c r="CK88" i="5"/>
  <c r="CK104" i="5"/>
  <c r="CK285" i="5"/>
  <c r="CK223" i="5"/>
  <c r="CA208" i="5"/>
  <c r="BY208" i="5"/>
  <c r="BY391" i="5"/>
  <c r="CA391" i="5"/>
  <c r="BY200" i="5"/>
  <c r="CA200" i="5"/>
  <c r="CA388" i="5"/>
  <c r="BY388" i="5"/>
  <c r="AB141" i="5"/>
  <c r="CK404" i="5"/>
  <c r="CL403" i="5"/>
  <c r="CK414" i="5"/>
  <c r="CK412" i="5"/>
  <c r="CK134" i="5"/>
  <c r="BI308" i="5"/>
  <c r="BI208" i="5"/>
  <c r="BI108" i="5"/>
  <c r="CA59" i="5"/>
  <c r="BY59" i="5"/>
  <c r="AB335" i="5"/>
  <c r="S100" i="5"/>
  <c r="T100" i="5" s="1"/>
  <c r="AY100" i="5"/>
  <c r="AL230" i="5"/>
  <c r="AU230" i="5"/>
  <c r="BG230" i="5"/>
  <c r="BH230" i="5" a="1"/>
  <c r="BH230" i="5" s="1"/>
  <c r="CL202" i="5"/>
  <c r="CK215" i="5"/>
  <c r="CL346" i="5"/>
  <c r="AB93" i="5"/>
  <c r="CA66" i="5"/>
  <c r="BY66" i="5"/>
  <c r="CK271" i="5"/>
  <c r="CK263" i="5"/>
  <c r="CL247" i="5"/>
  <c r="CK172" i="5"/>
  <c r="CK55" i="5"/>
  <c r="CK201" i="5"/>
  <c r="AM439" i="5"/>
  <c r="AP439" i="5" s="1"/>
  <c r="AR439" i="5"/>
  <c r="AS439" i="5"/>
  <c r="AV439" i="5"/>
  <c r="AR339" i="5"/>
  <c r="AM339" i="5"/>
  <c r="AP339" i="5" s="1"/>
  <c r="AS339" i="5"/>
  <c r="AV339" i="5"/>
  <c r="AM239" i="5"/>
  <c r="AP239" i="5" s="1"/>
  <c r="AR239" i="5"/>
  <c r="AS239" i="5"/>
  <c r="AV239" i="5"/>
  <c r="BI398" i="5"/>
  <c r="BI298" i="5"/>
  <c r="BI198" i="5"/>
  <c r="BI98" i="5"/>
  <c r="AM59" i="5"/>
  <c r="AP59" i="5" s="1"/>
  <c r="AR59" i="5"/>
  <c r="AS59" i="5"/>
  <c r="AV59" i="5"/>
  <c r="BY39" i="5"/>
  <c r="CA39" i="5"/>
  <c r="CA97" i="5"/>
  <c r="BY97" i="5"/>
  <c r="CK282" i="5"/>
  <c r="CK192" i="5"/>
  <c r="CK123" i="5"/>
  <c r="CA206" i="5"/>
  <c r="BY206" i="5"/>
  <c r="BZ371" i="5"/>
  <c r="CK371" i="5"/>
  <c r="CL371" i="5"/>
  <c r="AR49" i="5"/>
  <c r="AM49" i="5"/>
  <c r="AP49" i="5" s="1"/>
  <c r="AS49" i="5"/>
  <c r="AV49" i="5"/>
  <c r="BY409" i="5"/>
  <c r="CA409" i="5"/>
  <c r="BZ209" i="5"/>
  <c r="CL209" i="5"/>
  <c r="CK209" i="5"/>
  <c r="S40" i="5"/>
  <c r="T40" i="5" s="1"/>
  <c r="AY40" i="5"/>
  <c r="CK354" i="5"/>
  <c r="CK352" i="5"/>
  <c r="CL312" i="5"/>
  <c r="CK45" i="5"/>
  <c r="BY109" i="5"/>
  <c r="CA109" i="5"/>
  <c r="BZ348" i="5"/>
  <c r="CL348" i="5"/>
  <c r="CK348" i="5"/>
  <c r="CA168" i="5"/>
  <c r="BY168" i="5"/>
  <c r="CA358" i="5"/>
  <c r="BY358" i="5"/>
  <c r="BM298" i="5"/>
  <c r="BY179" i="5"/>
  <c r="CA179" i="5"/>
  <c r="BY169" i="5"/>
  <c r="CA169" i="5"/>
  <c r="BZ278" i="5"/>
  <c r="CL278" i="5"/>
  <c r="CK278" i="5"/>
  <c r="CK114" i="5"/>
  <c r="AL350" i="5"/>
  <c r="BG350" i="5"/>
  <c r="BH350" i="5" a="1"/>
  <c r="BH350" i="5" s="1"/>
  <c r="AU350" i="5"/>
  <c r="CL52" i="5"/>
  <c r="CK375" i="5"/>
  <c r="CK434" i="5"/>
  <c r="AR369" i="5"/>
  <c r="AS369" i="5"/>
  <c r="AM369" i="5"/>
  <c r="AP369" i="5" s="1"/>
  <c r="AV369" i="5"/>
  <c r="AM269" i="5"/>
  <c r="AP269" i="5" s="1"/>
  <c r="AR269" i="5"/>
  <c r="AS269" i="5"/>
  <c r="AV269" i="5"/>
  <c r="AM169" i="5"/>
  <c r="AP169" i="5" s="1"/>
  <c r="AR169" i="5"/>
  <c r="AS169" i="5"/>
  <c r="AV169" i="5"/>
  <c r="BY399" i="5"/>
  <c r="CA399" i="5"/>
  <c r="BZ199" i="5"/>
  <c r="CL199" i="5"/>
  <c r="CK199" i="5"/>
  <c r="CK122" i="5"/>
  <c r="CK344" i="5"/>
  <c r="BZ186" i="5"/>
  <c r="CL186" i="5"/>
  <c r="CK186" i="5"/>
  <c r="BY331" i="5"/>
  <c r="CA331" i="5"/>
  <c r="BZ310" i="5"/>
  <c r="CL310" i="5"/>
  <c r="CK310" i="5"/>
  <c r="BY293" i="5"/>
  <c r="CA293" i="5"/>
  <c r="BY389" i="5"/>
  <c r="CA389" i="5"/>
  <c r="BZ289" i="5"/>
  <c r="CL289" i="5"/>
  <c r="CK289" i="5"/>
  <c r="CK304" i="5"/>
  <c r="CK115" i="5"/>
  <c r="CK151" i="5"/>
  <c r="CK195" i="5"/>
  <c r="BZ56" i="5"/>
  <c r="CK56" i="5"/>
  <c r="CL56" i="5"/>
  <c r="BI368" i="5"/>
  <c r="BI268" i="5"/>
  <c r="BI168" i="5"/>
  <c r="BI68" i="5"/>
  <c r="AL260" i="5"/>
  <c r="AU260" i="5"/>
  <c r="BG260" i="5"/>
  <c r="BH260" i="5" a="1"/>
  <c r="BH260" i="5" s="1"/>
  <c r="CA47" i="5"/>
  <c r="BY47" i="5"/>
  <c r="BY249" i="5"/>
  <c r="CA249" i="5"/>
  <c r="BZ288" i="5"/>
  <c r="CL288" i="5"/>
  <c r="CK288" i="5"/>
  <c r="CK291" i="5"/>
  <c r="CK297" i="5"/>
  <c r="BZ76" i="5"/>
  <c r="CL76" i="5"/>
  <c r="CK76" i="5"/>
  <c r="CA16" i="5"/>
  <c r="BY16" i="5"/>
  <c r="CA308" i="5"/>
  <c r="BY308" i="5"/>
  <c r="BZ208" i="5"/>
  <c r="CL208" i="5"/>
  <c r="CK208" i="5"/>
  <c r="BZ108" i="5"/>
  <c r="CK108" i="5"/>
  <c r="CL108" i="5"/>
  <c r="BZ391" i="5"/>
  <c r="CK391" i="5"/>
  <c r="CL391" i="5"/>
  <c r="BZ200" i="5"/>
  <c r="CL200" i="5"/>
  <c r="CK200" i="5"/>
  <c r="BY149" i="5"/>
  <c r="CA149" i="5"/>
  <c r="BZ188" i="5"/>
  <c r="CL188" i="5"/>
  <c r="CK188" i="5"/>
  <c r="CK74" i="5"/>
  <c r="CK403" i="5"/>
  <c r="CK381" i="5"/>
  <c r="CK355" i="5"/>
  <c r="CK75" i="5"/>
  <c r="CK145" i="5"/>
  <c r="BZ117" i="5"/>
  <c r="CK117" i="5"/>
  <c r="CL117" i="5"/>
  <c r="AM408" i="5"/>
  <c r="AP408" i="5" s="1"/>
  <c r="AR408" i="5"/>
  <c r="AS408" i="5"/>
  <c r="AV408" i="5"/>
  <c r="AM308" i="5"/>
  <c r="AP308" i="5" s="1"/>
  <c r="AR308" i="5"/>
  <c r="AS308" i="5"/>
  <c r="AV308" i="5"/>
  <c r="AM208" i="5"/>
  <c r="AP208" i="5" s="1"/>
  <c r="AR208" i="5"/>
  <c r="AS208" i="5"/>
  <c r="AV208" i="5"/>
  <c r="AM108" i="5"/>
  <c r="AP108" i="5" s="1"/>
  <c r="AR108" i="5"/>
  <c r="AS108" i="5"/>
  <c r="AV108" i="5"/>
  <c r="AR18" i="5"/>
  <c r="AM18" i="5"/>
  <c r="AP18" i="5" s="1"/>
  <c r="AS18" i="5"/>
  <c r="AV18" i="5"/>
  <c r="BY159" i="5"/>
  <c r="CA159" i="5"/>
  <c r="BZ59" i="5"/>
  <c r="CL59" i="5"/>
  <c r="CK59" i="5"/>
  <c r="CA166" i="5"/>
  <c r="BY166" i="5"/>
  <c r="CK44" i="5"/>
  <c r="CK202" i="5"/>
  <c r="CL215" i="5"/>
  <c r="CK346" i="5"/>
  <c r="CK237" i="5"/>
  <c r="CK247" i="5"/>
  <c r="CK31" i="5"/>
  <c r="CK401" i="5"/>
  <c r="AM398" i="5"/>
  <c r="AP398" i="5" s="1"/>
  <c r="AR398" i="5"/>
  <c r="AS398" i="5"/>
  <c r="AV398" i="5"/>
  <c r="AR298" i="5"/>
  <c r="AM298" i="5"/>
  <c r="AP298" i="5" s="1"/>
  <c r="AS298" i="5"/>
  <c r="AV298" i="5"/>
  <c r="AM198" i="5"/>
  <c r="AP198" i="5" s="1"/>
  <c r="AR198" i="5"/>
  <c r="AS198" i="5"/>
  <c r="AV198" i="5"/>
  <c r="AM98" i="5"/>
  <c r="AP98" i="5" s="1"/>
  <c r="AR98" i="5"/>
  <c r="AS98" i="5"/>
  <c r="AV98" i="5"/>
  <c r="AL180" i="5"/>
  <c r="AU180" i="5"/>
  <c r="BG180" i="5"/>
  <c r="BH180" i="5" a="1"/>
  <c r="BH180" i="5" s="1"/>
  <c r="CK23" i="5"/>
  <c r="BZ410" i="5"/>
  <c r="CL410" i="5"/>
  <c r="CK410" i="5"/>
  <c r="BY37" i="5"/>
  <c r="CA37" i="5"/>
  <c r="BY29" i="5"/>
  <c r="CA29" i="5"/>
  <c r="S430" i="5"/>
  <c r="T430" i="5" s="1"/>
  <c r="AY430" i="5"/>
  <c r="AL70" i="5"/>
  <c r="AU70" i="5"/>
  <c r="BG70" i="5"/>
  <c r="BH70" i="5" a="1"/>
  <c r="BH70" i="5" s="1"/>
  <c r="BZ409" i="5"/>
  <c r="CL409" i="5"/>
  <c r="CK409" i="5"/>
  <c r="CL121" i="5"/>
  <c r="CK374" i="5"/>
  <c r="CL352" i="5"/>
  <c r="CK152" i="5"/>
  <c r="CK392" i="5"/>
  <c r="CL225" i="5"/>
  <c r="BI229" i="5"/>
  <c r="CK435" i="5"/>
  <c r="BY309" i="5"/>
  <c r="CA309" i="5"/>
  <c r="BZ109" i="5"/>
  <c r="CL109" i="5"/>
  <c r="CK109" i="5"/>
  <c r="CA218" i="5"/>
  <c r="BY218" i="5"/>
  <c r="BZ118" i="5"/>
  <c r="CK118" i="5"/>
  <c r="CL118" i="5"/>
  <c r="BZ68" i="5"/>
  <c r="CK68" i="5"/>
  <c r="CL68" i="5"/>
  <c r="BZ358" i="5"/>
  <c r="CK358" i="5"/>
  <c r="CL358" i="5"/>
  <c r="BZ258" i="5"/>
  <c r="CK258" i="5"/>
  <c r="CL258" i="5"/>
  <c r="BY339" i="5"/>
  <c r="CA339" i="5"/>
  <c r="BZ239" i="5"/>
  <c r="CL239" i="5"/>
  <c r="CK239" i="5"/>
  <c r="BM398" i="5"/>
  <c r="BY279" i="5"/>
  <c r="CA279" i="5"/>
  <c r="BZ179" i="5"/>
  <c r="CK179" i="5"/>
  <c r="CL179" i="5"/>
  <c r="BY219" i="5"/>
  <c r="CA219" i="5"/>
  <c r="BZ169" i="5"/>
  <c r="CL169" i="5"/>
  <c r="CK169" i="5"/>
  <c r="BZ378" i="5"/>
  <c r="CL378" i="5"/>
  <c r="CK378" i="5"/>
  <c r="BZ196" i="5"/>
  <c r="CL196" i="5"/>
  <c r="CK196" i="5"/>
  <c r="CK33" i="5"/>
  <c r="CK233" i="5"/>
  <c r="CK324" i="5"/>
  <c r="CK402" i="5"/>
  <c r="CK232" i="5"/>
  <c r="BY20" i="5"/>
  <c r="CA20" i="5"/>
  <c r="BZ299" i="5"/>
  <c r="CL299" i="5"/>
  <c r="CK299" i="5"/>
  <c r="CK422" i="5"/>
  <c r="CK296" i="5"/>
  <c r="BZ86" i="5"/>
  <c r="CL86" i="5"/>
  <c r="CK86" i="5"/>
  <c r="BZ26" i="5"/>
  <c r="CL26" i="5"/>
  <c r="CK26" i="5"/>
  <c r="BZ331" i="5"/>
  <c r="CK331" i="5"/>
  <c r="CL331" i="5"/>
  <c r="BZ400" i="5"/>
  <c r="CL400" i="5"/>
  <c r="CK400" i="5"/>
  <c r="BY421" i="5"/>
  <c r="CA421" i="5"/>
  <c r="BZ389" i="5"/>
  <c r="CL389" i="5"/>
  <c r="CK389" i="5"/>
  <c r="S330" i="5"/>
  <c r="T330" i="5" s="1"/>
  <c r="AY330" i="5"/>
  <c r="CK405" i="5"/>
  <c r="CK423" i="5"/>
  <c r="CL151" i="5"/>
  <c r="CA56" i="5"/>
  <c r="BY56" i="5"/>
  <c r="BI409" i="5"/>
  <c r="BI309" i="5"/>
  <c r="BI209" i="5"/>
  <c r="AM368" i="5"/>
  <c r="AP368" i="5" s="1"/>
  <c r="AR368" i="5"/>
  <c r="AS368" i="5"/>
  <c r="AV368" i="5"/>
  <c r="AR268" i="5"/>
  <c r="AM268" i="5"/>
  <c r="AP268" i="5" s="1"/>
  <c r="AS268" i="5"/>
  <c r="AV268" i="5"/>
  <c r="AM168" i="5"/>
  <c r="AP168" i="5" s="1"/>
  <c r="AR168" i="5"/>
  <c r="AS168" i="5"/>
  <c r="AV168" i="5"/>
  <c r="AR68" i="5"/>
  <c r="AS68" i="5"/>
  <c r="AM68" i="5"/>
  <c r="AP68" i="5" s="1"/>
  <c r="AV68" i="5"/>
  <c r="BZ311" i="5"/>
  <c r="CK311" i="5"/>
  <c r="CL311" i="5"/>
  <c r="AL280" i="5"/>
  <c r="AU280" i="5"/>
  <c r="BG280" i="5"/>
  <c r="BH280" i="5" a="1"/>
  <c r="BH280" i="5" s="1"/>
  <c r="BZ440" i="5"/>
  <c r="CL440" i="5"/>
  <c r="CK440" i="5"/>
  <c r="BY349" i="5"/>
  <c r="CA349" i="5"/>
  <c r="BZ49" i="5"/>
  <c r="CL49" i="5"/>
  <c r="CK49" i="5"/>
  <c r="CK137" i="5"/>
  <c r="BZ126" i="5"/>
  <c r="CL126" i="5"/>
  <c r="CK126" i="5"/>
  <c r="CA76" i="5"/>
  <c r="BY76" i="5"/>
  <c r="CA408" i="5"/>
  <c r="BY408" i="5"/>
  <c r="BZ308" i="5"/>
  <c r="CL308" i="5"/>
  <c r="CK308" i="5"/>
  <c r="BY3" i="5"/>
  <c r="CA3" i="5"/>
  <c r="BZ388" i="5"/>
  <c r="CL388" i="5"/>
  <c r="CK388" i="5"/>
  <c r="CK133" i="5"/>
  <c r="CK93" i="5"/>
  <c r="CK91" i="5"/>
  <c r="CK62" i="5"/>
  <c r="BI299" i="5"/>
  <c r="BI199" i="5"/>
  <c r="BY13" i="5"/>
  <c r="CA13" i="5"/>
  <c r="BZ159" i="5"/>
  <c r="CL159" i="5"/>
  <c r="CK159" i="5"/>
  <c r="AL250" i="5"/>
  <c r="BG250" i="5"/>
  <c r="BH250" i="5" a="1"/>
  <c r="BH250" i="5" s="1"/>
  <c r="AU250" i="5"/>
  <c r="S230" i="5"/>
  <c r="T230" i="5" s="1"/>
  <c r="AY230" i="5"/>
  <c r="CK171" i="5"/>
  <c r="CK72" i="5"/>
  <c r="AB314" i="5"/>
  <c r="CK203" i="5"/>
  <c r="CK275" i="5"/>
  <c r="BY120" i="5"/>
  <c r="CA120" i="5"/>
  <c r="BY139" i="5"/>
  <c r="CA139" i="5"/>
  <c r="BZ39" i="5"/>
  <c r="CL39" i="5"/>
  <c r="CK39" i="5"/>
  <c r="CK183" i="5"/>
  <c r="CK227" i="5"/>
  <c r="CK335" i="5"/>
  <c r="BZ37" i="5"/>
  <c r="CL37" i="5"/>
  <c r="CK37" i="5"/>
  <c r="BY129" i="5"/>
  <c r="CA129" i="5"/>
  <c r="BZ29" i="5"/>
  <c r="CL29" i="5"/>
  <c r="CK29" i="5"/>
  <c r="BI129" i="5"/>
  <c r="BM209" i="5"/>
  <c r="AL360" i="5"/>
  <c r="BG360" i="5"/>
  <c r="BH360" i="5" a="1"/>
  <c r="BH360" i="5" s="1"/>
  <c r="AU360" i="5"/>
  <c r="CK121" i="5"/>
  <c r="CK274" i="5"/>
  <c r="CK187" i="5"/>
  <c r="CK5" i="5"/>
  <c r="CK225" i="5"/>
  <c r="CA184" i="5"/>
  <c r="BY184" i="5"/>
  <c r="BI429" i="5"/>
  <c r="BI329" i="5"/>
  <c r="BI438" i="5"/>
  <c r="BI338" i="5"/>
  <c r="BI238" i="5"/>
  <c r="BI138" i="5"/>
  <c r="AL380" i="5"/>
  <c r="BG380" i="5"/>
  <c r="BH380" i="5" a="1"/>
  <c r="BH380" i="5" s="1"/>
  <c r="AU380" i="5"/>
  <c r="CK14" i="5"/>
  <c r="BY240" i="5"/>
  <c r="CA240" i="5"/>
  <c r="BZ309" i="5"/>
  <c r="CL309" i="5"/>
  <c r="CK309" i="5"/>
  <c r="AL51" i="5"/>
  <c r="AU51" i="5"/>
  <c r="BG51" i="5"/>
  <c r="BH51" i="5" a="1"/>
  <c r="BH51" i="5" s="1"/>
  <c r="CA268" i="5"/>
  <c r="BY268" i="5"/>
  <c r="BZ168" i="5"/>
  <c r="CK168" i="5"/>
  <c r="CL168" i="5"/>
  <c r="BM118" i="5"/>
  <c r="BY439" i="5"/>
  <c r="CA439" i="5"/>
  <c r="BZ339" i="5"/>
  <c r="CL339" i="5"/>
  <c r="CK339" i="5"/>
  <c r="BM239" i="5"/>
  <c r="BY379" i="5"/>
  <c r="CA379" i="5"/>
  <c r="BZ279" i="5"/>
  <c r="CL279" i="5"/>
  <c r="CK279" i="5"/>
  <c r="BY269" i="5"/>
  <c r="CA269" i="5"/>
  <c r="BZ219" i="5"/>
  <c r="CL219" i="5"/>
  <c r="CK219" i="5"/>
  <c r="CK41" i="5"/>
  <c r="BZ36" i="5"/>
  <c r="CK36" i="5"/>
  <c r="CL36" i="5"/>
  <c r="S350" i="5"/>
  <c r="T350" i="5" s="1"/>
  <c r="AY350" i="5"/>
  <c r="AB413" i="5"/>
  <c r="CL232" i="5"/>
  <c r="CK205" i="5"/>
  <c r="CK162" i="5"/>
  <c r="BI119" i="5"/>
  <c r="BY150" i="5"/>
  <c r="CA150" i="5"/>
  <c r="BZ20" i="5"/>
  <c r="CK20" i="5"/>
  <c r="CL20" i="5"/>
  <c r="BZ399" i="5"/>
  <c r="CL399" i="5"/>
  <c r="CK399" i="5"/>
  <c r="BY38" i="5"/>
  <c r="CA38" i="5"/>
  <c r="CK415" i="5"/>
  <c r="CK292" i="5"/>
  <c r="BZ256" i="5"/>
  <c r="CL256" i="5"/>
  <c r="CK256" i="5"/>
  <c r="CA186" i="5"/>
  <c r="BY186" i="5"/>
  <c r="BY26" i="5"/>
  <c r="CA26" i="5"/>
  <c r="BZ421" i="5"/>
  <c r="CK421" i="5"/>
  <c r="CL421" i="5"/>
  <c r="BZ293" i="5"/>
  <c r="CL293" i="5"/>
  <c r="CK293" i="5"/>
  <c r="BY28" i="5"/>
  <c r="CA28" i="5"/>
  <c r="CK221" i="5"/>
  <c r="CK387" i="5"/>
  <c r="CK313" i="5"/>
  <c r="CK347" i="5"/>
  <c r="AM409" i="5"/>
  <c r="AP409" i="5" s="1"/>
  <c r="AR409" i="5"/>
  <c r="AS409" i="5"/>
  <c r="AV409" i="5"/>
  <c r="AM309" i="5"/>
  <c r="AP309" i="5" s="1"/>
  <c r="AR309" i="5"/>
  <c r="AS309" i="5"/>
  <c r="AV309" i="5"/>
  <c r="AM209" i="5"/>
  <c r="AP209" i="5" s="1"/>
  <c r="AR209" i="5"/>
  <c r="AS209" i="5"/>
  <c r="AV209" i="5"/>
  <c r="CA18" i="5"/>
  <c r="BY18" i="5"/>
  <c r="S260" i="5"/>
  <c r="T260" i="5" s="1"/>
  <c r="AY260" i="5"/>
  <c r="BZ249" i="5"/>
  <c r="CL249" i="5"/>
  <c r="CK249" i="5"/>
  <c r="CK394" i="5"/>
  <c r="CK214" i="5"/>
  <c r="AB72" i="5"/>
  <c r="CK73" i="5"/>
  <c r="BZ236" i="5"/>
  <c r="CK236" i="5"/>
  <c r="CL236" i="5"/>
  <c r="BZ176" i="5"/>
  <c r="CL176" i="5"/>
  <c r="CK176" i="5"/>
  <c r="CA126" i="5"/>
  <c r="BY126" i="5"/>
  <c r="BI89" i="5"/>
  <c r="CA69" i="5"/>
  <c r="BY69" i="5"/>
  <c r="BZ408" i="5"/>
  <c r="CL408" i="5"/>
  <c r="CK408" i="5"/>
  <c r="AB177" i="5"/>
  <c r="AB135" i="5"/>
  <c r="BZ353" i="5"/>
  <c r="CL353" i="5"/>
  <c r="CK353" i="5"/>
  <c r="BZ3" i="5"/>
  <c r="CK3" i="5"/>
  <c r="CL3" i="5"/>
  <c r="BZ149" i="5"/>
  <c r="CL149" i="5"/>
  <c r="CK149" i="5"/>
  <c r="CK265" i="5"/>
  <c r="CK334" i="5"/>
  <c r="AB54" i="5"/>
  <c r="BY117" i="5"/>
  <c r="CA117" i="5"/>
  <c r="BI399" i="5"/>
  <c r="BY130" i="5"/>
  <c r="CA130" i="5"/>
  <c r="BZ13" i="5"/>
  <c r="CK13" i="5"/>
  <c r="CL13" i="5"/>
  <c r="CK63" i="5"/>
  <c r="CK396" i="5"/>
  <c r="CK257" i="5"/>
  <c r="CK323" i="5"/>
  <c r="CK34" i="5"/>
  <c r="BY190" i="5"/>
  <c r="CA190" i="5"/>
  <c r="BZ120" i="5"/>
  <c r="CK120" i="5"/>
  <c r="CL120" i="5"/>
  <c r="BZ139" i="5"/>
  <c r="CL139" i="5"/>
  <c r="CK139" i="5"/>
  <c r="S180" i="5"/>
  <c r="T180" i="5" s="1"/>
  <c r="AY180" i="5"/>
  <c r="CK252" i="5"/>
  <c r="CK332" i="5"/>
  <c r="BY229" i="5"/>
  <c r="CA229" i="5"/>
  <c r="BZ129" i="5"/>
  <c r="CL129" i="5"/>
  <c r="CK129" i="5"/>
  <c r="S70" i="5"/>
  <c r="T70" i="5" s="1"/>
  <c r="AY70" i="5"/>
  <c r="BM409" i="5"/>
  <c r="AL81" i="5"/>
  <c r="AU81" i="5"/>
  <c r="CT84" i="5" s="1" a="1"/>
  <c r="CT84" i="5" s="1"/>
  <c r="BK84" i="5" s="1"/>
  <c r="BG81" i="5"/>
  <c r="BH81" i="5" a="1"/>
  <c r="BH81" i="5" s="1"/>
  <c r="CK251" i="5"/>
  <c r="BY2" i="5"/>
  <c r="CA2" i="5"/>
  <c r="AM429" i="5"/>
  <c r="AP429" i="5" s="1"/>
  <c r="AR429" i="5"/>
  <c r="AS429" i="5"/>
  <c r="AV429" i="5"/>
  <c r="AM329" i="5"/>
  <c r="AP329" i="5" s="1"/>
  <c r="AR329" i="5"/>
  <c r="AS329" i="5"/>
  <c r="AV329" i="5"/>
  <c r="AM229" i="5"/>
  <c r="AP229" i="5" s="1"/>
  <c r="AR229" i="5"/>
  <c r="AS229" i="5"/>
  <c r="AV229" i="5"/>
  <c r="AM438" i="5"/>
  <c r="AP438" i="5" s="1"/>
  <c r="AR438" i="5"/>
  <c r="AS438" i="5"/>
  <c r="AV438" i="5"/>
  <c r="AR338" i="5"/>
  <c r="AS338" i="5"/>
  <c r="AM338" i="5"/>
  <c r="AP338" i="5" s="1"/>
  <c r="AV338" i="5"/>
  <c r="AM238" i="5"/>
  <c r="AP238" i="5" s="1"/>
  <c r="AR238" i="5"/>
  <c r="AS238" i="5"/>
  <c r="AV238" i="5"/>
  <c r="AM138" i="5"/>
  <c r="AP138" i="5" s="1"/>
  <c r="AR138" i="5"/>
  <c r="AS138" i="5"/>
  <c r="AV138" i="5"/>
  <c r="BI39" i="5"/>
  <c r="CA19" i="5"/>
  <c r="BY19" i="5"/>
  <c r="AL60" i="5"/>
  <c r="AU60" i="5"/>
  <c r="CT301" i="5" s="1" a="1"/>
  <c r="CT301" i="5" s="1"/>
  <c r="BK301" i="5" s="1"/>
  <c r="BG60" i="5"/>
  <c r="BH60" i="5" a="1"/>
  <c r="BH60" i="5" s="1"/>
  <c r="BY351" i="5"/>
  <c r="CA351" i="5"/>
  <c r="BM109" i="5"/>
  <c r="AL101" i="5"/>
  <c r="AU101" i="5"/>
  <c r="BG101" i="5"/>
  <c r="BH101" i="5" a="1"/>
  <c r="BH101" i="5" s="1"/>
  <c r="CA318" i="5"/>
  <c r="BY318" i="5"/>
  <c r="BM168" i="5"/>
  <c r="BZ439" i="5"/>
  <c r="CL439" i="5"/>
  <c r="CK439" i="5"/>
  <c r="BM339" i="5"/>
  <c r="BM179" i="5"/>
  <c r="BY319" i="5"/>
  <c r="CA319" i="5"/>
  <c r="BZ269" i="5"/>
  <c r="CL269" i="5"/>
  <c r="CK269" i="5"/>
  <c r="BM169" i="5"/>
  <c r="CK307" i="5"/>
  <c r="CK337" i="5"/>
  <c r="CK365" i="5"/>
  <c r="CK373" i="5"/>
  <c r="BI378" i="5"/>
  <c r="BI278" i="5"/>
  <c r="BI178" i="5"/>
  <c r="BI78" i="5"/>
  <c r="AM119" i="5"/>
  <c r="AP119" i="5" s="1"/>
  <c r="AR119" i="5"/>
  <c r="AS119" i="5"/>
  <c r="AV119" i="5"/>
  <c r="BY138" i="5"/>
  <c r="CA138" i="5"/>
  <c r="CK326" i="5"/>
  <c r="CK147" i="5"/>
  <c r="CK417" i="5"/>
  <c r="CK174" i="5"/>
  <c r="BZ17" i="5"/>
  <c r="CK17" i="5"/>
  <c r="CL17" i="5"/>
  <c r="CA316" i="5"/>
  <c r="BY316" i="5"/>
  <c r="CA256" i="5"/>
  <c r="BY256" i="5"/>
  <c r="CA86" i="5"/>
  <c r="BY86" i="5"/>
  <c r="BZ246" i="5"/>
  <c r="CK246" i="5"/>
  <c r="CL246" i="5"/>
  <c r="CA228" i="5"/>
  <c r="BY228" i="5"/>
  <c r="BY128" i="5"/>
  <c r="CA128" i="5"/>
  <c r="BZ28" i="5"/>
  <c r="CL28" i="5"/>
  <c r="CK28" i="5"/>
  <c r="CK261" i="5"/>
  <c r="BZ136" i="5"/>
  <c r="CK136" i="5"/>
  <c r="CL136" i="5"/>
  <c r="BI218" i="5"/>
  <c r="BI38" i="5"/>
  <c r="BZ79" i="5"/>
  <c r="CK79" i="5"/>
  <c r="CL79" i="5"/>
  <c r="S280" i="5"/>
  <c r="T280" i="5" s="1"/>
  <c r="AY280" i="5"/>
  <c r="BZ349" i="5"/>
  <c r="CL349" i="5"/>
  <c r="CK349" i="5"/>
  <c r="CK141" i="5"/>
  <c r="CK322" i="5"/>
  <c r="AB61" i="5"/>
  <c r="CK35" i="5"/>
  <c r="CA176" i="5"/>
  <c r="BY176" i="5"/>
  <c r="AM89" i="5"/>
  <c r="AP89" i="5" s="1"/>
  <c r="AR89" i="5"/>
  <c r="AS89" i="5"/>
  <c r="AV89" i="5"/>
  <c r="BY103" i="5"/>
  <c r="CA103" i="5"/>
  <c r="BZ69" i="5"/>
  <c r="CL69" i="5"/>
  <c r="CK69" i="5"/>
  <c r="BY353" i="5"/>
  <c r="CA353" i="5"/>
  <c r="CK377" i="5"/>
  <c r="AM399" i="5"/>
  <c r="AP399" i="5" s="1"/>
  <c r="AR399" i="5"/>
  <c r="AS399" i="5"/>
  <c r="AV399" i="5"/>
  <c r="AM299" i="5"/>
  <c r="AP299" i="5" s="1"/>
  <c r="AR299" i="5"/>
  <c r="AS299" i="5"/>
  <c r="AV299" i="5"/>
  <c r="AR199" i="5"/>
  <c r="AM199" i="5"/>
  <c r="AP199" i="5" s="1"/>
  <c r="AS199" i="5"/>
  <c r="AV199" i="5"/>
  <c r="BI358" i="5"/>
  <c r="BI79" i="5"/>
  <c r="S250" i="5"/>
  <c r="T250" i="5" s="1"/>
  <c r="AY250" i="5"/>
  <c r="CK366" i="5"/>
  <c r="CK416" i="5"/>
  <c r="CK235" i="5"/>
  <c r="CK61" i="5"/>
  <c r="BI389" i="5"/>
  <c r="BI289" i="5"/>
  <c r="BI189" i="5"/>
  <c r="CT331" i="5" a="1"/>
  <c r="CT331" i="5" s="1"/>
  <c r="BK331" i="5" s="1"/>
  <c r="CT401" i="5" a="1"/>
  <c r="CT401" i="5" s="1"/>
  <c r="BK401" i="5" s="1"/>
  <c r="BI159" i="5"/>
  <c r="CK224" i="5"/>
  <c r="CK314" i="5"/>
  <c r="BI149" i="5"/>
  <c r="BY329" i="5"/>
  <c r="CA329" i="5"/>
  <c r="BZ229" i="5"/>
  <c r="CL229" i="5"/>
  <c r="CK229" i="5"/>
  <c r="BM29" i="5"/>
  <c r="S360" i="5"/>
  <c r="T360" i="5" s="1"/>
  <c r="AY360" i="5"/>
  <c r="CK21" i="5"/>
  <c r="CK65" i="5"/>
  <c r="CK432" i="5"/>
  <c r="BZ184" i="5"/>
  <c r="CL184" i="5"/>
  <c r="CK184" i="5"/>
  <c r="BV11" i="5"/>
  <c r="BV21" i="5"/>
  <c r="BV31" i="5"/>
  <c r="BV41" i="5"/>
  <c r="BV51" i="5"/>
  <c r="BV61" i="5"/>
  <c r="BV71" i="5"/>
  <c r="BV81" i="5"/>
  <c r="BV91" i="5"/>
  <c r="BV101" i="5"/>
  <c r="BV111" i="5"/>
  <c r="BV121" i="5"/>
  <c r="BV131" i="5"/>
  <c r="BV141" i="5"/>
  <c r="BV151" i="5"/>
  <c r="BV161" i="5"/>
  <c r="BV171" i="5"/>
  <c r="BV181" i="5"/>
  <c r="BV191" i="5"/>
  <c r="BV201" i="5"/>
  <c r="BV211" i="5"/>
  <c r="BV221" i="5"/>
  <c r="BV231" i="5"/>
  <c r="BV241" i="5"/>
  <c r="BV251" i="5"/>
  <c r="BV261" i="5"/>
  <c r="BV271" i="5"/>
  <c r="BV281" i="5"/>
  <c r="BV291" i="5"/>
  <c r="BV301" i="5"/>
  <c r="BV311" i="5"/>
  <c r="BV321" i="5"/>
  <c r="BV331" i="5"/>
  <c r="BV341" i="5"/>
  <c r="BV351" i="5"/>
  <c r="BV361" i="5"/>
  <c r="BV371" i="5"/>
  <c r="BV381" i="5"/>
  <c r="BV391" i="5"/>
  <c r="BV401" i="5"/>
  <c r="BV411" i="5"/>
  <c r="BV421" i="5"/>
  <c r="BV6" i="5"/>
  <c r="BV17" i="5"/>
  <c r="BV28" i="5"/>
  <c r="BV39" i="5"/>
  <c r="BV50" i="5"/>
  <c r="BV62" i="5"/>
  <c r="BV73" i="5"/>
  <c r="BV84" i="5"/>
  <c r="BV95" i="5"/>
  <c r="BV106" i="5"/>
  <c r="BV117" i="5"/>
  <c r="BV128" i="5"/>
  <c r="BV139" i="5"/>
  <c r="BV150" i="5"/>
  <c r="BV162" i="5"/>
  <c r="BV173" i="5"/>
  <c r="BV184" i="5"/>
  <c r="BV195" i="5"/>
  <c r="BV206" i="5"/>
  <c r="BV217" i="5"/>
  <c r="BV228" i="5"/>
  <c r="BV239" i="5"/>
  <c r="BV250" i="5"/>
  <c r="BV262" i="5"/>
  <c r="BV273" i="5"/>
  <c r="BV284" i="5"/>
  <c r="BV295" i="5"/>
  <c r="BV306" i="5"/>
  <c r="BV317" i="5"/>
  <c r="BV328" i="5"/>
  <c r="BV339" i="5"/>
  <c r="BV350" i="5"/>
  <c r="BV362" i="5"/>
  <c r="BV373" i="5"/>
  <c r="BV384" i="5"/>
  <c r="BV395" i="5"/>
  <c r="BV406" i="5"/>
  <c r="BV417" i="5"/>
  <c r="BV428" i="5"/>
  <c r="BV438" i="5"/>
  <c r="BV7" i="5"/>
  <c r="BV18" i="5"/>
  <c r="BV29" i="5"/>
  <c r="BV40" i="5"/>
  <c r="BV52" i="5"/>
  <c r="BV63" i="5"/>
  <c r="BV74" i="5"/>
  <c r="BV85" i="5"/>
  <c r="BV96" i="5"/>
  <c r="BV107" i="5"/>
  <c r="BV118" i="5"/>
  <c r="BV129" i="5"/>
  <c r="BV140" i="5"/>
  <c r="BV152" i="5"/>
  <c r="BV163" i="5"/>
  <c r="BV174" i="5"/>
  <c r="BV185" i="5"/>
  <c r="BV196" i="5"/>
  <c r="BV207" i="5"/>
  <c r="BV218" i="5"/>
  <c r="BV229" i="5"/>
  <c r="BV240" i="5"/>
  <c r="BV252" i="5"/>
  <c r="BV263" i="5"/>
  <c r="BV274" i="5"/>
  <c r="BV285" i="5"/>
  <c r="BV296" i="5"/>
  <c r="BV307" i="5"/>
  <c r="BV318" i="5"/>
  <c r="BV329" i="5"/>
  <c r="BV340" i="5"/>
  <c r="BV352" i="5"/>
  <c r="BV363" i="5"/>
  <c r="BV374" i="5"/>
  <c r="BV385" i="5"/>
  <c r="BV396" i="5"/>
  <c r="BV407" i="5"/>
  <c r="BV418" i="5"/>
  <c r="BV429" i="5"/>
  <c r="BV439" i="5"/>
  <c r="BV8" i="5"/>
  <c r="BV19" i="5"/>
  <c r="BV30" i="5"/>
  <c r="BV42" i="5"/>
  <c r="BV53" i="5"/>
  <c r="BV64" i="5"/>
  <c r="BV75" i="5"/>
  <c r="BV86" i="5"/>
  <c r="BV97" i="5"/>
  <c r="BV108" i="5"/>
  <c r="BV119" i="5"/>
  <c r="BV130" i="5"/>
  <c r="BV142" i="5"/>
  <c r="BV153" i="5"/>
  <c r="BV164" i="5"/>
  <c r="BV175" i="5"/>
  <c r="BV186" i="5"/>
  <c r="BV197" i="5"/>
  <c r="BV208" i="5"/>
  <c r="BV9" i="5"/>
  <c r="BV20" i="5"/>
  <c r="BV32" i="5"/>
  <c r="BV43" i="5"/>
  <c r="BV54" i="5"/>
  <c r="BV65" i="5"/>
  <c r="BV76" i="5"/>
  <c r="BV87" i="5"/>
  <c r="BV98" i="5"/>
  <c r="BV109" i="5"/>
  <c r="BV120" i="5"/>
  <c r="BV132" i="5"/>
  <c r="BV143" i="5"/>
  <c r="BV154" i="5"/>
  <c r="BV165" i="5"/>
  <c r="BV176" i="5"/>
  <c r="BV187" i="5"/>
  <c r="BV198" i="5"/>
  <c r="BV209" i="5"/>
  <c r="BV220" i="5"/>
  <c r="BV232" i="5"/>
  <c r="BV243" i="5"/>
  <c r="BV254" i="5"/>
  <c r="BV265" i="5"/>
  <c r="BV276" i="5"/>
  <c r="BV287" i="5"/>
  <c r="BV298" i="5"/>
  <c r="BV309" i="5"/>
  <c r="BV320" i="5"/>
  <c r="BV332" i="5"/>
  <c r="BV10" i="5"/>
  <c r="BV22" i="5"/>
  <c r="BV33" i="5"/>
  <c r="BV44" i="5"/>
  <c r="BV55" i="5"/>
  <c r="BV66" i="5"/>
  <c r="BV77" i="5"/>
  <c r="BV88" i="5"/>
  <c r="BV99" i="5"/>
  <c r="BV110" i="5"/>
  <c r="BV122" i="5"/>
  <c r="BV133" i="5"/>
  <c r="BV144" i="5"/>
  <c r="BV155" i="5"/>
  <c r="BV166" i="5"/>
  <c r="BV177" i="5"/>
  <c r="BV188" i="5"/>
  <c r="BV12" i="5"/>
  <c r="BV23" i="5"/>
  <c r="BV34" i="5"/>
  <c r="BV45" i="5"/>
  <c r="BV56" i="5"/>
  <c r="BV67" i="5"/>
  <c r="BV78" i="5"/>
  <c r="BV89" i="5"/>
  <c r="BV100" i="5"/>
  <c r="BV112" i="5"/>
  <c r="BV123" i="5"/>
  <c r="BV134" i="5"/>
  <c r="BV145" i="5"/>
  <c r="BV156" i="5"/>
  <c r="BV167" i="5"/>
  <c r="BV178" i="5"/>
  <c r="BV189" i="5"/>
  <c r="BV2" i="5"/>
  <c r="BV13" i="5"/>
  <c r="BV24" i="5"/>
  <c r="BV35" i="5"/>
  <c r="BV46" i="5"/>
  <c r="BV57" i="5"/>
  <c r="BV68" i="5"/>
  <c r="BV79" i="5"/>
  <c r="BV90" i="5"/>
  <c r="BV102" i="5"/>
  <c r="BV113" i="5"/>
  <c r="BV124" i="5"/>
  <c r="BV135" i="5"/>
  <c r="BV146" i="5"/>
  <c r="BV157" i="5"/>
  <c r="BV168" i="5"/>
  <c r="BV5" i="5"/>
  <c r="BV16" i="5"/>
  <c r="BV27" i="5"/>
  <c r="BV38" i="5"/>
  <c r="BV49" i="5"/>
  <c r="BV60" i="5"/>
  <c r="BV72" i="5"/>
  <c r="BV83" i="5"/>
  <c r="BV94" i="5"/>
  <c r="BV105" i="5"/>
  <c r="BV116" i="5"/>
  <c r="BV127" i="5"/>
  <c r="BV138" i="5"/>
  <c r="BV149" i="5"/>
  <c r="BV160" i="5"/>
  <c r="BV172" i="5"/>
  <c r="BV15" i="5"/>
  <c r="BV70" i="5"/>
  <c r="BV126" i="5"/>
  <c r="BV180" i="5"/>
  <c r="BV203" i="5"/>
  <c r="BV222" i="5"/>
  <c r="BV236" i="5"/>
  <c r="BV253" i="5"/>
  <c r="BV268" i="5"/>
  <c r="BV283" i="5"/>
  <c r="BV300" i="5"/>
  <c r="BV315" i="5"/>
  <c r="BV333" i="5"/>
  <c r="BV346" i="5"/>
  <c r="BV359" i="5"/>
  <c r="BV375" i="5"/>
  <c r="BV388" i="5"/>
  <c r="BV402" i="5"/>
  <c r="BV415" i="5"/>
  <c r="BV430" i="5"/>
  <c r="BV442" i="5"/>
  <c r="BV25" i="5"/>
  <c r="BV80" i="5"/>
  <c r="BV136" i="5"/>
  <c r="BV182" i="5"/>
  <c r="BV204" i="5"/>
  <c r="BV223" i="5"/>
  <c r="BV237" i="5"/>
  <c r="BV255" i="5"/>
  <c r="BV269" i="5"/>
  <c r="BV286" i="5"/>
  <c r="BV302" i="5"/>
  <c r="BV316" i="5"/>
  <c r="BV334" i="5"/>
  <c r="BV347" i="5"/>
  <c r="BV360" i="5"/>
  <c r="BV376" i="5"/>
  <c r="BV389" i="5"/>
  <c r="BV403" i="5"/>
  <c r="BV416" i="5"/>
  <c r="BV431" i="5"/>
  <c r="BV443" i="5"/>
  <c r="BV26" i="5"/>
  <c r="BV82" i="5"/>
  <c r="BV137" i="5"/>
  <c r="BV183" i="5"/>
  <c r="BV205" i="5"/>
  <c r="BV224" i="5"/>
  <c r="BV238" i="5"/>
  <c r="BV256" i="5"/>
  <c r="BV270" i="5"/>
  <c r="BV288" i="5"/>
  <c r="BV303" i="5"/>
  <c r="BV319" i="5"/>
  <c r="BV335" i="5"/>
  <c r="BV348" i="5"/>
  <c r="BV364" i="5"/>
  <c r="BV377" i="5"/>
  <c r="BV390" i="5"/>
  <c r="BV404" i="5"/>
  <c r="BV419" i="5"/>
  <c r="BV432" i="5"/>
  <c r="BV36" i="5"/>
  <c r="BV92" i="5"/>
  <c r="BV147" i="5"/>
  <c r="BV190" i="5"/>
  <c r="BV210" i="5"/>
  <c r="BV225" i="5"/>
  <c r="BV242" i="5"/>
  <c r="BV257" i="5"/>
  <c r="BV272" i="5"/>
  <c r="BV289" i="5"/>
  <c r="BV304" i="5"/>
  <c r="BV322" i="5"/>
  <c r="BV336" i="5"/>
  <c r="BV349" i="5"/>
  <c r="BV365" i="5"/>
  <c r="BV378" i="5"/>
  <c r="BV392" i="5"/>
  <c r="BV405" i="5"/>
  <c r="BV420" i="5"/>
  <c r="BV433" i="5"/>
  <c r="BV37" i="5"/>
  <c r="BV93" i="5"/>
  <c r="BV148" i="5"/>
  <c r="BV192" i="5"/>
  <c r="BV212" i="5"/>
  <c r="BV226" i="5"/>
  <c r="BV244" i="5"/>
  <c r="BV258" i="5"/>
  <c r="BV275" i="5"/>
  <c r="BV290" i="5"/>
  <c r="BV305" i="5"/>
  <c r="BV323" i="5"/>
  <c r="BV337" i="5"/>
  <c r="BV353" i="5"/>
  <c r="BV366" i="5"/>
  <c r="BV379" i="5"/>
  <c r="BV393" i="5"/>
  <c r="BV408" i="5"/>
  <c r="BV422" i="5"/>
  <c r="BV434" i="5"/>
  <c r="BV48" i="5"/>
  <c r="BV104" i="5"/>
  <c r="BV159" i="5"/>
  <c r="BV194" i="5"/>
  <c r="BV214" i="5"/>
  <c r="BV230" i="5"/>
  <c r="BV246" i="5"/>
  <c r="BV260" i="5"/>
  <c r="BV278" i="5"/>
  <c r="BV293" i="5"/>
  <c r="BV310" i="5"/>
  <c r="BV325" i="5"/>
  <c r="BV342" i="5"/>
  <c r="BV355" i="5"/>
  <c r="BV368" i="5"/>
  <c r="BV382" i="5"/>
  <c r="BV397" i="5"/>
  <c r="BV410" i="5"/>
  <c r="BV424" i="5"/>
  <c r="BV436" i="5"/>
  <c r="BV3" i="5"/>
  <c r="BV58" i="5"/>
  <c r="BV114" i="5"/>
  <c r="BV169" i="5"/>
  <c r="BV199" i="5"/>
  <c r="BV215" i="5"/>
  <c r="BV233" i="5"/>
  <c r="BV247" i="5"/>
  <c r="BV264" i="5"/>
  <c r="BV279" i="5"/>
  <c r="BV294" i="5"/>
  <c r="BV312" i="5"/>
  <c r="BV326" i="5"/>
  <c r="BV343" i="5"/>
  <c r="BV356" i="5"/>
  <c r="BV369" i="5"/>
  <c r="BV383" i="5"/>
  <c r="BV398" i="5"/>
  <c r="BV412" i="5"/>
  <c r="BV425" i="5"/>
  <c r="BV437" i="5"/>
  <c r="BV4" i="5"/>
  <c r="BV59" i="5"/>
  <c r="BV115" i="5"/>
  <c r="BV170" i="5"/>
  <c r="BV200" i="5"/>
  <c r="BV216" i="5"/>
  <c r="BV234" i="5"/>
  <c r="BV248" i="5"/>
  <c r="BV266" i="5"/>
  <c r="BV280" i="5"/>
  <c r="BV297" i="5"/>
  <c r="BV313" i="5"/>
  <c r="BV327" i="5"/>
  <c r="BV344" i="5"/>
  <c r="BV357" i="5"/>
  <c r="BV370" i="5"/>
  <c r="BV386" i="5"/>
  <c r="BV399" i="5"/>
  <c r="BV413" i="5"/>
  <c r="BV426" i="5"/>
  <c r="BV440" i="5"/>
  <c r="BV125" i="5"/>
  <c r="BV249" i="5"/>
  <c r="BV330" i="5"/>
  <c r="BV400" i="5"/>
  <c r="BV158" i="5"/>
  <c r="BV259" i="5"/>
  <c r="BV338" i="5"/>
  <c r="BV409" i="5"/>
  <c r="BV179" i="5"/>
  <c r="BV267" i="5"/>
  <c r="BV345" i="5"/>
  <c r="BV414" i="5"/>
  <c r="BV193" i="5"/>
  <c r="BV277" i="5"/>
  <c r="BV354" i="5"/>
  <c r="BV423" i="5"/>
  <c r="BV202" i="5"/>
  <c r="BV282" i="5"/>
  <c r="BV358" i="5"/>
  <c r="BV427" i="5"/>
  <c r="BV213" i="5"/>
  <c r="BV292" i="5"/>
  <c r="BV367" i="5"/>
  <c r="BV435" i="5"/>
  <c r="BV14" i="5"/>
  <c r="BV219" i="5"/>
  <c r="BV299" i="5"/>
  <c r="BV372" i="5"/>
  <c r="BV441" i="5"/>
  <c r="BV47" i="5"/>
  <c r="BV227" i="5"/>
  <c r="BV308" i="5"/>
  <c r="BV380" i="5"/>
  <c r="BV69" i="5"/>
  <c r="BV235" i="5"/>
  <c r="BV314" i="5"/>
  <c r="BV387" i="5"/>
  <c r="BV103" i="5"/>
  <c r="BV245" i="5"/>
  <c r="BV324" i="5"/>
  <c r="BV394" i="5"/>
  <c r="BZ2" i="5"/>
  <c r="CK2" i="5"/>
  <c r="CL2" i="5"/>
  <c r="AM39" i="5"/>
  <c r="AP39" i="5" s="1"/>
  <c r="AR39" i="5"/>
  <c r="AS39" i="5"/>
  <c r="AV39" i="5"/>
  <c r="BY119" i="5"/>
  <c r="CA119" i="5"/>
  <c r="BZ19" i="5"/>
  <c r="CL19" i="5"/>
  <c r="CK19" i="5"/>
  <c r="S380" i="5"/>
  <c r="T380" i="5" s="1"/>
  <c r="AY380" i="5"/>
  <c r="CK135" i="5"/>
  <c r="BZ240" i="5"/>
  <c r="CL240" i="5"/>
  <c r="CK240" i="5"/>
  <c r="BM309" i="5"/>
  <c r="S51" i="5"/>
  <c r="T51" i="5" s="1"/>
  <c r="AY51" i="5"/>
  <c r="CA368" i="5"/>
  <c r="BY368" i="5"/>
  <c r="BZ318" i="5"/>
  <c r="CL318" i="5"/>
  <c r="CK318" i="5"/>
  <c r="BZ268" i="5"/>
  <c r="CK268" i="5"/>
  <c r="CL268" i="5"/>
  <c r="BZ218" i="5"/>
  <c r="CL218" i="5"/>
  <c r="CK218" i="5"/>
  <c r="BM439" i="5"/>
  <c r="BZ379" i="5"/>
  <c r="CL379" i="5"/>
  <c r="CK379" i="5"/>
  <c r="BM279" i="5"/>
  <c r="BY369" i="5"/>
  <c r="CA369" i="5"/>
  <c r="BZ319" i="5"/>
  <c r="CL319" i="5"/>
  <c r="CK319" i="5"/>
  <c r="CK424" i="5"/>
  <c r="CK327" i="5"/>
  <c r="CK175" i="5"/>
  <c r="BI419" i="5"/>
  <c r="BI319" i="5"/>
  <c r="BI219" i="5"/>
  <c r="AM378" i="5"/>
  <c r="AP378" i="5" s="1"/>
  <c r="AR378" i="5"/>
  <c r="AS378" i="5"/>
  <c r="AV378" i="5"/>
  <c r="AM278" i="5"/>
  <c r="AP278" i="5" s="1"/>
  <c r="AR278" i="5"/>
  <c r="AS278" i="5"/>
  <c r="AV278" i="5"/>
  <c r="AM178" i="5"/>
  <c r="AP178" i="5" s="1"/>
  <c r="AR178" i="5"/>
  <c r="AS178" i="5"/>
  <c r="AV178" i="5"/>
  <c r="AM78" i="5"/>
  <c r="AP78" i="5" s="1"/>
  <c r="AR78" i="5"/>
  <c r="AS78" i="5"/>
  <c r="AV78" i="5"/>
  <c r="BZ150" i="5"/>
  <c r="CL150" i="5"/>
  <c r="CK150" i="5"/>
  <c r="CA238" i="5"/>
  <c r="BY238" i="5"/>
  <c r="BZ38" i="5"/>
  <c r="CL38" i="5"/>
  <c r="CK38" i="5"/>
  <c r="CK413" i="5"/>
  <c r="BZ57" i="5"/>
  <c r="CK57" i="5"/>
  <c r="CL57" i="5"/>
  <c r="BZ316" i="5"/>
  <c r="CL316" i="5"/>
  <c r="CK316" i="5"/>
  <c r="CA246" i="5"/>
  <c r="BY246" i="5"/>
  <c r="CA328" i="5"/>
  <c r="BY328" i="5"/>
  <c r="BZ128" i="5"/>
  <c r="CK128" i="5"/>
  <c r="CL128" i="5"/>
  <c r="CK362" i="5"/>
  <c r="AM38" i="5"/>
  <c r="AP38" i="5" s="1"/>
  <c r="AR38" i="5"/>
  <c r="AS38" i="5"/>
  <c r="AV38" i="5"/>
  <c r="BY113" i="5"/>
  <c r="CA113" i="5"/>
  <c r="CA79" i="5"/>
  <c r="BY79" i="5"/>
  <c r="BZ18" i="5"/>
  <c r="CK18" i="5"/>
  <c r="CL18" i="5"/>
  <c r="BZ7" i="5"/>
  <c r="CK7" i="5"/>
  <c r="CL7" i="5"/>
  <c r="BZ306" i="5"/>
  <c r="CL306" i="5"/>
  <c r="CK306" i="5"/>
  <c r="CA236" i="5"/>
  <c r="BY236" i="5"/>
  <c r="BZ210" i="5"/>
  <c r="CL210" i="5"/>
  <c r="CK210" i="5"/>
  <c r="BZ103" i="5"/>
  <c r="CK103" i="5"/>
  <c r="CL103" i="5"/>
  <c r="CK105" i="5"/>
  <c r="CK425" i="5"/>
  <c r="BI258" i="5"/>
  <c r="BI158" i="5"/>
  <c r="BI58" i="5"/>
  <c r="BZ130" i="5"/>
  <c r="CK130" i="5"/>
  <c r="CL130" i="5"/>
  <c r="CK267" i="5"/>
  <c r="CK382" i="5"/>
  <c r="CK142" i="5"/>
  <c r="CK345" i="5"/>
  <c r="AM389" i="5"/>
  <c r="AP389" i="5" s="1"/>
  <c r="AR389" i="5"/>
  <c r="AS389" i="5"/>
  <c r="AV389" i="5"/>
  <c r="AM289" i="5"/>
  <c r="AP289" i="5" s="1"/>
  <c r="AR289" i="5"/>
  <c r="AS289" i="5"/>
  <c r="AV289" i="5"/>
  <c r="AM189" i="5"/>
  <c r="AP189" i="5" s="1"/>
  <c r="AR189" i="5"/>
  <c r="AS189" i="5"/>
  <c r="AV189" i="5"/>
  <c r="CT56" i="5" a="1"/>
  <c r="CT56" i="5" s="1"/>
  <c r="BK56" i="5" s="1"/>
  <c r="CT184" i="5" a="1"/>
  <c r="CT184" i="5" s="1"/>
  <c r="BK184" i="5" s="1"/>
  <c r="CT233" i="5" a="1"/>
  <c r="CT233" i="5" s="1"/>
  <c r="BK233" i="5" s="1"/>
  <c r="CT33" i="5" a="1"/>
  <c r="CT33" i="5" s="1"/>
  <c r="BK33" i="5" s="1"/>
  <c r="CT203" i="5" a="1"/>
  <c r="CT203" i="5" s="1"/>
  <c r="BK203" i="5" s="1"/>
  <c r="CT324" i="5" a="1"/>
  <c r="CT324" i="5" s="1"/>
  <c r="BK324" i="5" s="1"/>
  <c r="CT252" i="5" a="1"/>
  <c r="CT252" i="5" s="1"/>
  <c r="BK252" i="5" s="1"/>
  <c r="CT194" i="5" a="1"/>
  <c r="CT194" i="5" s="1"/>
  <c r="BK194" i="5" s="1"/>
  <c r="CT94" i="5" a="1"/>
  <c r="CT94" i="5" s="1"/>
  <c r="BK94" i="5" s="1"/>
  <c r="CT165" i="5" a="1"/>
  <c r="CT165" i="5" s="1"/>
  <c r="BK165" i="5" s="1"/>
  <c r="BI348" i="5"/>
  <c r="BI248" i="5"/>
  <c r="BI148" i="5"/>
  <c r="BI48" i="5"/>
  <c r="AM159" i="5"/>
  <c r="AP159" i="5" s="1"/>
  <c r="AR159" i="5"/>
  <c r="AS159" i="5"/>
  <c r="AV159" i="5"/>
  <c r="BZ190" i="5"/>
  <c r="CK190" i="5"/>
  <c r="CL190" i="5"/>
  <c r="BZ46" i="5"/>
  <c r="CK46" i="5"/>
  <c r="CL46" i="5"/>
  <c r="CK376" i="5"/>
  <c r="AR149" i="5"/>
  <c r="AM149" i="5"/>
  <c r="AP149" i="5" s="1"/>
  <c r="AS149" i="5"/>
  <c r="AV149" i="5"/>
  <c r="BY429" i="5"/>
  <c r="CA429" i="5"/>
  <c r="BM129" i="5"/>
  <c r="AL160" i="5"/>
  <c r="AU160" i="5"/>
  <c r="BG160" i="5"/>
  <c r="BH160" i="5" a="1"/>
  <c r="BH160" i="5" s="1"/>
  <c r="AM129" i="5"/>
  <c r="AP129" i="5" s="1"/>
  <c r="AR129" i="5"/>
  <c r="AS129" i="5"/>
  <c r="AV129" i="5"/>
  <c r="S81" i="5"/>
  <c r="T81" i="5" s="1"/>
  <c r="AY81" i="5"/>
  <c r="BZ119" i="5"/>
  <c r="CL119" i="5"/>
  <c r="CK119" i="5"/>
  <c r="S60" i="5"/>
  <c r="T60" i="5" s="1"/>
  <c r="AY60" i="5"/>
  <c r="BZ351" i="5"/>
  <c r="CK351" i="5"/>
  <c r="CL351" i="5"/>
  <c r="S101" i="5"/>
  <c r="T101" i="5" s="1"/>
  <c r="AY101" i="5"/>
  <c r="BY259" i="5"/>
  <c r="CA259" i="5"/>
  <c r="CA418" i="5"/>
  <c r="BY418" i="5"/>
  <c r="BZ368" i="5"/>
  <c r="CK368" i="5"/>
  <c r="CL368" i="5"/>
  <c r="BM268" i="5"/>
  <c r="CA98" i="5"/>
  <c r="BY98" i="5"/>
  <c r="BM379" i="5"/>
  <c r="BY419" i="5"/>
  <c r="CA419" i="5"/>
  <c r="BZ369" i="5"/>
  <c r="CL369" i="5"/>
  <c r="CK369" i="5"/>
  <c r="BM269" i="5"/>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CT65" i="5" l="1" a="1"/>
  <c r="CT65" i="5" s="1"/>
  <c r="BK65" i="5" s="1"/>
  <c r="CT352" i="5" a="1"/>
  <c r="CT352" i="5" s="1"/>
  <c r="BK352" i="5" s="1"/>
  <c r="CT133" i="5" a="1"/>
  <c r="CT133" i="5" s="1"/>
  <c r="BK133" i="5" s="1"/>
  <c r="CT284" i="5" a="1"/>
  <c r="CT284" i="5" s="1"/>
  <c r="BK284" i="5" s="1"/>
  <c r="CT259" i="5" a="1"/>
  <c r="CT259" i="5" s="1"/>
  <c r="BK259" i="5" s="1"/>
  <c r="CT265" i="5" a="1"/>
  <c r="CT265" i="5" s="1"/>
  <c r="BK265" i="5" s="1"/>
  <c r="CT432" i="5" a="1"/>
  <c r="CT432" i="5" s="1"/>
  <c r="BK432" i="5" s="1"/>
  <c r="CT333" i="5" a="1"/>
  <c r="CT333" i="5" s="1"/>
  <c r="BK333" i="5" s="1"/>
  <c r="CT256" i="5" a="1"/>
  <c r="CT256" i="5" s="1"/>
  <c r="BK256" i="5" s="1"/>
  <c r="CT46" i="5" a="1"/>
  <c r="CT46" i="5" s="1"/>
  <c r="BK46" i="5" s="1"/>
  <c r="CT6" i="5" a="1"/>
  <c r="CT6" i="5" s="1"/>
  <c r="BK6" i="5" s="1"/>
  <c r="CT103" i="5" a="1"/>
  <c r="CT103" i="5" s="1"/>
  <c r="BK103" i="5" s="1"/>
  <c r="CT433" i="5" a="1"/>
  <c r="CT433" i="5" s="1"/>
  <c r="BK433" i="5" s="1"/>
  <c r="CT356" i="5" a="1"/>
  <c r="CT356" i="5" s="1"/>
  <c r="BK356" i="5" s="1"/>
  <c r="CT140" i="5" a="1"/>
  <c r="CT140" i="5" s="1"/>
  <c r="BK140" i="5" s="1"/>
  <c r="CT223" i="5" a="1"/>
  <c r="CT223" i="5" s="1"/>
  <c r="BK223" i="5" s="1"/>
  <c r="CT162" i="5" a="1"/>
  <c r="CT162" i="5" s="1"/>
  <c r="BK162" i="5" s="1"/>
  <c r="CT393" i="5" a="1"/>
  <c r="CT393" i="5" s="1"/>
  <c r="BK393" i="5" s="1"/>
  <c r="CT72" i="5" a="1"/>
  <c r="CT72" i="5" s="1"/>
  <c r="BK72" i="5" s="1"/>
  <c r="CT169" i="5" a="1"/>
  <c r="CT169" i="5" s="1"/>
  <c r="BK169" i="5" s="1"/>
  <c r="CT217" i="5" a="1"/>
  <c r="CT217" i="5" s="1"/>
  <c r="BK217" i="5" s="1"/>
  <c r="CT149" i="5" a="1"/>
  <c r="CT149" i="5" s="1"/>
  <c r="BK149" i="5" s="1"/>
  <c r="CT39" i="5" a="1"/>
  <c r="CT39" i="5" s="1"/>
  <c r="BK39" i="5" s="1"/>
  <c r="CT262" i="5" a="1"/>
  <c r="CT262" i="5" s="1"/>
  <c r="BK262" i="5" s="1"/>
  <c r="CT171" i="5" a="1"/>
  <c r="CT171" i="5" s="1"/>
  <c r="BK171" i="5" s="1"/>
  <c r="CT172" i="5" a="1"/>
  <c r="CT172" i="5" s="1"/>
  <c r="BK172" i="5" s="1"/>
  <c r="CT191" i="5" a="1"/>
  <c r="CT191" i="5" s="1"/>
  <c r="BK191" i="5" s="1"/>
  <c r="CT391" i="5" a="1"/>
  <c r="CT391" i="5" s="1"/>
  <c r="BK391" i="5" s="1"/>
  <c r="BY234" i="5"/>
  <c r="CA234" i="5"/>
  <c r="CT362" i="5" a="1"/>
  <c r="CT362" i="5" s="1"/>
  <c r="BK362" i="5" s="1"/>
  <c r="CT271" i="5" a="1"/>
  <c r="CT271" i="5" s="1"/>
  <c r="BK271" i="5" s="1"/>
  <c r="CT272" i="5" a="1"/>
  <c r="CT272" i="5" s="1"/>
  <c r="BK272" i="5" s="1"/>
  <c r="CT278" i="5" a="1"/>
  <c r="CT278" i="5" s="1"/>
  <c r="BK278" i="5" s="1"/>
  <c r="CT85" i="5" a="1"/>
  <c r="CT85" i="5" s="1"/>
  <c r="BK85" i="5" s="1"/>
  <c r="CT218" i="5" a="1"/>
  <c r="CT218" i="5" s="1"/>
  <c r="BK218" i="5" s="1"/>
  <c r="CT139" i="5" a="1"/>
  <c r="CT139" i="5" s="1"/>
  <c r="BK139" i="5" s="1"/>
  <c r="CT239" i="5" a="1"/>
  <c r="CT239" i="5" s="1"/>
  <c r="BK239" i="5" s="1"/>
  <c r="CT441" i="5" a="1"/>
  <c r="CT441" i="5" s="1"/>
  <c r="BK441" i="5" s="1"/>
  <c r="CT400" i="5" a="1"/>
  <c r="CT400" i="5" s="1"/>
  <c r="BK400" i="5" s="1"/>
  <c r="CT101" i="5" a="1"/>
  <c r="CT101" i="5" s="1"/>
  <c r="BK101" i="5" s="1"/>
  <c r="CT293" i="5" a="1"/>
  <c r="CT293" i="5" s="1"/>
  <c r="BK293" i="5" s="1"/>
  <c r="CT143" i="5" a="1"/>
  <c r="CT143" i="5" s="1"/>
  <c r="BK143" i="5" s="1"/>
  <c r="CT394" i="5" a="1"/>
  <c r="CT394" i="5" s="1"/>
  <c r="BK394" i="5" s="1"/>
  <c r="CT52" i="5" a="1"/>
  <c r="CT52" i="5" s="1"/>
  <c r="BK52" i="5" s="1"/>
  <c r="CT152" i="5" a="1"/>
  <c r="CT152" i="5" s="1"/>
  <c r="BK152" i="5" s="1"/>
  <c r="CT339" i="5" a="1"/>
  <c r="CT339" i="5" s="1"/>
  <c r="BK339" i="5" s="1"/>
  <c r="CT257" i="5" a="1"/>
  <c r="CT257" i="5" s="1"/>
  <c r="BK257" i="5" s="1"/>
  <c r="BI101" i="5"/>
  <c r="BI81" i="5"/>
  <c r="U180" i="5"/>
  <c r="AZ180" i="5"/>
  <c r="BO180" i="5"/>
  <c r="BJ180" i="5"/>
  <c r="CI180" i="5"/>
  <c r="CJ180" i="5" a="1"/>
  <c r="CJ180" i="5" s="1"/>
  <c r="AO180" i="5"/>
  <c r="BP180" i="5"/>
  <c r="CT79" i="5" a="1"/>
  <c r="CT79" i="5" s="1"/>
  <c r="BK79" i="5" s="1"/>
  <c r="CT266" i="5" a="1"/>
  <c r="CT266" i="5" s="1"/>
  <c r="BK266" i="5" s="1"/>
  <c r="CT368" i="5" a="1"/>
  <c r="CT368" i="5" s="1"/>
  <c r="BK368" i="5" s="1"/>
  <c r="CT11" i="5" a="1"/>
  <c r="CT11" i="5" s="1"/>
  <c r="BK11" i="5" s="1"/>
  <c r="CT100" i="5" a="1"/>
  <c r="CT100" i="5" s="1"/>
  <c r="BK100" i="5" s="1"/>
  <c r="CT88" i="5" a="1"/>
  <c r="CT88" i="5" s="1"/>
  <c r="BK88" i="5" s="1"/>
  <c r="CT175" i="5" a="1"/>
  <c r="CT175" i="5" s="1"/>
  <c r="BK175" i="5" s="1"/>
  <c r="CT298" i="5" a="1"/>
  <c r="CT298" i="5" s="1"/>
  <c r="BK298" i="5" s="1"/>
  <c r="CT392" i="5" a="1"/>
  <c r="CT392" i="5" s="1"/>
  <c r="BK392" i="5" s="1"/>
  <c r="U230" i="5"/>
  <c r="AZ230" i="5"/>
  <c r="BJ230" i="5"/>
  <c r="BO230" i="5"/>
  <c r="CI230" i="5"/>
  <c r="AO230" i="5"/>
  <c r="BP230" i="5"/>
  <c r="CJ230" i="5" a="1"/>
  <c r="CJ230" i="5" s="1"/>
  <c r="CT37" i="5" a="1"/>
  <c r="CT37" i="5" s="1"/>
  <c r="BK37" i="5" s="1"/>
  <c r="CT31" i="5" a="1"/>
  <c r="CT31" i="5" s="1"/>
  <c r="BK31" i="5" s="1"/>
  <c r="CT261" i="5" a="1"/>
  <c r="CT261" i="5" s="1"/>
  <c r="BK261" i="5" s="1"/>
  <c r="CT327" i="5" a="1"/>
  <c r="CT327" i="5" s="1"/>
  <c r="BK327" i="5" s="1"/>
  <c r="BI350" i="5"/>
  <c r="CT14" i="5" a="1"/>
  <c r="CT14" i="5" s="1"/>
  <c r="BK14" i="5" s="1"/>
  <c r="CT202" i="5" a="1"/>
  <c r="CT202" i="5" s="1"/>
  <c r="BK202" i="5" s="1"/>
  <c r="CT289" i="5" a="1"/>
  <c r="CT289" i="5" s="1"/>
  <c r="BK289" i="5" s="1"/>
  <c r="CT412" i="5" a="1"/>
  <c r="CT412" i="5" s="1"/>
  <c r="BK412" i="5" s="1"/>
  <c r="CT21" i="5" a="1"/>
  <c r="CT21" i="5" s="1"/>
  <c r="BK21" i="5" s="1"/>
  <c r="AM330" i="5"/>
  <c r="AR330" i="5"/>
  <c r="AS330" i="5"/>
  <c r="AV330" i="5"/>
  <c r="AM430" i="5"/>
  <c r="AR430" i="5"/>
  <c r="AS430" i="5"/>
  <c r="AV430" i="5"/>
  <c r="U80" i="5"/>
  <c r="AZ80" i="5"/>
  <c r="BJ80" i="5"/>
  <c r="BO80" i="5"/>
  <c r="CI80" i="5"/>
  <c r="BP80" i="5"/>
  <c r="CJ80" i="5" a="1"/>
  <c r="CJ80" i="5" s="1"/>
  <c r="AO80" i="5"/>
  <c r="CT351" i="5" a="1"/>
  <c r="CT351" i="5" s="1"/>
  <c r="BK351" i="5" s="1"/>
  <c r="CT9" i="5" a="1"/>
  <c r="CT9" i="5" s="1"/>
  <c r="BK9" i="5" s="1"/>
  <c r="CT119" i="5" a="1"/>
  <c r="CT119" i="5" s="1"/>
  <c r="BK119" i="5" s="1"/>
  <c r="CT228" i="5" a="1"/>
  <c r="CT228" i="5" s="1"/>
  <c r="BK228" i="5" s="1"/>
  <c r="CT329" i="5" a="1"/>
  <c r="CT329" i="5" s="1"/>
  <c r="BK329" i="5" s="1"/>
  <c r="CT417" i="5" a="1"/>
  <c r="CT417" i="5" s="1"/>
  <c r="BK417" i="5" s="1"/>
  <c r="CT197" i="5" a="1"/>
  <c r="CT197" i="5" s="1"/>
  <c r="BK197" i="5" s="1"/>
  <c r="CT263" i="5" a="1"/>
  <c r="CT263" i="5" s="1"/>
  <c r="BK263" i="5" s="1"/>
  <c r="CT350" i="5" a="1"/>
  <c r="CT350" i="5" s="1"/>
  <c r="BK350" i="5" s="1"/>
  <c r="AM80" i="5"/>
  <c r="AP80" i="5" s="1"/>
  <c r="AR80" i="5"/>
  <c r="AS80" i="5"/>
  <c r="AV80" i="5"/>
  <c r="CT38" i="5" a="1"/>
  <c r="CT38" i="5" s="1"/>
  <c r="BK38" i="5" s="1"/>
  <c r="CT125" i="5" a="1"/>
  <c r="CT125" i="5" s="1"/>
  <c r="BK125" i="5" s="1"/>
  <c r="CT248" i="5" a="1"/>
  <c r="CT248" i="5" s="1"/>
  <c r="BK248" i="5" s="1"/>
  <c r="CT342" i="5" a="1"/>
  <c r="CT342" i="5" s="1"/>
  <c r="BK342" i="5" s="1"/>
  <c r="BI110" i="5"/>
  <c r="CT258" i="5" a="1"/>
  <c r="CT258" i="5" s="1"/>
  <c r="BK258" i="5" s="1"/>
  <c r="CT310" i="5" a="1"/>
  <c r="CT310" i="5" s="1"/>
  <c r="BK310" i="5" s="1"/>
  <c r="CT111" i="5" a="1"/>
  <c r="CT111" i="5" s="1"/>
  <c r="BK111" i="5" s="1"/>
  <c r="CT177" i="5" a="1"/>
  <c r="CT177" i="5" s="1"/>
  <c r="BK177" i="5" s="1"/>
  <c r="CT264" i="5" a="1"/>
  <c r="CT264" i="5" s="1"/>
  <c r="BK264" i="5" s="1"/>
  <c r="U81" i="5"/>
  <c r="BJ81" i="5"/>
  <c r="AZ81" i="5"/>
  <c r="BO81" i="5"/>
  <c r="CI81" i="5"/>
  <c r="AO81" i="5"/>
  <c r="BP81" i="5"/>
  <c r="CJ81" i="5" a="1"/>
  <c r="CJ81" i="5" s="1"/>
  <c r="U360" i="5"/>
  <c r="AZ360" i="5"/>
  <c r="BO360" i="5"/>
  <c r="BJ360" i="5"/>
  <c r="CI360" i="5"/>
  <c r="CJ360" i="5" a="1"/>
  <c r="CJ360" i="5" s="1"/>
  <c r="AO360" i="5"/>
  <c r="BP360" i="5"/>
  <c r="CT59" i="5" a="1"/>
  <c r="CT59" i="5" s="1"/>
  <c r="BK59" i="5" s="1"/>
  <c r="CT146" i="5" a="1"/>
  <c r="CT146" i="5" s="1"/>
  <c r="BK146" i="5" s="1"/>
  <c r="CT269" i="5" a="1"/>
  <c r="CT269" i="5" s="1"/>
  <c r="BK269" i="5" s="1"/>
  <c r="CT378" i="5" a="1"/>
  <c r="CT378" i="5" s="1"/>
  <c r="BK378" i="5" s="1"/>
  <c r="AM101" i="5"/>
  <c r="AR101" i="5"/>
  <c r="AS101" i="5"/>
  <c r="AV101" i="5"/>
  <c r="AM81" i="5"/>
  <c r="AP81" i="5" s="1"/>
  <c r="AV81" i="5"/>
  <c r="AS81" i="5"/>
  <c r="AR81" i="5"/>
  <c r="CT179" i="5" a="1"/>
  <c r="CT179" i="5" s="1"/>
  <c r="BK179" i="5" s="1"/>
  <c r="CT366" i="5" a="1"/>
  <c r="CT366" i="5" s="1"/>
  <c r="BK366" i="5" s="1"/>
  <c r="CT47" i="5" a="1"/>
  <c r="CT47" i="5" s="1"/>
  <c r="BK47" i="5" s="1"/>
  <c r="CT113" i="5" a="1"/>
  <c r="CT113" i="5" s="1"/>
  <c r="BK113" i="5" s="1"/>
  <c r="CT200" i="5" a="1"/>
  <c r="CT200" i="5" s="1"/>
  <c r="BK200" i="5" s="1"/>
  <c r="CT7" i="5" a="1"/>
  <c r="CT7" i="5" s="1"/>
  <c r="BK7" i="5" s="1"/>
  <c r="CT188" i="5" a="1"/>
  <c r="CT188" i="5" s="1"/>
  <c r="BK188" i="5" s="1"/>
  <c r="CT275" i="5" a="1"/>
  <c r="CT275" i="5" s="1"/>
  <c r="BK275" i="5" s="1"/>
  <c r="CT398" i="5" a="1"/>
  <c r="CT398" i="5" s="1"/>
  <c r="BK398" i="5" s="1"/>
  <c r="CT436" i="5" a="1"/>
  <c r="CT436" i="5" s="1"/>
  <c r="BK436" i="5" s="1"/>
  <c r="CT137" i="5" a="1"/>
  <c r="CT137" i="5" s="1"/>
  <c r="BK137" i="5" s="1"/>
  <c r="CT131" i="5" a="1"/>
  <c r="CT131" i="5" s="1"/>
  <c r="BK131" i="5" s="1"/>
  <c r="CT361" i="5" a="1"/>
  <c r="CT361" i="5" s="1"/>
  <c r="BK361" i="5" s="1"/>
  <c r="CT4" i="5" a="1"/>
  <c r="CT4" i="5" s="1"/>
  <c r="BK4" i="5" s="1"/>
  <c r="CT115" i="5" a="1"/>
  <c r="CT115" i="5" s="1"/>
  <c r="BK115" i="5" s="1"/>
  <c r="CT302" i="5" a="1"/>
  <c r="CT302" i="5" s="1"/>
  <c r="BK302" i="5" s="1"/>
  <c r="CT389" i="5" a="1"/>
  <c r="CT389" i="5" s="1"/>
  <c r="BK389" i="5" s="1"/>
  <c r="CT34" i="5" a="1"/>
  <c r="CT34" i="5" s="1"/>
  <c r="BK34" i="5" s="1"/>
  <c r="CT121" i="5" a="1"/>
  <c r="CT121" i="5" s="1"/>
  <c r="BK121" i="5" s="1"/>
  <c r="U100" i="5"/>
  <c r="AZ100" i="5"/>
  <c r="BJ100" i="5"/>
  <c r="BO100" i="5"/>
  <c r="CI100" i="5"/>
  <c r="CJ100" i="5" a="1"/>
  <c r="CJ100" i="5" s="1"/>
  <c r="AO100" i="5"/>
  <c r="BP100" i="5"/>
  <c r="CT386" i="5" a="1"/>
  <c r="CT386" i="5" s="1"/>
  <c r="BK386" i="5" s="1"/>
  <c r="CT96" i="5" a="1"/>
  <c r="CT96" i="5" s="1"/>
  <c r="BK96" i="5" s="1"/>
  <c r="CT219" i="5" a="1"/>
  <c r="CT219" i="5" s="1"/>
  <c r="BK219" i="5" s="1"/>
  <c r="CT328" i="5" a="1"/>
  <c r="CT328" i="5" s="1"/>
  <c r="BK328" i="5" s="1"/>
  <c r="U30" i="5"/>
  <c r="AZ30" i="5"/>
  <c r="BJ30" i="5"/>
  <c r="BO30" i="5"/>
  <c r="CI30" i="5"/>
  <c r="AO30" i="5"/>
  <c r="CJ30" i="5" a="1"/>
  <c r="CJ30" i="5" s="1"/>
  <c r="BP30" i="5"/>
  <c r="CT73" i="5" a="1"/>
  <c r="CT73" i="5" s="1"/>
  <c r="BK73" i="5" s="1"/>
  <c r="CT67" i="5" a="1"/>
  <c r="CT67" i="5" s="1"/>
  <c r="BK67" i="5" s="1"/>
  <c r="CT297" i="5" a="1"/>
  <c r="CT297" i="5" s="1"/>
  <c r="BK297" i="5" s="1"/>
  <c r="CT363" i="5" a="1"/>
  <c r="CT363" i="5" s="1"/>
  <c r="BK363" i="5" s="1"/>
  <c r="BI100" i="5"/>
  <c r="CT138" i="5" a="1"/>
  <c r="CT138" i="5" s="1"/>
  <c r="BK138" i="5" s="1"/>
  <c r="CT225" i="5" a="1"/>
  <c r="CT225" i="5" s="1"/>
  <c r="BK225" i="5" s="1"/>
  <c r="CT348" i="5" a="1"/>
  <c r="CT348" i="5" s="1"/>
  <c r="BK348" i="5" s="1"/>
  <c r="CT442" i="5" a="1"/>
  <c r="CT442" i="5" s="1"/>
  <c r="BK442" i="5" s="1"/>
  <c r="AM110" i="5"/>
  <c r="AR110" i="5"/>
  <c r="AS110" i="5"/>
  <c r="AV110" i="5"/>
  <c r="CT358" i="5" a="1"/>
  <c r="CT358" i="5" s="1"/>
  <c r="BK358" i="5" s="1"/>
  <c r="CT431" i="5" a="1"/>
  <c r="CT431" i="5" s="1"/>
  <c r="BK431" i="5" s="1"/>
  <c r="CT211" i="5" a="1"/>
  <c r="CT211" i="5" s="1"/>
  <c r="BK211" i="5" s="1"/>
  <c r="CT277" i="5" a="1"/>
  <c r="CT277" i="5" s="1"/>
  <c r="BK277" i="5" s="1"/>
  <c r="CT371" i="5" a="1"/>
  <c r="CT371" i="5" s="1"/>
  <c r="BK371" i="5" s="1"/>
  <c r="BI10" i="5"/>
  <c r="AM160" i="5"/>
  <c r="AR160" i="5"/>
  <c r="AS160" i="5"/>
  <c r="AV160" i="5"/>
  <c r="CT71" i="5" a="1"/>
  <c r="CT71" i="5" s="1"/>
  <c r="BK71" i="5" s="1"/>
  <c r="CT2" i="5" a="1"/>
  <c r="CT2" i="5" s="1"/>
  <c r="BK2" i="5" s="1"/>
  <c r="CT159" i="5" a="1"/>
  <c r="CT159" i="5" s="1"/>
  <c r="BK159" i="5" s="1"/>
  <c r="CT246" i="5" a="1"/>
  <c r="CT246" i="5" s="1"/>
  <c r="BK246" i="5" s="1"/>
  <c r="CT369" i="5" a="1"/>
  <c r="CT369" i="5" s="1"/>
  <c r="BK369" i="5" s="1"/>
  <c r="CT407" i="5" a="1"/>
  <c r="CT407" i="5" s="1"/>
  <c r="BK407" i="5" s="1"/>
  <c r="CT279" i="5" a="1"/>
  <c r="CT279" i="5" s="1"/>
  <c r="BK279" i="5" s="1"/>
  <c r="CT360" i="5" a="1"/>
  <c r="CT360" i="5" s="1"/>
  <c r="BK360" i="5" s="1"/>
  <c r="CT147" i="5" a="1"/>
  <c r="CT147" i="5" s="1"/>
  <c r="BK147" i="5" s="1"/>
  <c r="CT213" i="5" a="1"/>
  <c r="CT213" i="5" s="1"/>
  <c r="BK213" i="5" s="1"/>
  <c r="CT300" i="5" a="1"/>
  <c r="CT300" i="5" s="1"/>
  <c r="BK300" i="5" s="1"/>
  <c r="U260" i="5"/>
  <c r="AZ260" i="5"/>
  <c r="BJ260" i="5"/>
  <c r="BO260" i="5"/>
  <c r="CI260" i="5"/>
  <c r="CJ260" i="5" a="1"/>
  <c r="CJ260" i="5" s="1"/>
  <c r="AO260" i="5"/>
  <c r="BP260" i="5"/>
  <c r="AM360" i="5"/>
  <c r="AP360" i="5" s="1"/>
  <c r="AR360" i="5"/>
  <c r="AS360" i="5"/>
  <c r="AV360" i="5"/>
  <c r="CT86" i="5" a="1"/>
  <c r="CT86" i="5" s="1"/>
  <c r="BK86" i="5" s="1"/>
  <c r="CT288" i="5" a="1"/>
  <c r="CT288" i="5" s="1"/>
  <c r="BK288" i="5" s="1"/>
  <c r="CT375" i="5" a="1"/>
  <c r="CT375" i="5" s="1"/>
  <c r="BK375" i="5" s="1"/>
  <c r="CT20" i="5" a="1"/>
  <c r="CT20" i="5" s="1"/>
  <c r="BK20" i="5" s="1"/>
  <c r="CT107" i="5" a="1"/>
  <c r="CT107" i="5" s="1"/>
  <c r="BK107" i="5" s="1"/>
  <c r="BI250" i="5"/>
  <c r="BI280" i="5"/>
  <c r="CT237" i="5" a="1"/>
  <c r="CT237" i="5" s="1"/>
  <c r="BK237" i="5" s="1"/>
  <c r="CT231" i="5" a="1"/>
  <c r="CT231" i="5" s="1"/>
  <c r="BK231" i="5" s="1"/>
  <c r="CT379" i="5" a="1"/>
  <c r="CT379" i="5" s="1"/>
  <c r="BK379" i="5" s="1"/>
  <c r="CT99" i="5" a="1"/>
  <c r="CT99" i="5" s="1"/>
  <c r="BK99" i="5" s="1"/>
  <c r="BI260" i="5"/>
  <c r="CT215" i="5" a="1"/>
  <c r="CT215" i="5" s="1"/>
  <c r="BK215" i="5" s="1"/>
  <c r="CT402" i="5" a="1"/>
  <c r="CT402" i="5" s="1"/>
  <c r="BK402" i="5" s="1"/>
  <c r="CT83" i="5" a="1"/>
  <c r="CT83" i="5" s="1"/>
  <c r="BK83" i="5" s="1"/>
  <c r="CT134" i="5" a="1"/>
  <c r="CT134" i="5" s="1"/>
  <c r="BK134" i="5" s="1"/>
  <c r="CT221" i="5" a="1"/>
  <c r="CT221" i="5" s="1"/>
  <c r="BK221" i="5" s="1"/>
  <c r="CT109" i="5" a="1"/>
  <c r="CT109" i="5" s="1"/>
  <c r="BK109" i="5" s="1"/>
  <c r="CT196" i="5" a="1"/>
  <c r="CT196" i="5" s="1"/>
  <c r="BK196" i="5" s="1"/>
  <c r="CT319" i="5" a="1"/>
  <c r="CT319" i="5" s="1"/>
  <c r="BK319" i="5" s="1"/>
  <c r="CT428" i="5" a="1"/>
  <c r="CT428" i="5" s="1"/>
  <c r="BK428" i="5" s="1"/>
  <c r="CT173" i="5" a="1"/>
  <c r="CT173" i="5" s="1"/>
  <c r="BK173" i="5" s="1"/>
  <c r="CT167" i="5" a="1"/>
  <c r="CT167" i="5" s="1"/>
  <c r="BK167" i="5" s="1"/>
  <c r="CT397" i="5" a="1"/>
  <c r="CT397" i="5" s="1"/>
  <c r="BK397" i="5" s="1"/>
  <c r="CT35" i="5" a="1"/>
  <c r="CT35" i="5" s="1"/>
  <c r="BK35" i="5" s="1"/>
  <c r="AM100" i="5"/>
  <c r="AR100" i="5"/>
  <c r="AV100" i="5"/>
  <c r="AS100" i="5"/>
  <c r="CT36" i="5" a="1"/>
  <c r="CT36" i="5" s="1"/>
  <c r="BK36" i="5" s="1"/>
  <c r="CT238" i="5" a="1"/>
  <c r="CT238" i="5" s="1"/>
  <c r="BK238" i="5" s="1"/>
  <c r="CT325" i="5" a="1"/>
  <c r="CT325" i="5" s="1"/>
  <c r="BK325" i="5" s="1"/>
  <c r="CT384" i="5" a="1"/>
  <c r="CT384" i="5" s="1"/>
  <c r="BK384" i="5" s="1"/>
  <c r="CT57" i="5" a="1"/>
  <c r="CT57" i="5" s="1"/>
  <c r="BK57" i="5" s="1"/>
  <c r="CT87" i="5" a="1"/>
  <c r="CT87" i="5" s="1"/>
  <c r="BK87" i="5" s="1"/>
  <c r="CT81" i="5" a="1"/>
  <c r="CT81" i="5" s="1"/>
  <c r="BK81" i="5" s="1"/>
  <c r="CT311" i="5" a="1"/>
  <c r="CT311" i="5" s="1"/>
  <c r="BK311" i="5" s="1"/>
  <c r="CT377" i="5" a="1"/>
  <c r="CT377" i="5" s="1"/>
  <c r="BK377" i="5" s="1"/>
  <c r="AM10" i="5"/>
  <c r="AR10" i="5"/>
  <c r="AS10" i="5"/>
  <c r="AV10" i="5"/>
  <c r="CT346" i="5" a="1"/>
  <c r="CT346" i="5" s="1"/>
  <c r="BK346" i="5" s="1"/>
  <c r="CT372" i="5" a="1"/>
  <c r="CT372" i="5" s="1"/>
  <c r="BK372" i="5" s="1"/>
  <c r="CT93" i="5" a="1"/>
  <c r="CT93" i="5" s="1"/>
  <c r="BK93" i="5" s="1"/>
  <c r="CT23" i="5" a="1"/>
  <c r="CT23" i="5" s="1"/>
  <c r="BK23" i="5" s="1"/>
  <c r="CT16" i="5" a="1"/>
  <c r="CT16" i="5" s="1"/>
  <c r="BK16" i="5" s="1"/>
  <c r="CT247" i="5" a="1"/>
  <c r="CT247" i="5" s="1"/>
  <c r="BK247" i="5" s="1"/>
  <c r="CT313" i="5" a="1"/>
  <c r="CT313" i="5" s="1"/>
  <c r="BK313" i="5" s="1"/>
  <c r="CT415" i="5" a="1"/>
  <c r="CT415" i="5" s="1"/>
  <c r="BK415" i="5" s="1"/>
  <c r="CT186" i="5" a="1"/>
  <c r="CT186" i="5" s="1"/>
  <c r="BK186" i="5" s="1"/>
  <c r="CT388" i="5" a="1"/>
  <c r="CT388" i="5" s="1"/>
  <c r="BK388" i="5" s="1"/>
  <c r="CT54" i="5" a="1"/>
  <c r="CT54" i="5" s="1"/>
  <c r="BK54" i="5" s="1"/>
  <c r="CT120" i="5" a="1"/>
  <c r="CT120" i="5" s="1"/>
  <c r="BK120" i="5" s="1"/>
  <c r="CT207" i="5" a="1"/>
  <c r="CT207" i="5" s="1"/>
  <c r="BK207" i="5" s="1"/>
  <c r="AM280" i="5"/>
  <c r="AR280" i="5"/>
  <c r="AS280" i="5"/>
  <c r="AV280" i="5"/>
  <c r="CT337" i="5" a="1"/>
  <c r="CT337" i="5" s="1"/>
  <c r="BK337" i="5" s="1"/>
  <c r="CT425" i="5" a="1"/>
  <c r="CT425" i="5" s="1"/>
  <c r="BK425" i="5" s="1"/>
  <c r="CT105" i="5" a="1"/>
  <c r="CT105" i="5" s="1"/>
  <c r="BK105" i="5" s="1"/>
  <c r="CT199" i="5" a="1"/>
  <c r="CT199" i="5" s="1"/>
  <c r="BK199" i="5" s="1"/>
  <c r="AM260" i="5"/>
  <c r="AP260" i="5" s="1"/>
  <c r="AR260" i="5"/>
  <c r="AS260" i="5"/>
  <c r="AV260" i="5"/>
  <c r="AM350" i="5"/>
  <c r="AR350" i="5"/>
  <c r="AS350" i="5"/>
  <c r="AV350" i="5"/>
  <c r="CT315" i="5" a="1"/>
  <c r="CT315" i="5" s="1"/>
  <c r="BK315" i="5" s="1"/>
  <c r="CT403" i="5" a="1"/>
  <c r="CT403" i="5" s="1"/>
  <c r="BK403" i="5" s="1"/>
  <c r="CT183" i="5" a="1"/>
  <c r="CT183" i="5" s="1"/>
  <c r="BK183" i="5" s="1"/>
  <c r="CT234" i="5" a="1"/>
  <c r="CT234" i="5" s="1"/>
  <c r="BK234" i="5" s="1"/>
  <c r="CT321" i="5" a="1"/>
  <c r="CT321" i="5" s="1"/>
  <c r="BK321" i="5" s="1"/>
  <c r="CT22" i="5" a="1"/>
  <c r="CT22" i="5" s="1"/>
  <c r="BK22" i="5" s="1"/>
  <c r="CT209" i="5" a="1"/>
  <c r="CT209" i="5" s="1"/>
  <c r="BK209" i="5" s="1"/>
  <c r="CT296" i="5" a="1"/>
  <c r="CT296" i="5" s="1"/>
  <c r="BK296" i="5" s="1"/>
  <c r="CT419" i="5" a="1"/>
  <c r="CT419" i="5" s="1"/>
  <c r="BK419" i="5" s="1"/>
  <c r="CT43" i="5" a="1"/>
  <c r="CT43" i="5" s="1"/>
  <c r="BK43" i="5" s="1"/>
  <c r="U110" i="5"/>
  <c r="AZ110" i="5"/>
  <c r="BJ110" i="5"/>
  <c r="BO110" i="5"/>
  <c r="CI110" i="5"/>
  <c r="BP110" i="5"/>
  <c r="CJ110" i="5" a="1"/>
  <c r="CJ110" i="5" s="1"/>
  <c r="AO110" i="5"/>
  <c r="CT273" i="5" a="1"/>
  <c r="CT273" i="5" s="1"/>
  <c r="BK273" i="5" s="1"/>
  <c r="CT267" i="5" a="1"/>
  <c r="CT267" i="5" s="1"/>
  <c r="BK267" i="5" s="1"/>
  <c r="CT26" i="5" a="1"/>
  <c r="CT26" i="5" s="1"/>
  <c r="BK26" i="5" s="1"/>
  <c r="CT135" i="5" a="1"/>
  <c r="CT135" i="5" s="1"/>
  <c r="BK135" i="5" s="1"/>
  <c r="CT136" i="5" a="1"/>
  <c r="CT136" i="5" s="1"/>
  <c r="BK136" i="5" s="1"/>
  <c r="CT338" i="5" a="1"/>
  <c r="CT338" i="5" s="1"/>
  <c r="BK338" i="5" s="1"/>
  <c r="CT408" i="5" a="1"/>
  <c r="CT408" i="5" s="1"/>
  <c r="BK408" i="5" s="1"/>
  <c r="CT70" i="5" a="1"/>
  <c r="CT70" i="5" s="1"/>
  <c r="BK70" i="5" s="1"/>
  <c r="CT157" i="5" a="1"/>
  <c r="CT157" i="5" s="1"/>
  <c r="BK157" i="5" s="1"/>
  <c r="CT187" i="5" a="1"/>
  <c r="CT187" i="5" s="1"/>
  <c r="BK187" i="5" s="1"/>
  <c r="CT181" i="5" a="1"/>
  <c r="CT181" i="5" s="1"/>
  <c r="BK181" i="5" s="1"/>
  <c r="CT411" i="5" a="1"/>
  <c r="CT411" i="5" s="1"/>
  <c r="BK411" i="5" s="1"/>
  <c r="CT49" i="5" a="1"/>
  <c r="CT49" i="5" s="1"/>
  <c r="BK49" i="5" s="1"/>
  <c r="CT359" i="5" a="1"/>
  <c r="CT359" i="5" s="1"/>
  <c r="BK359" i="5" s="1"/>
  <c r="CT40" i="5" a="1"/>
  <c r="CT40" i="5" s="1"/>
  <c r="BK40" i="5" s="1"/>
  <c r="CT91" i="5" a="1"/>
  <c r="CT91" i="5" s="1"/>
  <c r="BK91" i="5" s="1"/>
  <c r="CT193" i="5" a="1"/>
  <c r="CT193" i="5" s="1"/>
  <c r="BK193" i="5" s="1"/>
  <c r="U70" i="5"/>
  <c r="AZ70" i="5"/>
  <c r="BJ70" i="5"/>
  <c r="BO70" i="5"/>
  <c r="CI70" i="5"/>
  <c r="CJ70" i="5" a="1"/>
  <c r="CJ70" i="5" s="1"/>
  <c r="AO70" i="5"/>
  <c r="BP70" i="5"/>
  <c r="CT123" i="5" a="1"/>
  <c r="CT123" i="5" s="1"/>
  <c r="BK123" i="5" s="1"/>
  <c r="CT117" i="5" a="1"/>
  <c r="CT117" i="5" s="1"/>
  <c r="BK117" i="5" s="1"/>
  <c r="CT347" i="5" a="1"/>
  <c r="CT347" i="5" s="1"/>
  <c r="BK347" i="5" s="1"/>
  <c r="CT443" i="5" a="1"/>
  <c r="CT443" i="5" s="1"/>
  <c r="BK443" i="5" s="1"/>
  <c r="U350" i="5"/>
  <c r="AZ350" i="5"/>
  <c r="BO350" i="5"/>
  <c r="BJ350" i="5"/>
  <c r="CI350" i="5"/>
  <c r="AO350" i="5"/>
  <c r="CJ350" i="5" a="1"/>
  <c r="CJ350" i="5" s="1"/>
  <c r="BP350" i="5"/>
  <c r="BI380" i="5"/>
  <c r="CT286" i="5" a="1"/>
  <c r="CT286" i="5" s="1"/>
  <c r="BK286" i="5" s="1"/>
  <c r="CT367" i="5" a="1"/>
  <c r="CT367" i="5" s="1"/>
  <c r="BK367" i="5" s="1"/>
  <c r="CT154" i="5" a="1"/>
  <c r="CT154" i="5" s="1"/>
  <c r="BK154" i="5" s="1"/>
  <c r="CT220" i="5" a="1"/>
  <c r="CT220" i="5" s="1"/>
  <c r="BK220" i="5" s="1"/>
  <c r="CT307" i="5" a="1"/>
  <c r="CT307" i="5" s="1"/>
  <c r="BK307" i="5" s="1"/>
  <c r="CT437" i="5" a="1"/>
  <c r="CT437" i="5" s="1"/>
  <c r="BK437" i="5" s="1"/>
  <c r="CT82" i="5" a="1"/>
  <c r="CT82" i="5" s="1"/>
  <c r="BK82" i="5" s="1"/>
  <c r="CT205" i="5" a="1"/>
  <c r="CT205" i="5" s="1"/>
  <c r="BK205" i="5" s="1"/>
  <c r="CT299" i="5" a="1"/>
  <c r="CT299" i="5" s="1"/>
  <c r="BK299" i="5" s="1"/>
  <c r="CT44" i="5" a="1"/>
  <c r="CT44" i="5" s="1"/>
  <c r="BK44" i="5" s="1"/>
  <c r="CT53" i="5" a="1"/>
  <c r="CT53" i="5" s="1"/>
  <c r="BK53" i="5" s="1"/>
  <c r="CT283" i="5" a="1"/>
  <c r="CT283" i="5" s="1"/>
  <c r="BK283" i="5" s="1"/>
  <c r="CT334" i="5" a="1"/>
  <c r="CT334" i="5" s="1"/>
  <c r="BK334" i="5" s="1"/>
  <c r="CT122" i="5" a="1"/>
  <c r="CT122" i="5" s="1"/>
  <c r="BK122" i="5" s="1"/>
  <c r="CT309" i="5" a="1"/>
  <c r="CT309" i="5" s="1"/>
  <c r="BK309" i="5" s="1"/>
  <c r="CT396" i="5" a="1"/>
  <c r="CT396" i="5" s="1"/>
  <c r="BK396" i="5" s="1"/>
  <c r="CT41" i="5" a="1"/>
  <c r="CT41" i="5" s="1"/>
  <c r="BK41" i="5" s="1"/>
  <c r="CT373" i="5" a="1"/>
  <c r="CT373" i="5" s="1"/>
  <c r="BK373" i="5" s="1"/>
  <c r="CT18" i="5" a="1"/>
  <c r="CT18" i="5" s="1"/>
  <c r="BK18" i="5" s="1"/>
  <c r="CT126" i="5" a="1"/>
  <c r="CT126" i="5" s="1"/>
  <c r="BK126" i="5" s="1"/>
  <c r="CT235" i="5" a="1"/>
  <c r="CT235" i="5" s="1"/>
  <c r="BK235" i="5" s="1"/>
  <c r="CT236" i="5" a="1"/>
  <c r="CT236" i="5" s="1"/>
  <c r="BK236" i="5" s="1"/>
  <c r="CT438" i="5" a="1"/>
  <c r="CT438" i="5" s="1"/>
  <c r="BK438" i="5" s="1"/>
  <c r="CT104" i="5" a="1"/>
  <c r="CT104" i="5" s="1"/>
  <c r="BK104" i="5" s="1"/>
  <c r="CT170" i="5" a="1"/>
  <c r="CT170" i="5" s="1"/>
  <c r="BK170" i="5" s="1"/>
  <c r="CT287" i="5" a="1"/>
  <c r="CT287" i="5" s="1"/>
  <c r="BK287" i="5" s="1"/>
  <c r="CT281" i="5" a="1"/>
  <c r="CT281" i="5" s="1"/>
  <c r="BK281" i="5" s="1"/>
  <c r="CT55" i="5" a="1"/>
  <c r="CT55" i="5" s="1"/>
  <c r="BK55" i="5" s="1"/>
  <c r="BI51" i="5"/>
  <c r="CT30" i="5" a="1"/>
  <c r="CT30" i="5" s="1"/>
  <c r="BK30" i="5" s="1"/>
  <c r="CT24" i="5" a="1"/>
  <c r="CT24" i="5" s="1"/>
  <c r="BK24" i="5" s="1"/>
  <c r="CT254" i="5" a="1"/>
  <c r="CT254" i="5" s="1"/>
  <c r="BK254" i="5" s="1"/>
  <c r="CT320" i="5" a="1"/>
  <c r="CT320" i="5" s="1"/>
  <c r="BK320" i="5" s="1"/>
  <c r="AM250" i="5"/>
  <c r="AR250" i="5"/>
  <c r="AS250" i="5"/>
  <c r="AV250" i="5"/>
  <c r="BI70" i="5"/>
  <c r="CT95" i="5" a="1"/>
  <c r="CT95" i="5" s="1"/>
  <c r="BK95" i="5" s="1"/>
  <c r="CT182" i="5" a="1"/>
  <c r="CT182" i="5" s="1"/>
  <c r="BK182" i="5" s="1"/>
  <c r="CT305" i="5" a="1"/>
  <c r="CT305" i="5" s="1"/>
  <c r="BK305" i="5" s="1"/>
  <c r="CT399" i="5" a="1"/>
  <c r="CT399" i="5" s="1"/>
  <c r="BK399" i="5" s="1"/>
  <c r="CT144" i="5" a="1"/>
  <c r="CT144" i="5" s="1"/>
  <c r="BK144" i="5" s="1"/>
  <c r="CT153" i="5" a="1"/>
  <c r="CT153" i="5" s="1"/>
  <c r="BK153" i="5" s="1"/>
  <c r="CT383" i="5" a="1"/>
  <c r="CT383" i="5" s="1"/>
  <c r="BK383" i="5" s="1"/>
  <c r="CT13" i="5" a="1"/>
  <c r="CT13" i="5" s="1"/>
  <c r="BK13" i="5" s="1"/>
  <c r="CT222" i="5" a="1"/>
  <c r="CT222" i="5" s="1"/>
  <c r="BK222" i="5" s="1"/>
  <c r="CT409" i="5" a="1"/>
  <c r="CT409" i="5" s="1"/>
  <c r="BK409" i="5" s="1"/>
  <c r="CT90" i="5" a="1"/>
  <c r="CT90" i="5" s="1"/>
  <c r="BK90" i="5" s="1"/>
  <c r="CT141" i="5" a="1"/>
  <c r="CT141" i="5" s="1"/>
  <c r="BK141" i="5" s="1"/>
  <c r="CT243" i="5" a="1"/>
  <c r="CT243" i="5" s="1"/>
  <c r="BK243" i="5" s="1"/>
  <c r="U11" i="5"/>
  <c r="BJ11" i="5"/>
  <c r="AZ11" i="5"/>
  <c r="BO11" i="5"/>
  <c r="CI11" i="5"/>
  <c r="BP11" i="5"/>
  <c r="CJ11" i="5" a="1"/>
  <c r="CJ11" i="5" s="1"/>
  <c r="AO11" i="5"/>
  <c r="CT8" i="5" a="1"/>
  <c r="CT8" i="5" s="1"/>
  <c r="BK8" i="5" s="1"/>
  <c r="CT118" i="5" a="1"/>
  <c r="CT118" i="5" s="1"/>
  <c r="BK118" i="5" s="1"/>
  <c r="CT226" i="5" a="1"/>
  <c r="CT226" i="5" s="1"/>
  <c r="BK226" i="5" s="1"/>
  <c r="CT335" i="5" a="1"/>
  <c r="CT335" i="5" s="1"/>
  <c r="BK335" i="5" s="1"/>
  <c r="BI30" i="5"/>
  <c r="CT336" i="5" a="1"/>
  <c r="CT336" i="5" s="1"/>
  <c r="BK336" i="5" s="1"/>
  <c r="CT424" i="5" a="1"/>
  <c r="CT424" i="5" s="1"/>
  <c r="BK424" i="5" s="1"/>
  <c r="CT204" i="5" a="1"/>
  <c r="CT204" i="5" s="1"/>
  <c r="BK204" i="5" s="1"/>
  <c r="CT270" i="5" a="1"/>
  <c r="CT270" i="5" s="1"/>
  <c r="BK270" i="5" s="1"/>
  <c r="CT357" i="5" a="1"/>
  <c r="CT357" i="5" s="1"/>
  <c r="BK357" i="5" s="1"/>
  <c r="BI11" i="5"/>
  <c r="CT387" i="5" a="1"/>
  <c r="CT387" i="5" s="1"/>
  <c r="BK387" i="5" s="1"/>
  <c r="CT32" i="5" a="1"/>
  <c r="CT32" i="5" s="1"/>
  <c r="BK32" i="5" s="1"/>
  <c r="CT155" i="5" a="1"/>
  <c r="CT155" i="5" s="1"/>
  <c r="BK155" i="5" s="1"/>
  <c r="CT249" i="5" a="1"/>
  <c r="CT249" i="5" s="1"/>
  <c r="BK249" i="5" s="1"/>
  <c r="CT413" i="5" a="1"/>
  <c r="CT413" i="5" s="1"/>
  <c r="BK413" i="5" s="1"/>
  <c r="U380" i="5"/>
  <c r="AZ380" i="5"/>
  <c r="BJ380" i="5"/>
  <c r="BO380" i="5"/>
  <c r="CI380" i="5"/>
  <c r="CJ380" i="5" a="1"/>
  <c r="CJ380" i="5" s="1"/>
  <c r="AO380" i="5"/>
  <c r="BP380" i="5"/>
  <c r="CT15" i="5" a="1"/>
  <c r="CT15" i="5" s="1"/>
  <c r="BK15" i="5" s="1"/>
  <c r="CT365" i="5" a="1"/>
  <c r="CT365" i="5" s="1"/>
  <c r="BK365" i="5" s="1"/>
  <c r="CT240" i="5" a="1"/>
  <c r="CT240" i="5" s="1"/>
  <c r="BK240" i="5" s="1"/>
  <c r="CT291" i="5" a="1"/>
  <c r="CT291" i="5" s="1"/>
  <c r="BK291" i="5" s="1"/>
  <c r="CT414" i="5" a="1"/>
  <c r="CT414" i="5" s="1"/>
  <c r="BK414" i="5" s="1"/>
  <c r="CT323" i="5" a="1"/>
  <c r="CT323" i="5" s="1"/>
  <c r="BK323" i="5" s="1"/>
  <c r="CT353" i="5" a="1"/>
  <c r="CT353" i="5" s="1"/>
  <c r="BK353" i="5" s="1"/>
  <c r="CT76" i="5" a="1"/>
  <c r="CT76" i="5" s="1"/>
  <c r="BK76" i="5" s="1"/>
  <c r="CT185" i="5" a="1"/>
  <c r="CT185" i="5" s="1"/>
  <c r="BK185" i="5" s="1"/>
  <c r="AM51" i="5"/>
  <c r="AV51" i="5"/>
  <c r="AS51" i="5"/>
  <c r="AR51" i="5"/>
  <c r="CT130" i="5" a="1"/>
  <c r="CT130" i="5" s="1"/>
  <c r="BK130" i="5" s="1"/>
  <c r="CT124" i="5" a="1"/>
  <c r="CT124" i="5" s="1"/>
  <c r="BK124" i="5" s="1"/>
  <c r="CT354" i="5" a="1"/>
  <c r="CT354" i="5" s="1"/>
  <c r="BK354" i="5" s="1"/>
  <c r="CT429" i="5" a="1"/>
  <c r="CT429" i="5" s="1"/>
  <c r="BK429" i="5" s="1"/>
  <c r="AM70" i="5"/>
  <c r="AP70" i="5" s="1"/>
  <c r="AR70" i="5"/>
  <c r="AV70" i="5"/>
  <c r="AS70" i="5"/>
  <c r="CT17" i="5" a="1"/>
  <c r="CT17" i="5" s="1"/>
  <c r="BK17" i="5" s="1"/>
  <c r="CT195" i="5" a="1"/>
  <c r="CT195" i="5" s="1"/>
  <c r="BK195" i="5" s="1"/>
  <c r="CT282" i="5" a="1"/>
  <c r="CT282" i="5" s="1"/>
  <c r="BK282" i="5" s="1"/>
  <c r="CT405" i="5" a="1"/>
  <c r="CT405" i="5" s="1"/>
  <c r="BK405" i="5" s="1"/>
  <c r="CT5" i="5" a="1"/>
  <c r="CT5" i="5" s="1"/>
  <c r="BK5" i="5" s="1"/>
  <c r="CT244" i="5" a="1"/>
  <c r="CT244" i="5" s="1"/>
  <c r="BK244" i="5" s="1"/>
  <c r="CT253" i="5" a="1"/>
  <c r="CT253" i="5" s="1"/>
  <c r="BK253" i="5" s="1"/>
  <c r="CT3" i="5" a="1"/>
  <c r="CT3" i="5" s="1"/>
  <c r="BK3" i="5" s="1"/>
  <c r="CT106" i="5" a="1"/>
  <c r="CT106" i="5" s="1"/>
  <c r="BK106" i="5" s="1"/>
  <c r="CT322" i="5" a="1"/>
  <c r="CT322" i="5" s="1"/>
  <c r="BK322" i="5" s="1"/>
  <c r="CT410" i="5" a="1"/>
  <c r="CT410" i="5" s="1"/>
  <c r="BK410" i="5" s="1"/>
  <c r="CT190" i="5" a="1"/>
  <c r="CT190" i="5" s="1"/>
  <c r="BK190" i="5" s="1"/>
  <c r="CT241" i="5" a="1"/>
  <c r="CT241" i="5" s="1"/>
  <c r="BK241" i="5" s="1"/>
  <c r="CT343" i="5" a="1"/>
  <c r="CT343" i="5" s="1"/>
  <c r="BK343" i="5" s="1"/>
  <c r="CT116" i="5" a="1"/>
  <c r="CT116" i="5" s="1"/>
  <c r="BK116" i="5" s="1"/>
  <c r="CT326" i="5" a="1"/>
  <c r="CT326" i="5" s="1"/>
  <c r="BK326" i="5" s="1"/>
  <c r="CT435" i="5" a="1"/>
  <c r="CT435" i="5" s="1"/>
  <c r="BK435" i="5" s="1"/>
  <c r="U90" i="5"/>
  <c r="AZ90" i="5"/>
  <c r="BJ90" i="5"/>
  <c r="BO90" i="5"/>
  <c r="CI90" i="5"/>
  <c r="BP90" i="5"/>
  <c r="CJ90" i="5" a="1"/>
  <c r="CJ90" i="5" s="1"/>
  <c r="AO90" i="5"/>
  <c r="AM30" i="5"/>
  <c r="AP30" i="5" s="1"/>
  <c r="AR30" i="5"/>
  <c r="AS30" i="5"/>
  <c r="AV30" i="5"/>
  <c r="CT80" i="5" a="1"/>
  <c r="CT80" i="5" s="1"/>
  <c r="BK80" i="5" s="1"/>
  <c r="CT74" i="5" a="1"/>
  <c r="CT74" i="5" s="1"/>
  <c r="BK74" i="5" s="1"/>
  <c r="CT304" i="5" a="1"/>
  <c r="CT304" i="5" s="1"/>
  <c r="BK304" i="5" s="1"/>
  <c r="CT370" i="5" a="1"/>
  <c r="CT370" i="5" s="1"/>
  <c r="BK370" i="5" s="1"/>
  <c r="AM11" i="5"/>
  <c r="AP11" i="5" s="1"/>
  <c r="AR11" i="5"/>
  <c r="AS11" i="5"/>
  <c r="AV11" i="5"/>
  <c r="CT45" i="5" a="1"/>
  <c r="CT45" i="5" s="1"/>
  <c r="BK45" i="5" s="1"/>
  <c r="CT132" i="5" a="1"/>
  <c r="CT132" i="5" s="1"/>
  <c r="BK132" i="5" s="1"/>
  <c r="CT255" i="5" a="1"/>
  <c r="CT255" i="5" s="1"/>
  <c r="BK255" i="5" s="1"/>
  <c r="CT349" i="5" a="1"/>
  <c r="CT349" i="5" s="1"/>
  <c r="BK349" i="5" s="1"/>
  <c r="U60" i="5"/>
  <c r="AZ60" i="5"/>
  <c r="BJ60" i="5"/>
  <c r="BO60" i="5"/>
  <c r="CI60" i="5"/>
  <c r="AO60" i="5"/>
  <c r="CJ60" i="5" a="1"/>
  <c r="CJ60" i="5" s="1"/>
  <c r="BP60" i="5"/>
  <c r="U280" i="5"/>
  <c r="AZ280" i="5"/>
  <c r="BO280" i="5"/>
  <c r="BJ280" i="5"/>
  <c r="CI280" i="5"/>
  <c r="AO280" i="5"/>
  <c r="CJ280" i="5" a="1"/>
  <c r="CJ280" i="5" s="1"/>
  <c r="BP280" i="5"/>
  <c r="U101" i="5"/>
  <c r="BJ101" i="5"/>
  <c r="AZ101" i="5"/>
  <c r="BO101" i="5"/>
  <c r="CI101" i="5"/>
  <c r="AO101" i="5"/>
  <c r="BP101" i="5"/>
  <c r="CJ101" i="5" a="1"/>
  <c r="CJ101" i="5" s="1"/>
  <c r="CT110" i="5" a="1"/>
  <c r="CT110" i="5" s="1"/>
  <c r="BK110" i="5" s="1"/>
  <c r="CT434" i="5" a="1"/>
  <c r="CT434" i="5" s="1"/>
  <c r="BK434" i="5" s="1"/>
  <c r="U250" i="5"/>
  <c r="AZ250" i="5"/>
  <c r="BO250" i="5"/>
  <c r="BJ250" i="5"/>
  <c r="CI250" i="5"/>
  <c r="AO250" i="5"/>
  <c r="BP250" i="5"/>
  <c r="CJ250" i="5" a="1"/>
  <c r="CJ250" i="5" s="1"/>
  <c r="CT423" i="5" a="1"/>
  <c r="CT423" i="5" s="1"/>
  <c r="BK423" i="5" s="1"/>
  <c r="CT68" i="5" a="1"/>
  <c r="CT68" i="5" s="1"/>
  <c r="BK68" i="5" s="1"/>
  <c r="CT176" i="5" a="1"/>
  <c r="CT176" i="5" s="1"/>
  <c r="BK176" i="5" s="1"/>
  <c r="CT285" i="5" a="1"/>
  <c r="CT285" i="5" s="1"/>
  <c r="BK285" i="5" s="1"/>
  <c r="AM380" i="5"/>
  <c r="AP380" i="5" s="1"/>
  <c r="AR380" i="5"/>
  <c r="AS380" i="5"/>
  <c r="AV380" i="5"/>
  <c r="CT230" i="5" a="1"/>
  <c r="CT230" i="5" s="1"/>
  <c r="BK230" i="5" s="1"/>
  <c r="CT224" i="5" a="1"/>
  <c r="CT224" i="5" s="1"/>
  <c r="BK224" i="5" s="1"/>
  <c r="CT427" i="5" a="1"/>
  <c r="CT427" i="5" s="1"/>
  <c r="BK427" i="5" s="1"/>
  <c r="CT92" i="5" a="1"/>
  <c r="CT92" i="5" s="1"/>
  <c r="BK92" i="5" s="1"/>
  <c r="U330" i="5"/>
  <c r="AZ330" i="5"/>
  <c r="BJ330" i="5"/>
  <c r="BO330" i="5"/>
  <c r="CI330" i="5"/>
  <c r="AO330" i="5"/>
  <c r="CJ330" i="5" a="1"/>
  <c r="CJ330" i="5" s="1"/>
  <c r="BP330" i="5"/>
  <c r="CT108" i="5" a="1"/>
  <c r="CT108" i="5" s="1"/>
  <c r="BK108" i="5" s="1"/>
  <c r="CT295" i="5" a="1"/>
  <c r="CT295" i="5" s="1"/>
  <c r="BK295" i="5" s="1"/>
  <c r="CT382" i="5" a="1"/>
  <c r="CT382" i="5" s="1"/>
  <c r="BK382" i="5" s="1"/>
  <c r="CT27" i="5" a="1"/>
  <c r="CT27" i="5" s="1"/>
  <c r="BK27" i="5" s="1"/>
  <c r="CT114" i="5" a="1"/>
  <c r="CT114" i="5" s="1"/>
  <c r="BK114" i="5" s="1"/>
  <c r="CT344" i="5" a="1"/>
  <c r="CT344" i="5" s="1"/>
  <c r="BK344" i="5" s="1"/>
  <c r="CT422" i="5" a="1"/>
  <c r="CT422" i="5" s="1"/>
  <c r="BK422" i="5" s="1"/>
  <c r="CT112" i="5" a="1"/>
  <c r="CT112" i="5" s="1"/>
  <c r="BK112" i="5" s="1"/>
  <c r="CT206" i="5" a="1"/>
  <c r="CT206" i="5" s="1"/>
  <c r="BK206" i="5" s="1"/>
  <c r="BI330" i="5"/>
  <c r="U111" i="5"/>
  <c r="BJ111" i="5"/>
  <c r="AZ111" i="5"/>
  <c r="BO111" i="5"/>
  <c r="CI111" i="5"/>
  <c r="CJ111" i="5" a="1"/>
  <c r="CJ111" i="5" s="1"/>
  <c r="AO111" i="5"/>
  <c r="BP111" i="5"/>
  <c r="BI430" i="5"/>
  <c r="CT51" i="5" a="1"/>
  <c r="CT51" i="5" s="1"/>
  <c r="BK51" i="5" s="1"/>
  <c r="CT60" i="5" a="1"/>
  <c r="CT60" i="5" s="1"/>
  <c r="BK60" i="5" s="1"/>
  <c r="CT290" i="5" a="1"/>
  <c r="CT290" i="5" s="1"/>
  <c r="BK290" i="5" s="1"/>
  <c r="CT341" i="5" a="1"/>
  <c r="CT341" i="5" s="1"/>
  <c r="BK341" i="5" s="1"/>
  <c r="BI111" i="5"/>
  <c r="BI40" i="5"/>
  <c r="CT29" i="5" a="1"/>
  <c r="CT29" i="5" s="1"/>
  <c r="BK29" i="5" s="1"/>
  <c r="CT216" i="5" a="1"/>
  <c r="CT216" i="5" s="1"/>
  <c r="BK216" i="5" s="1"/>
  <c r="CT318" i="5" a="1"/>
  <c r="CT318" i="5" s="1"/>
  <c r="BK318" i="5" s="1"/>
  <c r="CT426" i="5" a="1"/>
  <c r="CT426" i="5" s="1"/>
  <c r="BK426" i="5" s="1"/>
  <c r="CT50" i="5" a="1"/>
  <c r="CT50" i="5" s="1"/>
  <c r="BK50" i="5" s="1"/>
  <c r="U10" i="5"/>
  <c r="AZ10" i="5"/>
  <c r="BJ10" i="5"/>
  <c r="BO10" i="5"/>
  <c r="CI10" i="5"/>
  <c r="BP10" i="5"/>
  <c r="CJ10" i="5" a="1"/>
  <c r="CJ10" i="5" s="1"/>
  <c r="AO10" i="5"/>
  <c r="BI80" i="5"/>
  <c r="CT180" i="5" a="1"/>
  <c r="CT180" i="5" s="1"/>
  <c r="BK180" i="5" s="1"/>
  <c r="CT174" i="5" a="1"/>
  <c r="CT174" i="5" s="1"/>
  <c r="BK174" i="5" s="1"/>
  <c r="CT404" i="5" a="1"/>
  <c r="CT404" i="5" s="1"/>
  <c r="BK404" i="5" s="1"/>
  <c r="CT42" i="5" a="1"/>
  <c r="CT42" i="5" s="1"/>
  <c r="BK42" i="5" s="1"/>
  <c r="CT145" i="5" a="1"/>
  <c r="CT145" i="5" s="1"/>
  <c r="BK145" i="5" s="1"/>
  <c r="CT232" i="5" a="1"/>
  <c r="CT232" i="5" s="1"/>
  <c r="BK232" i="5" s="1"/>
  <c r="CT355" i="5" a="1"/>
  <c r="CT355" i="5" s="1"/>
  <c r="BK355" i="5" s="1"/>
  <c r="CT364" i="5" a="1"/>
  <c r="CT364" i="5" s="1"/>
  <c r="BK364" i="5" s="1"/>
  <c r="BI90" i="5"/>
  <c r="CT340" i="5" a="1"/>
  <c r="CT340" i="5" s="1"/>
  <c r="BK340" i="5" s="1"/>
  <c r="BI160" i="5"/>
  <c r="CT294" i="5" a="1"/>
  <c r="CT294" i="5" s="1"/>
  <c r="BK294" i="5" s="1"/>
  <c r="CT303" i="5" a="1"/>
  <c r="CT303" i="5" s="1"/>
  <c r="BK303" i="5" s="1"/>
  <c r="CT62" i="5" a="1"/>
  <c r="CT62" i="5" s="1"/>
  <c r="BK62" i="5" s="1"/>
  <c r="CT156" i="5" a="1"/>
  <c r="CT156" i="5" s="1"/>
  <c r="BK156" i="5" s="1"/>
  <c r="U51" i="5"/>
  <c r="BJ51" i="5"/>
  <c r="AZ51" i="5"/>
  <c r="BO51" i="5"/>
  <c r="CI51" i="5"/>
  <c r="AO51" i="5"/>
  <c r="BP51" i="5"/>
  <c r="CJ51" i="5" a="1"/>
  <c r="CJ51" i="5" s="1"/>
  <c r="CT201" i="5" a="1"/>
  <c r="CT201" i="5" s="1"/>
  <c r="BK201" i="5" s="1"/>
  <c r="CT210" i="5" a="1"/>
  <c r="CT210" i="5" s="1"/>
  <c r="BK210" i="5" s="1"/>
  <c r="CT440" i="5" a="1"/>
  <c r="CT440" i="5" s="1"/>
  <c r="BK440" i="5" s="1"/>
  <c r="CT78" i="5" a="1"/>
  <c r="CT78" i="5" s="1"/>
  <c r="BK78" i="5" s="1"/>
  <c r="BI60" i="5"/>
  <c r="CT66" i="5" a="1"/>
  <c r="CT66" i="5" s="1"/>
  <c r="BK66" i="5" s="1"/>
  <c r="CT168" i="5" a="1"/>
  <c r="CT168" i="5" s="1"/>
  <c r="BK168" i="5" s="1"/>
  <c r="CT276" i="5" a="1"/>
  <c r="CT276" i="5" s="1"/>
  <c r="BK276" i="5" s="1"/>
  <c r="CT385" i="5" a="1"/>
  <c r="CT385" i="5" s="1"/>
  <c r="BK385" i="5" s="1"/>
  <c r="CT330" i="5" a="1"/>
  <c r="CT330" i="5" s="1"/>
  <c r="BK330" i="5" s="1"/>
  <c r="CT374" i="5" a="1"/>
  <c r="CT374" i="5" s="1"/>
  <c r="BK374" i="5" s="1"/>
  <c r="CT98" i="5" a="1"/>
  <c r="CT98" i="5" s="1"/>
  <c r="BK98" i="5" s="1"/>
  <c r="CT192" i="5" a="1"/>
  <c r="CT192" i="5" s="1"/>
  <c r="BK192" i="5" s="1"/>
  <c r="U430" i="5"/>
  <c r="AZ430" i="5"/>
  <c r="BJ430" i="5"/>
  <c r="BO430" i="5"/>
  <c r="CI430" i="5"/>
  <c r="CJ430" i="5" a="1"/>
  <c r="CJ430" i="5" s="1"/>
  <c r="AO430" i="5"/>
  <c r="BP430" i="5"/>
  <c r="BI180" i="5"/>
  <c r="CT208" i="5" a="1"/>
  <c r="CT208" i="5" s="1"/>
  <c r="BK208" i="5" s="1"/>
  <c r="CT395" i="5" a="1"/>
  <c r="CT395" i="5" s="1"/>
  <c r="BK395" i="5" s="1"/>
  <c r="CT61" i="5" a="1"/>
  <c r="CT61" i="5" s="1"/>
  <c r="BK61" i="5" s="1"/>
  <c r="CT127" i="5" a="1"/>
  <c r="CT127" i="5" s="1"/>
  <c r="BK127" i="5" s="1"/>
  <c r="CT214" i="5" a="1"/>
  <c r="CT214" i="5" s="1"/>
  <c r="BK214" i="5" s="1"/>
  <c r="CT439" i="5" a="1"/>
  <c r="CT439" i="5" s="1"/>
  <c r="BK439" i="5" s="1"/>
  <c r="CT89" i="5" a="1"/>
  <c r="CT89" i="5" s="1"/>
  <c r="BK89" i="5" s="1"/>
  <c r="CT212" i="5" a="1"/>
  <c r="CT212" i="5" s="1"/>
  <c r="BK212" i="5" s="1"/>
  <c r="CT306" i="5" a="1"/>
  <c r="CT306" i="5" s="1"/>
  <c r="BK306" i="5" s="1"/>
  <c r="BI230" i="5"/>
  <c r="CT151" i="5" a="1"/>
  <c r="CT151" i="5" s="1"/>
  <c r="BK151" i="5" s="1"/>
  <c r="CT160" i="5" a="1"/>
  <c r="CT160" i="5" s="1"/>
  <c r="BK160" i="5" s="1"/>
  <c r="CT390" i="5" a="1"/>
  <c r="CT390" i="5" s="1"/>
  <c r="BK390" i="5" s="1"/>
  <c r="CT28" i="5" a="1"/>
  <c r="CT28" i="5" s="1"/>
  <c r="BK28" i="5" s="1"/>
  <c r="AM111" i="5"/>
  <c r="AP111" i="5" s="1"/>
  <c r="AR111" i="5"/>
  <c r="AS111" i="5"/>
  <c r="AV111" i="5"/>
  <c r="AM40" i="5"/>
  <c r="AR40" i="5"/>
  <c r="AS40" i="5"/>
  <c r="AV40" i="5"/>
  <c r="CT129" i="5" a="1"/>
  <c r="CT129" i="5" s="1"/>
  <c r="BK129" i="5" s="1"/>
  <c r="CT316" i="5" a="1"/>
  <c r="CT316" i="5" s="1"/>
  <c r="BK316" i="5" s="1"/>
  <c r="CT418" i="5" a="1"/>
  <c r="CT418" i="5" s="1"/>
  <c r="BK418" i="5" s="1"/>
  <c r="CT63" i="5" a="1"/>
  <c r="CT63" i="5" s="1"/>
  <c r="BK63" i="5" s="1"/>
  <c r="CT150" i="5" a="1"/>
  <c r="CT150" i="5" s="1"/>
  <c r="BK150" i="5" s="1"/>
  <c r="U160" i="5"/>
  <c r="AZ160" i="5"/>
  <c r="BJ160" i="5"/>
  <c r="BO160" i="5"/>
  <c r="CI160" i="5"/>
  <c r="CJ160" i="5" a="1"/>
  <c r="CJ160" i="5" s="1"/>
  <c r="BP160" i="5"/>
  <c r="AO160" i="5"/>
  <c r="CT280" i="5" a="1"/>
  <c r="CT280" i="5" s="1"/>
  <c r="BK280" i="5" s="1"/>
  <c r="CT274" i="5" a="1"/>
  <c r="CT274" i="5" s="1"/>
  <c r="BK274" i="5" s="1"/>
  <c r="CT48" i="5" a="1"/>
  <c r="CT48" i="5" s="1"/>
  <c r="BK48" i="5" s="1"/>
  <c r="CT142" i="5" a="1"/>
  <c r="CT142" i="5" s="1"/>
  <c r="BK142" i="5" s="1"/>
  <c r="CT245" i="5" a="1"/>
  <c r="CT245" i="5" s="1"/>
  <c r="BK245" i="5" s="1"/>
  <c r="CT332" i="5" a="1"/>
  <c r="CT332" i="5" s="1"/>
  <c r="BK332" i="5" s="1"/>
  <c r="CT420" i="5" a="1"/>
  <c r="CT420" i="5" s="1"/>
  <c r="BK420" i="5" s="1"/>
  <c r="CT64" i="5" a="1"/>
  <c r="CT64" i="5" s="1"/>
  <c r="BK64" i="5" s="1"/>
  <c r="AM90" i="5"/>
  <c r="AR90" i="5"/>
  <c r="AS90" i="5"/>
  <c r="AV90" i="5"/>
  <c r="CT317" i="5" a="1"/>
  <c r="CT317" i="5" s="1"/>
  <c r="BK317" i="5" s="1"/>
  <c r="CT69" i="5" a="1"/>
  <c r="CT69" i="5" s="1"/>
  <c r="BK69" i="5" s="1"/>
  <c r="CT178" i="5" a="1"/>
  <c r="CT178" i="5" s="1"/>
  <c r="BK178" i="5" s="1"/>
  <c r="AM60" i="5"/>
  <c r="AP60" i="5" s="1"/>
  <c r="AR60" i="5"/>
  <c r="AS60" i="5"/>
  <c r="AV60" i="5"/>
  <c r="CT12" i="5" a="1"/>
  <c r="CT12" i="5" s="1"/>
  <c r="BK12" i="5" s="1"/>
  <c r="CT166" i="5" a="1"/>
  <c r="CT166" i="5" s="1"/>
  <c r="BK166" i="5" s="1"/>
  <c r="CT268" i="5" a="1"/>
  <c r="CT268" i="5" s="1"/>
  <c r="BK268" i="5" s="1"/>
  <c r="CT376" i="5" a="1"/>
  <c r="CT376" i="5" s="1"/>
  <c r="BK376" i="5" s="1"/>
  <c r="CT421" i="5" a="1"/>
  <c r="CT421" i="5" s="1"/>
  <c r="BK421" i="5" s="1"/>
  <c r="BI360" i="5"/>
  <c r="CT430" i="5" a="1"/>
  <c r="CT430" i="5" s="1"/>
  <c r="BK430" i="5" s="1"/>
  <c r="CT75" i="5" a="1"/>
  <c r="CT75" i="5" s="1"/>
  <c r="BK75" i="5" s="1"/>
  <c r="CT198" i="5" a="1"/>
  <c r="CT198" i="5" s="1"/>
  <c r="BK198" i="5" s="1"/>
  <c r="CT292" i="5" a="1"/>
  <c r="CT292" i="5" s="1"/>
  <c r="BK292" i="5" s="1"/>
  <c r="AM180" i="5"/>
  <c r="AP180" i="5" s="1"/>
  <c r="AR180" i="5"/>
  <c r="AS180" i="5"/>
  <c r="AV180" i="5"/>
  <c r="CT308" i="5" a="1"/>
  <c r="CT308" i="5" s="1"/>
  <c r="BK308" i="5" s="1"/>
  <c r="CT381" i="5" a="1"/>
  <c r="CT381" i="5" s="1"/>
  <c r="BK381" i="5" s="1"/>
  <c r="CT161" i="5" a="1"/>
  <c r="CT161" i="5" s="1"/>
  <c r="BK161" i="5" s="1"/>
  <c r="CT227" i="5" a="1"/>
  <c r="CT227" i="5" s="1"/>
  <c r="BK227" i="5" s="1"/>
  <c r="CT314" i="5" a="1"/>
  <c r="CT314" i="5" s="1"/>
  <c r="BK314" i="5" s="1"/>
  <c r="U40" i="5"/>
  <c r="AZ40" i="5"/>
  <c r="BJ40" i="5"/>
  <c r="BO40" i="5"/>
  <c r="CI40" i="5"/>
  <c r="CJ40" i="5" a="1"/>
  <c r="CJ40" i="5" s="1"/>
  <c r="AO40" i="5"/>
  <c r="BP40" i="5"/>
  <c r="CT102" i="5" a="1"/>
  <c r="CT102" i="5" s="1"/>
  <c r="BK102" i="5" s="1"/>
  <c r="CT189" i="5" a="1"/>
  <c r="CT189" i="5" s="1"/>
  <c r="BK189" i="5" s="1"/>
  <c r="CT312" i="5" a="1"/>
  <c r="CT312" i="5" s="1"/>
  <c r="BK312" i="5" s="1"/>
  <c r="CT406" i="5" a="1"/>
  <c r="CT406" i="5" s="1"/>
  <c r="BK406" i="5" s="1"/>
  <c r="AM230" i="5"/>
  <c r="AP230" i="5" s="1"/>
  <c r="AR230" i="5"/>
  <c r="AS230" i="5"/>
  <c r="AV230" i="5"/>
  <c r="CT251" i="5" a="1"/>
  <c r="CT251" i="5" s="1"/>
  <c r="BK251" i="5" s="1"/>
  <c r="CT260" i="5" a="1"/>
  <c r="CT260" i="5" s="1"/>
  <c r="BK260" i="5" s="1"/>
  <c r="CT19" i="5" a="1"/>
  <c r="CT19" i="5" s="1"/>
  <c r="BK19" i="5" s="1"/>
  <c r="CT128" i="5" a="1"/>
  <c r="CT128" i="5" s="1"/>
  <c r="BK128" i="5" s="1"/>
  <c r="CT229" i="5" a="1"/>
  <c r="CT229" i="5" s="1"/>
  <c r="BK229" i="5" s="1"/>
  <c r="CT416" i="5" a="1"/>
  <c r="CT416" i="5" s="1"/>
  <c r="BK416" i="5" s="1"/>
  <c r="CT97" i="5" a="1"/>
  <c r="CT97" i="5" s="1"/>
  <c r="BK97" i="5" s="1"/>
  <c r="CT163" i="5" a="1"/>
  <c r="CT163" i="5" s="1"/>
  <c r="BK163" i="5" s="1"/>
  <c r="CT250" i="5" a="1"/>
  <c r="CT250" i="5" s="1"/>
  <c r="BK250" i="5" s="1"/>
  <c r="CT380" i="5" a="1"/>
  <c r="CT380" i="5" s="1"/>
  <c r="BK380" i="5" s="1"/>
  <c r="CT25" i="5" a="1"/>
  <c r="CT25" i="5" s="1"/>
  <c r="BK25" i="5" s="1"/>
  <c r="CT148" i="5" a="1"/>
  <c r="CT148" i="5" s="1"/>
  <c r="BK148" i="5" s="1"/>
  <c r="CT242" i="5" a="1"/>
  <c r="CT242" i="5" s="1"/>
  <c r="BK242" i="5" s="1"/>
  <c r="CT158" i="5" a="1"/>
  <c r="CT158" i="5" s="1"/>
  <c r="BK158" i="5" s="1"/>
  <c r="CT345" i="5" a="1"/>
  <c r="CT345" i="5" s="1"/>
  <c r="BK345" i="5" s="1"/>
  <c r="CT10" i="5" a="1"/>
  <c r="CT10" i="5" s="1"/>
  <c r="BK10" i="5" s="1"/>
  <c r="CT77" i="5" a="1"/>
  <c r="CT77" i="5" s="1"/>
  <c r="BK77" i="5" s="1"/>
  <c r="CT164" i="5" a="1"/>
  <c r="CT164" i="5" s="1"/>
  <c r="BK164" i="5" s="1"/>
  <c r="CT58" i="5" a="1"/>
  <c r="CT58" i="5" s="1"/>
  <c r="BK58" i="5" s="1"/>
  <c r="A348" i="6"/>
  <c r="A347" i="6"/>
  <c r="A346" i="6"/>
  <c r="A345" i="6"/>
  <c r="A344" i="6"/>
  <c r="U7" i="2"/>
  <c r="V7" i="2"/>
  <c r="W7" i="2"/>
  <c r="Y7" i="2"/>
  <c r="Z7" i="2"/>
  <c r="AA7" i="2"/>
  <c r="AC7" i="2"/>
  <c r="A343" i="6"/>
  <c r="A342" i="6"/>
  <c r="A341" i="6"/>
  <c r="A337" i="6"/>
  <c r="A338" i="6"/>
  <c r="A339" i="6"/>
  <c r="A340" i="6"/>
  <c r="A335" i="6"/>
  <c r="A336" i="6"/>
  <c r="A333" i="6"/>
  <c r="A334" i="6"/>
  <c r="A332" i="6"/>
  <c r="BC111" i="5" l="1" a="1"/>
  <c r="BC111" i="5" s="1"/>
  <c r="AP100" i="5"/>
  <c r="BC101" i="5" a="1"/>
  <c r="BC101" i="5" s="1"/>
  <c r="AP110" i="5"/>
  <c r="BC430" i="5" a="1"/>
  <c r="BC430" i="5" s="1"/>
  <c r="BC330" i="5" a="1"/>
  <c r="BC330" i="5" s="1"/>
  <c r="BC11" i="5" a="1"/>
  <c r="BC11" i="5" s="1"/>
  <c r="V11" i="5"/>
  <c r="W11" i="5" s="1"/>
  <c r="BL11" i="5"/>
  <c r="V110" i="5"/>
  <c r="W110" i="5" s="1"/>
  <c r="BL110" i="5"/>
  <c r="BC260" i="5" a="1"/>
  <c r="BC260" i="5" s="1"/>
  <c r="BF260" i="5"/>
  <c r="BM260" i="5"/>
  <c r="BU260" i="5" a="1"/>
  <c r="BU260" i="5" s="1"/>
  <c r="BW260" i="5"/>
  <c r="BT260" i="5" a="1"/>
  <c r="BT260" i="5" s="1"/>
  <c r="CO260" i="5" a="1"/>
  <c r="CO260" i="5" s="1"/>
  <c r="CP260" i="5" a="1"/>
  <c r="CP260" i="5" s="1"/>
  <c r="CR260" i="5" a="1"/>
  <c r="CR260" i="5" s="1"/>
  <c r="CS260" i="5" a="1"/>
  <c r="CS260" i="5" s="1"/>
  <c r="V30" i="5"/>
  <c r="W30" i="5" s="1"/>
  <c r="BL30" i="5"/>
  <c r="AP160" i="5"/>
  <c r="V360" i="5"/>
  <c r="W360" i="5" s="1"/>
  <c r="BL360" i="5"/>
  <c r="V80" i="5"/>
  <c r="W80" i="5" s="1"/>
  <c r="BL80" i="5"/>
  <c r="BF430" i="5"/>
  <c r="BM430" i="5"/>
  <c r="BU430" i="5" a="1"/>
  <c r="BU430" i="5" s="1"/>
  <c r="BT430" i="5" a="1"/>
  <c r="BT430" i="5" s="1"/>
  <c r="BW430" i="5"/>
  <c r="CP430" i="5" a="1"/>
  <c r="CP430" i="5" s="1"/>
  <c r="CR430" i="5" a="1"/>
  <c r="CR430" i="5" s="1"/>
  <c r="CO430" i="5" a="1"/>
  <c r="CO430" i="5" s="1"/>
  <c r="CS430" i="5" a="1"/>
  <c r="CS430" i="5" s="1"/>
  <c r="BC10" i="5" a="1"/>
  <c r="BC10" i="5" s="1"/>
  <c r="V100" i="5"/>
  <c r="W100" i="5" s="1"/>
  <c r="BL100" i="5"/>
  <c r="BF280" i="5"/>
  <c r="BM280" i="5"/>
  <c r="BT280" i="5" a="1"/>
  <c r="BT280" i="5" s="1"/>
  <c r="BU280" i="5" a="1"/>
  <c r="BU280" i="5" s="1"/>
  <c r="BW280" i="5"/>
  <c r="CO280" i="5" a="1"/>
  <c r="CO280" i="5" s="1"/>
  <c r="CP280" i="5" a="1"/>
  <c r="CP280" i="5" s="1"/>
  <c r="CR280" i="5" a="1"/>
  <c r="CR280" i="5" s="1"/>
  <c r="CS280" i="5" a="1"/>
  <c r="CS280" i="5" s="1"/>
  <c r="BF90" i="5"/>
  <c r="BM90" i="5"/>
  <c r="BT90" i="5" a="1"/>
  <c r="BT90" i="5" s="1"/>
  <c r="BU90" i="5" a="1"/>
  <c r="BU90" i="5" s="1"/>
  <c r="BW90" i="5"/>
  <c r="CO90" i="5" a="1"/>
  <c r="CO90" i="5" s="1"/>
  <c r="CS90" i="5" a="1"/>
  <c r="CS90" i="5" s="1"/>
  <c r="CP90" i="5" a="1"/>
  <c r="CP90" i="5" s="1"/>
  <c r="CR90" i="5" a="1"/>
  <c r="CR90" i="5" s="1"/>
  <c r="AP90" i="5"/>
  <c r="BF111" i="5"/>
  <c r="BM111" i="5"/>
  <c r="BT111" i="5" a="1"/>
  <c r="BT111" i="5" s="1"/>
  <c r="BU111" i="5" a="1"/>
  <c r="BU111" i="5" s="1"/>
  <c r="BW111" i="5"/>
  <c r="CP111" i="5" a="1"/>
  <c r="CP111" i="5" s="1"/>
  <c r="CR111" i="5" a="1"/>
  <c r="CR111" i="5" s="1"/>
  <c r="CO111" i="5" a="1"/>
  <c r="CO111" i="5" s="1"/>
  <c r="CS111" i="5" a="1"/>
  <c r="CS111" i="5" s="1"/>
  <c r="BF330" i="5"/>
  <c r="BM330" i="5"/>
  <c r="BU330" i="5" a="1"/>
  <c r="BU330" i="5" s="1"/>
  <c r="BT330" i="5" a="1"/>
  <c r="BT330" i="5" s="1"/>
  <c r="BW330" i="5"/>
  <c r="CO330" i="5" a="1"/>
  <c r="CO330" i="5" s="1"/>
  <c r="CP330" i="5" a="1"/>
  <c r="CP330" i="5" s="1"/>
  <c r="CR330" i="5" a="1"/>
  <c r="CR330" i="5" s="1"/>
  <c r="CS330" i="5" a="1"/>
  <c r="CS330" i="5" s="1"/>
  <c r="BF250" i="5"/>
  <c r="BM250" i="5"/>
  <c r="BT250" i="5" a="1"/>
  <c r="BT250" i="5" s="1"/>
  <c r="BW250" i="5"/>
  <c r="BU250" i="5" a="1"/>
  <c r="BU250" i="5" s="1"/>
  <c r="CO250" i="5" a="1"/>
  <c r="CO250" i="5" s="1"/>
  <c r="CP250" i="5" a="1"/>
  <c r="CP250" i="5" s="1"/>
  <c r="CR250" i="5" a="1"/>
  <c r="CR250" i="5" s="1"/>
  <c r="CS250" i="5" a="1"/>
  <c r="CS250" i="5" s="1"/>
  <c r="BF101" i="5"/>
  <c r="BM101" i="5"/>
  <c r="BT101" i="5" a="1"/>
  <c r="BT101" i="5" s="1"/>
  <c r="BU101" i="5" a="1"/>
  <c r="BU101" i="5" s="1"/>
  <c r="BW101" i="5"/>
  <c r="CO101" i="5" a="1"/>
  <c r="CO101" i="5" s="1"/>
  <c r="CS101" i="5" a="1"/>
  <c r="CS101" i="5" s="1"/>
  <c r="CP101" i="5" a="1"/>
  <c r="CP101" i="5" s="1"/>
  <c r="CR101" i="5" a="1"/>
  <c r="CR101" i="5" s="1"/>
  <c r="BM11" i="5"/>
  <c r="BF11" i="5"/>
  <c r="BT11" i="5" a="1"/>
  <c r="BT11" i="5" s="1"/>
  <c r="BU11" i="5" a="1"/>
  <c r="BU11" i="5" s="1"/>
  <c r="BW11" i="5"/>
  <c r="CS11" i="5" a="1"/>
  <c r="CS11" i="5" s="1"/>
  <c r="CP11" i="5" a="1"/>
  <c r="CP11" i="5" s="1"/>
  <c r="CR11" i="5" a="1"/>
  <c r="CR11" i="5" s="1"/>
  <c r="CO11" i="5" a="1"/>
  <c r="CO11" i="5" s="1"/>
  <c r="V350" i="5"/>
  <c r="W350" i="5" s="1"/>
  <c r="BL350" i="5"/>
  <c r="BF110" i="5"/>
  <c r="BM110" i="5"/>
  <c r="BU110" i="5" a="1"/>
  <c r="BU110" i="5" s="1"/>
  <c r="BT110" i="5" a="1"/>
  <c r="BT110" i="5" s="1"/>
  <c r="BW110" i="5"/>
  <c r="CO110" i="5" a="1"/>
  <c r="CO110" i="5" s="1"/>
  <c r="CS110" i="5" a="1"/>
  <c r="CS110" i="5" s="1"/>
  <c r="CP110" i="5" a="1"/>
  <c r="CP110" i="5" s="1"/>
  <c r="CR110" i="5" a="1"/>
  <c r="CR110" i="5" s="1"/>
  <c r="AP10" i="5"/>
  <c r="BF230" i="5"/>
  <c r="BM230" i="5"/>
  <c r="BT230" i="5" a="1"/>
  <c r="BT230" i="5" s="1"/>
  <c r="BU230" i="5" a="1"/>
  <c r="BU230" i="5" s="1"/>
  <c r="BW230" i="5"/>
  <c r="CO230" i="5" a="1"/>
  <c r="CO230" i="5" s="1"/>
  <c r="CP230" i="5" a="1"/>
  <c r="CP230" i="5" s="1"/>
  <c r="CR230" i="5" a="1"/>
  <c r="CR230" i="5" s="1"/>
  <c r="CS230" i="5" a="1"/>
  <c r="CS230" i="5" s="1"/>
  <c r="BC40" i="5" a="1"/>
  <c r="BC40" i="5" s="1"/>
  <c r="BF51" i="5"/>
  <c r="BM51" i="5"/>
  <c r="BT51" i="5" a="1"/>
  <c r="BT51" i="5" s="1"/>
  <c r="BU51" i="5" a="1"/>
  <c r="BU51" i="5" s="1"/>
  <c r="BW51" i="5"/>
  <c r="CO51" i="5" a="1"/>
  <c r="CO51" i="5" s="1"/>
  <c r="CS51" i="5" a="1"/>
  <c r="CS51" i="5" s="1"/>
  <c r="CP51" i="5" a="1"/>
  <c r="CP51" i="5" s="1"/>
  <c r="CR51" i="5" a="1"/>
  <c r="CR51" i="5" s="1"/>
  <c r="BC160" i="5" a="1"/>
  <c r="BC160" i="5" s="1"/>
  <c r="V60" i="5"/>
  <c r="W60" i="5" s="1"/>
  <c r="BL60" i="5"/>
  <c r="V380" i="5"/>
  <c r="W380" i="5" s="1"/>
  <c r="BL380" i="5"/>
  <c r="BC70" i="5" a="1"/>
  <c r="BC70" i="5" s="1"/>
  <c r="BC51" i="5" a="1"/>
  <c r="BC51" i="5" s="1"/>
  <c r="BC380" i="5" a="1"/>
  <c r="BC380" i="5" s="1"/>
  <c r="AP350" i="5"/>
  <c r="BF81" i="5"/>
  <c r="BM81" i="5"/>
  <c r="BT81" i="5" a="1"/>
  <c r="BT81" i="5" s="1"/>
  <c r="BU81" i="5" a="1"/>
  <c r="BU81" i="5" s="1"/>
  <c r="BW81" i="5"/>
  <c r="CO81" i="5" a="1"/>
  <c r="CO81" i="5" s="1"/>
  <c r="CP81" i="5" a="1"/>
  <c r="CP81" i="5" s="1"/>
  <c r="CR81" i="5" a="1"/>
  <c r="CR81" i="5" s="1"/>
  <c r="CS81" i="5" a="1"/>
  <c r="CS81" i="5" s="1"/>
  <c r="BF80" i="5"/>
  <c r="BM80" i="5"/>
  <c r="BT80" i="5" a="1"/>
  <c r="BT80" i="5" s="1"/>
  <c r="BU80" i="5" a="1"/>
  <c r="BU80" i="5" s="1"/>
  <c r="BW80" i="5"/>
  <c r="CO80" i="5" a="1"/>
  <c r="CO80" i="5" s="1"/>
  <c r="CP80" i="5" a="1"/>
  <c r="CP80" i="5" s="1"/>
  <c r="CR80" i="5" a="1"/>
  <c r="CR80" i="5" s="1"/>
  <c r="CS80" i="5" a="1"/>
  <c r="CS80" i="5" s="1"/>
  <c r="BF160" i="5"/>
  <c r="BM160" i="5"/>
  <c r="BU160" i="5" a="1"/>
  <c r="BU160" i="5" s="1"/>
  <c r="BT160" i="5" a="1"/>
  <c r="BT160" i="5" s="1"/>
  <c r="BW160" i="5"/>
  <c r="CO160" i="5" a="1"/>
  <c r="CO160" i="5" s="1"/>
  <c r="CS160" i="5" a="1"/>
  <c r="CS160" i="5" s="1"/>
  <c r="CP160" i="5" a="1"/>
  <c r="CP160" i="5" s="1"/>
  <c r="CR160" i="5" a="1"/>
  <c r="CR160" i="5" s="1"/>
  <c r="V70" i="5"/>
  <c r="W70" i="5" s="1"/>
  <c r="BL70" i="5"/>
  <c r="BM30" i="5"/>
  <c r="BF30" i="5"/>
  <c r="BT30" i="5" a="1"/>
  <c r="BT30" i="5" s="1"/>
  <c r="BU30" i="5" a="1"/>
  <c r="BU30" i="5" s="1"/>
  <c r="BW30" i="5"/>
  <c r="CO30" i="5" a="1"/>
  <c r="CO30" i="5" s="1"/>
  <c r="CP30" i="5" a="1"/>
  <c r="CP30" i="5" s="1"/>
  <c r="CR30" i="5" a="1"/>
  <c r="CR30" i="5" s="1"/>
  <c r="CS30" i="5" a="1"/>
  <c r="CS30" i="5" s="1"/>
  <c r="BF360" i="5"/>
  <c r="BM360" i="5"/>
  <c r="BT360" i="5" a="1"/>
  <c r="BT360" i="5" s="1"/>
  <c r="BU360" i="5" a="1"/>
  <c r="BU360" i="5" s="1"/>
  <c r="BW360" i="5"/>
  <c r="CP360" i="5" a="1"/>
  <c r="CP360" i="5" s="1"/>
  <c r="CR360" i="5" a="1"/>
  <c r="CR360" i="5" s="1"/>
  <c r="CO360" i="5" a="1"/>
  <c r="CO360" i="5" s="1"/>
  <c r="CS360" i="5" a="1"/>
  <c r="CS360" i="5" s="1"/>
  <c r="BC110" i="5" a="1"/>
  <c r="BC110" i="5" s="1"/>
  <c r="AP430" i="5"/>
  <c r="BC350" i="5" a="1"/>
  <c r="BC350" i="5" s="1"/>
  <c r="V180" i="5"/>
  <c r="W180" i="5" s="1"/>
  <c r="BL180" i="5"/>
  <c r="BM40" i="5"/>
  <c r="BF40" i="5"/>
  <c r="BT40" i="5" a="1"/>
  <c r="BT40" i="5" s="1"/>
  <c r="BU40" i="5" a="1"/>
  <c r="BU40" i="5" s="1"/>
  <c r="BW40" i="5"/>
  <c r="CO40" i="5" a="1"/>
  <c r="CO40" i="5" s="1"/>
  <c r="CS40" i="5" a="1"/>
  <c r="CS40" i="5" s="1"/>
  <c r="CP40" i="5" a="1"/>
  <c r="CP40" i="5" s="1"/>
  <c r="CR40" i="5" a="1"/>
  <c r="CR40" i="5" s="1"/>
  <c r="BC60" i="5" a="1"/>
  <c r="BC60" i="5" s="1"/>
  <c r="V10" i="5"/>
  <c r="W10" i="5" s="1"/>
  <c r="BL10" i="5"/>
  <c r="V280" i="5"/>
  <c r="W280" i="5" s="1"/>
  <c r="BL280" i="5"/>
  <c r="AP280" i="5"/>
  <c r="BC280" i="5" a="1"/>
  <c r="BC280" i="5" s="1"/>
  <c r="V260" i="5"/>
  <c r="W260" i="5" s="1"/>
  <c r="BL260" i="5"/>
  <c r="BF100" i="5"/>
  <c r="BM100" i="5"/>
  <c r="BT100" i="5" a="1"/>
  <c r="BT100" i="5" s="1"/>
  <c r="BW100" i="5"/>
  <c r="BU100" i="5" a="1"/>
  <c r="BU100" i="5" s="1"/>
  <c r="CO100" i="5" a="1"/>
  <c r="CO100" i="5" s="1"/>
  <c r="CP100" i="5" a="1"/>
  <c r="CP100" i="5" s="1"/>
  <c r="CR100" i="5" a="1"/>
  <c r="CR100" i="5" s="1"/>
  <c r="CS100" i="5" a="1"/>
  <c r="CS100" i="5" s="1"/>
  <c r="BC81" i="5" a="1"/>
  <c r="BC81" i="5" s="1"/>
  <c r="V40" i="5"/>
  <c r="W40" i="5" s="1"/>
  <c r="BL40" i="5"/>
  <c r="BC360" i="5" a="1"/>
  <c r="BC360" i="5" s="1"/>
  <c r="BC230" i="5" a="1"/>
  <c r="BC230" i="5" s="1"/>
  <c r="V430" i="5"/>
  <c r="W430" i="5" s="1"/>
  <c r="BL430" i="5"/>
  <c r="BC90" i="5" a="1"/>
  <c r="BC90" i="5" s="1"/>
  <c r="BC80" i="5" a="1"/>
  <c r="BC80" i="5" s="1"/>
  <c r="AP51" i="5"/>
  <c r="BC30" i="5" a="1"/>
  <c r="BC30" i="5" s="1"/>
  <c r="BC100" i="5" a="1"/>
  <c r="BC100" i="5" s="1"/>
  <c r="AP40" i="5"/>
  <c r="BC180" i="5" a="1"/>
  <c r="BC180" i="5" s="1"/>
  <c r="V330" i="5"/>
  <c r="W330" i="5" s="1"/>
  <c r="BL330" i="5"/>
  <c r="V250" i="5"/>
  <c r="W250" i="5" s="1"/>
  <c r="BL250" i="5"/>
  <c r="V101" i="5"/>
  <c r="W101" i="5" s="1"/>
  <c r="BL101" i="5"/>
  <c r="V90" i="5"/>
  <c r="W90" i="5" s="1"/>
  <c r="BL90" i="5"/>
  <c r="BF380" i="5"/>
  <c r="BM380" i="5"/>
  <c r="BU380" i="5" a="1"/>
  <c r="BU380" i="5" s="1"/>
  <c r="BT380" i="5" a="1"/>
  <c r="BT380" i="5" s="1"/>
  <c r="BW380" i="5"/>
  <c r="CP380" i="5" a="1"/>
  <c r="CP380" i="5" s="1"/>
  <c r="CR380" i="5" a="1"/>
  <c r="CR380" i="5" s="1"/>
  <c r="CO380" i="5" a="1"/>
  <c r="CO380" i="5" s="1"/>
  <c r="CS380" i="5" a="1"/>
  <c r="CS380" i="5" s="1"/>
  <c r="BF350" i="5"/>
  <c r="BM350" i="5"/>
  <c r="BT350" i="5" a="1"/>
  <c r="BT350" i="5" s="1"/>
  <c r="BU350" i="5" a="1"/>
  <c r="BU350" i="5" s="1"/>
  <c r="BW350" i="5"/>
  <c r="CO350" i="5" a="1"/>
  <c r="CO350" i="5" s="1"/>
  <c r="CP350" i="5" a="1"/>
  <c r="CP350" i="5" s="1"/>
  <c r="CR350" i="5" a="1"/>
  <c r="CR350" i="5" s="1"/>
  <c r="CS350" i="5" a="1"/>
  <c r="CS350" i="5" s="1"/>
  <c r="BC250" i="5" a="1"/>
  <c r="BC250" i="5" s="1"/>
  <c r="V230" i="5"/>
  <c r="W230" i="5" s="1"/>
  <c r="BL230" i="5"/>
  <c r="V160" i="5"/>
  <c r="W160" i="5" s="1"/>
  <c r="BL160" i="5"/>
  <c r="V51" i="5"/>
  <c r="W51" i="5" s="1"/>
  <c r="BL51" i="5"/>
  <c r="BM10" i="5"/>
  <c r="BF10" i="5"/>
  <c r="BU10" i="5" a="1"/>
  <c r="BU10" i="5" s="1"/>
  <c r="BT10" i="5" a="1"/>
  <c r="BT10" i="5" s="1"/>
  <c r="BW10" i="5"/>
  <c r="CO10" i="5" a="1"/>
  <c r="CO10" i="5" s="1"/>
  <c r="CS10" i="5" a="1"/>
  <c r="CS10" i="5" s="1"/>
  <c r="CP10" i="5" a="1"/>
  <c r="CP10" i="5" s="1"/>
  <c r="CR10" i="5" a="1"/>
  <c r="CR10" i="5" s="1"/>
  <c r="BC325" i="5" a="1"/>
  <c r="BC325" i="5" s="1"/>
  <c r="BC366" i="5" a="1"/>
  <c r="BC366" i="5" s="1"/>
  <c r="BC166" i="5" a="1"/>
  <c r="BC166" i="5" s="1"/>
  <c r="BC71" i="5" a="1"/>
  <c r="BC71" i="5" s="1"/>
  <c r="BC117" i="5" a="1"/>
  <c r="BC117" i="5" s="1"/>
  <c r="BC86" i="5" a="1"/>
  <c r="BC86" i="5" s="1"/>
  <c r="BC267" i="5" a="1"/>
  <c r="BC267" i="5" s="1"/>
  <c r="BC284" i="5" a="1"/>
  <c r="BC284" i="5" s="1"/>
  <c r="CF75" i="5" a="1"/>
  <c r="CF75" i="5" s="1"/>
  <c r="CF163" i="5" a="1"/>
  <c r="CF163" i="5" s="1"/>
  <c r="CF244" i="5" a="1"/>
  <c r="CF244" i="5" s="1"/>
  <c r="CF325" i="5" a="1"/>
  <c r="CF325" i="5" s="1"/>
  <c r="CF413" i="5" a="1"/>
  <c r="CF413" i="5" s="1"/>
  <c r="CG52" i="5" a="1"/>
  <c r="CG52" i="5" s="1"/>
  <c r="BE52" i="5" s="1"/>
  <c r="CG133" i="5" a="1"/>
  <c r="CG133" i="5" s="1"/>
  <c r="BE133" i="5" s="1"/>
  <c r="CF26" i="5" a="1"/>
  <c r="CF26" i="5" s="1"/>
  <c r="CF151" i="5" a="1"/>
  <c r="CF151" i="5" s="1"/>
  <c r="CF276" i="5" a="1"/>
  <c r="CF276" i="5" s="1"/>
  <c r="CF401" i="5" a="1"/>
  <c r="CF401" i="5" s="1"/>
  <c r="CG84" i="5" a="1"/>
  <c r="CG84" i="5" s="1"/>
  <c r="BE84" i="5" s="1"/>
  <c r="CG209" i="5" a="1"/>
  <c r="CG209" i="5" s="1"/>
  <c r="BE209" i="5" s="1"/>
  <c r="CG311" i="5" a="1"/>
  <c r="CG311" i="5" s="1"/>
  <c r="BE311" i="5" s="1"/>
  <c r="CG411" i="5" a="1"/>
  <c r="CG411" i="5" s="1"/>
  <c r="BE411" i="5" s="1"/>
  <c r="CF58" i="5" a="1"/>
  <c r="CF58" i="5" s="1"/>
  <c r="CF139" i="5" a="1"/>
  <c r="CF139" i="5" s="1"/>
  <c r="CF220" i="5" a="1"/>
  <c r="CF220" i="5" s="1"/>
  <c r="CF308" i="5" a="1"/>
  <c r="CF308" i="5" s="1"/>
  <c r="CF389" i="5" a="1"/>
  <c r="CF389" i="5" s="1"/>
  <c r="CG28" i="5" a="1"/>
  <c r="CG28" i="5" s="1"/>
  <c r="BE28" i="5" s="1"/>
  <c r="CF52" i="5" a="1"/>
  <c r="CF52" i="5" s="1"/>
  <c r="CF177" i="5" a="1"/>
  <c r="CF177" i="5" s="1"/>
  <c r="CF302" i="5" a="1"/>
  <c r="CF302" i="5" s="1"/>
  <c r="CF427" i="5" a="1"/>
  <c r="CF427" i="5" s="1"/>
  <c r="CG110" i="5" a="1"/>
  <c r="CG110" i="5" s="1"/>
  <c r="BE110" i="5" s="1"/>
  <c r="CG240" i="5" a="1"/>
  <c r="CG240" i="5" s="1"/>
  <c r="BE240" i="5" s="1"/>
  <c r="CG340" i="5" a="1"/>
  <c r="CG340" i="5" s="1"/>
  <c r="BE340" i="5" s="1"/>
  <c r="CG440" i="5" a="1"/>
  <c r="CG440" i="5" s="1"/>
  <c r="BE440" i="5" s="1"/>
  <c r="CF78" i="5" a="1"/>
  <c r="CF78" i="5" s="1"/>
  <c r="CF159" i="5" a="1"/>
  <c r="CF159" i="5" s="1"/>
  <c r="CF240" i="5" a="1"/>
  <c r="CF240" i="5" s="1"/>
  <c r="CF328" i="5" a="1"/>
  <c r="CF328" i="5" s="1"/>
  <c r="CF409" i="5" a="1"/>
  <c r="CF409" i="5" s="1"/>
  <c r="CG48" i="5" a="1"/>
  <c r="CG48" i="5" s="1"/>
  <c r="BE48" i="5" s="1"/>
  <c r="CF116" i="5" a="1"/>
  <c r="CF116" i="5" s="1"/>
  <c r="CF241" i="5" a="1"/>
  <c r="CF241" i="5" s="1"/>
  <c r="CF366" i="5" a="1"/>
  <c r="CF366" i="5" s="1"/>
  <c r="CG49" i="5" a="1"/>
  <c r="CG49" i="5" s="1"/>
  <c r="BE49" i="5" s="1"/>
  <c r="CG174" i="5" a="1"/>
  <c r="CG174" i="5" s="1"/>
  <c r="BE174" i="5" s="1"/>
  <c r="CG280" i="5" a="1"/>
  <c r="CG280" i="5" s="1"/>
  <c r="BE280" i="5" s="1"/>
  <c r="CG380" i="5" a="1"/>
  <c r="CG380" i="5" s="1"/>
  <c r="BE380" i="5" s="1"/>
  <c r="CF35" i="5" a="1"/>
  <c r="CF35" i="5" s="1"/>
  <c r="CF123" i="5" a="1"/>
  <c r="CF123" i="5" s="1"/>
  <c r="CF204" i="5" a="1"/>
  <c r="CF204" i="5" s="1"/>
  <c r="CF285" i="5" a="1"/>
  <c r="CF285" i="5" s="1"/>
  <c r="CF373" i="5" a="1"/>
  <c r="CF373" i="5" s="1"/>
  <c r="CG12" i="5" a="1"/>
  <c r="CG12" i="5" s="1"/>
  <c r="BE12" i="5" s="1"/>
  <c r="CG93" i="5" a="1"/>
  <c r="CG93" i="5" s="1"/>
  <c r="BE93" i="5" s="1"/>
  <c r="CG181" i="5" a="1"/>
  <c r="CG181" i="5" s="1"/>
  <c r="BE181" i="5" s="1"/>
  <c r="CF61" i="5" a="1"/>
  <c r="CF61" i="5" s="1"/>
  <c r="CF186" i="5" a="1"/>
  <c r="CF186" i="5" s="1"/>
  <c r="CF311" i="5" a="1"/>
  <c r="CF311" i="5" s="1"/>
  <c r="CF436" i="5" a="1"/>
  <c r="CF436" i="5" s="1"/>
  <c r="CG119" i="5" a="1"/>
  <c r="CG119" i="5" s="1"/>
  <c r="BE119" i="5" s="1"/>
  <c r="CF80" i="5" a="1"/>
  <c r="CF80" i="5" s="1"/>
  <c r="CF168" i="5" a="1"/>
  <c r="CF168" i="5" s="1"/>
  <c r="CF249" i="5" a="1"/>
  <c r="CF249" i="5" s="1"/>
  <c r="CF330" i="5" a="1"/>
  <c r="CF330" i="5" s="1"/>
  <c r="CF418" i="5" a="1"/>
  <c r="CF418" i="5" s="1"/>
  <c r="CF37" i="5" a="1"/>
  <c r="CF37" i="5" s="1"/>
  <c r="CF162" i="5" a="1"/>
  <c r="CF162" i="5" s="1"/>
  <c r="CF287" i="5" a="1"/>
  <c r="CF287" i="5" s="1"/>
  <c r="CF412" i="5" a="1"/>
  <c r="CF412" i="5" s="1"/>
  <c r="CG95" i="5" a="1"/>
  <c r="CG95" i="5" s="1"/>
  <c r="BE95" i="5" s="1"/>
  <c r="CG220" i="5" a="1"/>
  <c r="CG220" i="5" s="1"/>
  <c r="BE220" i="5" s="1"/>
  <c r="CG321" i="5" a="1"/>
  <c r="CG321" i="5" s="1"/>
  <c r="BE321" i="5" s="1"/>
  <c r="CG421" i="5" a="1"/>
  <c r="CG421" i="5" s="1"/>
  <c r="BE421" i="5" s="1"/>
  <c r="CG287" i="5" a="1"/>
  <c r="CG287" i="5" s="1"/>
  <c r="BE287" i="5" s="1"/>
  <c r="CG436" i="5" a="1"/>
  <c r="CG436" i="5" s="1"/>
  <c r="BE436" i="5" s="1"/>
  <c r="CG223" i="5" a="1"/>
  <c r="CG223" i="5" s="1"/>
  <c r="BE223" i="5" s="1"/>
  <c r="CG409" i="5" a="1"/>
  <c r="CG409" i="5" s="1"/>
  <c r="BE409" i="5" s="1"/>
  <c r="CG234" i="5" a="1"/>
  <c r="CG234" i="5" s="1"/>
  <c r="BE234" i="5" s="1"/>
  <c r="CG437" i="5" a="1"/>
  <c r="CG437" i="5" s="1"/>
  <c r="BE437" i="5" s="1"/>
  <c r="CG281" i="5" a="1"/>
  <c r="CG281" i="5" s="1"/>
  <c r="BE281" i="5" s="1"/>
  <c r="CG51" i="5" a="1"/>
  <c r="CG51" i="5" s="1"/>
  <c r="BE51" i="5" s="1"/>
  <c r="CG245" i="5" a="1"/>
  <c r="CG245" i="5" s="1"/>
  <c r="BE245" i="5" s="1"/>
  <c r="CG126" i="5" a="1"/>
  <c r="CG126" i="5" s="1"/>
  <c r="BE126" i="5" s="1"/>
  <c r="CG292" i="5" a="1"/>
  <c r="CG292" i="5" s="1"/>
  <c r="BE292" i="5" s="1"/>
  <c r="CG86" i="5" a="1"/>
  <c r="CG86" i="5" s="1"/>
  <c r="BE86" i="5" s="1"/>
  <c r="CG256" i="5" a="1"/>
  <c r="CG256" i="5" s="1"/>
  <c r="BE256" i="5" s="1"/>
  <c r="CG404" i="5" a="1"/>
  <c r="CG404" i="5" s="1"/>
  <c r="BE404" i="5" s="1"/>
  <c r="CG257" i="5" a="1"/>
  <c r="CG257" i="5" s="1"/>
  <c r="BE257" i="5" s="1"/>
  <c r="CG67" i="5" a="1"/>
  <c r="CG67" i="5" s="1"/>
  <c r="BE67" i="5" s="1"/>
  <c r="CG277" i="5" a="1"/>
  <c r="CG277" i="5" s="1"/>
  <c r="BE277" i="5" s="1"/>
  <c r="CG295" i="5" a="1"/>
  <c r="CG295" i="5" s="1"/>
  <c r="BE295" i="5" s="1"/>
  <c r="CG405" i="5" a="1"/>
  <c r="CG405" i="5" s="1"/>
  <c r="BE405" i="5" s="1"/>
  <c r="CG377" i="5" a="1"/>
  <c r="CG377" i="5" s="1"/>
  <c r="BE377" i="5" s="1"/>
  <c r="BC4" i="5" a="1"/>
  <c r="BC4" i="5" s="1"/>
  <c r="BC277" i="5" a="1"/>
  <c r="BC277" i="5" s="1"/>
  <c r="BC326" i="5" a="1"/>
  <c r="BC326" i="5" s="1"/>
  <c r="BC156" i="5" a="1"/>
  <c r="BC156" i="5" s="1"/>
  <c r="BC331" i="5" a="1"/>
  <c r="BC331" i="5" s="1"/>
  <c r="BC296" i="5" a="1"/>
  <c r="BC296" i="5" s="1"/>
  <c r="BC253" i="5" a="1"/>
  <c r="BC253" i="5" s="1"/>
  <c r="BC202" i="5" a="1"/>
  <c r="BC202" i="5" s="1"/>
  <c r="BC314" i="5" a="1"/>
  <c r="BC314" i="5" s="1"/>
  <c r="BC211" i="5" a="1"/>
  <c r="BC211" i="5" s="1"/>
  <c r="BC57" i="5" a="1"/>
  <c r="BC57" i="5" s="1"/>
  <c r="BC32" i="5" a="1"/>
  <c r="BC32" i="5" s="1"/>
  <c r="BC112" i="5" a="1"/>
  <c r="BC112" i="5" s="1"/>
  <c r="BC251" i="5" a="1"/>
  <c r="BC251" i="5" s="1"/>
  <c r="BC302" i="5" a="1"/>
  <c r="BC302" i="5" s="1"/>
  <c r="BC443" i="5" a="1"/>
  <c r="BC443" i="5" s="1"/>
  <c r="BC94" i="5" a="1"/>
  <c r="BC94" i="5" s="1"/>
  <c r="BC403" i="5" a="1"/>
  <c r="BC403" i="5" s="1"/>
  <c r="BC273" i="5" a="1"/>
  <c r="BC273" i="5" s="1"/>
  <c r="BC92" i="5" a="1"/>
  <c r="BC92" i="5" s="1"/>
  <c r="BC232" i="5" a="1"/>
  <c r="BC232" i="5" s="1"/>
  <c r="BC256" i="5" a="1"/>
  <c r="BC256" i="5" s="1"/>
  <c r="BC75" i="5" a="1"/>
  <c r="BC75" i="5" s="1"/>
  <c r="BC144" i="5" a="1"/>
  <c r="BC144" i="5" s="1"/>
  <c r="BN271" i="5" a="1"/>
  <c r="BN271" i="5" s="1"/>
  <c r="BN71" i="5" a="1"/>
  <c r="BN71" i="5" s="1"/>
  <c r="BN120" i="5" a="1"/>
  <c r="BN120" i="5" s="1"/>
  <c r="BC192" i="5" a="1"/>
  <c r="BC192" i="5" s="1"/>
  <c r="BN105" i="5" a="1"/>
  <c r="BN105" i="5" s="1"/>
  <c r="BC431" i="5" a="1"/>
  <c r="BC431" i="5" s="1"/>
  <c r="BC31" i="5" a="1"/>
  <c r="BC31" i="5" s="1"/>
  <c r="BN431" i="5" a="1"/>
  <c r="BN431" i="5" s="1"/>
  <c r="BN112" i="5" a="1"/>
  <c r="BN112" i="5" s="1"/>
  <c r="BN366" i="5" a="1"/>
  <c r="BN366" i="5" s="1"/>
  <c r="BC234" i="5" a="1"/>
  <c r="BC234" i="5" s="1"/>
  <c r="BN206" i="5" a="1"/>
  <c r="BN206" i="5" s="1"/>
  <c r="BN438" i="5" a="1"/>
  <c r="BN438" i="5" s="1"/>
  <c r="BN333" i="5" a="1"/>
  <c r="BN333" i="5" s="1"/>
  <c r="BC163" i="5" a="1"/>
  <c r="BC163" i="5" s="1"/>
  <c r="BC107" i="5" a="1"/>
  <c r="BC107" i="5" s="1"/>
  <c r="BC257" i="5" a="1"/>
  <c r="BC257" i="5" s="1"/>
  <c r="BC121" i="5" a="1"/>
  <c r="BC121" i="5" s="1"/>
  <c r="BC363" i="5" a="1"/>
  <c r="BC363" i="5" s="1"/>
  <c r="BC306" i="5" a="1"/>
  <c r="BC306" i="5" s="1"/>
  <c r="CF88" i="5" a="1"/>
  <c r="CF88" i="5" s="1"/>
  <c r="CF169" i="5" a="1"/>
  <c r="CF169" i="5" s="1"/>
  <c r="CF250" i="5" a="1"/>
  <c r="CF250" i="5" s="1"/>
  <c r="CF338" i="5" a="1"/>
  <c r="CF338" i="5" s="1"/>
  <c r="CF419" i="5" a="1"/>
  <c r="CF419" i="5" s="1"/>
  <c r="CG58" i="5" a="1"/>
  <c r="CG58" i="5" s="1"/>
  <c r="BE58" i="5" s="1"/>
  <c r="CG146" i="5" a="1"/>
  <c r="CG146" i="5" s="1"/>
  <c r="BE146" i="5" s="1"/>
  <c r="CF32" i="5" a="1"/>
  <c r="CF32" i="5" s="1"/>
  <c r="CF157" i="5" a="1"/>
  <c r="CF157" i="5" s="1"/>
  <c r="CF282" i="5" a="1"/>
  <c r="CF282" i="5" s="1"/>
  <c r="CF407" i="5" a="1"/>
  <c r="CF407" i="5" s="1"/>
  <c r="CG90" i="5" a="1"/>
  <c r="CG90" i="5" s="1"/>
  <c r="BE90" i="5" s="1"/>
  <c r="CG215" i="5" a="1"/>
  <c r="CG215" i="5" s="1"/>
  <c r="BE215" i="5" s="1"/>
  <c r="CG322" i="5" a="1"/>
  <c r="CG322" i="5" s="1"/>
  <c r="BE322" i="5" s="1"/>
  <c r="CG422" i="5" a="1"/>
  <c r="CG422" i="5" s="1"/>
  <c r="BE422" i="5" s="1"/>
  <c r="CF64" i="5" a="1"/>
  <c r="CF64" i="5" s="1"/>
  <c r="CF145" i="5" a="1"/>
  <c r="CF145" i="5" s="1"/>
  <c r="CF233" i="5" a="1"/>
  <c r="CF233" i="5" s="1"/>
  <c r="CF314" i="5" a="1"/>
  <c r="CF314" i="5" s="1"/>
  <c r="CF395" i="5" a="1"/>
  <c r="CF395" i="5" s="1"/>
  <c r="CG41" i="5" a="1"/>
  <c r="CG41" i="5" s="1"/>
  <c r="BE41" i="5" s="1"/>
  <c r="CF71" i="5" a="1"/>
  <c r="CF71" i="5" s="1"/>
  <c r="CF196" i="5" a="1"/>
  <c r="CF196" i="5" s="1"/>
  <c r="CF321" i="5" a="1"/>
  <c r="CF321" i="5" s="1"/>
  <c r="CG4" i="5" a="1"/>
  <c r="CG4" i="5" s="1"/>
  <c r="BE4" i="5" s="1"/>
  <c r="CG129" i="5" a="1"/>
  <c r="CG129" i="5" s="1"/>
  <c r="BE129" i="5" s="1"/>
  <c r="CG251" i="5" a="1"/>
  <c r="CG251" i="5" s="1"/>
  <c r="BE251" i="5" s="1"/>
  <c r="CG351" i="5" a="1"/>
  <c r="CG351" i="5" s="1"/>
  <c r="BE351" i="5" s="1"/>
  <c r="CF2" i="5" a="1"/>
  <c r="CF2" i="5" s="1"/>
  <c r="CF84" i="5" a="1"/>
  <c r="CF84" i="5" s="1"/>
  <c r="CF165" i="5" a="1"/>
  <c r="CF165" i="5" s="1"/>
  <c r="CF253" i="5" a="1"/>
  <c r="CF253" i="5" s="1"/>
  <c r="CF334" i="5" a="1"/>
  <c r="CF334" i="5" s="1"/>
  <c r="CF415" i="5" a="1"/>
  <c r="CF415" i="5" s="1"/>
  <c r="CF3" i="5" a="1"/>
  <c r="CF3" i="5" s="1"/>
  <c r="CF122" i="5" a="1"/>
  <c r="CF122" i="5" s="1"/>
  <c r="CF247" i="5" a="1"/>
  <c r="CF247" i="5" s="1"/>
  <c r="CF372" i="5" a="1"/>
  <c r="CF372" i="5" s="1"/>
  <c r="CG55" i="5" a="1"/>
  <c r="CG55" i="5" s="1"/>
  <c r="BE55" i="5" s="1"/>
  <c r="CG180" i="5" a="1"/>
  <c r="CG180" i="5" s="1"/>
  <c r="BE180" i="5" s="1"/>
  <c r="CG291" i="5" a="1"/>
  <c r="CG291" i="5" s="1"/>
  <c r="BE291" i="5" s="1"/>
  <c r="CG391" i="5" a="1"/>
  <c r="CG391" i="5" s="1"/>
  <c r="BE391" i="5" s="1"/>
  <c r="CF48" i="5" a="1"/>
  <c r="CF48" i="5" s="1"/>
  <c r="CF129" i="5" a="1"/>
  <c r="CF129" i="5" s="1"/>
  <c r="CF210" i="5" a="1"/>
  <c r="CF210" i="5" s="1"/>
  <c r="CF298" i="5" a="1"/>
  <c r="CF298" i="5" s="1"/>
  <c r="CF379" i="5" a="1"/>
  <c r="CF379" i="5" s="1"/>
  <c r="CG18" i="5" a="1"/>
  <c r="CG18" i="5" s="1"/>
  <c r="BE18" i="5" s="1"/>
  <c r="CG106" i="5" a="1"/>
  <c r="CG106" i="5" s="1"/>
  <c r="BE106" i="5" s="1"/>
  <c r="CG187" i="5" a="1"/>
  <c r="CG187" i="5" s="1"/>
  <c r="BE187" i="5" s="1"/>
  <c r="CF67" i="5" a="1"/>
  <c r="CF67" i="5" s="1"/>
  <c r="CF192" i="5" a="1"/>
  <c r="CF192" i="5" s="1"/>
  <c r="CF317" i="5" a="1"/>
  <c r="CF317" i="5" s="1"/>
  <c r="CF442" i="5" a="1"/>
  <c r="CF442" i="5" s="1"/>
  <c r="CG125" i="5" a="1"/>
  <c r="CG125" i="5" s="1"/>
  <c r="BE125" i="5" s="1"/>
  <c r="CF93" i="5" a="1"/>
  <c r="CF93" i="5" s="1"/>
  <c r="CF174" i="5" a="1"/>
  <c r="CF174" i="5" s="1"/>
  <c r="CF255" i="5" a="1"/>
  <c r="CF255" i="5" s="1"/>
  <c r="CF343" i="5" a="1"/>
  <c r="CF343" i="5" s="1"/>
  <c r="CF424" i="5" a="1"/>
  <c r="CF424" i="5" s="1"/>
  <c r="CF56" i="5" a="1"/>
  <c r="CF56" i="5" s="1"/>
  <c r="CF181" i="5" a="1"/>
  <c r="CF181" i="5" s="1"/>
  <c r="CF306" i="5" a="1"/>
  <c r="CF306" i="5" s="1"/>
  <c r="CF431" i="5" a="1"/>
  <c r="CF431" i="5" s="1"/>
  <c r="CG114" i="5" a="1"/>
  <c r="CG114" i="5" s="1"/>
  <c r="BE114" i="5" s="1"/>
  <c r="CG232" i="5" a="1"/>
  <c r="CG232" i="5" s="1"/>
  <c r="BE232" i="5" s="1"/>
  <c r="CG332" i="5" a="1"/>
  <c r="CG332" i="5" s="1"/>
  <c r="BE332" i="5" s="1"/>
  <c r="CG432" i="5" a="1"/>
  <c r="CG432" i="5" s="1"/>
  <c r="BE432" i="5" s="1"/>
  <c r="CG297" i="5" a="1"/>
  <c r="CG297" i="5" s="1"/>
  <c r="BE297" i="5" s="1"/>
  <c r="CG32" i="5" a="1"/>
  <c r="CG32" i="5" s="1"/>
  <c r="BE32" i="5" s="1"/>
  <c r="CG242" i="5" a="1"/>
  <c r="CG242" i="5" s="1"/>
  <c r="BE242" i="5" s="1"/>
  <c r="CG418" i="5" a="1"/>
  <c r="CG418" i="5" s="1"/>
  <c r="BE418" i="5" s="1"/>
  <c r="CG298" i="5" a="1"/>
  <c r="CG298" i="5" s="1"/>
  <c r="BE298" i="5" s="1"/>
  <c r="CG101" i="5" a="1"/>
  <c r="CG101" i="5" s="1"/>
  <c r="BE101" i="5" s="1"/>
  <c r="CG309" i="5" a="1"/>
  <c r="CG309" i="5" s="1"/>
  <c r="BE309" i="5" s="1"/>
  <c r="CG82" i="5" a="1"/>
  <c r="CG82" i="5" s="1"/>
  <c r="BE82" i="5" s="1"/>
  <c r="CG254" i="5" a="1"/>
  <c r="CG254" i="5" s="1"/>
  <c r="BE254" i="5" s="1"/>
  <c r="CG142" i="5" a="1"/>
  <c r="CG142" i="5" s="1"/>
  <c r="BE142" i="5" s="1"/>
  <c r="CG320" i="5" a="1"/>
  <c r="CG320" i="5" s="1"/>
  <c r="BE320" i="5" s="1"/>
  <c r="CG107" i="5" a="1"/>
  <c r="CG107" i="5" s="1"/>
  <c r="BE107" i="5" s="1"/>
  <c r="CG265" i="5" a="1"/>
  <c r="CG265" i="5" s="1"/>
  <c r="BE265" i="5" s="1"/>
  <c r="CG414" i="5" a="1"/>
  <c r="CG414" i="5" s="1"/>
  <c r="BE414" i="5" s="1"/>
  <c r="CG266" i="5" a="1"/>
  <c r="CG266" i="5" s="1"/>
  <c r="BE266" i="5" s="1"/>
  <c r="CG92" i="5" a="1"/>
  <c r="CG92" i="5" s="1"/>
  <c r="BE92" i="5" s="1"/>
  <c r="CG296" i="5" a="1"/>
  <c r="CG296" i="5" s="1"/>
  <c r="BE296" i="5" s="1"/>
  <c r="CG387" i="5" a="1"/>
  <c r="CG387" i="5" s="1"/>
  <c r="BE387" i="5" s="1"/>
  <c r="CG314" i="5" a="1"/>
  <c r="CG314" i="5" s="1"/>
  <c r="BE314" i="5" s="1"/>
  <c r="CG276" i="5" a="1"/>
  <c r="CG276" i="5" s="1"/>
  <c r="BE276" i="5" s="1"/>
  <c r="BC132" i="5" a="1"/>
  <c r="BC132" i="5" s="1"/>
  <c r="BC327" i="5" a="1"/>
  <c r="BC327" i="5" s="1"/>
  <c r="BC106" i="5" a="1"/>
  <c r="BC106" i="5" s="1"/>
  <c r="BC291" i="5" a="1"/>
  <c r="BC291" i="5" s="1"/>
  <c r="BC377" i="5" a="1"/>
  <c r="BC377" i="5" s="1"/>
  <c r="BC393" i="5" a="1"/>
  <c r="BC393" i="5" s="1"/>
  <c r="BC173" i="5" a="1"/>
  <c r="BC173" i="5" s="1"/>
  <c r="BC303" i="5" a="1"/>
  <c r="BC303" i="5" s="1"/>
  <c r="BC115" i="5" a="1"/>
  <c r="BC115" i="5" s="1"/>
  <c r="BC97" i="5" a="1"/>
  <c r="BC97" i="5" s="1"/>
  <c r="BC321" i="5" a="1"/>
  <c r="BC321" i="5" s="1"/>
  <c r="BC301" i="5" a="1"/>
  <c r="BC301" i="5" s="1"/>
  <c r="BC54" i="5" a="1"/>
  <c r="BC54" i="5" s="1"/>
  <c r="BC134" i="5" a="1"/>
  <c r="BC134" i="5" s="1"/>
  <c r="BC354" i="5" a="1"/>
  <c r="BC354" i="5" s="1"/>
  <c r="BC50" i="5" a="1"/>
  <c r="BC50" i="5" s="1"/>
  <c r="BC295" i="5" a="1"/>
  <c r="BC295" i="5" s="1"/>
  <c r="BC9" i="5" a="1"/>
  <c r="BC9" i="5" s="1"/>
  <c r="BC254" i="5" a="1"/>
  <c r="BC254" i="5" s="1"/>
  <c r="BC362" i="5" a="1"/>
  <c r="BC362" i="5" s="1"/>
  <c r="BC242" i="5" a="1"/>
  <c r="BC242" i="5" s="1"/>
  <c r="BN155" i="5" a="1"/>
  <c r="BN155" i="5" s="1"/>
  <c r="BC171" i="5" a="1"/>
  <c r="BC171" i="5" s="1"/>
  <c r="BN154" i="5" a="1"/>
  <c r="BN154" i="5" s="1"/>
  <c r="BC46" i="5" a="1"/>
  <c r="BC46" i="5" s="1"/>
  <c r="BC193" i="5" a="1"/>
  <c r="BC193" i="5" s="1"/>
  <c r="BC345" i="5" a="1"/>
  <c r="BC345" i="5" s="1"/>
  <c r="BC161" i="5" a="1"/>
  <c r="BC161" i="5" s="1"/>
  <c r="BN267" i="5" a="1"/>
  <c r="BN267" i="5" s="1"/>
  <c r="BC396" i="5" a="1"/>
  <c r="BC396" i="5" s="1"/>
  <c r="BC390" i="5" a="1"/>
  <c r="BC390" i="5" s="1"/>
  <c r="BN402" i="5" a="1"/>
  <c r="BN402" i="5" s="1"/>
  <c r="BN174" i="5" a="1"/>
  <c r="BN174" i="5" s="1"/>
  <c r="BC120" i="5" a="1"/>
  <c r="BC120" i="5" s="1"/>
  <c r="BN237" i="5" a="1"/>
  <c r="BN237" i="5" s="1"/>
  <c r="BC374" i="5" a="1"/>
  <c r="BC374" i="5" s="1"/>
  <c r="BC423" i="5" a="1"/>
  <c r="BC423" i="5" s="1"/>
  <c r="BC383" i="5" a="1"/>
  <c r="BC383" i="5" s="1"/>
  <c r="BC434" i="5" a="1"/>
  <c r="BC434" i="5" s="1"/>
  <c r="BC24" i="5" a="1"/>
  <c r="BC24" i="5" s="1"/>
  <c r="CF94" i="5" a="1"/>
  <c r="CF94" i="5" s="1"/>
  <c r="CF175" i="5" a="1"/>
  <c r="CF175" i="5" s="1"/>
  <c r="CF263" i="5" a="1"/>
  <c r="CF263" i="5" s="1"/>
  <c r="CF344" i="5" a="1"/>
  <c r="CF344" i="5" s="1"/>
  <c r="CF425" i="5" a="1"/>
  <c r="CF425" i="5" s="1"/>
  <c r="CG71" i="5" a="1"/>
  <c r="CG71" i="5" s="1"/>
  <c r="BE71" i="5" s="1"/>
  <c r="CG152" i="5" a="1"/>
  <c r="CG152" i="5" s="1"/>
  <c r="BE152" i="5" s="1"/>
  <c r="CF51" i="5" a="1"/>
  <c r="CF51" i="5" s="1"/>
  <c r="CF176" i="5" a="1"/>
  <c r="CF176" i="5" s="1"/>
  <c r="CF301" i="5" a="1"/>
  <c r="CF301" i="5" s="1"/>
  <c r="CF426" i="5" a="1"/>
  <c r="CF426" i="5" s="1"/>
  <c r="CG109" i="5" a="1"/>
  <c r="CG109" i="5" s="1"/>
  <c r="BE109" i="5" s="1"/>
  <c r="CG233" i="5" a="1"/>
  <c r="CG233" i="5" s="1"/>
  <c r="BE233" i="5" s="1"/>
  <c r="CG333" i="5" a="1"/>
  <c r="CG333" i="5" s="1"/>
  <c r="BE333" i="5" s="1"/>
  <c r="CG433" i="5" a="1"/>
  <c r="CG433" i="5" s="1"/>
  <c r="BE433" i="5" s="1"/>
  <c r="CF70" i="5" a="1"/>
  <c r="CF70" i="5" s="1"/>
  <c r="CF158" i="5" a="1"/>
  <c r="CF158" i="5" s="1"/>
  <c r="CF239" i="5" a="1"/>
  <c r="CF239" i="5" s="1"/>
  <c r="CF320" i="5" a="1"/>
  <c r="CF320" i="5" s="1"/>
  <c r="CF408" i="5" a="1"/>
  <c r="CF408" i="5" s="1"/>
  <c r="CG47" i="5" a="1"/>
  <c r="CG47" i="5" s="1"/>
  <c r="BE47" i="5" s="1"/>
  <c r="CF77" i="5" a="1"/>
  <c r="CF77" i="5" s="1"/>
  <c r="CF202" i="5" a="1"/>
  <c r="CF202" i="5" s="1"/>
  <c r="CF327" i="5" a="1"/>
  <c r="CF327" i="5" s="1"/>
  <c r="CG10" i="5" a="1"/>
  <c r="CG10" i="5" s="1"/>
  <c r="BE10" i="5" s="1"/>
  <c r="CG135" i="5" a="1"/>
  <c r="CG135" i="5" s="1"/>
  <c r="BE135" i="5" s="1"/>
  <c r="CG262" i="5" a="1"/>
  <c r="CG262" i="5" s="1"/>
  <c r="BE262" i="5" s="1"/>
  <c r="CG362" i="5" a="1"/>
  <c r="CG362" i="5" s="1"/>
  <c r="BE362" i="5" s="1"/>
  <c r="CF9" i="5" a="1"/>
  <c r="CF9" i="5" s="1"/>
  <c r="CF90" i="5" a="1"/>
  <c r="CF90" i="5" s="1"/>
  <c r="CF178" i="5" a="1"/>
  <c r="CF178" i="5" s="1"/>
  <c r="CF259" i="5" a="1"/>
  <c r="CF259" i="5" s="1"/>
  <c r="CF340" i="5" a="1"/>
  <c r="CF340" i="5" s="1"/>
  <c r="CF428" i="5" a="1"/>
  <c r="CF428" i="5" s="1"/>
  <c r="CF16" i="5" a="1"/>
  <c r="CF16" i="5" s="1"/>
  <c r="CF141" i="5" a="1"/>
  <c r="CF141" i="5" s="1"/>
  <c r="CF266" i="5" a="1"/>
  <c r="CF266" i="5" s="1"/>
  <c r="CF391" i="5" a="1"/>
  <c r="CF391" i="5" s="1"/>
  <c r="CG74" i="5" a="1"/>
  <c r="CG74" i="5" s="1"/>
  <c r="BE74" i="5" s="1"/>
  <c r="CG199" i="5" a="1"/>
  <c r="CG199" i="5" s="1"/>
  <c r="BE199" i="5" s="1"/>
  <c r="CG302" i="5" a="1"/>
  <c r="CG302" i="5" s="1"/>
  <c r="BE302" i="5" s="1"/>
  <c r="CG402" i="5" a="1"/>
  <c r="CG402" i="5" s="1"/>
  <c r="BE402" i="5" s="1"/>
  <c r="CF54" i="5" a="1"/>
  <c r="CF54" i="5" s="1"/>
  <c r="CF135" i="5" a="1"/>
  <c r="CF135" i="5" s="1"/>
  <c r="CF223" i="5" a="1"/>
  <c r="CF223" i="5" s="1"/>
  <c r="CF304" i="5" a="1"/>
  <c r="CF304" i="5" s="1"/>
  <c r="CF385" i="5" a="1"/>
  <c r="CF385" i="5" s="1"/>
  <c r="CG31" i="5" a="1"/>
  <c r="CG31" i="5" s="1"/>
  <c r="BE31" i="5" s="1"/>
  <c r="CG112" i="5" a="1"/>
  <c r="CG112" i="5" s="1"/>
  <c r="BE112" i="5" s="1"/>
  <c r="CG193" i="5" a="1"/>
  <c r="CG193" i="5" s="1"/>
  <c r="BE193" i="5" s="1"/>
  <c r="CF86" i="5" a="1"/>
  <c r="CF86" i="5" s="1"/>
  <c r="CF211" i="5" a="1"/>
  <c r="CF211" i="5" s="1"/>
  <c r="CF336" i="5" a="1"/>
  <c r="CF336" i="5" s="1"/>
  <c r="CG19" i="5" a="1"/>
  <c r="CG19" i="5" s="1"/>
  <c r="BE19" i="5" s="1"/>
  <c r="CF18" i="5" a="1"/>
  <c r="CF18" i="5" s="1"/>
  <c r="CF99" i="5" a="1"/>
  <c r="CF99" i="5" s="1"/>
  <c r="CF180" i="5" a="1"/>
  <c r="CF180" i="5" s="1"/>
  <c r="CF268" i="5" a="1"/>
  <c r="CF268" i="5" s="1"/>
  <c r="CF349" i="5" a="1"/>
  <c r="CF349" i="5" s="1"/>
  <c r="CF430" i="5" a="1"/>
  <c r="CF430" i="5" s="1"/>
  <c r="CF62" i="5" a="1"/>
  <c r="CF62" i="5" s="1"/>
  <c r="CF187" i="5" a="1"/>
  <c r="CF187" i="5" s="1"/>
  <c r="CF312" i="5" a="1"/>
  <c r="CF312" i="5" s="1"/>
  <c r="CF437" i="5" a="1"/>
  <c r="CF437" i="5" s="1"/>
  <c r="CG120" i="5" a="1"/>
  <c r="CG120" i="5" s="1"/>
  <c r="BE120" i="5" s="1"/>
  <c r="CG243" i="5" a="1"/>
  <c r="CG243" i="5" s="1"/>
  <c r="BE243" i="5" s="1"/>
  <c r="CG343" i="5" a="1"/>
  <c r="CG343" i="5" s="1"/>
  <c r="BE343" i="5" s="1"/>
  <c r="CG443" i="5" a="1"/>
  <c r="CG443" i="5" s="1"/>
  <c r="BE443" i="5" s="1"/>
  <c r="CG306" i="5" a="1"/>
  <c r="CG306" i="5" s="1"/>
  <c r="BE306" i="5" s="1"/>
  <c r="CG73" i="5" a="1"/>
  <c r="CG73" i="5" s="1"/>
  <c r="BE73" i="5" s="1"/>
  <c r="CG270" i="5" a="1"/>
  <c r="CG270" i="5" s="1"/>
  <c r="BE270" i="5" s="1"/>
  <c r="CG427" i="5" a="1"/>
  <c r="CG427" i="5" s="1"/>
  <c r="BE427" i="5" s="1"/>
  <c r="CG308" i="5" a="1"/>
  <c r="CG308" i="5" s="1"/>
  <c r="BE308" i="5" s="1"/>
  <c r="CG122" i="5" a="1"/>
  <c r="CG122" i="5" s="1"/>
  <c r="BE122" i="5" s="1"/>
  <c r="CG318" i="5" a="1"/>
  <c r="CG318" i="5" s="1"/>
  <c r="BE318" i="5" s="1"/>
  <c r="CG103" i="5" a="1"/>
  <c r="CG103" i="5" s="1"/>
  <c r="BE103" i="5" s="1"/>
  <c r="CG264" i="5" a="1"/>
  <c r="CG264" i="5" s="1"/>
  <c r="BE264" i="5" s="1"/>
  <c r="CG157" i="5" a="1"/>
  <c r="CG157" i="5" s="1"/>
  <c r="BE157" i="5" s="1"/>
  <c r="CG338" i="5" a="1"/>
  <c r="CG338" i="5" s="1"/>
  <c r="BE338" i="5" s="1"/>
  <c r="CG128" i="5" a="1"/>
  <c r="CG128" i="5" s="1"/>
  <c r="BE128" i="5" s="1"/>
  <c r="CG275" i="5" a="1"/>
  <c r="CG275" i="5" s="1"/>
  <c r="BE275" i="5" s="1"/>
  <c r="CG61" i="5" a="1"/>
  <c r="CG61" i="5" s="1"/>
  <c r="BE61" i="5" s="1"/>
  <c r="CG285" i="5" a="1"/>
  <c r="CG285" i="5" s="1"/>
  <c r="BE285" i="5" s="1"/>
  <c r="CG113" i="5" a="1"/>
  <c r="CG113" i="5" s="1"/>
  <c r="BE113" i="5" s="1"/>
  <c r="CG305" i="5" a="1"/>
  <c r="CG305" i="5" s="1"/>
  <c r="BE305" i="5" s="1"/>
  <c r="CG208" i="5" a="1"/>
  <c r="CG208" i="5" s="1"/>
  <c r="BE208" i="5" s="1"/>
  <c r="CG406" i="5" a="1"/>
  <c r="CG406" i="5" s="1"/>
  <c r="BE406" i="5" s="1"/>
  <c r="CG378" i="5" a="1"/>
  <c r="CG378" i="5" s="1"/>
  <c r="BE378" i="5" s="1"/>
  <c r="BC231" i="5" a="1"/>
  <c r="BC231" i="5" s="1"/>
  <c r="BC25" i="5" a="1"/>
  <c r="BC25" i="5" s="1"/>
  <c r="BC26" i="5" a="1"/>
  <c r="BC26" i="5" s="1"/>
  <c r="BC93" i="5" a="1"/>
  <c r="BC93" i="5" s="1"/>
  <c r="BC353" i="5" a="1"/>
  <c r="BC353" i="5" s="1"/>
  <c r="BC334" i="5" a="1"/>
  <c r="BC334" i="5" s="1"/>
  <c r="BC370" i="5" a="1"/>
  <c r="BC370" i="5" s="1"/>
  <c r="BC440" i="5" a="1"/>
  <c r="BC440" i="5" s="1"/>
  <c r="BC427" i="5" a="1"/>
  <c r="BC427" i="5" s="1"/>
  <c r="BC45" i="5" a="1"/>
  <c r="BC45" i="5" s="1"/>
  <c r="BC140" i="5" a="1"/>
  <c r="BC140" i="5" s="1"/>
  <c r="BC240" i="5" a="1"/>
  <c r="BC240" i="5" s="1"/>
  <c r="BC15" i="5" a="1"/>
  <c r="BC15" i="5" s="1"/>
  <c r="BC224" i="5" a="1"/>
  <c r="BC224" i="5" s="1"/>
  <c r="BC141" i="5" a="1"/>
  <c r="BC141" i="5" s="1"/>
  <c r="BC287" i="5" a="1"/>
  <c r="BC287" i="5" s="1"/>
  <c r="BC113" i="5" a="1"/>
  <c r="BC113" i="5" s="1"/>
  <c r="BC292" i="5" a="1"/>
  <c r="BC292" i="5" s="1"/>
  <c r="BC212" i="5" a="1"/>
  <c r="BC212" i="5" s="1"/>
  <c r="BC344" i="5" a="1"/>
  <c r="BC344" i="5" s="1"/>
  <c r="BC343" i="5" a="1"/>
  <c r="BC343" i="5" s="1"/>
  <c r="BC412" i="5" a="1"/>
  <c r="BC412" i="5" s="1"/>
  <c r="BN323" i="5" a="1"/>
  <c r="BN323" i="5" s="1"/>
  <c r="BC261" i="5" a="1"/>
  <c r="BC261" i="5" s="1"/>
  <c r="BC7" i="5" a="1"/>
  <c r="BC7" i="5" s="1"/>
  <c r="BN296" i="5" a="1"/>
  <c r="BN296" i="5" s="1"/>
  <c r="BC22" i="5" a="1"/>
  <c r="BC22" i="5" s="1"/>
  <c r="BC424" i="5" a="1"/>
  <c r="BC424" i="5" s="1"/>
  <c r="BN213" i="5" a="1"/>
  <c r="BN213" i="5" s="1"/>
  <c r="BC275" i="5" a="1"/>
  <c r="BC275" i="5" s="1"/>
  <c r="BN104" i="5" a="1"/>
  <c r="BN104" i="5" s="1"/>
  <c r="BN32" i="5" a="1"/>
  <c r="BN32" i="5" s="1"/>
  <c r="BN118" i="5" a="1"/>
  <c r="BN118" i="5" s="1"/>
  <c r="BN397" i="5" a="1"/>
  <c r="BN397" i="5" s="1"/>
  <c r="BN119" i="5" a="1"/>
  <c r="BN119" i="5" s="1"/>
  <c r="BN108" i="5" a="1"/>
  <c r="BN108" i="5" s="1"/>
  <c r="BC52" i="5" a="1"/>
  <c r="BC52" i="5" s="1"/>
  <c r="BN349" i="5" a="1"/>
  <c r="BN349" i="5" s="1"/>
  <c r="BN179" i="5" a="1"/>
  <c r="BN179" i="5" s="1"/>
  <c r="BN262" i="5" a="1"/>
  <c r="BN262" i="5" s="1"/>
  <c r="BC322" i="5" a="1"/>
  <c r="BC322" i="5" s="1"/>
  <c r="BN220" i="5" a="1"/>
  <c r="BN220" i="5" s="1"/>
  <c r="BC375" i="5" a="1"/>
  <c r="BC375" i="5" s="1"/>
  <c r="BN134" i="5" a="1"/>
  <c r="BN134" i="5" s="1"/>
  <c r="BC36" i="5" a="1"/>
  <c r="BC36" i="5" s="1"/>
  <c r="BN364" i="5" a="1"/>
  <c r="BN364" i="5" s="1"/>
  <c r="BC74" i="5" a="1"/>
  <c r="BC74" i="5" s="1"/>
  <c r="BN401" i="5" a="1"/>
  <c r="BN401" i="5" s="1"/>
  <c r="BC335" i="5" a="1"/>
  <c r="BC335" i="5" s="1"/>
  <c r="BN328" i="5" a="1"/>
  <c r="BN328" i="5" s="1"/>
  <c r="BC213" i="5" a="1"/>
  <c r="BC213" i="5" s="1"/>
  <c r="BC67" i="5" a="1"/>
  <c r="BC67" i="5" s="1"/>
  <c r="BC76" i="5" a="1"/>
  <c r="BC76" i="5" s="1"/>
  <c r="CF19" i="5" a="1"/>
  <c r="CF19" i="5" s="1"/>
  <c r="CF100" i="5" a="1"/>
  <c r="CF100" i="5" s="1"/>
  <c r="CF188" i="5" a="1"/>
  <c r="CF188" i="5" s="1"/>
  <c r="CF269" i="5" a="1"/>
  <c r="CF269" i="5" s="1"/>
  <c r="CF350" i="5" a="1"/>
  <c r="CF350" i="5" s="1"/>
  <c r="CF438" i="5" a="1"/>
  <c r="CF438" i="5" s="1"/>
  <c r="CG77" i="5" a="1"/>
  <c r="CG77" i="5" s="1"/>
  <c r="BE77" i="5" s="1"/>
  <c r="CG158" i="5" a="1"/>
  <c r="CG158" i="5" s="1"/>
  <c r="BE158" i="5" s="1"/>
  <c r="CF57" i="5" a="1"/>
  <c r="CF57" i="5" s="1"/>
  <c r="CF182" i="5" a="1"/>
  <c r="CF182" i="5" s="1"/>
  <c r="CF307" i="5" a="1"/>
  <c r="CF307" i="5" s="1"/>
  <c r="CF432" i="5" a="1"/>
  <c r="CF432" i="5" s="1"/>
  <c r="CG115" i="5" a="1"/>
  <c r="CG115" i="5" s="1"/>
  <c r="BE115" i="5" s="1"/>
  <c r="CG239" i="5" a="1"/>
  <c r="CG239" i="5" s="1"/>
  <c r="BE239" i="5" s="1"/>
  <c r="CG339" i="5" a="1"/>
  <c r="CG339" i="5" s="1"/>
  <c r="BE339" i="5" s="1"/>
  <c r="CG439" i="5" a="1"/>
  <c r="CG439" i="5" s="1"/>
  <c r="BE439" i="5" s="1"/>
  <c r="CF83" i="5" a="1"/>
  <c r="CF83" i="5" s="1"/>
  <c r="CF164" i="5" a="1"/>
  <c r="CF164" i="5" s="1"/>
  <c r="CF245" i="5" a="1"/>
  <c r="CF245" i="5" s="1"/>
  <c r="CF333" i="5" a="1"/>
  <c r="CF333" i="5" s="1"/>
  <c r="CF414" i="5" a="1"/>
  <c r="CF414" i="5" s="1"/>
  <c r="CG53" i="5" a="1"/>
  <c r="CG53" i="5" s="1"/>
  <c r="BE53" i="5" s="1"/>
  <c r="CF96" i="5" a="1"/>
  <c r="CF96" i="5" s="1"/>
  <c r="CF221" i="5" a="1"/>
  <c r="CF221" i="5" s="1"/>
  <c r="CF346" i="5" a="1"/>
  <c r="CF346" i="5" s="1"/>
  <c r="CG29" i="5" a="1"/>
  <c r="CG29" i="5" s="1"/>
  <c r="BE29" i="5" s="1"/>
  <c r="CG154" i="5" a="1"/>
  <c r="CG154" i="5" s="1"/>
  <c r="BE154" i="5" s="1"/>
  <c r="CG273" i="5" a="1"/>
  <c r="CG273" i="5" s="1"/>
  <c r="BE273" i="5" s="1"/>
  <c r="CG373" i="5" a="1"/>
  <c r="CG373" i="5" s="1"/>
  <c r="BE373" i="5" s="1"/>
  <c r="CF15" i="5" a="1"/>
  <c r="CF15" i="5" s="1"/>
  <c r="CF103" i="5" a="1"/>
  <c r="CF103" i="5" s="1"/>
  <c r="CF184" i="5" a="1"/>
  <c r="CF184" i="5" s="1"/>
  <c r="CF265" i="5" a="1"/>
  <c r="CF265" i="5" s="1"/>
  <c r="CF353" i="5" a="1"/>
  <c r="CF353" i="5" s="1"/>
  <c r="CF434" i="5" a="1"/>
  <c r="CF434" i="5" s="1"/>
  <c r="CF22" i="5" a="1"/>
  <c r="CF22" i="5" s="1"/>
  <c r="CF147" i="5" a="1"/>
  <c r="CF147" i="5" s="1"/>
  <c r="CF272" i="5" a="1"/>
  <c r="CF272" i="5" s="1"/>
  <c r="CF397" i="5" a="1"/>
  <c r="CF397" i="5" s="1"/>
  <c r="CG80" i="5" a="1"/>
  <c r="CG80" i="5" s="1"/>
  <c r="BE80" i="5" s="1"/>
  <c r="CG205" i="5" a="1"/>
  <c r="CG205" i="5" s="1"/>
  <c r="BE205" i="5" s="1"/>
  <c r="CG313" i="5" a="1"/>
  <c r="CG313" i="5" s="1"/>
  <c r="BE313" i="5" s="1"/>
  <c r="CG413" i="5" a="1"/>
  <c r="CG413" i="5" s="1"/>
  <c r="BE413" i="5" s="1"/>
  <c r="CF60" i="5" a="1"/>
  <c r="CF60" i="5" s="1"/>
  <c r="CF148" i="5" a="1"/>
  <c r="CF148" i="5" s="1"/>
  <c r="CF229" i="5" a="1"/>
  <c r="CF229" i="5" s="1"/>
  <c r="CF310" i="5" a="1"/>
  <c r="CF310" i="5" s="1"/>
  <c r="CF398" i="5" a="1"/>
  <c r="CF398" i="5" s="1"/>
  <c r="CG37" i="5" a="1"/>
  <c r="CG37" i="5" s="1"/>
  <c r="BE37" i="5" s="1"/>
  <c r="CG118" i="5" a="1"/>
  <c r="CG118" i="5" s="1"/>
  <c r="BE118" i="5" s="1"/>
  <c r="CG206" i="5" a="1"/>
  <c r="CG206" i="5" s="1"/>
  <c r="BE206" i="5" s="1"/>
  <c r="CF92" i="5" a="1"/>
  <c r="CF92" i="5" s="1"/>
  <c r="CF217" i="5" a="1"/>
  <c r="CF217" i="5" s="1"/>
  <c r="CF342" i="5" a="1"/>
  <c r="CF342" i="5" s="1"/>
  <c r="CG25" i="5" a="1"/>
  <c r="CG25" i="5" s="1"/>
  <c r="BE25" i="5" s="1"/>
  <c r="CF24" i="5" a="1"/>
  <c r="CF24" i="5" s="1"/>
  <c r="CF105" i="5" a="1"/>
  <c r="CF105" i="5" s="1"/>
  <c r="CF193" i="5" a="1"/>
  <c r="CF193" i="5" s="1"/>
  <c r="CF274" i="5" a="1"/>
  <c r="CF274" i="5" s="1"/>
  <c r="CF355" i="5" a="1"/>
  <c r="CF355" i="5" s="1"/>
  <c r="CF443" i="5" a="1"/>
  <c r="CF443" i="5" s="1"/>
  <c r="CF81" i="5" a="1"/>
  <c r="CF81" i="5" s="1"/>
  <c r="CF206" i="5" a="1"/>
  <c r="CF206" i="5" s="1"/>
  <c r="CF331" i="5" a="1"/>
  <c r="CF331" i="5" s="1"/>
  <c r="CG14" i="5" a="1"/>
  <c r="CG14" i="5" s="1"/>
  <c r="BE14" i="5" s="1"/>
  <c r="CG139" i="5" a="1"/>
  <c r="CG139" i="5" s="1"/>
  <c r="BE139" i="5" s="1"/>
  <c r="CG249" i="5" a="1"/>
  <c r="CG249" i="5" s="1"/>
  <c r="BE249" i="5" s="1"/>
  <c r="CG349" i="5" a="1"/>
  <c r="CG349" i="5" s="1"/>
  <c r="BE349" i="5" s="1"/>
  <c r="CG116" i="5" a="1"/>
  <c r="CG116" i="5" s="1"/>
  <c r="BE116" i="5" s="1"/>
  <c r="CG315" i="5" a="1"/>
  <c r="CG315" i="5" s="1"/>
  <c r="BE315" i="5" s="1"/>
  <c r="CG97" i="5" a="1"/>
  <c r="CG97" i="5" s="1"/>
  <c r="BE97" i="5" s="1"/>
  <c r="CG288" i="5" a="1"/>
  <c r="CG288" i="5" s="1"/>
  <c r="BE288" i="5" s="1"/>
  <c r="CG38" i="5" a="1"/>
  <c r="CG38" i="5" s="1"/>
  <c r="BE38" i="5" s="1"/>
  <c r="CG317" i="5" a="1"/>
  <c r="CG317" i="5" s="1"/>
  <c r="BE317" i="5" s="1"/>
  <c r="CG138" i="5" a="1"/>
  <c r="CG138" i="5" s="1"/>
  <c r="BE138" i="5" s="1"/>
  <c r="CG327" i="5" a="1"/>
  <c r="CG327" i="5" s="1"/>
  <c r="BE327" i="5" s="1"/>
  <c r="CG123" i="5" a="1"/>
  <c r="CG123" i="5" s="1"/>
  <c r="BE123" i="5" s="1"/>
  <c r="CG328" i="5" a="1"/>
  <c r="CG328" i="5" s="1"/>
  <c r="BE328" i="5" s="1"/>
  <c r="CG173" i="5" a="1"/>
  <c r="CG173" i="5" s="1"/>
  <c r="BE173" i="5" s="1"/>
  <c r="CG357" i="5" a="1"/>
  <c r="CG357" i="5" s="1"/>
  <c r="BE357" i="5" s="1"/>
  <c r="CG144" i="5" a="1"/>
  <c r="CG144" i="5" s="1"/>
  <c r="BE144" i="5" s="1"/>
  <c r="CG284" i="5" a="1"/>
  <c r="CG284" i="5" s="1"/>
  <c r="BE284" i="5" s="1"/>
  <c r="CG88" i="5" a="1"/>
  <c r="CG88" i="5" s="1"/>
  <c r="BE88" i="5" s="1"/>
  <c r="CG294" i="5" a="1"/>
  <c r="CG294" i="5" s="1"/>
  <c r="BE294" i="5" s="1"/>
  <c r="CG132" i="5" a="1"/>
  <c r="CG132" i="5" s="1"/>
  <c r="BE132" i="5" s="1"/>
  <c r="CG324" i="5" a="1"/>
  <c r="CG324" i="5" s="1"/>
  <c r="BE324" i="5" s="1"/>
  <c r="CG303" i="5" a="1"/>
  <c r="CG303" i="5" s="1"/>
  <c r="BE303" i="5" s="1"/>
  <c r="CG442" i="5" a="1"/>
  <c r="CG442" i="5" s="1"/>
  <c r="BE442" i="5" s="1"/>
  <c r="CG424" i="5" a="1"/>
  <c r="CG424" i="5" s="1"/>
  <c r="BE424" i="5" s="1"/>
  <c r="BC37" i="5" a="1"/>
  <c r="BC37" i="5" s="1"/>
  <c r="BC442" i="5" a="1"/>
  <c r="BC442" i="5" s="1"/>
  <c r="BC13" i="5" a="1"/>
  <c r="BC13" i="5" s="1"/>
  <c r="BC270" i="5" a="1"/>
  <c r="BC270" i="5" s="1"/>
  <c r="BC20" i="5" a="1"/>
  <c r="BC20" i="5" s="1"/>
  <c r="BC183" i="5" a="1"/>
  <c r="BC183" i="5" s="1"/>
  <c r="BC182" i="5" a="1"/>
  <c r="BC182" i="5" s="1"/>
  <c r="BC385" i="5" a="1"/>
  <c r="BC385" i="5" s="1"/>
  <c r="BC367" i="5" a="1"/>
  <c r="BC367" i="5" s="1"/>
  <c r="BC371" i="5" a="1"/>
  <c r="BC371" i="5" s="1"/>
  <c r="BC342" i="5" a="1"/>
  <c r="BC342" i="5" s="1"/>
  <c r="BN255" i="5" a="1"/>
  <c r="BN255" i="5" s="1"/>
  <c r="BN157" i="5" a="1"/>
  <c r="BN157" i="5" s="1"/>
  <c r="BN18" i="5" a="1"/>
  <c r="BN18" i="5" s="1"/>
  <c r="BN98" i="5" a="1"/>
  <c r="BN98" i="5" s="1"/>
  <c r="BN270" i="5" a="1"/>
  <c r="BN270" i="5" s="1"/>
  <c r="BN284" i="5" a="1"/>
  <c r="BN284" i="5" s="1"/>
  <c r="BN322" i="5" a="1"/>
  <c r="BN322" i="5" s="1"/>
  <c r="BN390" i="5" a="1"/>
  <c r="BN390" i="5" s="1"/>
  <c r="BC365" i="5" a="1"/>
  <c r="BC365" i="5" s="1"/>
  <c r="BC2" i="5" a="1"/>
  <c r="BC2" i="5" s="1"/>
  <c r="BN392" i="5" a="1"/>
  <c r="BN392" i="5" s="1"/>
  <c r="BN435" i="5" a="1"/>
  <c r="BN435" i="5" s="1"/>
  <c r="BC122" i="5" a="1"/>
  <c r="BC122" i="5" s="1"/>
  <c r="BN165" i="5" a="1"/>
  <c r="BN165" i="5" s="1"/>
  <c r="BN170" i="5" a="1"/>
  <c r="BN170" i="5" s="1"/>
  <c r="BC361" i="5" a="1"/>
  <c r="BC361" i="5" s="1"/>
  <c r="BN31" i="5" a="1"/>
  <c r="BN31" i="5" s="1"/>
  <c r="BN240" i="5" a="1"/>
  <c r="BN240" i="5" s="1"/>
  <c r="BN70" i="5" a="1"/>
  <c r="BN70" i="5" s="1"/>
  <c r="BN90" i="5" a="1"/>
  <c r="BN90" i="5" s="1"/>
  <c r="BN309" i="5" a="1"/>
  <c r="BN309" i="5" s="1"/>
  <c r="BC274" i="5" a="1"/>
  <c r="BC274" i="5" s="1"/>
  <c r="BN362" i="5" a="1"/>
  <c r="BN362" i="5" s="1"/>
  <c r="BC381" i="5" a="1"/>
  <c r="BC381" i="5" s="1"/>
  <c r="BC346" i="5" a="1"/>
  <c r="BC346" i="5" s="1"/>
  <c r="BC201" i="5" a="1"/>
  <c r="BC201" i="5" s="1"/>
  <c r="BC77" i="5" a="1"/>
  <c r="BC77" i="5" s="1"/>
  <c r="BC133" i="5" a="1"/>
  <c r="BC133" i="5" s="1"/>
  <c r="BC215" i="5" a="1"/>
  <c r="BC215" i="5" s="1"/>
  <c r="CF25" i="5" a="1"/>
  <c r="CF25" i="5" s="1"/>
  <c r="CF113" i="5" a="1"/>
  <c r="CF113" i="5" s="1"/>
  <c r="CF194" i="5" a="1"/>
  <c r="CF194" i="5" s="1"/>
  <c r="CF275" i="5" a="1"/>
  <c r="CF275" i="5" s="1"/>
  <c r="CF363" i="5" a="1"/>
  <c r="CF363" i="5" s="1"/>
  <c r="CG2" i="5" a="1"/>
  <c r="CG2" i="5" s="1"/>
  <c r="BE2" i="5" s="1"/>
  <c r="CG83" i="5" a="1"/>
  <c r="CG83" i="5" s="1"/>
  <c r="BE83" i="5" s="1"/>
  <c r="CG171" i="5" a="1"/>
  <c r="CG171" i="5" s="1"/>
  <c r="BE171" i="5" s="1"/>
  <c r="CF76" i="5" a="1"/>
  <c r="CF76" i="5" s="1"/>
  <c r="CF201" i="5" a="1"/>
  <c r="CF201" i="5" s="1"/>
  <c r="CF326" i="5" a="1"/>
  <c r="CF326" i="5" s="1"/>
  <c r="CG9" i="5" a="1"/>
  <c r="CG9" i="5" s="1"/>
  <c r="BE9" i="5" s="1"/>
  <c r="CG134" i="5" a="1"/>
  <c r="CG134" i="5" s="1"/>
  <c r="BE134" i="5" s="1"/>
  <c r="CG250" i="5" a="1"/>
  <c r="CG250" i="5" s="1"/>
  <c r="BE250" i="5" s="1"/>
  <c r="CG350" i="5" a="1"/>
  <c r="CG350" i="5" s="1"/>
  <c r="BE350" i="5" s="1"/>
  <c r="CF8" i="5" a="1"/>
  <c r="CF8" i="5" s="1"/>
  <c r="CF89" i="5" a="1"/>
  <c r="CF89" i="5" s="1"/>
  <c r="CF170" i="5" a="1"/>
  <c r="CF170" i="5" s="1"/>
  <c r="CF258" i="5" a="1"/>
  <c r="CF258" i="5" s="1"/>
  <c r="CF339" i="5" a="1"/>
  <c r="CF339" i="5" s="1"/>
  <c r="CF420" i="5" a="1"/>
  <c r="CF420" i="5" s="1"/>
  <c r="CG66" i="5" a="1"/>
  <c r="CG66" i="5" s="1"/>
  <c r="BE66" i="5" s="1"/>
  <c r="CF102" i="5" a="1"/>
  <c r="CF102" i="5" s="1"/>
  <c r="CF227" i="5" a="1"/>
  <c r="CF227" i="5" s="1"/>
  <c r="CF352" i="5" a="1"/>
  <c r="CF352" i="5" s="1"/>
  <c r="CG35" i="5" a="1"/>
  <c r="CG35" i="5" s="1"/>
  <c r="BE35" i="5" s="1"/>
  <c r="CG160" i="5" a="1"/>
  <c r="CG160" i="5" s="1"/>
  <c r="BE160" i="5" s="1"/>
  <c r="CG279" i="5" a="1"/>
  <c r="CG279" i="5" s="1"/>
  <c r="BE279" i="5" s="1"/>
  <c r="CG379" i="5" a="1"/>
  <c r="CG379" i="5" s="1"/>
  <c r="BE379" i="5" s="1"/>
  <c r="CF28" i="5" a="1"/>
  <c r="CF28" i="5" s="1"/>
  <c r="CF109" i="5" a="1"/>
  <c r="CF109" i="5" s="1"/>
  <c r="CF190" i="5" a="1"/>
  <c r="CF190" i="5" s="1"/>
  <c r="CF278" i="5" a="1"/>
  <c r="CF278" i="5" s="1"/>
  <c r="CF359" i="5" a="1"/>
  <c r="CF359" i="5" s="1"/>
  <c r="CF440" i="5" a="1"/>
  <c r="CF440" i="5" s="1"/>
  <c r="CF41" i="5" a="1"/>
  <c r="CF41" i="5" s="1"/>
  <c r="CF166" i="5" a="1"/>
  <c r="CF166" i="5" s="1"/>
  <c r="CF291" i="5" a="1"/>
  <c r="CF291" i="5" s="1"/>
  <c r="CF416" i="5" a="1"/>
  <c r="CF416" i="5" s="1"/>
  <c r="CG99" i="5" a="1"/>
  <c r="CG99" i="5" s="1"/>
  <c r="BE99" i="5" s="1"/>
  <c r="CG224" i="5" a="1"/>
  <c r="CG224" i="5" s="1"/>
  <c r="BE224" i="5" s="1"/>
  <c r="CG319" i="5" a="1"/>
  <c r="CG319" i="5" s="1"/>
  <c r="BE319" i="5" s="1"/>
  <c r="CG419" i="5" a="1"/>
  <c r="CG419" i="5" s="1"/>
  <c r="BE419" i="5" s="1"/>
  <c r="CF73" i="5" a="1"/>
  <c r="CF73" i="5" s="1"/>
  <c r="CF154" i="5" a="1"/>
  <c r="CF154" i="5" s="1"/>
  <c r="CF235" i="5" a="1"/>
  <c r="CF235" i="5" s="1"/>
  <c r="CF323" i="5" a="1"/>
  <c r="CF323" i="5" s="1"/>
  <c r="CF404" i="5" a="1"/>
  <c r="CF404" i="5" s="1"/>
  <c r="CG43" i="5" a="1"/>
  <c r="CG43" i="5" s="1"/>
  <c r="BE43" i="5" s="1"/>
  <c r="CG131" i="5" a="1"/>
  <c r="CG131" i="5" s="1"/>
  <c r="BE131" i="5" s="1"/>
  <c r="CG212" i="5" a="1"/>
  <c r="CG212" i="5" s="1"/>
  <c r="BE212" i="5" s="1"/>
  <c r="CF111" i="5" a="1"/>
  <c r="CF111" i="5" s="1"/>
  <c r="CF236" i="5" a="1"/>
  <c r="CF236" i="5" s="1"/>
  <c r="CF361" i="5" a="1"/>
  <c r="CF361" i="5" s="1"/>
  <c r="CG44" i="5" a="1"/>
  <c r="CG44" i="5" s="1"/>
  <c r="BE44" i="5" s="1"/>
  <c r="CF30" i="5" a="1"/>
  <c r="CF30" i="5" s="1"/>
  <c r="CF118" i="5" a="1"/>
  <c r="CF118" i="5" s="1"/>
  <c r="CF199" i="5" a="1"/>
  <c r="CF199" i="5" s="1"/>
  <c r="CF280" i="5" a="1"/>
  <c r="CF280" i="5" s="1"/>
  <c r="CF368" i="5" a="1"/>
  <c r="CF368" i="5" s="1"/>
  <c r="CG7" i="5" a="1"/>
  <c r="CG7" i="5" s="1"/>
  <c r="BE7" i="5" s="1"/>
  <c r="CF87" i="5" a="1"/>
  <c r="CF87" i="5" s="1"/>
  <c r="CF212" i="5" a="1"/>
  <c r="CF212" i="5" s="1"/>
  <c r="CF337" i="5" a="1"/>
  <c r="CF337" i="5" s="1"/>
  <c r="CG20" i="5" a="1"/>
  <c r="CG20" i="5" s="1"/>
  <c r="BE20" i="5" s="1"/>
  <c r="CG145" i="5" a="1"/>
  <c r="CG145" i="5" s="1"/>
  <c r="BE145" i="5" s="1"/>
  <c r="CG260" i="5" a="1"/>
  <c r="CG260" i="5" s="1"/>
  <c r="BE260" i="5" s="1"/>
  <c r="CG360" i="5" a="1"/>
  <c r="CG360" i="5" s="1"/>
  <c r="BE360" i="5" s="1"/>
  <c r="CG150" i="5" a="1"/>
  <c r="CG150" i="5" s="1"/>
  <c r="BE150" i="5" s="1"/>
  <c r="CG325" i="5" a="1"/>
  <c r="CG325" i="5" s="1"/>
  <c r="BE325" i="5" s="1"/>
  <c r="CG117" i="5" a="1"/>
  <c r="CG117" i="5" s="1"/>
  <c r="BE117" i="5" s="1"/>
  <c r="CG307" i="5" a="1"/>
  <c r="CG307" i="5" s="1"/>
  <c r="BE307" i="5" s="1"/>
  <c r="CG76" i="5" a="1"/>
  <c r="CG76" i="5" s="1"/>
  <c r="BE76" i="5" s="1"/>
  <c r="CG326" i="5" a="1"/>
  <c r="CG326" i="5" s="1"/>
  <c r="BE326" i="5" s="1"/>
  <c r="CG186" i="5" a="1"/>
  <c r="CG186" i="5" s="1"/>
  <c r="BE186" i="5" s="1"/>
  <c r="CG346" i="5" a="1"/>
  <c r="CG346" i="5" s="1"/>
  <c r="BE346" i="5" s="1"/>
  <c r="CG141" i="5" a="1"/>
  <c r="CG141" i="5" s="1"/>
  <c r="BE141" i="5" s="1"/>
  <c r="CG337" i="5" a="1"/>
  <c r="CG337" i="5" s="1"/>
  <c r="BE337" i="5" s="1"/>
  <c r="CG188" i="5" a="1"/>
  <c r="CG188" i="5" s="1"/>
  <c r="BE188" i="5" s="1"/>
  <c r="CG366" i="5" a="1"/>
  <c r="CG366" i="5" s="1"/>
  <c r="BE366" i="5" s="1"/>
  <c r="CG175" i="5" a="1"/>
  <c r="CG175" i="5" s="1"/>
  <c r="BE175" i="5" s="1"/>
  <c r="CG348" i="5" a="1"/>
  <c r="CG348" i="5" s="1"/>
  <c r="BE348" i="5" s="1"/>
  <c r="CG161" i="5" a="1"/>
  <c r="CG161" i="5" s="1"/>
  <c r="BE161" i="5" s="1"/>
  <c r="CG63" i="5" a="1"/>
  <c r="CG63" i="5" s="1"/>
  <c r="BE63" i="5" s="1"/>
  <c r="CG148" i="5" a="1"/>
  <c r="CG148" i="5" s="1"/>
  <c r="BE148" i="5" s="1"/>
  <c r="CG342" i="5" a="1"/>
  <c r="CG342" i="5" s="1"/>
  <c r="BE342" i="5" s="1"/>
  <c r="CG396" i="5" a="1"/>
  <c r="CG396" i="5" s="1"/>
  <c r="BE396" i="5" s="1"/>
  <c r="CG248" i="5" a="1"/>
  <c r="CG248" i="5" s="1"/>
  <c r="BE248" i="5" s="1"/>
  <c r="CG286" i="5" a="1"/>
  <c r="CG286" i="5" s="1"/>
  <c r="BE286" i="5" s="1"/>
  <c r="BC243" i="5" a="1"/>
  <c r="BC243" i="5" s="1"/>
  <c r="BC262" i="5" a="1"/>
  <c r="BC262" i="5" s="1"/>
  <c r="BC137" i="5" a="1"/>
  <c r="BC137" i="5" s="1"/>
  <c r="BC311" i="5" a="1"/>
  <c r="BC311" i="5" s="1"/>
  <c r="BC223" i="5" a="1"/>
  <c r="BC223" i="5" s="1"/>
  <c r="BC114" i="5" a="1"/>
  <c r="BC114" i="5" s="1"/>
  <c r="BC405" i="5" a="1"/>
  <c r="BC405" i="5" s="1"/>
  <c r="BC91" i="5" a="1"/>
  <c r="BC91" i="5" s="1"/>
  <c r="BC340" i="5" a="1"/>
  <c r="BC340" i="5" s="1"/>
  <c r="BC283" i="5" a="1"/>
  <c r="BC283" i="5" s="1"/>
  <c r="BC204" i="5" a="1"/>
  <c r="BC204" i="5" s="1"/>
  <c r="BC61" i="5" a="1"/>
  <c r="BC61" i="5" s="1"/>
  <c r="BC352" i="5" a="1"/>
  <c r="BC352" i="5" s="1"/>
  <c r="BC6" i="5" a="1"/>
  <c r="BC6" i="5" s="1"/>
  <c r="BC384" i="5" a="1"/>
  <c r="BC384" i="5" s="1"/>
  <c r="BC297" i="5" a="1"/>
  <c r="BC297" i="5" s="1"/>
  <c r="BC150" i="5" a="1"/>
  <c r="BC150" i="5" s="1"/>
  <c r="BC127" i="5" a="1"/>
  <c r="BC127" i="5" s="1"/>
  <c r="BC392" i="5" a="1"/>
  <c r="BC392" i="5" s="1"/>
  <c r="BC43" i="5" a="1"/>
  <c r="BC43" i="5" s="1"/>
  <c r="BC247" i="5" a="1"/>
  <c r="BC247" i="5" s="1"/>
  <c r="BN304" i="5" a="1"/>
  <c r="BN304" i="5" s="1"/>
  <c r="BC252" i="5" a="1"/>
  <c r="BC252" i="5" s="1"/>
  <c r="BN79" i="5" a="1"/>
  <c r="BN79" i="5" s="1"/>
  <c r="BN159" i="5" a="1"/>
  <c r="BN159" i="5" s="1"/>
  <c r="BC221" i="5" a="1"/>
  <c r="BC221" i="5" s="1"/>
  <c r="BN314" i="5" a="1"/>
  <c r="BN314" i="5" s="1"/>
  <c r="BN409" i="5" a="1"/>
  <c r="BN409" i="5" s="1"/>
  <c r="BN378" i="5" a="1"/>
  <c r="BN378" i="5" s="1"/>
  <c r="BN95" i="5" a="1"/>
  <c r="BN95" i="5" s="1"/>
  <c r="BC175" i="5" a="1"/>
  <c r="BC175" i="5" s="1"/>
  <c r="BC55" i="5" a="1"/>
  <c r="BC55" i="5" s="1"/>
  <c r="BC316" i="5" a="1"/>
  <c r="BC316" i="5" s="1"/>
  <c r="BC155" i="5" a="1"/>
  <c r="BC155" i="5" s="1"/>
  <c r="BC157" i="5" a="1"/>
  <c r="BC157" i="5" s="1"/>
  <c r="BC194" i="5" a="1"/>
  <c r="BC194" i="5" s="1"/>
  <c r="BC34" i="5" a="1"/>
  <c r="BC34" i="5" s="1"/>
  <c r="BN356" i="5" a="1"/>
  <c r="BN356" i="5" s="1"/>
  <c r="BN210" i="5" a="1"/>
  <c r="BN210" i="5" s="1"/>
  <c r="BN400" i="5" a="1"/>
  <c r="BN400" i="5" s="1"/>
  <c r="BN106" i="5" a="1"/>
  <c r="BN106" i="5" s="1"/>
  <c r="BC236" i="5" a="1"/>
  <c r="BC236" i="5" s="1"/>
  <c r="BC386" i="5" a="1"/>
  <c r="BC386" i="5" s="1"/>
  <c r="BC167" i="5" a="1"/>
  <c r="BC167" i="5" s="1"/>
  <c r="BC136" i="5" a="1"/>
  <c r="BC136" i="5" s="1"/>
  <c r="BC16" i="5" a="1"/>
  <c r="BC16" i="5" s="1"/>
  <c r="CF38" i="5" a="1"/>
  <c r="CF38" i="5" s="1"/>
  <c r="CF119" i="5" a="1"/>
  <c r="CF119" i="5" s="1"/>
  <c r="CF200" i="5" a="1"/>
  <c r="CF200" i="5" s="1"/>
  <c r="CF288" i="5" a="1"/>
  <c r="CF288" i="5" s="1"/>
  <c r="CF369" i="5" a="1"/>
  <c r="CF369" i="5" s="1"/>
  <c r="CG8" i="5" a="1"/>
  <c r="CG8" i="5" s="1"/>
  <c r="BE8" i="5" s="1"/>
  <c r="CG96" i="5" a="1"/>
  <c r="CG96" i="5" s="1"/>
  <c r="BE96" i="5" s="1"/>
  <c r="CG177" i="5" a="1"/>
  <c r="CG177" i="5" s="1"/>
  <c r="BE177" i="5" s="1"/>
  <c r="CF82" i="5" a="1"/>
  <c r="CF82" i="5" s="1"/>
  <c r="CF207" i="5" a="1"/>
  <c r="CF207" i="5" s="1"/>
  <c r="CF332" i="5" a="1"/>
  <c r="CF332" i="5" s="1"/>
  <c r="CG15" i="5" a="1"/>
  <c r="CG15" i="5" s="1"/>
  <c r="BE15" i="5" s="1"/>
  <c r="CG140" i="5" a="1"/>
  <c r="CG140" i="5" s="1"/>
  <c r="BE140" i="5" s="1"/>
  <c r="CG261" i="5" a="1"/>
  <c r="CG261" i="5" s="1"/>
  <c r="BE261" i="5" s="1"/>
  <c r="CG361" i="5" a="1"/>
  <c r="CG361" i="5" s="1"/>
  <c r="BE361" i="5" s="1"/>
  <c r="CF14" i="5" a="1"/>
  <c r="CF14" i="5" s="1"/>
  <c r="CF95" i="5" a="1"/>
  <c r="CF95" i="5" s="1"/>
  <c r="CF183" i="5" a="1"/>
  <c r="CF183" i="5" s="1"/>
  <c r="CF264" i="5" a="1"/>
  <c r="CF264" i="5" s="1"/>
  <c r="CF345" i="5" a="1"/>
  <c r="CF345" i="5" s="1"/>
  <c r="CF433" i="5" a="1"/>
  <c r="CF433" i="5" s="1"/>
  <c r="CG72" i="5" a="1"/>
  <c r="CG72" i="5" s="1"/>
  <c r="BE72" i="5" s="1"/>
  <c r="CF121" i="5" a="1"/>
  <c r="CF121" i="5" s="1"/>
  <c r="CF246" i="5" a="1"/>
  <c r="CF246" i="5" s="1"/>
  <c r="CF371" i="5" a="1"/>
  <c r="CF371" i="5" s="1"/>
  <c r="CG54" i="5" a="1"/>
  <c r="CG54" i="5" s="1"/>
  <c r="BE54" i="5" s="1"/>
  <c r="CG179" i="5" a="1"/>
  <c r="CG179" i="5" s="1"/>
  <c r="BE179" i="5" s="1"/>
  <c r="CG290" i="5" a="1"/>
  <c r="CG290" i="5" s="1"/>
  <c r="BE290" i="5" s="1"/>
  <c r="CG390" i="5" a="1"/>
  <c r="CG390" i="5" s="1"/>
  <c r="BE390" i="5" s="1"/>
  <c r="CF34" i="5" a="1"/>
  <c r="CF34" i="5" s="1"/>
  <c r="CF115" i="5" a="1"/>
  <c r="CF115" i="5" s="1"/>
  <c r="CF203" i="5" a="1"/>
  <c r="CF203" i="5" s="1"/>
  <c r="CF284" i="5" a="1"/>
  <c r="CF284" i="5" s="1"/>
  <c r="CF365" i="5" a="1"/>
  <c r="CF365" i="5" s="1"/>
  <c r="CG11" i="5" a="1"/>
  <c r="CG11" i="5" s="1"/>
  <c r="BE11" i="5" s="1"/>
  <c r="CF47" i="5" a="1"/>
  <c r="CF47" i="5" s="1"/>
  <c r="CF172" i="5" a="1"/>
  <c r="CF172" i="5" s="1"/>
  <c r="CF297" i="5" a="1"/>
  <c r="CF297" i="5" s="1"/>
  <c r="CF422" i="5" a="1"/>
  <c r="CF422" i="5" s="1"/>
  <c r="CG105" i="5" a="1"/>
  <c r="CG105" i="5" s="1"/>
  <c r="BE105" i="5" s="1"/>
  <c r="CG230" i="5" a="1"/>
  <c r="CG230" i="5" s="1"/>
  <c r="BE230" i="5" s="1"/>
  <c r="CG330" i="5" a="1"/>
  <c r="CG330" i="5" s="1"/>
  <c r="BE330" i="5" s="1"/>
  <c r="CG430" i="5" a="1"/>
  <c r="CG430" i="5" s="1"/>
  <c r="BE430" i="5" s="1"/>
  <c r="CF79" i="5" a="1"/>
  <c r="CF79" i="5" s="1"/>
  <c r="CF160" i="5" a="1"/>
  <c r="CF160" i="5" s="1"/>
  <c r="CF248" i="5" a="1"/>
  <c r="CF248" i="5" s="1"/>
  <c r="CF329" i="5" a="1"/>
  <c r="CF329" i="5" s="1"/>
  <c r="CF410" i="5" a="1"/>
  <c r="CF410" i="5" s="1"/>
  <c r="CG56" i="5" a="1"/>
  <c r="CG56" i="5" s="1"/>
  <c r="BE56" i="5" s="1"/>
  <c r="CG137" i="5" a="1"/>
  <c r="CG137" i="5" s="1"/>
  <c r="BE137" i="5" s="1"/>
  <c r="CF4" i="5" a="1"/>
  <c r="CF4" i="5" s="1"/>
  <c r="CF117" i="5" a="1"/>
  <c r="CF117" i="5" s="1"/>
  <c r="CF242" i="5" a="1"/>
  <c r="CF242" i="5" s="1"/>
  <c r="CF367" i="5" a="1"/>
  <c r="CF367" i="5" s="1"/>
  <c r="CG50" i="5" a="1"/>
  <c r="CG50" i="5" s="1"/>
  <c r="BE50" i="5" s="1"/>
  <c r="CF43" i="5" a="1"/>
  <c r="CF43" i="5" s="1"/>
  <c r="CF124" i="5" a="1"/>
  <c r="CF124" i="5" s="1"/>
  <c r="CF205" i="5" a="1"/>
  <c r="CF205" i="5" s="1"/>
  <c r="CF293" i="5" a="1"/>
  <c r="CF293" i="5" s="1"/>
  <c r="CF374" i="5" a="1"/>
  <c r="CF374" i="5" s="1"/>
  <c r="CG13" i="5" a="1"/>
  <c r="CG13" i="5" s="1"/>
  <c r="BE13" i="5" s="1"/>
  <c r="CF106" i="5" a="1"/>
  <c r="CF106" i="5" s="1"/>
  <c r="CF231" i="5" a="1"/>
  <c r="CF231" i="5" s="1"/>
  <c r="CF356" i="5" a="1"/>
  <c r="CF356" i="5" s="1"/>
  <c r="CG39" i="5" a="1"/>
  <c r="CG39" i="5" s="1"/>
  <c r="BE39" i="5" s="1"/>
  <c r="CG164" i="5" a="1"/>
  <c r="CG164" i="5" s="1"/>
  <c r="BE164" i="5" s="1"/>
  <c r="CG271" i="5" a="1"/>
  <c r="CG271" i="5" s="1"/>
  <c r="BE271" i="5" s="1"/>
  <c r="CG371" i="5" a="1"/>
  <c r="CG371" i="5" s="1"/>
  <c r="BE371" i="5" s="1"/>
  <c r="CG166" i="5" a="1"/>
  <c r="CG166" i="5" s="1"/>
  <c r="BE166" i="5" s="1"/>
  <c r="CG334" i="5" a="1"/>
  <c r="CG334" i="5" s="1"/>
  <c r="BE334" i="5" s="1"/>
  <c r="CG136" i="5" a="1"/>
  <c r="CG136" i="5" s="1"/>
  <c r="BE136" i="5" s="1"/>
  <c r="CG316" i="5" a="1"/>
  <c r="CG316" i="5" s="1"/>
  <c r="BE316" i="5" s="1"/>
  <c r="CG98" i="5" a="1"/>
  <c r="CG98" i="5" s="1"/>
  <c r="BE98" i="5" s="1"/>
  <c r="CG336" i="5" a="1"/>
  <c r="CG336" i="5" s="1"/>
  <c r="BE336" i="5" s="1"/>
  <c r="CG201" i="5" a="1"/>
  <c r="CG201" i="5" s="1"/>
  <c r="BE201" i="5" s="1"/>
  <c r="CG355" i="5" a="1"/>
  <c r="CG355" i="5" s="1"/>
  <c r="BE355" i="5" s="1"/>
  <c r="CG172" i="5" a="1"/>
  <c r="CG172" i="5" s="1"/>
  <c r="BE172" i="5" s="1"/>
  <c r="CG347" i="5" a="1"/>
  <c r="CG347" i="5" s="1"/>
  <c r="BE347" i="5" s="1"/>
  <c r="CG217" i="5" a="1"/>
  <c r="CG217" i="5" s="1"/>
  <c r="BE217" i="5" s="1"/>
  <c r="CG385" i="5" a="1"/>
  <c r="CG385" i="5" s="1"/>
  <c r="BE385" i="5" s="1"/>
  <c r="CG191" i="5" a="1"/>
  <c r="CG191" i="5" s="1"/>
  <c r="BE191" i="5" s="1"/>
  <c r="CG358" i="5" a="1"/>
  <c r="CG358" i="5" s="1"/>
  <c r="BE358" i="5" s="1"/>
  <c r="CG176" i="5" a="1"/>
  <c r="CG176" i="5" s="1"/>
  <c r="BE176" i="5" s="1"/>
  <c r="CG91" i="5" a="1"/>
  <c r="CG91" i="5" s="1"/>
  <c r="BE91" i="5" s="1"/>
  <c r="CG163" i="5" a="1"/>
  <c r="CG163" i="5" s="1"/>
  <c r="BE163" i="5" s="1"/>
  <c r="CG370" i="5" a="1"/>
  <c r="CG370" i="5" s="1"/>
  <c r="BE370" i="5" s="1"/>
  <c r="CG304" i="5" a="1"/>
  <c r="CG304" i="5" s="1"/>
  <c r="BE304" i="5" s="1"/>
  <c r="CG368" i="5" a="1"/>
  <c r="CG368" i="5" s="1"/>
  <c r="BE368" i="5" s="1"/>
  <c r="CG425" i="5" a="1"/>
  <c r="CG425" i="5" s="1"/>
  <c r="BE425" i="5" s="1"/>
  <c r="BC282" i="5" a="1"/>
  <c r="BC282" i="5" s="1"/>
  <c r="BC164" i="5" a="1"/>
  <c r="BC164" i="5" s="1"/>
  <c r="BC246" i="5" a="1"/>
  <c r="BC246" i="5" s="1"/>
  <c r="BC131" i="5" a="1"/>
  <c r="BC131" i="5" s="1"/>
  <c r="BC125" i="5" a="1"/>
  <c r="BC125" i="5" s="1"/>
  <c r="BC3" i="5" a="1"/>
  <c r="BC3" i="5" s="1"/>
  <c r="BC415" i="5" a="1"/>
  <c r="BC415" i="5" s="1"/>
  <c r="BC241" i="5" a="1"/>
  <c r="BC241" i="5" s="1"/>
  <c r="BC245" i="5" a="1"/>
  <c r="BC245" i="5" s="1"/>
  <c r="BC416" i="5" a="1"/>
  <c r="BC416" i="5" s="1"/>
  <c r="BC170" i="5" a="1"/>
  <c r="BC170" i="5" s="1"/>
  <c r="BC207" i="5" a="1"/>
  <c r="BC207" i="5" s="1"/>
  <c r="BC293" i="5" a="1"/>
  <c r="BC293" i="5" s="1"/>
  <c r="BC312" i="5" a="1"/>
  <c r="BC312" i="5" s="1"/>
  <c r="BC307" i="5" a="1"/>
  <c r="BC307" i="5" s="1"/>
  <c r="BC23" i="5" a="1"/>
  <c r="BC23" i="5" s="1"/>
  <c r="BC244" i="5" a="1"/>
  <c r="BC244" i="5" s="1"/>
  <c r="BC205" i="5" a="1"/>
  <c r="BC205" i="5" s="1"/>
  <c r="BC364" i="5" a="1"/>
  <c r="BC364" i="5" s="1"/>
  <c r="BC391" i="5" a="1"/>
  <c r="BC391" i="5" s="1"/>
  <c r="BN116" i="5" a="1"/>
  <c r="BN116" i="5" s="1"/>
  <c r="BC104" i="5" a="1"/>
  <c r="BC104" i="5" s="1"/>
  <c r="BC66" i="5" a="1"/>
  <c r="BC66" i="5" s="1"/>
  <c r="BN429" i="5" a="1"/>
  <c r="BN429" i="5" s="1"/>
  <c r="BN140" i="5" a="1"/>
  <c r="BN140" i="5" s="1"/>
  <c r="BN110" i="5" a="1"/>
  <c r="BN110" i="5" s="1"/>
  <c r="BN214" i="5" a="1"/>
  <c r="BN214" i="5" s="1"/>
  <c r="BN351" i="5" a="1"/>
  <c r="BN351" i="5" s="1"/>
  <c r="BC181" i="5" a="1"/>
  <c r="BC181" i="5" s="1"/>
  <c r="BN137" i="5" a="1"/>
  <c r="BN137" i="5" s="1"/>
  <c r="BN223" i="5" a="1"/>
  <c r="BN223" i="5" s="1"/>
  <c r="BC83" i="5" a="1"/>
  <c r="BC83" i="5" s="1"/>
  <c r="BC56" i="5" a="1"/>
  <c r="BC56" i="5" s="1"/>
  <c r="BC313" i="5" a="1"/>
  <c r="BC313" i="5" s="1"/>
  <c r="BC190" i="5" a="1"/>
  <c r="BC190" i="5" s="1"/>
  <c r="BN123" i="5" a="1"/>
  <c r="BN123" i="5" s="1"/>
  <c r="BC264" i="5" a="1"/>
  <c r="BC264" i="5" s="1"/>
  <c r="BN3" i="5" a="1"/>
  <c r="BN3" i="5" s="1"/>
  <c r="BN146" i="5" a="1"/>
  <c r="BN146" i="5" s="1"/>
  <c r="BN128" i="5" a="1"/>
  <c r="BN128" i="5" s="1"/>
  <c r="BN269" i="5" a="1"/>
  <c r="BN269" i="5" s="1"/>
  <c r="BN276" i="5" a="1"/>
  <c r="BN276" i="5" s="1"/>
  <c r="BN40" i="5" a="1"/>
  <c r="BN40" i="5" s="1"/>
  <c r="BN436" i="5" a="1"/>
  <c r="BN436" i="5" s="1"/>
  <c r="BN149" i="5" a="1"/>
  <c r="BN149" i="5" s="1"/>
  <c r="BN293" i="5" a="1"/>
  <c r="BN293" i="5" s="1"/>
  <c r="BN411" i="5" a="1"/>
  <c r="BN411" i="5" s="1"/>
  <c r="BN163" i="5" a="1"/>
  <c r="BN163" i="5" s="1"/>
  <c r="BN92" i="5" a="1"/>
  <c r="BN92" i="5" s="1"/>
  <c r="BN57" i="5" a="1"/>
  <c r="BN57" i="5" s="1"/>
  <c r="BC195" i="5" a="1"/>
  <c r="BC195" i="5" s="1"/>
  <c r="BC333" i="5" a="1"/>
  <c r="BC333" i="5" s="1"/>
  <c r="BC186" i="5" a="1"/>
  <c r="BC186" i="5" s="1"/>
  <c r="BC44" i="5" a="1"/>
  <c r="BC44" i="5" s="1"/>
  <c r="CF44" i="5" a="1"/>
  <c r="CF44" i="5" s="1"/>
  <c r="CF125" i="5" a="1"/>
  <c r="CF125" i="5" s="1"/>
  <c r="CF213" i="5" a="1"/>
  <c r="CF213" i="5" s="1"/>
  <c r="CF294" i="5" a="1"/>
  <c r="CF294" i="5" s="1"/>
  <c r="CF375" i="5" a="1"/>
  <c r="CF375" i="5" s="1"/>
  <c r="CG21" i="5" a="1"/>
  <c r="CG21" i="5" s="1"/>
  <c r="BE21" i="5" s="1"/>
  <c r="CG102" i="5" a="1"/>
  <c r="CG102" i="5" s="1"/>
  <c r="BE102" i="5" s="1"/>
  <c r="CG183" i="5" a="1"/>
  <c r="CG183" i="5" s="1"/>
  <c r="BE183" i="5" s="1"/>
  <c r="CF101" i="5" a="1"/>
  <c r="CF101" i="5" s="1"/>
  <c r="CF226" i="5" a="1"/>
  <c r="CF226" i="5" s="1"/>
  <c r="CF351" i="5" a="1"/>
  <c r="CF351" i="5" s="1"/>
  <c r="CG34" i="5" a="1"/>
  <c r="CG34" i="5" s="1"/>
  <c r="BE34" i="5" s="1"/>
  <c r="CG159" i="5" a="1"/>
  <c r="CG159" i="5" s="1"/>
  <c r="BE159" i="5" s="1"/>
  <c r="CG272" i="5" a="1"/>
  <c r="CG272" i="5" s="1"/>
  <c r="BE272" i="5" s="1"/>
  <c r="CG372" i="5" a="1"/>
  <c r="CG372" i="5" s="1"/>
  <c r="BE372" i="5" s="1"/>
  <c r="CF20" i="5" a="1"/>
  <c r="CF20" i="5" s="1"/>
  <c r="CF108" i="5" a="1"/>
  <c r="CF108" i="5" s="1"/>
  <c r="CF189" i="5" a="1"/>
  <c r="CF189" i="5" s="1"/>
  <c r="CF270" i="5" a="1"/>
  <c r="CF270" i="5" s="1"/>
  <c r="CF358" i="5" a="1"/>
  <c r="CF358" i="5" s="1"/>
  <c r="CF439" i="5" a="1"/>
  <c r="CF439" i="5" s="1"/>
  <c r="CG78" i="5" a="1"/>
  <c r="CG78" i="5" s="1"/>
  <c r="BE78" i="5" s="1"/>
  <c r="CF127" i="5" a="1"/>
  <c r="CF127" i="5" s="1"/>
  <c r="CF252" i="5" a="1"/>
  <c r="CF252" i="5" s="1"/>
  <c r="CF377" i="5" a="1"/>
  <c r="CF377" i="5" s="1"/>
  <c r="CG60" i="5" a="1"/>
  <c r="CG60" i="5" s="1"/>
  <c r="BE60" i="5" s="1"/>
  <c r="CG185" i="5" a="1"/>
  <c r="CG185" i="5" s="1"/>
  <c r="BE185" i="5" s="1"/>
  <c r="CG301" i="5" a="1"/>
  <c r="CG301" i="5" s="1"/>
  <c r="BE301" i="5" s="1"/>
  <c r="CG401" i="5" a="1"/>
  <c r="CG401" i="5" s="1"/>
  <c r="BE401" i="5" s="1"/>
  <c r="CF40" i="5" a="1"/>
  <c r="CF40" i="5" s="1"/>
  <c r="CF128" i="5" a="1"/>
  <c r="CF128" i="5" s="1"/>
  <c r="CF209" i="5" a="1"/>
  <c r="CF209" i="5" s="1"/>
  <c r="CF290" i="5" a="1"/>
  <c r="CF290" i="5" s="1"/>
  <c r="CF378" i="5" a="1"/>
  <c r="CF378" i="5" s="1"/>
  <c r="CG17" i="5" a="1"/>
  <c r="CG17" i="5" s="1"/>
  <c r="BE17" i="5" s="1"/>
  <c r="CF66" i="5" a="1"/>
  <c r="CF66" i="5" s="1"/>
  <c r="CF191" i="5" a="1"/>
  <c r="CF191" i="5" s="1"/>
  <c r="CF316" i="5" a="1"/>
  <c r="CF316" i="5" s="1"/>
  <c r="CF441" i="5" a="1"/>
  <c r="CF441" i="5" s="1"/>
  <c r="CG124" i="5" a="1"/>
  <c r="CG124" i="5" s="1"/>
  <c r="BE124" i="5" s="1"/>
  <c r="CG241" i="5" a="1"/>
  <c r="CG241" i="5" s="1"/>
  <c r="BE241" i="5" s="1"/>
  <c r="CG341" i="5" a="1"/>
  <c r="CG341" i="5" s="1"/>
  <c r="BE341" i="5" s="1"/>
  <c r="CG441" i="5" a="1"/>
  <c r="CG441" i="5" s="1"/>
  <c r="BE441" i="5" s="1"/>
  <c r="CF85" i="5" a="1"/>
  <c r="CF85" i="5" s="1"/>
  <c r="CF173" i="5" a="1"/>
  <c r="CF173" i="5" s="1"/>
  <c r="CF254" i="5" a="1"/>
  <c r="CF254" i="5" s="1"/>
  <c r="CF335" i="5" a="1"/>
  <c r="CF335" i="5" s="1"/>
  <c r="CF423" i="5" a="1"/>
  <c r="CF423" i="5" s="1"/>
  <c r="CG62" i="5" a="1"/>
  <c r="CG62" i="5" s="1"/>
  <c r="BE62" i="5" s="1"/>
  <c r="CG143" i="5" a="1"/>
  <c r="CG143" i="5" s="1"/>
  <c r="BE143" i="5" s="1"/>
  <c r="CF11" i="5" a="1"/>
  <c r="CF11" i="5" s="1"/>
  <c r="CF136" i="5" a="1"/>
  <c r="CF136" i="5" s="1"/>
  <c r="CF261" i="5" a="1"/>
  <c r="CF261" i="5" s="1"/>
  <c r="CF386" i="5" a="1"/>
  <c r="CF386" i="5" s="1"/>
  <c r="CG69" i="5" a="1"/>
  <c r="CG69" i="5" s="1"/>
  <c r="BE69" i="5" s="1"/>
  <c r="CF49" i="5" a="1"/>
  <c r="CF49" i="5" s="1"/>
  <c r="CF130" i="5" a="1"/>
  <c r="CF130" i="5" s="1"/>
  <c r="CF218" i="5" a="1"/>
  <c r="CF218" i="5" s="1"/>
  <c r="CF299" i="5" a="1"/>
  <c r="CF299" i="5" s="1"/>
  <c r="CF380" i="5" a="1"/>
  <c r="CF380" i="5" s="1"/>
  <c r="CG26" i="5" a="1"/>
  <c r="CG26" i="5" s="1"/>
  <c r="BE26" i="5" s="1"/>
  <c r="CF112" i="5" a="1"/>
  <c r="CF112" i="5" s="1"/>
  <c r="CF237" i="5" a="1"/>
  <c r="CF237" i="5" s="1"/>
  <c r="CF362" i="5" a="1"/>
  <c r="CF362" i="5" s="1"/>
  <c r="CG45" i="5" a="1"/>
  <c r="CG45" i="5" s="1"/>
  <c r="BE45" i="5" s="1"/>
  <c r="CG170" i="5" a="1"/>
  <c r="CG170" i="5" s="1"/>
  <c r="BE170" i="5" s="1"/>
  <c r="CG282" i="5" a="1"/>
  <c r="CG282" i="5" s="1"/>
  <c r="BE282" i="5" s="1"/>
  <c r="CG382" i="5" a="1"/>
  <c r="CG382" i="5" s="1"/>
  <c r="BE382" i="5" s="1"/>
  <c r="CG197" i="5" a="1"/>
  <c r="CG197" i="5" s="1"/>
  <c r="BE197" i="5" s="1"/>
  <c r="CG398" i="5" a="1"/>
  <c r="CG398" i="5" s="1"/>
  <c r="BE398" i="5" s="1"/>
  <c r="CG151" i="5" a="1"/>
  <c r="CG151" i="5" s="1"/>
  <c r="BE151" i="5" s="1"/>
  <c r="CG335" i="5" a="1"/>
  <c r="CG335" i="5" s="1"/>
  <c r="BE335" i="5" s="1"/>
  <c r="CG153" i="5" a="1"/>
  <c r="CG153" i="5" s="1"/>
  <c r="BE153" i="5" s="1"/>
  <c r="CG345" i="5" a="1"/>
  <c r="CG345" i="5" s="1"/>
  <c r="BE345" i="5" s="1"/>
  <c r="CG225" i="5" a="1"/>
  <c r="CG225" i="5" s="1"/>
  <c r="BE225" i="5" s="1"/>
  <c r="CG374" i="5" a="1"/>
  <c r="CG374" i="5" s="1"/>
  <c r="BE374" i="5" s="1"/>
  <c r="CG203" i="5" a="1"/>
  <c r="CG203" i="5" s="1"/>
  <c r="BE203" i="5" s="1"/>
  <c r="CG356" i="5" a="1"/>
  <c r="CG356" i="5" s="1"/>
  <c r="BE356" i="5" s="1"/>
  <c r="CG227" i="5" a="1"/>
  <c r="CG227" i="5" s="1"/>
  <c r="BE227" i="5" s="1"/>
  <c r="CG394" i="5" a="1"/>
  <c r="CG394" i="5" s="1"/>
  <c r="BE394" i="5" s="1"/>
  <c r="CG218" i="5" a="1"/>
  <c r="CG218" i="5" s="1"/>
  <c r="BE218" i="5" s="1"/>
  <c r="CG367" i="5" a="1"/>
  <c r="CG367" i="5" s="1"/>
  <c r="BE367" i="5" s="1"/>
  <c r="CG192" i="5" a="1"/>
  <c r="CG192" i="5" s="1"/>
  <c r="BE192" i="5" s="1"/>
  <c r="CG111" i="5" a="1"/>
  <c r="CG111" i="5" s="1"/>
  <c r="BE111" i="5" s="1"/>
  <c r="CG221" i="5" a="1"/>
  <c r="CG221" i="5" s="1"/>
  <c r="BE221" i="5" s="1"/>
  <c r="CG388" i="5" a="1"/>
  <c r="CG388" i="5" s="1"/>
  <c r="BE388" i="5" s="1"/>
  <c r="CG397" i="5" a="1"/>
  <c r="CG397" i="5" s="1"/>
  <c r="BE397" i="5" s="1"/>
  <c r="CG258" i="5" a="1"/>
  <c r="CG258" i="5" s="1"/>
  <c r="BE258" i="5" s="1"/>
  <c r="BC304" i="5" a="1"/>
  <c r="BC304" i="5" s="1"/>
  <c r="BC421" i="5" a="1"/>
  <c r="BC421" i="5" s="1"/>
  <c r="BC103" i="5" a="1"/>
  <c r="BC103" i="5" s="1"/>
  <c r="BC226" i="5" a="1"/>
  <c r="BC226" i="5" s="1"/>
  <c r="BC27" i="5" a="1"/>
  <c r="BC27" i="5" s="1"/>
  <c r="BC266" i="5" a="1"/>
  <c r="BC266" i="5" s="1"/>
  <c r="BC191" i="5" a="1"/>
  <c r="BC191" i="5" s="1"/>
  <c r="BC420" i="5" a="1"/>
  <c r="BC420" i="5" s="1"/>
  <c r="BC332" i="5" a="1"/>
  <c r="BC332" i="5" s="1"/>
  <c r="BC233" i="5" a="1"/>
  <c r="BC233" i="5" s="1"/>
  <c r="BC402" i="5" a="1"/>
  <c r="BC402" i="5" s="1"/>
  <c r="BC177" i="5" a="1"/>
  <c r="BC177" i="5" s="1"/>
  <c r="BC214" i="5" a="1"/>
  <c r="BC214" i="5" s="1"/>
  <c r="BC337" i="5" a="1"/>
  <c r="BC337" i="5" s="1"/>
  <c r="BC82" i="5" a="1"/>
  <c r="BC82" i="5" s="1"/>
  <c r="BC382" i="5" a="1"/>
  <c r="BC382" i="5" s="1"/>
  <c r="BC394" i="5" a="1"/>
  <c r="BC394" i="5" s="1"/>
  <c r="BC324" i="5" a="1"/>
  <c r="BC324" i="5" s="1"/>
  <c r="CF6" i="5" a="1"/>
  <c r="CF6" i="5" s="1"/>
  <c r="BC414" i="5" a="1"/>
  <c r="BC414" i="5" s="1"/>
  <c r="BC237" i="5" a="1"/>
  <c r="BC237" i="5" s="1"/>
  <c r="BC216" i="5" a="1"/>
  <c r="BC216" i="5" s="1"/>
  <c r="BC65" i="5" a="1"/>
  <c r="BC65" i="5" s="1"/>
  <c r="BC172" i="5" a="1"/>
  <c r="BC172" i="5" s="1"/>
  <c r="BC123" i="5" a="1"/>
  <c r="BC123" i="5" s="1"/>
  <c r="BC210" i="5" a="1"/>
  <c r="BC210" i="5" s="1"/>
  <c r="BC410" i="5" a="1"/>
  <c r="BC410" i="5" s="1"/>
  <c r="BN184" i="5" a="1"/>
  <c r="BN184" i="5" s="1"/>
  <c r="BC320" i="5" a="1"/>
  <c r="BC320" i="5" s="1"/>
  <c r="BC174" i="5" a="1"/>
  <c r="BC174" i="5" s="1"/>
  <c r="BC217" i="5" a="1"/>
  <c r="BC217" i="5" s="1"/>
  <c r="BN238" i="5" a="1"/>
  <c r="BN238" i="5" s="1"/>
  <c r="BN319" i="5" a="1"/>
  <c r="BN319" i="5" s="1"/>
  <c r="BN320" i="5" a="1"/>
  <c r="BN320" i="5" s="1"/>
  <c r="BN113" i="5" a="1"/>
  <c r="BN113" i="5" s="1"/>
  <c r="BN225" i="5" a="1"/>
  <c r="BN225" i="5" s="1"/>
  <c r="BN315" i="5" a="1"/>
  <c r="BN315" i="5" s="1"/>
  <c r="BC33" i="5" a="1"/>
  <c r="BC33" i="5" s="1"/>
  <c r="BC271" i="5" a="1"/>
  <c r="BC271" i="5" s="1"/>
  <c r="BC373" i="5" a="1"/>
  <c r="BC373" i="5" s="1"/>
  <c r="BC222" i="5" a="1"/>
  <c r="BC222" i="5" s="1"/>
  <c r="CF50" i="5" a="1"/>
  <c r="CF50" i="5" s="1"/>
  <c r="CF138" i="5" a="1"/>
  <c r="CF138" i="5" s="1"/>
  <c r="CF219" i="5" a="1"/>
  <c r="CF219" i="5" s="1"/>
  <c r="CF300" i="5" a="1"/>
  <c r="CF300" i="5" s="1"/>
  <c r="CF388" i="5" a="1"/>
  <c r="CF388" i="5" s="1"/>
  <c r="CG27" i="5" a="1"/>
  <c r="CG27" i="5" s="1"/>
  <c r="BE27" i="5" s="1"/>
  <c r="CG108" i="5" a="1"/>
  <c r="CG108" i="5" s="1"/>
  <c r="BE108" i="5" s="1"/>
  <c r="CG196" i="5" a="1"/>
  <c r="CG196" i="5" s="1"/>
  <c r="BE196" i="5" s="1"/>
  <c r="CF107" i="5" a="1"/>
  <c r="CF107" i="5" s="1"/>
  <c r="CF232" i="5" a="1"/>
  <c r="CF232" i="5" s="1"/>
  <c r="CF357" i="5" a="1"/>
  <c r="CF357" i="5" s="1"/>
  <c r="CG40" i="5" a="1"/>
  <c r="CG40" i="5" s="1"/>
  <c r="BE40" i="5" s="1"/>
  <c r="CG165" i="5" a="1"/>
  <c r="CG165" i="5" s="1"/>
  <c r="BE165" i="5" s="1"/>
  <c r="CG283" i="5" a="1"/>
  <c r="CG283" i="5" s="1"/>
  <c r="BE283" i="5" s="1"/>
  <c r="CG383" i="5" a="1"/>
  <c r="CG383" i="5" s="1"/>
  <c r="BE383" i="5" s="1"/>
  <c r="CF33" i="5" a="1"/>
  <c r="CF33" i="5" s="1"/>
  <c r="CF114" i="5" a="1"/>
  <c r="CF114" i="5" s="1"/>
  <c r="CF195" i="5" a="1"/>
  <c r="CF195" i="5" s="1"/>
  <c r="CF283" i="5" a="1"/>
  <c r="CF283" i="5" s="1"/>
  <c r="CF364" i="5" a="1"/>
  <c r="CF364" i="5" s="1"/>
  <c r="CG3" i="5" a="1"/>
  <c r="CG3" i="5" s="1"/>
  <c r="BE3" i="5" s="1"/>
  <c r="CF21" i="5" a="1"/>
  <c r="CF21" i="5" s="1"/>
  <c r="CF146" i="5" a="1"/>
  <c r="CF146" i="5" s="1"/>
  <c r="CF271" i="5" a="1"/>
  <c r="CF271" i="5" s="1"/>
  <c r="CF396" i="5" a="1"/>
  <c r="CF396" i="5" s="1"/>
  <c r="CG79" i="5" a="1"/>
  <c r="CG79" i="5" s="1"/>
  <c r="BE79" i="5" s="1"/>
  <c r="CG204" i="5" a="1"/>
  <c r="CG204" i="5" s="1"/>
  <c r="BE204" i="5" s="1"/>
  <c r="CG312" i="5" a="1"/>
  <c r="CG312" i="5" s="1"/>
  <c r="BE312" i="5" s="1"/>
  <c r="CG412" i="5" a="1"/>
  <c r="CG412" i="5" s="1"/>
  <c r="BE412" i="5" s="1"/>
  <c r="CF53" i="5" a="1"/>
  <c r="CF53" i="5" s="1"/>
  <c r="CF134" i="5" a="1"/>
  <c r="CF134" i="5" s="1"/>
  <c r="CF215" i="5" a="1"/>
  <c r="CF215" i="5" s="1"/>
  <c r="CF303" i="5" a="1"/>
  <c r="CF303" i="5" s="1"/>
  <c r="CF384" i="5" a="1"/>
  <c r="CF384" i="5" s="1"/>
  <c r="CG23" i="5" a="1"/>
  <c r="CG23" i="5" s="1"/>
  <c r="BE23" i="5" s="1"/>
  <c r="CF72" i="5" a="1"/>
  <c r="CF72" i="5" s="1"/>
  <c r="CF197" i="5" a="1"/>
  <c r="CF197" i="5" s="1"/>
  <c r="CF322" i="5" a="1"/>
  <c r="CF322" i="5" s="1"/>
  <c r="CG5" i="5" a="1"/>
  <c r="CG5" i="5" s="1"/>
  <c r="BE5" i="5" s="1"/>
  <c r="CG130" i="5" a="1"/>
  <c r="CG130" i="5" s="1"/>
  <c r="BE130" i="5" s="1"/>
  <c r="CG252" i="5" a="1"/>
  <c r="CG252" i="5" s="1"/>
  <c r="BE252" i="5" s="1"/>
  <c r="CG352" i="5" a="1"/>
  <c r="CG352" i="5" s="1"/>
  <c r="BE352" i="5" s="1"/>
  <c r="CF10" i="5" a="1"/>
  <c r="CF10" i="5" s="1"/>
  <c r="CF98" i="5" a="1"/>
  <c r="CF98" i="5" s="1"/>
  <c r="CF179" i="5" a="1"/>
  <c r="CF179" i="5" s="1"/>
  <c r="CF260" i="5" a="1"/>
  <c r="CF260" i="5" s="1"/>
  <c r="CF348" i="5" a="1"/>
  <c r="CF348" i="5" s="1"/>
  <c r="CF429" i="5" a="1"/>
  <c r="CF429" i="5" s="1"/>
  <c r="CG68" i="5" a="1"/>
  <c r="CG68" i="5" s="1"/>
  <c r="BE68" i="5" s="1"/>
  <c r="CG156" i="5" a="1"/>
  <c r="CG156" i="5" s="1"/>
  <c r="BE156" i="5" s="1"/>
  <c r="CF17" i="5" a="1"/>
  <c r="CF17" i="5" s="1"/>
  <c r="CF142" i="5" a="1"/>
  <c r="CF142" i="5" s="1"/>
  <c r="CF267" i="5" a="1"/>
  <c r="CF267" i="5" s="1"/>
  <c r="CF392" i="5" a="1"/>
  <c r="CF392" i="5" s="1"/>
  <c r="CG75" i="5" a="1"/>
  <c r="CG75" i="5" s="1"/>
  <c r="BE75" i="5" s="1"/>
  <c r="CF55" i="5" a="1"/>
  <c r="CF55" i="5" s="1"/>
  <c r="CF143" i="5" a="1"/>
  <c r="CF143" i="5" s="1"/>
  <c r="CF224" i="5" a="1"/>
  <c r="CF224" i="5" s="1"/>
  <c r="CF305" i="5" a="1"/>
  <c r="CF305" i="5" s="1"/>
  <c r="CF393" i="5" a="1"/>
  <c r="CF393" i="5" s="1"/>
  <c r="CF5" i="5" a="1"/>
  <c r="CF5" i="5" s="1"/>
  <c r="CF131" i="5" a="1"/>
  <c r="CF131" i="5" s="1"/>
  <c r="CF256" i="5" a="1"/>
  <c r="CF256" i="5" s="1"/>
  <c r="CF381" i="5" a="1"/>
  <c r="CF381" i="5" s="1"/>
  <c r="CG64" i="5" a="1"/>
  <c r="CG64" i="5" s="1"/>
  <c r="BE64" i="5" s="1"/>
  <c r="CG189" i="5" a="1"/>
  <c r="CG189" i="5" s="1"/>
  <c r="BE189" i="5" s="1"/>
  <c r="CG293" i="5" a="1"/>
  <c r="CG293" i="5" s="1"/>
  <c r="BE293" i="5" s="1"/>
  <c r="CG393" i="5" a="1"/>
  <c r="CG393" i="5" s="1"/>
  <c r="BE393" i="5" s="1"/>
  <c r="CG211" i="5" a="1"/>
  <c r="CG211" i="5" s="1"/>
  <c r="BE211" i="5" s="1"/>
  <c r="CG408" i="5" a="1"/>
  <c r="CG408" i="5" s="1"/>
  <c r="BE408" i="5" s="1"/>
  <c r="CG167" i="5" a="1"/>
  <c r="CG167" i="5" s="1"/>
  <c r="BE167" i="5" s="1"/>
  <c r="CG344" i="5" a="1"/>
  <c r="CG344" i="5" s="1"/>
  <c r="BE344" i="5" s="1"/>
  <c r="CG169" i="5" a="1"/>
  <c r="CG169" i="5" s="1"/>
  <c r="BE169" i="5" s="1"/>
  <c r="CG354" i="5" a="1"/>
  <c r="CG354" i="5" s="1"/>
  <c r="BE354" i="5" s="1"/>
  <c r="CG235" i="5" a="1"/>
  <c r="CG235" i="5" s="1"/>
  <c r="BE235" i="5" s="1"/>
  <c r="CG392" i="5" a="1"/>
  <c r="CG392" i="5" s="1"/>
  <c r="BE392" i="5" s="1"/>
  <c r="CG216" i="5" a="1"/>
  <c r="CG216" i="5" s="1"/>
  <c r="BE216" i="5" s="1"/>
  <c r="CG365" i="5" a="1"/>
  <c r="CG365" i="5" s="1"/>
  <c r="BE365" i="5" s="1"/>
  <c r="CG246" i="5" a="1"/>
  <c r="CG246" i="5" s="1"/>
  <c r="BE246" i="5" s="1"/>
  <c r="CG403" i="5" a="1"/>
  <c r="CG403" i="5" s="1"/>
  <c r="BE403" i="5" s="1"/>
  <c r="CG228" i="5" a="1"/>
  <c r="CG228" i="5" s="1"/>
  <c r="BE228" i="5" s="1"/>
  <c r="CG376" i="5" a="1"/>
  <c r="CG376" i="5" s="1"/>
  <c r="BE376" i="5" s="1"/>
  <c r="CG207" i="5" a="1"/>
  <c r="CG207" i="5" s="1"/>
  <c r="BE207" i="5" s="1"/>
  <c r="CG147" i="5" a="1"/>
  <c r="CG147" i="5" s="1"/>
  <c r="BE147" i="5" s="1"/>
  <c r="CG231" i="5" a="1"/>
  <c r="CG231" i="5" s="1"/>
  <c r="BE231" i="5" s="1"/>
  <c r="CG407" i="5" a="1"/>
  <c r="CG407" i="5" s="1"/>
  <c r="BE407" i="5" s="1"/>
  <c r="CG434" i="5" a="1"/>
  <c r="CG434" i="5" s="1"/>
  <c r="BE434" i="5" s="1"/>
  <c r="CG415" i="5" a="1"/>
  <c r="CG415" i="5" s="1"/>
  <c r="BE415" i="5" s="1"/>
  <c r="BC432" i="5" a="1"/>
  <c r="BC432" i="5" s="1"/>
  <c r="BC294" i="5" a="1"/>
  <c r="BC294" i="5" s="1"/>
  <c r="BC435" i="5" a="1"/>
  <c r="BC435" i="5" s="1"/>
  <c r="BC85" i="5" a="1"/>
  <c r="BC85" i="5" s="1"/>
  <c r="BC187" i="5" a="1"/>
  <c r="BC187" i="5" s="1"/>
  <c r="BC154" i="5" a="1"/>
  <c r="BC154" i="5" s="1"/>
  <c r="BC64" i="5" a="1"/>
  <c r="BC64" i="5" s="1"/>
  <c r="BC227" i="5" a="1"/>
  <c r="BC227" i="5" s="1"/>
  <c r="BC62" i="5" a="1"/>
  <c r="BC62" i="5" s="1"/>
  <c r="BC357" i="5" a="1"/>
  <c r="BC357" i="5" s="1"/>
  <c r="BC422" i="5" a="1"/>
  <c r="BC422" i="5" s="1"/>
  <c r="BC276" i="5" a="1"/>
  <c r="BC276" i="5" s="1"/>
  <c r="BC135" i="5" a="1"/>
  <c r="BC135" i="5" s="1"/>
  <c r="BN56" i="5" a="1"/>
  <c r="BN56" i="5" s="1"/>
  <c r="BN301" i="5" a="1"/>
  <c r="BN301" i="5" s="1"/>
  <c r="BN27" i="5" a="1"/>
  <c r="BN27" i="5" s="1"/>
  <c r="BN384" i="5" a="1"/>
  <c r="BN384" i="5" s="1"/>
  <c r="BN303" i="5" a="1"/>
  <c r="BN303" i="5" s="1"/>
  <c r="BC126" i="5" a="1"/>
  <c r="BC126" i="5" s="1"/>
  <c r="BC404" i="5" a="1"/>
  <c r="BC404" i="5" s="1"/>
  <c r="BC317" i="5" a="1"/>
  <c r="BC317" i="5" s="1"/>
  <c r="BC19" i="5" a="1"/>
  <c r="BC19" i="5" s="1"/>
  <c r="BN200" i="5" a="1"/>
  <c r="BN200" i="5" s="1"/>
  <c r="BN363" i="5" a="1"/>
  <c r="BN363" i="5" s="1"/>
  <c r="BC151" i="5" a="1"/>
  <c r="BC151" i="5" s="1"/>
  <c r="BN248" i="5" a="1"/>
  <c r="BN248" i="5" s="1"/>
  <c r="BC437" i="5" a="1"/>
  <c r="BC437" i="5" s="1"/>
  <c r="BN96" i="5" a="1"/>
  <c r="BN96" i="5" s="1"/>
  <c r="BC341" i="5" a="1"/>
  <c r="BC341" i="5" s="1"/>
  <c r="BN324" i="5" a="1"/>
  <c r="BN324" i="5" s="1"/>
  <c r="BN287" i="5" a="1"/>
  <c r="BN287" i="5" s="1"/>
  <c r="BN306" i="5" a="1"/>
  <c r="BN306" i="5" s="1"/>
  <c r="BN74" i="5" a="1"/>
  <c r="BN74" i="5" s="1"/>
  <c r="BN439" i="5" a="1"/>
  <c r="BN439" i="5" s="1"/>
  <c r="BN100" i="5" a="1"/>
  <c r="BN100" i="5" s="1"/>
  <c r="BC235" i="5" a="1"/>
  <c r="BC235" i="5" s="1"/>
  <c r="BC272" i="5" a="1"/>
  <c r="BC272" i="5" s="1"/>
  <c r="BC145" i="5" a="1"/>
  <c r="BC145" i="5" s="1"/>
  <c r="BN23" i="5" a="1"/>
  <c r="BN23" i="5" s="1"/>
  <c r="BC411" i="5" a="1"/>
  <c r="BC411" i="5" s="1"/>
  <c r="BN245" i="5" a="1"/>
  <c r="BN245" i="5" s="1"/>
  <c r="BC281" i="5" a="1"/>
  <c r="BC281" i="5" s="1"/>
  <c r="BN291" i="5" a="1"/>
  <c r="BN291" i="5" s="1"/>
  <c r="BC336" i="5" a="1"/>
  <c r="BC336" i="5" s="1"/>
  <c r="BN62" i="5" a="1"/>
  <c r="BN62" i="5" s="1"/>
  <c r="BC176" i="5" a="1"/>
  <c r="BC176" i="5" s="1"/>
  <c r="BC356" i="5" a="1"/>
  <c r="BC356" i="5" s="1"/>
  <c r="BC395" i="5" a="1"/>
  <c r="BC395" i="5" s="1"/>
  <c r="BC425" i="5" a="1"/>
  <c r="BC425" i="5" s="1"/>
  <c r="BC372" i="5" a="1"/>
  <c r="BC372" i="5" s="1"/>
  <c r="CF63" i="5" a="1"/>
  <c r="CF63" i="5" s="1"/>
  <c r="CF144" i="5" a="1"/>
  <c r="CF144" i="5" s="1"/>
  <c r="CF225" i="5" a="1"/>
  <c r="CF225" i="5" s="1"/>
  <c r="CF313" i="5" a="1"/>
  <c r="CF313" i="5" s="1"/>
  <c r="CF394" i="5" a="1"/>
  <c r="CF394" i="5" s="1"/>
  <c r="CG33" i="5" a="1"/>
  <c r="CG33" i="5" s="1"/>
  <c r="BE33" i="5" s="1"/>
  <c r="CG121" i="5" a="1"/>
  <c r="CG121" i="5" s="1"/>
  <c r="BE121" i="5" s="1"/>
  <c r="CG202" i="5" a="1"/>
  <c r="CG202" i="5" s="1"/>
  <c r="BE202" i="5" s="1"/>
  <c r="CF126" i="5" a="1"/>
  <c r="CF126" i="5" s="1"/>
  <c r="CF251" i="5" a="1"/>
  <c r="CF251" i="5" s="1"/>
  <c r="CF376" i="5" a="1"/>
  <c r="CF376" i="5" s="1"/>
  <c r="CG59" i="5" a="1"/>
  <c r="CG59" i="5" s="1"/>
  <c r="BE59" i="5" s="1"/>
  <c r="CG184" i="5" a="1"/>
  <c r="CG184" i="5" s="1"/>
  <c r="BE184" i="5" s="1"/>
  <c r="CG289" i="5" a="1"/>
  <c r="CG289" i="5" s="1"/>
  <c r="BE289" i="5" s="1"/>
  <c r="CG389" i="5" a="1"/>
  <c r="CG389" i="5" s="1"/>
  <c r="BE389" i="5" s="1"/>
  <c r="CF39" i="5" a="1"/>
  <c r="CF39" i="5" s="1"/>
  <c r="CF120" i="5" a="1"/>
  <c r="CF120" i="5" s="1"/>
  <c r="CF208" i="5" a="1"/>
  <c r="CF208" i="5" s="1"/>
  <c r="CF289" i="5" a="1"/>
  <c r="CF289" i="5" s="1"/>
  <c r="CF370" i="5" a="1"/>
  <c r="CF370" i="5" s="1"/>
  <c r="CG16" i="5" a="1"/>
  <c r="CG16" i="5" s="1"/>
  <c r="BE16" i="5" s="1"/>
  <c r="CF27" i="5" a="1"/>
  <c r="CF27" i="5" s="1"/>
  <c r="CF152" i="5" a="1"/>
  <c r="CF152" i="5" s="1"/>
  <c r="CF277" i="5" a="1"/>
  <c r="CF277" i="5" s="1"/>
  <c r="CF402" i="5" a="1"/>
  <c r="CF402" i="5" s="1"/>
  <c r="CG85" i="5" a="1"/>
  <c r="CG85" i="5" s="1"/>
  <c r="BE85" i="5" s="1"/>
  <c r="CG210" i="5" a="1"/>
  <c r="CG210" i="5" s="1"/>
  <c r="BE210" i="5" s="1"/>
  <c r="CG323" i="5" a="1"/>
  <c r="CG323" i="5" s="1"/>
  <c r="BE323" i="5" s="1"/>
  <c r="CG423" i="5" a="1"/>
  <c r="CG423" i="5" s="1"/>
  <c r="BE423" i="5" s="1"/>
  <c r="CF59" i="5" a="1"/>
  <c r="CF59" i="5" s="1"/>
  <c r="CF140" i="5" a="1"/>
  <c r="CF140" i="5" s="1"/>
  <c r="CF228" i="5" a="1"/>
  <c r="CF228" i="5" s="1"/>
  <c r="CF309" i="5" a="1"/>
  <c r="CF309" i="5" s="1"/>
  <c r="CF390" i="5" a="1"/>
  <c r="CF390" i="5" s="1"/>
  <c r="CG36" i="5" a="1"/>
  <c r="CG36" i="5" s="1"/>
  <c r="BE36" i="5" s="1"/>
  <c r="CF91" i="5" a="1"/>
  <c r="CF91" i="5" s="1"/>
  <c r="CF216" i="5" a="1"/>
  <c r="CF216" i="5" s="1"/>
  <c r="CF341" i="5" a="1"/>
  <c r="CF341" i="5" s="1"/>
  <c r="CG24" i="5" a="1"/>
  <c r="CG24" i="5" s="1"/>
  <c r="BE24" i="5" s="1"/>
  <c r="CG149" i="5" a="1"/>
  <c r="CG149" i="5" s="1"/>
  <c r="BE149" i="5" s="1"/>
  <c r="CG263" i="5" a="1"/>
  <c r="CG263" i="5" s="1"/>
  <c r="BE263" i="5" s="1"/>
  <c r="CG363" i="5" a="1"/>
  <c r="CG363" i="5" s="1"/>
  <c r="BE363" i="5" s="1"/>
  <c r="CF23" i="5" a="1"/>
  <c r="CF23" i="5" s="1"/>
  <c r="CF104" i="5" a="1"/>
  <c r="CF104" i="5" s="1"/>
  <c r="CF185" i="5" a="1"/>
  <c r="CF185" i="5" s="1"/>
  <c r="CF273" i="5" a="1"/>
  <c r="CF273" i="5" s="1"/>
  <c r="CF354" i="5" a="1"/>
  <c r="CF354" i="5" s="1"/>
  <c r="CF435" i="5" a="1"/>
  <c r="CF435" i="5" s="1"/>
  <c r="CG81" i="5" a="1"/>
  <c r="CG81" i="5" s="1"/>
  <c r="BE81" i="5" s="1"/>
  <c r="CG162" i="5" a="1"/>
  <c r="CG162" i="5" s="1"/>
  <c r="BE162" i="5" s="1"/>
  <c r="CF36" i="5" a="1"/>
  <c r="CF36" i="5" s="1"/>
  <c r="CF161" i="5" a="1"/>
  <c r="CF161" i="5" s="1"/>
  <c r="CF286" i="5" a="1"/>
  <c r="CF286" i="5" s="1"/>
  <c r="CF411" i="5" a="1"/>
  <c r="CF411" i="5" s="1"/>
  <c r="CG94" i="5" a="1"/>
  <c r="CG94" i="5" s="1"/>
  <c r="BE94" i="5" s="1"/>
  <c r="CF68" i="5" a="1"/>
  <c r="CF68" i="5" s="1"/>
  <c r="CF149" i="5" a="1"/>
  <c r="CF149" i="5" s="1"/>
  <c r="CF230" i="5" a="1"/>
  <c r="CF230" i="5" s="1"/>
  <c r="CF318" i="5" a="1"/>
  <c r="CF318" i="5" s="1"/>
  <c r="CF399" i="5" a="1"/>
  <c r="CF399" i="5" s="1"/>
  <c r="CF12" i="5" a="1"/>
  <c r="CF12" i="5" s="1"/>
  <c r="CF137" i="5" a="1"/>
  <c r="CF137" i="5" s="1"/>
  <c r="CF262" i="5" a="1"/>
  <c r="CF262" i="5" s="1"/>
  <c r="CF387" i="5" a="1"/>
  <c r="CF387" i="5" s="1"/>
  <c r="CG70" i="5" a="1"/>
  <c r="CG70" i="5" s="1"/>
  <c r="BE70" i="5" s="1"/>
  <c r="CG195" i="5" a="1"/>
  <c r="CG195" i="5" s="1"/>
  <c r="BE195" i="5" s="1"/>
  <c r="CG299" i="5" a="1"/>
  <c r="CG299" i="5" s="1"/>
  <c r="BE299" i="5" s="1"/>
  <c r="CG399" i="5" a="1"/>
  <c r="CG399" i="5" s="1"/>
  <c r="BE399" i="5" s="1"/>
  <c r="CG222" i="5" a="1"/>
  <c r="CG222" i="5" s="1"/>
  <c r="BE222" i="5" s="1"/>
  <c r="CG417" i="5" a="1"/>
  <c r="CG417" i="5" s="1"/>
  <c r="BE417" i="5" s="1"/>
  <c r="CG182" i="5" a="1"/>
  <c r="CG182" i="5" s="1"/>
  <c r="BE182" i="5" s="1"/>
  <c r="CG353" i="5" a="1"/>
  <c r="CG353" i="5" s="1"/>
  <c r="BE353" i="5" s="1"/>
  <c r="CG200" i="5" a="1"/>
  <c r="CG200" i="5" s="1"/>
  <c r="BE200" i="5" s="1"/>
  <c r="CG364" i="5" a="1"/>
  <c r="CG364" i="5" s="1"/>
  <c r="BE364" i="5" s="1"/>
  <c r="CG244" i="5" a="1"/>
  <c r="CG244" i="5" s="1"/>
  <c r="BE244" i="5" s="1"/>
  <c r="CG420" i="5" a="1"/>
  <c r="CG420" i="5" s="1"/>
  <c r="BE420" i="5" s="1"/>
  <c r="CG226" i="5" a="1"/>
  <c r="CG226" i="5" s="1"/>
  <c r="BE226" i="5" s="1"/>
  <c r="CG375" i="5" a="1"/>
  <c r="CG375" i="5" s="1"/>
  <c r="BE375" i="5" s="1"/>
  <c r="CG255" i="5" a="1"/>
  <c r="CG255" i="5" s="1"/>
  <c r="BE255" i="5" s="1"/>
  <c r="CG431" i="5" a="1"/>
  <c r="CG431" i="5" s="1"/>
  <c r="BE431" i="5" s="1"/>
  <c r="CG237" i="5" a="1"/>
  <c r="CG237" i="5" s="1"/>
  <c r="BE237" i="5" s="1"/>
  <c r="CG386" i="5" a="1"/>
  <c r="CG386" i="5" s="1"/>
  <c r="BE386" i="5" s="1"/>
  <c r="CG219" i="5" a="1"/>
  <c r="CG219" i="5" s="1"/>
  <c r="BE219" i="5" s="1"/>
  <c r="CG178" i="5" a="1"/>
  <c r="CG178" i="5" s="1"/>
  <c r="BE178" i="5" s="1"/>
  <c r="CG259" i="5" a="1"/>
  <c r="CG259" i="5" s="1"/>
  <c r="BE259" i="5" s="1"/>
  <c r="CG416" i="5" a="1"/>
  <c r="CG416" i="5" s="1"/>
  <c r="BE416" i="5" s="1"/>
  <c r="CG267" i="5" a="1"/>
  <c r="CG267" i="5" s="1"/>
  <c r="BE267" i="5" s="1"/>
  <c r="BC12" i="5" a="1"/>
  <c r="BC12" i="5" s="1"/>
  <c r="BC407" i="5" a="1"/>
  <c r="BC407" i="5" s="1"/>
  <c r="BC401" i="5" a="1"/>
  <c r="BC401" i="5" s="1"/>
  <c r="BC42" i="5" a="1"/>
  <c r="BC42" i="5" s="1"/>
  <c r="BC265" i="5" a="1"/>
  <c r="BC265" i="5" s="1"/>
  <c r="BC102" i="5" a="1"/>
  <c r="BC102" i="5" s="1"/>
  <c r="BC263" i="5" a="1"/>
  <c r="BC263" i="5" s="1"/>
  <c r="BC285" i="5" a="1"/>
  <c r="BC285" i="5" s="1"/>
  <c r="BC153" i="5" a="1"/>
  <c r="BC153" i="5" s="1"/>
  <c r="BC5" i="5" a="1"/>
  <c r="BC5" i="5" s="1"/>
  <c r="BC41" i="5" a="1"/>
  <c r="BC41" i="5" s="1"/>
  <c r="BC87" i="5" a="1"/>
  <c r="BC87" i="5" s="1"/>
  <c r="BC347" i="5" a="1"/>
  <c r="BC347" i="5" s="1"/>
  <c r="BC21" i="5" a="1"/>
  <c r="BC21" i="5" s="1"/>
  <c r="BC315" i="5" a="1"/>
  <c r="BC315" i="5" s="1"/>
  <c r="BC184" i="5" a="1"/>
  <c r="BC184" i="5" s="1"/>
  <c r="BC351" i="5" a="1"/>
  <c r="BC351" i="5" s="1"/>
  <c r="BC185" i="5" a="1"/>
  <c r="BC185" i="5" s="1"/>
  <c r="BC143" i="5" a="1"/>
  <c r="BC143" i="5" s="1"/>
  <c r="BN432" i="5" a="1"/>
  <c r="BN432" i="5" s="1"/>
  <c r="BN143" i="5" a="1"/>
  <c r="BN143" i="5" s="1"/>
  <c r="BN65" i="5" a="1"/>
  <c r="BN65" i="5" s="1"/>
  <c r="BC14" i="5" a="1"/>
  <c r="BC14" i="5" s="1"/>
  <c r="BN5" i="5" a="1"/>
  <c r="BN5" i="5" s="1"/>
  <c r="BC73" i="5" a="1"/>
  <c r="BC73" i="5" s="1"/>
  <c r="BC400" i="5" a="1"/>
  <c r="BC400" i="5" s="1"/>
  <c r="BC300" i="5" a="1"/>
  <c r="BC300" i="5" s="1"/>
  <c r="BC433" i="5" a="1"/>
  <c r="BC433" i="5" s="1"/>
  <c r="BN343" i="5" a="1"/>
  <c r="BN343" i="5" s="1"/>
  <c r="BN350" i="5" a="1"/>
  <c r="BN350" i="5" s="1"/>
  <c r="BN2" i="5" a="1"/>
  <c r="BN2" i="5" s="1"/>
  <c r="BC124" i="5" a="1"/>
  <c r="BC124" i="5" s="1"/>
  <c r="BN430" i="5" a="1"/>
  <c r="BN430" i="5" s="1"/>
  <c r="BC17" i="5" a="1"/>
  <c r="BC17" i="5" s="1"/>
  <c r="BC197" i="5" a="1"/>
  <c r="BC197" i="5" s="1"/>
  <c r="BN84" i="5" a="1"/>
  <c r="BN84" i="5" s="1"/>
  <c r="BC441" i="5" a="1"/>
  <c r="BC441" i="5" s="1"/>
  <c r="BN313" i="5" a="1"/>
  <c r="BN313" i="5" s="1"/>
  <c r="BN161" i="5" a="1"/>
  <c r="BN161" i="5" s="1"/>
  <c r="BN434" i="5" a="1"/>
  <c r="BN434" i="5" s="1"/>
  <c r="BN152" i="5" a="1"/>
  <c r="BN152" i="5" s="1"/>
  <c r="BC147" i="5" a="1"/>
  <c r="BC147" i="5" s="1"/>
  <c r="BC376" i="5" a="1"/>
  <c r="BC376" i="5" s="1"/>
  <c r="BC84" i="5" a="1"/>
  <c r="BC84" i="5" s="1"/>
  <c r="BC406" i="5" a="1"/>
  <c r="BC406" i="5" s="1"/>
  <c r="BC196" i="5" a="1"/>
  <c r="BC196" i="5" s="1"/>
  <c r="BC417" i="5" a="1"/>
  <c r="BC417" i="5" s="1"/>
  <c r="CF69" i="5" a="1"/>
  <c r="CF69" i="5" s="1"/>
  <c r="CF150" i="5" a="1"/>
  <c r="CF150" i="5" s="1"/>
  <c r="CF238" i="5" a="1"/>
  <c r="CF238" i="5" s="1"/>
  <c r="CF319" i="5" a="1"/>
  <c r="CF319" i="5" s="1"/>
  <c r="CF400" i="5" a="1"/>
  <c r="CF400" i="5" s="1"/>
  <c r="CG46" i="5" a="1"/>
  <c r="CG46" i="5" s="1"/>
  <c r="BE46" i="5" s="1"/>
  <c r="CG127" i="5" a="1"/>
  <c r="CG127" i="5" s="1"/>
  <c r="BE127" i="5" s="1"/>
  <c r="CF7" i="5" a="1"/>
  <c r="CF7" i="5" s="1"/>
  <c r="CF132" i="5" a="1"/>
  <c r="CF132" i="5" s="1"/>
  <c r="CF257" i="5" a="1"/>
  <c r="CF257" i="5" s="1"/>
  <c r="CF382" i="5" a="1"/>
  <c r="CF382" i="5" s="1"/>
  <c r="CG65" i="5" a="1"/>
  <c r="CG65" i="5" s="1"/>
  <c r="BE65" i="5" s="1"/>
  <c r="CG190" i="5" a="1"/>
  <c r="CG190" i="5" s="1"/>
  <c r="BE190" i="5" s="1"/>
  <c r="CG300" i="5" a="1"/>
  <c r="CG300" i="5" s="1"/>
  <c r="BE300" i="5" s="1"/>
  <c r="CG400" i="5" a="1"/>
  <c r="CG400" i="5" s="1"/>
  <c r="BE400" i="5" s="1"/>
  <c r="CF45" i="5" a="1"/>
  <c r="CF45" i="5" s="1"/>
  <c r="CF133" i="5" a="1"/>
  <c r="CF133" i="5" s="1"/>
  <c r="CF214" i="5" a="1"/>
  <c r="CF214" i="5" s="1"/>
  <c r="CF295" i="5" a="1"/>
  <c r="CF295" i="5" s="1"/>
  <c r="CF383" i="5" a="1"/>
  <c r="CF383" i="5" s="1"/>
  <c r="CG22" i="5" a="1"/>
  <c r="CG22" i="5" s="1"/>
  <c r="BE22" i="5" s="1"/>
  <c r="CF46" i="5" a="1"/>
  <c r="CF46" i="5" s="1"/>
  <c r="CF171" i="5" a="1"/>
  <c r="CF171" i="5" s="1"/>
  <c r="CF296" i="5" a="1"/>
  <c r="CF296" i="5" s="1"/>
  <c r="CF421" i="5" a="1"/>
  <c r="CF421" i="5" s="1"/>
  <c r="CG104" i="5" a="1"/>
  <c r="CG104" i="5" s="1"/>
  <c r="BE104" i="5" s="1"/>
  <c r="CG229" i="5" a="1"/>
  <c r="CG229" i="5" s="1"/>
  <c r="BE229" i="5" s="1"/>
  <c r="CG329" i="5" a="1"/>
  <c r="CG329" i="5" s="1"/>
  <c r="BE329" i="5" s="1"/>
  <c r="CG429" i="5" a="1"/>
  <c r="CG429" i="5" s="1"/>
  <c r="BE429" i="5" s="1"/>
  <c r="CF65" i="5" a="1"/>
  <c r="CF65" i="5" s="1"/>
  <c r="CF153" i="5" a="1"/>
  <c r="CF153" i="5" s="1"/>
  <c r="CF234" i="5" a="1"/>
  <c r="CF234" i="5" s="1"/>
  <c r="CF315" i="5" a="1"/>
  <c r="CF315" i="5" s="1"/>
  <c r="CF403" i="5" a="1"/>
  <c r="CF403" i="5" s="1"/>
  <c r="CG42" i="5" a="1"/>
  <c r="CG42" i="5" s="1"/>
  <c r="BE42" i="5" s="1"/>
  <c r="CF97" i="5" a="1"/>
  <c r="CF97" i="5" s="1"/>
  <c r="CF222" i="5" a="1"/>
  <c r="CF222" i="5" s="1"/>
  <c r="CF347" i="5" a="1"/>
  <c r="CF347" i="5" s="1"/>
  <c r="CG30" i="5" a="1"/>
  <c r="CG30" i="5" s="1"/>
  <c r="BE30" i="5" s="1"/>
  <c r="CG155" i="5" a="1"/>
  <c r="CG155" i="5" s="1"/>
  <c r="BE155" i="5" s="1"/>
  <c r="CG269" i="5" a="1"/>
  <c r="CG269" i="5" s="1"/>
  <c r="BE269" i="5" s="1"/>
  <c r="CG369" i="5" a="1"/>
  <c r="CG369" i="5" s="1"/>
  <c r="BE369" i="5" s="1"/>
  <c r="CF29" i="5" a="1"/>
  <c r="CF29" i="5" s="1"/>
  <c r="CF110" i="5" a="1"/>
  <c r="CF110" i="5" s="1"/>
  <c r="CF198" i="5" a="1"/>
  <c r="CF198" i="5" s="1"/>
  <c r="CF279" i="5" a="1"/>
  <c r="CF279" i="5" s="1"/>
  <c r="CF360" i="5" a="1"/>
  <c r="CF360" i="5" s="1"/>
  <c r="CG6" i="5" a="1"/>
  <c r="CG6" i="5" s="1"/>
  <c r="BE6" i="5" s="1"/>
  <c r="CG87" i="5" a="1"/>
  <c r="CG87" i="5" s="1"/>
  <c r="BE87" i="5" s="1"/>
  <c r="CG168" i="5" a="1"/>
  <c r="CG168" i="5" s="1"/>
  <c r="BE168" i="5" s="1"/>
  <c r="CF42" i="5" a="1"/>
  <c r="CF42" i="5" s="1"/>
  <c r="CF167" i="5" a="1"/>
  <c r="CF167" i="5" s="1"/>
  <c r="CF292" i="5" a="1"/>
  <c r="CF292" i="5" s="1"/>
  <c r="CF417" i="5" a="1"/>
  <c r="CF417" i="5" s="1"/>
  <c r="CG100" i="5" a="1"/>
  <c r="CG100" i="5" s="1"/>
  <c r="BE100" i="5" s="1"/>
  <c r="CF74" i="5" a="1"/>
  <c r="CF74" i="5" s="1"/>
  <c r="CF155" i="5" a="1"/>
  <c r="CF155" i="5" s="1"/>
  <c r="CF243" i="5" a="1"/>
  <c r="CF243" i="5" s="1"/>
  <c r="CF324" i="5" a="1"/>
  <c r="CF324" i="5" s="1"/>
  <c r="CF405" i="5" a="1"/>
  <c r="CF405" i="5" s="1"/>
  <c r="CF31" i="5" a="1"/>
  <c r="CF31" i="5" s="1"/>
  <c r="CF156" i="5" a="1"/>
  <c r="CF156" i="5" s="1"/>
  <c r="CF281" i="5" a="1"/>
  <c r="CF281" i="5" s="1"/>
  <c r="CF406" i="5" a="1"/>
  <c r="CF406" i="5" s="1"/>
  <c r="CG89" i="5" a="1"/>
  <c r="CG89" i="5" s="1"/>
  <c r="BE89" i="5" s="1"/>
  <c r="CG214" i="5" a="1"/>
  <c r="CG214" i="5" s="1"/>
  <c r="BE214" i="5" s="1"/>
  <c r="CG310" i="5" a="1"/>
  <c r="CG310" i="5" s="1"/>
  <c r="BE310" i="5" s="1"/>
  <c r="CG410" i="5" a="1"/>
  <c r="CG410" i="5" s="1"/>
  <c r="BE410" i="5" s="1"/>
  <c r="CG278" i="5" a="1"/>
  <c r="CG278" i="5" s="1"/>
  <c r="BE278" i="5" s="1"/>
  <c r="CG426" i="5" a="1"/>
  <c r="CG426" i="5" s="1"/>
  <c r="BE426" i="5" s="1"/>
  <c r="CG198" i="5" a="1"/>
  <c r="CG198" i="5" s="1"/>
  <c r="BE198" i="5" s="1"/>
  <c r="CG381" i="5" a="1"/>
  <c r="CG381" i="5" s="1"/>
  <c r="BE381" i="5" s="1"/>
  <c r="CG213" i="5" a="1"/>
  <c r="CG213" i="5" s="1"/>
  <c r="BE213" i="5" s="1"/>
  <c r="CG428" i="5" a="1"/>
  <c r="CG428" i="5" s="1"/>
  <c r="BE428" i="5" s="1"/>
  <c r="CG253" i="5" a="1"/>
  <c r="CG253" i="5" s="1"/>
  <c r="BE253" i="5" s="1"/>
  <c r="CG438" i="5" a="1"/>
  <c r="CG438" i="5" s="1"/>
  <c r="BE438" i="5" s="1"/>
  <c r="CG236" i="5" a="1"/>
  <c r="CG236" i="5" s="1"/>
  <c r="BE236" i="5" s="1"/>
  <c r="CG384" i="5" a="1"/>
  <c r="CG384" i="5" s="1"/>
  <c r="BE384" i="5" s="1"/>
  <c r="CG274" i="5" a="1"/>
  <c r="CG274" i="5" s="1"/>
  <c r="BE274" i="5" s="1"/>
  <c r="CG57" i="5" a="1"/>
  <c r="CG57" i="5" s="1"/>
  <c r="BE57" i="5" s="1"/>
  <c r="CG247" i="5" a="1"/>
  <c r="CG247" i="5" s="1"/>
  <c r="BE247" i="5" s="1"/>
  <c r="CG395" i="5" a="1"/>
  <c r="CG395" i="5" s="1"/>
  <c r="BE395" i="5" s="1"/>
  <c r="CG238" i="5" a="1"/>
  <c r="CG238" i="5" s="1"/>
  <c r="BE238" i="5" s="1"/>
  <c r="CG194" i="5" a="1"/>
  <c r="CG194" i="5" s="1"/>
  <c r="BE194" i="5" s="1"/>
  <c r="CG268" i="5" a="1"/>
  <c r="CG268" i="5" s="1"/>
  <c r="BE268" i="5" s="1"/>
  <c r="CG435" i="5" a="1"/>
  <c r="CG435" i="5" s="1"/>
  <c r="BE435" i="5" s="1"/>
  <c r="CG359" i="5" a="1"/>
  <c r="CG359" i="5" s="1"/>
  <c r="BE359" i="5" s="1"/>
  <c r="CG331" i="5" a="1"/>
  <c r="CG331" i="5" s="1"/>
  <c r="BE331" i="5" s="1"/>
  <c r="BC130" i="5" a="1"/>
  <c r="BC130" i="5" s="1"/>
  <c r="BC436" i="5" a="1"/>
  <c r="BC436" i="5" s="1"/>
  <c r="BC203" i="5" a="1"/>
  <c r="BC203" i="5" s="1"/>
  <c r="BC286" i="5" a="1"/>
  <c r="BC286" i="5" s="1"/>
  <c r="BC35" i="5" a="1"/>
  <c r="BC35" i="5" s="1"/>
  <c r="BC225" i="5" a="1"/>
  <c r="BC225" i="5" s="1"/>
  <c r="BC387" i="5" a="1"/>
  <c r="BC387" i="5" s="1"/>
  <c r="BC72" i="5" a="1"/>
  <c r="BC72" i="5" s="1"/>
  <c r="BC305" i="5" a="1"/>
  <c r="BC305" i="5" s="1"/>
  <c r="BC146" i="5" a="1"/>
  <c r="BC146" i="5" s="1"/>
  <c r="BC426" i="5" a="1"/>
  <c r="BC426" i="5" s="1"/>
  <c r="BC206" i="5" a="1"/>
  <c r="BC206" i="5" s="1"/>
  <c r="BC105" i="5" a="1"/>
  <c r="BC105" i="5" s="1"/>
  <c r="BC310" i="5" a="1"/>
  <c r="BC310" i="5" s="1"/>
  <c r="BC152" i="5" a="1"/>
  <c r="BC152" i="5" s="1"/>
  <c r="BC53" i="5" a="1"/>
  <c r="BC53" i="5" s="1"/>
  <c r="BC165" i="5" a="1"/>
  <c r="BC165" i="5" s="1"/>
  <c r="BC95" i="5" a="1"/>
  <c r="BC95" i="5" s="1"/>
  <c r="BC116" i="5" a="1"/>
  <c r="BC116" i="5" s="1"/>
  <c r="BC142" i="5" a="1"/>
  <c r="BC142" i="5" s="1"/>
  <c r="BN55" i="5" a="1"/>
  <c r="BN55" i="5" s="1"/>
  <c r="BC162" i="5" a="1"/>
  <c r="BC162" i="5" s="1"/>
  <c r="BC355" i="5" a="1"/>
  <c r="BC355" i="5" s="1"/>
  <c r="BN412" i="5" a="1"/>
  <c r="BN412" i="5" s="1"/>
  <c r="BN394" i="5" a="1"/>
  <c r="BN394" i="5" s="1"/>
  <c r="BN51" i="5" a="1"/>
  <c r="BN51" i="5" s="1"/>
  <c r="BC413" i="5" a="1"/>
  <c r="BC413" i="5" s="1"/>
  <c r="BN73" i="5" a="1"/>
  <c r="BN73" i="5" s="1"/>
  <c r="BC397" i="5" a="1"/>
  <c r="BC397" i="5" s="1"/>
  <c r="BN145" i="5" a="1"/>
  <c r="BN145" i="5" s="1"/>
  <c r="BN382" i="5" a="1"/>
  <c r="BN382" i="5" s="1"/>
  <c r="BN277" i="5" a="1"/>
  <c r="BN277" i="5" s="1"/>
  <c r="BN405" i="5" a="1"/>
  <c r="BN405" i="5" s="1"/>
  <c r="BC47" i="5" a="1"/>
  <c r="BC47" i="5" s="1"/>
  <c r="BN329" i="5" a="1"/>
  <c r="BN329" i="5" s="1"/>
  <c r="BN30" i="5" a="1"/>
  <c r="BN30" i="5" s="1"/>
  <c r="BN418" i="5" a="1"/>
  <c r="BN418" i="5" s="1"/>
  <c r="BC63" i="5" a="1"/>
  <c r="BC63" i="5" s="1"/>
  <c r="BC96" i="5" a="1"/>
  <c r="BC96" i="5" s="1"/>
  <c r="BN321" i="5" a="1"/>
  <c r="BN321" i="5" s="1"/>
  <c r="BC290" i="5" a="1"/>
  <c r="BC290" i="5" s="1"/>
  <c r="BN77" i="5" a="1"/>
  <c r="BN77" i="5" s="1"/>
  <c r="BC323" i="5" a="1"/>
  <c r="BC323" i="5" s="1"/>
  <c r="CF13" i="5" a="1"/>
  <c r="CF13" i="5" s="1"/>
  <c r="BN97" i="5" a="1"/>
  <c r="BN97" i="5" s="1"/>
  <c r="BC220" i="5" a="1"/>
  <c r="BC220" i="5" s="1"/>
  <c r="BN8" i="5" a="1"/>
  <c r="BN8" i="5" s="1"/>
  <c r="BC200" i="5" a="1"/>
  <c r="BC200" i="5" s="1"/>
  <c r="BN45" i="5" a="1"/>
  <c r="BN45" i="5" s="1"/>
  <c r="BN260" i="5" a="1"/>
  <c r="BN260" i="5" s="1"/>
  <c r="BC255" i="5" a="1"/>
  <c r="BC255" i="5" s="1"/>
  <c r="BN344" i="5" a="1"/>
  <c r="BN344" i="5" s="1"/>
  <c r="BN249" i="5" a="1"/>
  <c r="BN249" i="5" s="1"/>
  <c r="BN88" i="5" a="1"/>
  <c r="BN88" i="5" s="1"/>
  <c r="BN227" i="5" a="1"/>
  <c r="BN227" i="5" s="1"/>
  <c r="BN33" i="5" a="1"/>
  <c r="BN33" i="5" s="1"/>
  <c r="BN252" i="5" a="1"/>
  <c r="BN252" i="5" s="1"/>
  <c r="BC379" i="5" a="1"/>
  <c r="BC379" i="5" s="1"/>
  <c r="BC188" i="5" a="1"/>
  <c r="BC188" i="5" s="1"/>
  <c r="BN44" i="5" a="1"/>
  <c r="BN44" i="5" s="1"/>
  <c r="BN354" i="5" a="1"/>
  <c r="BN354" i="5" s="1"/>
  <c r="BN91" i="5" a="1"/>
  <c r="BN91" i="5" s="1"/>
  <c r="BC328" i="5" a="1"/>
  <c r="BC328" i="5" s="1"/>
  <c r="BN371" i="5" a="1"/>
  <c r="BN371" i="5" s="1"/>
  <c r="BN440" i="5" a="1"/>
  <c r="BN440" i="5" s="1"/>
  <c r="BC439" i="5" a="1"/>
  <c r="BC439" i="5" s="1"/>
  <c r="BC169" i="5" a="1"/>
  <c r="BC169" i="5" s="1"/>
  <c r="BC308" i="5" a="1"/>
  <c r="BC308" i="5" s="1"/>
  <c r="BN325" i="5" a="1"/>
  <c r="BN325" i="5" s="1"/>
  <c r="BN256" i="5" a="1"/>
  <c r="BN256" i="5" s="1"/>
  <c r="BN168" i="5" a="1"/>
  <c r="BN168" i="5" s="1"/>
  <c r="BC229" i="5" a="1"/>
  <c r="BC229" i="5" s="1"/>
  <c r="BN87" i="5" a="1"/>
  <c r="BN87" i="5" s="1"/>
  <c r="BN246" i="5" a="1"/>
  <c r="BN246" i="5" s="1"/>
  <c r="BC89" i="5" a="1"/>
  <c r="BC89" i="5" s="1"/>
  <c r="BN358" i="5" a="1"/>
  <c r="BN358" i="5" s="1"/>
  <c r="BN327" i="5" a="1"/>
  <c r="BN327" i="5" s="1"/>
  <c r="BC38" i="5" a="1"/>
  <c r="BC38" i="5" s="1"/>
  <c r="BN253" i="5" a="1"/>
  <c r="BN253" i="5" s="1"/>
  <c r="BN176" i="5" a="1"/>
  <c r="BN176" i="5" s="1"/>
  <c r="BC289" i="5" a="1"/>
  <c r="BC289" i="5" s="1"/>
  <c r="BN272" i="5" a="1"/>
  <c r="BN272" i="5" s="1"/>
  <c r="BN195" i="5" a="1"/>
  <c r="BN195" i="5" s="1"/>
  <c r="BC319" i="5" a="1"/>
  <c r="BC319" i="5" s="1"/>
  <c r="BN386" i="5" a="1"/>
  <c r="BN386" i="5" s="1"/>
  <c r="BN121" i="5" a="1"/>
  <c r="BN121" i="5" s="1"/>
  <c r="BN370" i="5" a="1"/>
  <c r="BN370" i="5" s="1"/>
  <c r="BC109" i="5" a="1"/>
  <c r="BC109" i="5" s="1"/>
  <c r="BN12" i="5" a="1"/>
  <c r="BN12" i="5" s="1"/>
  <c r="BN233" i="5" a="1"/>
  <c r="BN233" i="5" s="1"/>
  <c r="BN305" i="5" a="1"/>
  <c r="BN305" i="5" s="1"/>
  <c r="BN275" i="5" a="1"/>
  <c r="BN275" i="5" s="1"/>
  <c r="BN345" i="5" a="1"/>
  <c r="BN345" i="5" s="1"/>
  <c r="BN127" i="5" a="1"/>
  <c r="BN127" i="5" s="1"/>
  <c r="BN422" i="5" a="1"/>
  <c r="BN422" i="5" s="1"/>
  <c r="BN443" i="5" a="1"/>
  <c r="BN443" i="5" s="1"/>
  <c r="BN125" i="5" a="1"/>
  <c r="BN125" i="5" s="1"/>
  <c r="BN39" i="5" a="1"/>
  <c r="BN39" i="5" s="1"/>
  <c r="BN217" i="5" a="1"/>
  <c r="BN217" i="5" s="1"/>
  <c r="BN218" i="5" a="1"/>
  <c r="BN218" i="5" s="1"/>
  <c r="BC398" i="5" a="1"/>
  <c r="BC398" i="5" s="1"/>
  <c r="BN374" i="5" a="1"/>
  <c r="BN374" i="5" s="1"/>
  <c r="BN178" i="5" a="1"/>
  <c r="BN178" i="5" s="1"/>
  <c r="BC268" i="5" a="1"/>
  <c r="BC268" i="5" s="1"/>
  <c r="BN266" i="5" a="1"/>
  <c r="BN266" i="5" s="1"/>
  <c r="BN131" i="5" a="1"/>
  <c r="BN131" i="5" s="1"/>
  <c r="BN124" i="5" a="1"/>
  <c r="BN124" i="5" s="1"/>
  <c r="BN410" i="5" a="1"/>
  <c r="BN410" i="5" s="1"/>
  <c r="BN64" i="5" a="1"/>
  <c r="BN64" i="5" s="1"/>
  <c r="BN226" i="5" a="1"/>
  <c r="BN226" i="5" s="1"/>
  <c r="BC429" i="5" a="1"/>
  <c r="BC429" i="5" s="1"/>
  <c r="BC138" i="5" a="1"/>
  <c r="BC138" i="5" s="1"/>
  <c r="BN205" i="5" a="1"/>
  <c r="BN205" i="5" s="1"/>
  <c r="BN265" i="5" a="1"/>
  <c r="BN265" i="5" s="1"/>
  <c r="BN396" i="5" a="1"/>
  <c r="BN396" i="5" s="1"/>
  <c r="BN24" i="5" a="1"/>
  <c r="BN24" i="5" s="1"/>
  <c r="BN169" i="5" a="1"/>
  <c r="BN169" i="5" s="1"/>
  <c r="BC79" i="5" a="1"/>
  <c r="BC79" i="5" s="1"/>
  <c r="BN166" i="5" a="1"/>
  <c r="BN166" i="5" s="1"/>
  <c r="BC149" i="5" a="1"/>
  <c r="BC149" i="5" s="1"/>
  <c r="BN373" i="5" a="1"/>
  <c r="BN373" i="5" s="1"/>
  <c r="BC258" i="5" a="1"/>
  <c r="BC258" i="5" s="1"/>
  <c r="BN340" i="5" a="1"/>
  <c r="BN340" i="5" s="1"/>
  <c r="BC248" i="5" a="1"/>
  <c r="BC248" i="5" s="1"/>
  <c r="BN68" i="5" a="1"/>
  <c r="BN68" i="5" s="1"/>
  <c r="BN332" i="5" a="1"/>
  <c r="BN332" i="5" s="1"/>
  <c r="BN341" i="5" a="1"/>
  <c r="BN341" i="5" s="1"/>
  <c r="BC189" i="5" a="1"/>
  <c r="BC189" i="5" s="1"/>
  <c r="BN388" i="5" a="1"/>
  <c r="BN388" i="5" s="1"/>
  <c r="BN141" i="5" a="1"/>
  <c r="BN141" i="5" s="1"/>
  <c r="BN365" i="5" a="1"/>
  <c r="BN365" i="5" s="1"/>
  <c r="BN242" i="5" a="1"/>
  <c r="BN242" i="5" s="1"/>
  <c r="BN286" i="5" a="1"/>
  <c r="BN286" i="5" s="1"/>
  <c r="BN289" i="5" a="1"/>
  <c r="BN289" i="5" s="1"/>
  <c r="BN11" i="5" a="1"/>
  <c r="BN11" i="5" s="1"/>
  <c r="BC359" i="5" a="1"/>
  <c r="BC359" i="5" s="1"/>
  <c r="BN300" i="5" a="1"/>
  <c r="BN300" i="5" s="1"/>
  <c r="BN420" i="5" a="1"/>
  <c r="BN420" i="5" s="1"/>
  <c r="BN385" i="5" a="1"/>
  <c r="BN385" i="5" s="1"/>
  <c r="BC279" i="5" a="1"/>
  <c r="BC279" i="5" s="1"/>
  <c r="BC88" i="5" a="1"/>
  <c r="BC88" i="5" s="1"/>
  <c r="BC349" i="5" a="1"/>
  <c r="BC349" i="5" s="1"/>
  <c r="BN16" i="5" a="1"/>
  <c r="BN16" i="5" s="1"/>
  <c r="BN236" i="5" a="1"/>
  <c r="BN236" i="5" s="1"/>
  <c r="BN15" i="5" a="1"/>
  <c r="BN15" i="5" s="1"/>
  <c r="BC228" i="5" a="1"/>
  <c r="BC228" i="5" s="1"/>
  <c r="BN395" i="5" a="1"/>
  <c r="BN395" i="5" s="1"/>
  <c r="BN391" i="5" a="1"/>
  <c r="BN391" i="5" s="1"/>
  <c r="BN229" i="5" a="1"/>
  <c r="BN229" i="5" s="1"/>
  <c r="BC339" i="5" a="1"/>
  <c r="BC339" i="5" s="1"/>
  <c r="BN283" i="5" a="1"/>
  <c r="BN283" i="5" s="1"/>
  <c r="BN66" i="5" a="1"/>
  <c r="BN66" i="5" s="1"/>
  <c r="BC208" i="5" a="1"/>
  <c r="BC208" i="5" s="1"/>
  <c r="BN102" i="5" a="1"/>
  <c r="BN102" i="5" s="1"/>
  <c r="BN280" i="5" a="1"/>
  <c r="BN280" i="5" s="1"/>
  <c r="BN17" i="5" a="1"/>
  <c r="BN17" i="5" s="1"/>
  <c r="BN148" i="5" a="1"/>
  <c r="BN148" i="5" s="1"/>
  <c r="BN14" i="5" a="1"/>
  <c r="BN14" i="5" s="1"/>
  <c r="BN310" i="5" a="1"/>
  <c r="BN310" i="5" s="1"/>
  <c r="BC409" i="5" a="1"/>
  <c r="BC409" i="5" s="1"/>
  <c r="BN19" i="5" a="1"/>
  <c r="BN19" i="5" s="1"/>
  <c r="BN427" i="5" a="1"/>
  <c r="BN427" i="5" s="1"/>
  <c r="BN368" i="5" a="1"/>
  <c r="BN368" i="5" s="1"/>
  <c r="BC119" i="5" a="1"/>
  <c r="BC119" i="5" s="1"/>
  <c r="BN47" i="5" a="1"/>
  <c r="BN47" i="5" s="1"/>
  <c r="BN186" i="5" a="1"/>
  <c r="BN186" i="5" s="1"/>
  <c r="BN278" i="5" a="1"/>
  <c r="BN278" i="5" s="1"/>
  <c r="BC378" i="5" a="1"/>
  <c r="BC378" i="5" s="1"/>
  <c r="BN442" i="5" a="1"/>
  <c r="BN442" i="5" s="1"/>
  <c r="BN425" i="5" a="1"/>
  <c r="BN425" i="5" s="1"/>
  <c r="BN53" i="5" a="1"/>
  <c r="BN53" i="5" s="1"/>
  <c r="BN187" i="5" a="1"/>
  <c r="BN187" i="5" s="1"/>
  <c r="BC219" i="5" a="1"/>
  <c r="BC219" i="5" s="1"/>
  <c r="BN273" i="5" a="1"/>
  <c r="BN273" i="5" s="1"/>
  <c r="BN115" i="5" a="1"/>
  <c r="BN115" i="5" s="1"/>
  <c r="BN316" i="5" a="1"/>
  <c r="BN316" i="5" s="1"/>
  <c r="BN7" i="5" a="1"/>
  <c r="BN7" i="5" s="1"/>
  <c r="BN211" i="5" a="1"/>
  <c r="BN211" i="5" s="1"/>
  <c r="BN224" i="5" a="1"/>
  <c r="BN224" i="5" s="1"/>
  <c r="BN83" i="5" a="1"/>
  <c r="BN83" i="5" s="1"/>
  <c r="BN331" i="5" a="1"/>
  <c r="BN331" i="5" s="1"/>
  <c r="BN61" i="5" a="1"/>
  <c r="BN61" i="5" s="1"/>
  <c r="BN282" i="5" a="1"/>
  <c r="BN282" i="5" s="1"/>
  <c r="BN25" i="5" a="1"/>
  <c r="BN25" i="5" s="1"/>
  <c r="BN164" i="5" a="1"/>
  <c r="BN164" i="5" s="1"/>
  <c r="BN264" i="5" a="1"/>
  <c r="BN264" i="5" s="1"/>
  <c r="BN297" i="5" a="1"/>
  <c r="BN297" i="5" s="1"/>
  <c r="BN81" i="5" a="1"/>
  <c r="BN81" i="5" s="1"/>
  <c r="BN185" i="5" a="1"/>
  <c r="BN185" i="5" s="1"/>
  <c r="BC298" i="5" a="1"/>
  <c r="BC298" i="5" s="1"/>
  <c r="BC168" i="5" a="1"/>
  <c r="BC168" i="5" s="1"/>
  <c r="BN86" i="5" a="1"/>
  <c r="BN86" i="5" s="1"/>
  <c r="BN281" i="5" a="1"/>
  <c r="BN281" i="5" s="1"/>
  <c r="BN167" i="5" a="1"/>
  <c r="BN167" i="5" s="1"/>
  <c r="BN177" i="5" a="1"/>
  <c r="BN177" i="5" s="1"/>
  <c r="BN423" i="5" a="1"/>
  <c r="BN423" i="5" s="1"/>
  <c r="BN359" i="5" a="1"/>
  <c r="BN359" i="5" s="1"/>
  <c r="BN292" i="5" a="1"/>
  <c r="BN292" i="5" s="1"/>
  <c r="BN158" i="5" a="1"/>
  <c r="BN158" i="5" s="1"/>
  <c r="BN89" i="5" a="1"/>
  <c r="BN89" i="5" s="1"/>
  <c r="BC329" i="5" a="1"/>
  <c r="BC329" i="5" s="1"/>
  <c r="BN230" i="5" a="1"/>
  <c r="BN230" i="5" s="1"/>
  <c r="BN416" i="5" a="1"/>
  <c r="BN416" i="5" s="1"/>
  <c r="BN82" i="5" a="1"/>
  <c r="BN82" i="5" s="1"/>
  <c r="BN231" i="5" a="1"/>
  <c r="BN231" i="5" s="1"/>
  <c r="BN10" i="5" a="1"/>
  <c r="BN10" i="5" s="1"/>
  <c r="BN413" i="5" a="1"/>
  <c r="BN413" i="5" s="1"/>
  <c r="BN247" i="5" a="1"/>
  <c r="BN247" i="5" s="1"/>
  <c r="BN181" i="5" a="1"/>
  <c r="BN181" i="5" s="1"/>
  <c r="BC158" i="5" a="1"/>
  <c r="BC158" i="5" s="1"/>
  <c r="BC148" i="5" a="1"/>
  <c r="BC148" i="5" s="1"/>
  <c r="BN172" i="5" a="1"/>
  <c r="BN172" i="5" s="1"/>
  <c r="BN136" i="5" a="1"/>
  <c r="BN136" i="5" s="1"/>
  <c r="BN398" i="5" a="1"/>
  <c r="BN398" i="5" s="1"/>
  <c r="BN298" i="5" a="1"/>
  <c r="BN298" i="5" s="1"/>
  <c r="BN192" i="5" a="1"/>
  <c r="BN192" i="5" s="1"/>
  <c r="BN173" i="5" a="1"/>
  <c r="BN173" i="5" s="1"/>
  <c r="BN49" i="5" a="1"/>
  <c r="BN49" i="5" s="1"/>
  <c r="BC259" i="5" a="1"/>
  <c r="BC259" i="5" s="1"/>
  <c r="BN180" i="5" a="1"/>
  <c r="BN180" i="5" s="1"/>
  <c r="BN408" i="5" a="1"/>
  <c r="BN408" i="5" s="1"/>
  <c r="BC179" i="5" a="1"/>
  <c r="BC179" i="5" s="1"/>
  <c r="BC139" i="5" a="1"/>
  <c r="BC139" i="5" s="1"/>
  <c r="BC99" i="5" a="1"/>
  <c r="BC99" i="5" s="1"/>
  <c r="BN4" i="5" a="1"/>
  <c r="BN4" i="5" s="1"/>
  <c r="BC249" i="5" a="1"/>
  <c r="BC249" i="5" s="1"/>
  <c r="BC128" i="5" a="1"/>
  <c r="BC128" i="5" s="1"/>
  <c r="BN263" i="5" a="1"/>
  <c r="BN263" i="5" s="1"/>
  <c r="BN307" i="5" a="1"/>
  <c r="BN307" i="5" s="1"/>
  <c r="BN132" i="5" a="1"/>
  <c r="BN132" i="5" s="1"/>
  <c r="BN138" i="5" a="1"/>
  <c r="BN138" i="5" s="1"/>
  <c r="BN35" i="5" a="1"/>
  <c r="BN35" i="5" s="1"/>
  <c r="BN330" i="5" a="1"/>
  <c r="BN330" i="5" s="1"/>
  <c r="BN336" i="5" a="1"/>
  <c r="BN336" i="5" s="1"/>
  <c r="BC108" i="5" a="1"/>
  <c r="BC108" i="5" s="1"/>
  <c r="BN196" i="5" a="1"/>
  <c r="BN196" i="5" s="1"/>
  <c r="BN228" i="5" a="1"/>
  <c r="BN228" i="5" s="1"/>
  <c r="BN274" i="5" a="1"/>
  <c r="BN274" i="5" s="1"/>
  <c r="BN437" i="5" a="1"/>
  <c r="BN437" i="5" s="1"/>
  <c r="BN9" i="5" a="1"/>
  <c r="BN9" i="5" s="1"/>
  <c r="BC309" i="5" a="1"/>
  <c r="BC309" i="5" s="1"/>
  <c r="BN299" i="5" a="1"/>
  <c r="BN299" i="5" s="1"/>
  <c r="BN203" i="5" a="1"/>
  <c r="BN203" i="5" s="1"/>
  <c r="BN235" i="5" a="1"/>
  <c r="BN235" i="5" s="1"/>
  <c r="BN26" i="5" a="1"/>
  <c r="BN26" i="5" s="1"/>
  <c r="BC278" i="5" a="1"/>
  <c r="BC278" i="5" s="1"/>
  <c r="BC418" i="5" a="1"/>
  <c r="BC418" i="5" s="1"/>
  <c r="BN144" i="5" a="1"/>
  <c r="BN144" i="5" s="1"/>
  <c r="BN404" i="5" a="1"/>
  <c r="BN404" i="5" s="1"/>
  <c r="BC8" i="5" a="1"/>
  <c r="BC8" i="5" s="1"/>
  <c r="BN191" i="5" a="1"/>
  <c r="BN191" i="5" s="1"/>
  <c r="BN257" i="5" a="1"/>
  <c r="BN257" i="5" s="1"/>
  <c r="BN346" i="5" a="1"/>
  <c r="BN346" i="5" s="1"/>
  <c r="BN311" i="5" a="1"/>
  <c r="BN311" i="5" s="1"/>
  <c r="BN189" i="5" a="1"/>
  <c r="BN189" i="5" s="1"/>
  <c r="BN139" i="5" a="1"/>
  <c r="BN139" i="5" s="1"/>
  <c r="BN208" i="5" a="1"/>
  <c r="BN208" i="5" s="1"/>
  <c r="BN339" i="5" a="1"/>
  <c r="BN339" i="5" s="1"/>
  <c r="BN259" i="5" a="1"/>
  <c r="BN259" i="5" s="1"/>
  <c r="BN355" i="5" a="1"/>
  <c r="BN355" i="5" s="1"/>
  <c r="BN101" i="5" a="1"/>
  <c r="BN101" i="5" s="1"/>
  <c r="BN6" i="5" a="1"/>
  <c r="BN6" i="5" s="1"/>
  <c r="BN199" i="5" a="1"/>
  <c r="BN199" i="5" s="1"/>
  <c r="BC198" i="5" a="1"/>
  <c r="BC198" i="5" s="1"/>
  <c r="BC68" i="5" a="1"/>
  <c r="BC68" i="5" s="1"/>
  <c r="BN424" i="5" a="1"/>
  <c r="BN424" i="5" s="1"/>
  <c r="BN93" i="5" a="1"/>
  <c r="BN93" i="5" s="1"/>
  <c r="BN219" i="5" a="1"/>
  <c r="BN219" i="5" s="1"/>
  <c r="BN117" i="5" a="1"/>
  <c r="BN117" i="5" s="1"/>
  <c r="BN122" i="5" a="1"/>
  <c r="BN122" i="5" s="1"/>
  <c r="BC129" i="5" a="1"/>
  <c r="BC129" i="5" s="1"/>
  <c r="BC438" i="5" a="1"/>
  <c r="BC438" i="5" s="1"/>
  <c r="BN107" i="5" a="1"/>
  <c r="BN107" i="5" s="1"/>
  <c r="BC399" i="5" a="1"/>
  <c r="BC399" i="5" s="1"/>
  <c r="BN13" i="5" a="1"/>
  <c r="BN13" i="5" s="1"/>
  <c r="BN414" i="5" a="1"/>
  <c r="BN414" i="5" s="1"/>
  <c r="BN76" i="5" a="1"/>
  <c r="BN76" i="5" s="1"/>
  <c r="BN302" i="5" a="1"/>
  <c r="BN302" i="5" s="1"/>
  <c r="BN129" i="5" a="1"/>
  <c r="BN129" i="5" s="1"/>
  <c r="BN342" i="5" a="1"/>
  <c r="BN342" i="5" s="1"/>
  <c r="BN34" i="5" a="1"/>
  <c r="BN34" i="5" s="1"/>
  <c r="BN212" i="5" a="1"/>
  <c r="BN212" i="5" s="1"/>
  <c r="BC58" i="5" a="1"/>
  <c r="BC58" i="5" s="1"/>
  <c r="BN419" i="5" a="1"/>
  <c r="BN419" i="5" s="1"/>
  <c r="BC69" i="5" a="1"/>
  <c r="BC69" i="5" s="1"/>
  <c r="BN150" i="5" a="1"/>
  <c r="BN150" i="5" s="1"/>
  <c r="BN232" i="5" a="1"/>
  <c r="BN232" i="5" s="1"/>
  <c r="BN407" i="5" a="1"/>
  <c r="BN407" i="5" s="1"/>
  <c r="BN59" i="5" a="1"/>
  <c r="BN59" i="5" s="1"/>
  <c r="BC18" i="5" a="1"/>
  <c r="BC18" i="5" s="1"/>
  <c r="BC388" i="5" a="1"/>
  <c r="BC388" i="5" s="1"/>
  <c r="BN279" i="5" a="1"/>
  <c r="BN279" i="5" s="1"/>
  <c r="BC408" i="5" a="1"/>
  <c r="BC408" i="5" s="1"/>
  <c r="BN353" i="5" a="1"/>
  <c r="BN353" i="5" s="1"/>
  <c r="BC239" i="5" a="1"/>
  <c r="BC239" i="5" s="1"/>
  <c r="BN197" i="5" a="1"/>
  <c r="BN197" i="5" s="1"/>
  <c r="BN207" i="5" a="1"/>
  <c r="BN207" i="5" s="1"/>
  <c r="BN241" i="5" a="1"/>
  <c r="BN241" i="5" s="1"/>
  <c r="BN221" i="5" a="1"/>
  <c r="BN221" i="5" s="1"/>
  <c r="BN198" i="5" a="1"/>
  <c r="BN198" i="5" s="1"/>
  <c r="BC369" i="5" a="1"/>
  <c r="BC369" i="5" s="1"/>
  <c r="BN209" i="5" a="1"/>
  <c r="BN209" i="5" s="1"/>
  <c r="BN295" i="5" a="1"/>
  <c r="BN295" i="5" s="1"/>
  <c r="BN28" i="5" a="1"/>
  <c r="BN28" i="5" s="1"/>
  <c r="BN348" i="5" a="1"/>
  <c r="BN348" i="5" s="1"/>
  <c r="BN222" i="5" a="1"/>
  <c r="BN222" i="5" s="1"/>
  <c r="BC209" i="5" a="1"/>
  <c r="BC209" i="5" s="1"/>
  <c r="BC299" i="5" a="1"/>
  <c r="BC299" i="5" s="1"/>
  <c r="BN80" i="5" a="1"/>
  <c r="BN80" i="5" s="1"/>
  <c r="BN347" i="5" a="1"/>
  <c r="BN347" i="5" s="1"/>
  <c r="BN215" i="5" a="1"/>
  <c r="BN215" i="5" s="1"/>
  <c r="BN85" i="5" a="1"/>
  <c r="BN85" i="5" s="1"/>
  <c r="BN67" i="5" a="1"/>
  <c r="BN67" i="5" s="1"/>
  <c r="BN190" i="5" a="1"/>
  <c r="BN190" i="5" s="1"/>
  <c r="BC178" i="5" a="1"/>
  <c r="BC178" i="5" s="1"/>
  <c r="BN21" i="5" a="1"/>
  <c r="BN21" i="5" s="1"/>
  <c r="BN182" i="5" a="1"/>
  <c r="BN182" i="5" s="1"/>
  <c r="BN250" i="5" a="1"/>
  <c r="BN250" i="5" s="1"/>
  <c r="BN261" i="5" a="1"/>
  <c r="BN261" i="5" s="1"/>
  <c r="BN426" i="5" a="1"/>
  <c r="BN426" i="5" s="1"/>
  <c r="BN357" i="5" a="1"/>
  <c r="BN357" i="5" s="1"/>
  <c r="BN109" i="5" a="1"/>
  <c r="BN109" i="5" s="1"/>
  <c r="BN317" i="5" a="1"/>
  <c r="BN317" i="5" s="1"/>
  <c r="BC318" i="5" a="1"/>
  <c r="BC318" i="5" s="1"/>
  <c r="BN433" i="5" a="1"/>
  <c r="BN433" i="5" s="1"/>
  <c r="BN72" i="5" a="1"/>
  <c r="BN72" i="5" s="1"/>
  <c r="BN216" i="5" a="1"/>
  <c r="BN216" i="5" s="1"/>
  <c r="BN94" i="5" a="1"/>
  <c r="BN94" i="5" s="1"/>
  <c r="BN41" i="5" a="1"/>
  <c r="BN41" i="5" s="1"/>
  <c r="BN338" i="5" a="1"/>
  <c r="BN338" i="5" s="1"/>
  <c r="BN175" i="5" a="1"/>
  <c r="BN175" i="5" s="1"/>
  <c r="BC28" i="5" a="1"/>
  <c r="BC28" i="5" s="1"/>
  <c r="BN308" i="5" a="1"/>
  <c r="BN308" i="5" s="1"/>
  <c r="BN376" i="5" a="1"/>
  <c r="BN376" i="5" s="1"/>
  <c r="BN38" i="5" a="1"/>
  <c r="BN38" i="5" s="1"/>
  <c r="BN352" i="5" a="1"/>
  <c r="BN352" i="5" s="1"/>
  <c r="BN393" i="5" a="1"/>
  <c r="BN393" i="5" s="1"/>
  <c r="BN99" i="5" a="1"/>
  <c r="BN99" i="5" s="1"/>
  <c r="BN251" i="5" a="1"/>
  <c r="BN251" i="5" s="1"/>
  <c r="BN130" i="5" a="1"/>
  <c r="BN130" i="5" s="1"/>
  <c r="BN239" i="5" a="1"/>
  <c r="BN239" i="5" s="1"/>
  <c r="BN153" i="5" a="1"/>
  <c r="BN153" i="5" s="1"/>
  <c r="BN202" i="5" a="1"/>
  <c r="BN202" i="5" s="1"/>
  <c r="BN142" i="5" a="1"/>
  <c r="BN142" i="5" s="1"/>
  <c r="BC98" i="5" a="1"/>
  <c r="BC98" i="5" s="1"/>
  <c r="BN204" i="5" a="1"/>
  <c r="BN204" i="5" s="1"/>
  <c r="BN258" i="5" a="1"/>
  <c r="BN258" i="5" s="1"/>
  <c r="BN171" i="5" a="1"/>
  <c r="BN171" i="5" s="1"/>
  <c r="BN52" i="5" a="1"/>
  <c r="BN52" i="5" s="1"/>
  <c r="BC338" i="5" a="1"/>
  <c r="BC338" i="5" s="1"/>
  <c r="BN37" i="5" a="1"/>
  <c r="BN37" i="5" s="1"/>
  <c r="BN421" i="5" a="1"/>
  <c r="BN421" i="5" s="1"/>
  <c r="BN201" i="5" a="1"/>
  <c r="BN201" i="5" s="1"/>
  <c r="BN290" i="5" a="1"/>
  <c r="BN290" i="5" s="1"/>
  <c r="BN268" i="5" a="1"/>
  <c r="BN268" i="5" s="1"/>
  <c r="BN312" i="5" a="1"/>
  <c r="BN312" i="5" s="1"/>
  <c r="BC39" i="5" a="1"/>
  <c r="BC39" i="5" s="1"/>
  <c r="BN244" i="5" a="1"/>
  <c r="BN244" i="5" s="1"/>
  <c r="BN69" i="5" a="1"/>
  <c r="BN69" i="5" s="1"/>
  <c r="BN36" i="5" a="1"/>
  <c r="BN36" i="5" s="1"/>
  <c r="BN381" i="5" a="1"/>
  <c r="BN381" i="5" s="1"/>
  <c r="BN243" i="5" a="1"/>
  <c r="BN243" i="5" s="1"/>
  <c r="BN162" i="5" a="1"/>
  <c r="BN162" i="5" s="1"/>
  <c r="BN335" i="5" a="1"/>
  <c r="BN335" i="5" s="1"/>
  <c r="BN183" i="5" a="1"/>
  <c r="BN183" i="5" s="1"/>
  <c r="BC348" i="5" a="1"/>
  <c r="BC348" i="5" s="1"/>
  <c r="BC48" i="5" a="1"/>
  <c r="BC48" i="5" s="1"/>
  <c r="BN428" i="5" a="1"/>
  <c r="BN428" i="5" s="1"/>
  <c r="BN288" i="5" a="1"/>
  <c r="BN288" i="5" s="1"/>
  <c r="BN375" i="5" a="1"/>
  <c r="BN375" i="5" s="1"/>
  <c r="BN42" i="5" a="1"/>
  <c r="BN42" i="5" s="1"/>
  <c r="BN377" i="5" a="1"/>
  <c r="BN377" i="5" s="1"/>
  <c r="BN379" i="5" a="1"/>
  <c r="BN379" i="5" s="1"/>
  <c r="BC29" i="5" a="1"/>
  <c r="BC29" i="5" s="1"/>
  <c r="BC288" i="5" a="1"/>
  <c r="BC288" i="5" s="1"/>
  <c r="BN46" i="5" a="1"/>
  <c r="BN46" i="5" s="1"/>
  <c r="BN160" i="5" a="1"/>
  <c r="BN160" i="5" s="1"/>
  <c r="BN50" i="5" a="1"/>
  <c r="BN50" i="5" s="1"/>
  <c r="BN406" i="5" a="1"/>
  <c r="BN406" i="5" s="1"/>
  <c r="BN135" i="5" a="1"/>
  <c r="BN135" i="5" s="1"/>
  <c r="BC428" i="5" a="1"/>
  <c r="BC428" i="5" s="1"/>
  <c r="BN387" i="5" a="1"/>
  <c r="BN387" i="5" s="1"/>
  <c r="BC59" i="5" a="1"/>
  <c r="BC59" i="5" s="1"/>
  <c r="BC49" i="5" a="1"/>
  <c r="BC49" i="5" s="1"/>
  <c r="BC269" i="5" a="1"/>
  <c r="BC269" i="5" s="1"/>
  <c r="BN78" i="5" a="1"/>
  <c r="BN78" i="5" s="1"/>
  <c r="BN133" i="5" a="1"/>
  <c r="BN133" i="5" s="1"/>
  <c r="BN337" i="5" a="1"/>
  <c r="BN337" i="5" s="1"/>
  <c r="BN318" i="5" a="1"/>
  <c r="BN318" i="5" s="1"/>
  <c r="BN334" i="5" a="1"/>
  <c r="BN334" i="5" s="1"/>
  <c r="BN147" i="5" a="1"/>
  <c r="BN147" i="5" s="1"/>
  <c r="BC199" i="5" a="1"/>
  <c r="BC199" i="5" s="1"/>
  <c r="BN399" i="5" a="1"/>
  <c r="BN399" i="5" s="1"/>
  <c r="BN75" i="5" a="1"/>
  <c r="BN75" i="5" s="1"/>
  <c r="BN383" i="5" a="1"/>
  <c r="BN383" i="5" s="1"/>
  <c r="BN103" i="5" a="1"/>
  <c r="BN103" i="5" s="1"/>
  <c r="BC78" i="5" a="1"/>
  <c r="BC78" i="5" s="1"/>
  <c r="BN285" i="5" a="1"/>
  <c r="BN285" i="5" s="1"/>
  <c r="BC218" i="5" a="1"/>
  <c r="BC218" i="5" s="1"/>
  <c r="BC389" i="5" a="1"/>
  <c r="BC389" i="5" s="1"/>
  <c r="BC419" i="5" a="1"/>
  <c r="BC419" i="5" s="1"/>
  <c r="BN54" i="5" a="1"/>
  <c r="BN54" i="5" s="1"/>
  <c r="BN441" i="5" a="1"/>
  <c r="BN441" i="5" s="1"/>
  <c r="BN111" i="5" a="1"/>
  <c r="BN111" i="5" s="1"/>
  <c r="BN234" i="5" a="1"/>
  <c r="BN234" i="5" s="1"/>
  <c r="BN20" i="5" a="1"/>
  <c r="BN20" i="5" s="1"/>
  <c r="BC118" i="5" a="1"/>
  <c r="BC118" i="5" s="1"/>
  <c r="BN389" i="5" a="1"/>
  <c r="BN389" i="5" s="1"/>
  <c r="BN188" i="5" a="1"/>
  <c r="BN188" i="5" s="1"/>
  <c r="BN48" i="5" a="1"/>
  <c r="BN48" i="5" s="1"/>
  <c r="BN43" i="5" a="1"/>
  <c r="BN43" i="5" s="1"/>
  <c r="BN372" i="5" a="1"/>
  <c r="BN372" i="5" s="1"/>
  <c r="BN361" i="5" a="1"/>
  <c r="BN361" i="5" s="1"/>
  <c r="BN60" i="5" a="1"/>
  <c r="BN60" i="5" s="1"/>
  <c r="BN294" i="5" a="1"/>
  <c r="BN294" i="5" s="1"/>
  <c r="BN151" i="5" a="1"/>
  <c r="BN151" i="5" s="1"/>
  <c r="BN126" i="5" a="1"/>
  <c r="BN126" i="5" s="1"/>
  <c r="BN369" i="5" a="1"/>
  <c r="BN369" i="5" s="1"/>
  <c r="BN380" i="5" a="1"/>
  <c r="BN380" i="5" s="1"/>
  <c r="BN417" i="5" a="1"/>
  <c r="BN417" i="5" s="1"/>
  <c r="BN63" i="5" a="1"/>
  <c r="BN63" i="5" s="1"/>
  <c r="BN254" i="5" a="1"/>
  <c r="BN254" i="5" s="1"/>
  <c r="BC368" i="5" a="1"/>
  <c r="BC368" i="5" s="1"/>
  <c r="BN58" i="5" a="1"/>
  <c r="BN58" i="5" s="1"/>
  <c r="BN403" i="5" a="1"/>
  <c r="BN403" i="5" s="1"/>
  <c r="BN193" i="5" a="1"/>
  <c r="BN193" i="5" s="1"/>
  <c r="BC238" i="5" a="1"/>
  <c r="BC238" i="5" s="1"/>
  <c r="BN29" i="5" a="1"/>
  <c r="BN29" i="5" s="1"/>
  <c r="BN367" i="5" a="1"/>
  <c r="BN367" i="5" s="1"/>
  <c r="BN415" i="5" a="1"/>
  <c r="BN415" i="5" s="1"/>
  <c r="BN22" i="5" a="1"/>
  <c r="BN22" i="5" s="1"/>
  <c r="BN156" i="5" a="1"/>
  <c r="BN156" i="5" s="1"/>
  <c r="BN360" i="5" a="1"/>
  <c r="BN360" i="5" s="1"/>
  <c r="BC358" i="5" a="1"/>
  <c r="BC358" i="5" s="1"/>
  <c r="BC159" i="5" a="1"/>
  <c r="BC159" i="5" s="1"/>
  <c r="BN194" i="5" a="1"/>
  <c r="BN194" i="5" s="1"/>
  <c r="BN326" i="5" a="1"/>
  <c r="BN326" i="5" s="1"/>
  <c r="BN114" i="5" a="1"/>
  <c r="BN114" i="5" s="1"/>
  <c r="V111" i="5"/>
  <c r="W111" i="5" s="1"/>
  <c r="BL111" i="5"/>
  <c r="BF60" i="5"/>
  <c r="BM60" i="5"/>
  <c r="BU60" i="5" a="1"/>
  <c r="BU60" i="5" s="1"/>
  <c r="BT60" i="5" a="1"/>
  <c r="BT60" i="5" s="1"/>
  <c r="BW60" i="5"/>
  <c r="CO60" i="5" a="1"/>
  <c r="CO60" i="5" s="1"/>
  <c r="CS60" i="5" a="1"/>
  <c r="CS60" i="5" s="1"/>
  <c r="CP60" i="5" a="1"/>
  <c r="CP60" i="5" s="1"/>
  <c r="CR60" i="5" a="1"/>
  <c r="CR60" i="5" s="1"/>
  <c r="AP250" i="5"/>
  <c r="BF70" i="5"/>
  <c r="BM70" i="5"/>
  <c r="BU70" i="5" a="1"/>
  <c r="BU70" i="5" s="1"/>
  <c r="BT70" i="5" a="1"/>
  <c r="BT70" i="5" s="1"/>
  <c r="BW70" i="5"/>
  <c r="CO70" i="5" a="1"/>
  <c r="CO70" i="5" s="1"/>
  <c r="CP70" i="5" a="1"/>
  <c r="CP70" i="5" s="1"/>
  <c r="CR70" i="5" a="1"/>
  <c r="CR70" i="5" s="1"/>
  <c r="CS70" i="5" a="1"/>
  <c r="CS70" i="5" s="1"/>
  <c r="AP101" i="5"/>
  <c r="V81" i="5"/>
  <c r="W81" i="5" s="1"/>
  <c r="BL81" i="5"/>
  <c r="AP330" i="5"/>
  <c r="BF180" i="5"/>
  <c r="BM180" i="5"/>
  <c r="BT180" i="5" a="1"/>
  <c r="BT180" i="5" s="1"/>
  <c r="BU180" i="5" a="1"/>
  <c r="BU180" i="5" s="1"/>
  <c r="BW180" i="5"/>
  <c r="CO180" i="5" a="1"/>
  <c r="CO180" i="5" s="1"/>
  <c r="CP180" i="5" a="1"/>
  <c r="CP180" i="5" s="1"/>
  <c r="CR180" i="5" a="1"/>
  <c r="CR180" i="5" s="1"/>
  <c r="CS180" i="5" a="1"/>
  <c r="CS180" i="5" s="1"/>
  <c r="T7" i="2"/>
  <c r="BD331" i="5" l="1"/>
  <c r="CQ331" i="5" a="1"/>
  <c r="CQ331" i="5" s="1"/>
  <c r="BD384" i="5"/>
  <c r="CQ384" i="5" a="1"/>
  <c r="CQ384" i="5" s="1"/>
  <c r="BD410" i="5"/>
  <c r="CQ410" i="5" a="1"/>
  <c r="CQ410" i="5" s="1"/>
  <c r="BD6" i="5"/>
  <c r="CQ6" i="5" a="1"/>
  <c r="CQ6" i="5" s="1"/>
  <c r="BD329" i="5"/>
  <c r="CQ329" i="5" a="1"/>
  <c r="CQ329" i="5" s="1"/>
  <c r="BD386" i="5"/>
  <c r="CQ386" i="5" a="1"/>
  <c r="CQ386" i="5" s="1"/>
  <c r="BD353" i="5"/>
  <c r="CQ353" i="5" a="1"/>
  <c r="CQ353" i="5" s="1"/>
  <c r="BD363" i="5"/>
  <c r="CQ363" i="5" a="1"/>
  <c r="CQ363" i="5" s="1"/>
  <c r="BD59" i="5"/>
  <c r="CQ59" i="5" a="1"/>
  <c r="CQ59" i="5" s="1"/>
  <c r="BD403" i="5"/>
  <c r="CQ403" i="5" a="1"/>
  <c r="CQ403" i="5" s="1"/>
  <c r="BD408" i="5"/>
  <c r="CQ408" i="5" a="1"/>
  <c r="CQ408" i="5" s="1"/>
  <c r="BD156" i="5"/>
  <c r="CQ156" i="5" a="1"/>
  <c r="CQ156" i="5" s="1"/>
  <c r="BD130" i="5"/>
  <c r="CQ130" i="5" a="1"/>
  <c r="CQ130" i="5" s="1"/>
  <c r="BD227" i="5"/>
  <c r="CQ227" i="5" a="1"/>
  <c r="CQ227" i="5" s="1"/>
  <c r="BD197" i="5"/>
  <c r="CQ197" i="5" a="1"/>
  <c r="CQ197" i="5" s="1"/>
  <c r="BD62" i="5"/>
  <c r="CQ62" i="5" a="1"/>
  <c r="CQ62" i="5" s="1"/>
  <c r="BD401" i="5"/>
  <c r="CQ401" i="5" a="1"/>
  <c r="CQ401" i="5" s="1"/>
  <c r="BD358" i="5"/>
  <c r="CQ358" i="5" a="1"/>
  <c r="CQ358" i="5" s="1"/>
  <c r="BD316" i="5"/>
  <c r="CQ316" i="5" a="1"/>
  <c r="CQ316" i="5" s="1"/>
  <c r="BD330" i="5"/>
  <c r="CQ330" i="5" a="1"/>
  <c r="CQ330" i="5" s="1"/>
  <c r="BD72" i="5"/>
  <c r="CQ72" i="5" a="1"/>
  <c r="CQ72" i="5" s="1"/>
  <c r="BD15" i="5"/>
  <c r="CQ15" i="5" a="1"/>
  <c r="CQ15" i="5" s="1"/>
  <c r="BD396" i="5"/>
  <c r="CQ396" i="5" a="1"/>
  <c r="CQ396" i="5" s="1"/>
  <c r="BD141" i="5"/>
  <c r="CQ141" i="5" a="1"/>
  <c r="CQ141" i="5" s="1"/>
  <c r="BD260" i="5"/>
  <c r="CQ260" i="5" a="1"/>
  <c r="CQ260" i="5" s="1"/>
  <c r="BD160" i="5"/>
  <c r="CQ160" i="5" a="1"/>
  <c r="CQ160" i="5" s="1"/>
  <c r="BD83" i="5"/>
  <c r="CQ83" i="5" a="1"/>
  <c r="CQ83" i="5" s="1"/>
  <c r="BD324" i="5"/>
  <c r="CQ324" i="5" a="1"/>
  <c r="CQ324" i="5" s="1"/>
  <c r="BD327" i="5"/>
  <c r="CQ327" i="5" a="1"/>
  <c r="CQ327" i="5" s="1"/>
  <c r="BD139" i="5"/>
  <c r="CQ139" i="5" a="1"/>
  <c r="CQ139" i="5" s="1"/>
  <c r="BD29" i="5"/>
  <c r="CQ29" i="5" a="1"/>
  <c r="CQ29" i="5" s="1"/>
  <c r="BD439" i="5"/>
  <c r="CQ439" i="5" a="1"/>
  <c r="CQ439" i="5" s="1"/>
  <c r="BD406" i="5"/>
  <c r="CQ406" i="5" a="1"/>
  <c r="CQ406" i="5" s="1"/>
  <c r="BD264" i="5"/>
  <c r="CQ264" i="5" a="1"/>
  <c r="CQ264" i="5" s="1"/>
  <c r="BD343" i="5"/>
  <c r="CQ343" i="5" a="1"/>
  <c r="CQ343" i="5" s="1"/>
  <c r="BD262" i="5"/>
  <c r="CQ262" i="5" a="1"/>
  <c r="CQ262" i="5" s="1"/>
  <c r="BD152" i="5"/>
  <c r="CQ152" i="5" a="1"/>
  <c r="CQ152" i="5" s="1"/>
  <c r="BD296" i="5"/>
  <c r="CQ296" i="5" a="1"/>
  <c r="CQ296" i="5" s="1"/>
  <c r="BD309" i="5"/>
  <c r="CQ309" i="5" a="1"/>
  <c r="CQ309" i="5" s="1"/>
  <c r="BD114" i="5"/>
  <c r="CQ114" i="5" a="1"/>
  <c r="CQ114" i="5" s="1"/>
  <c r="BD125" i="5"/>
  <c r="CQ125" i="5" a="1"/>
  <c r="CQ125" i="5" s="1"/>
  <c r="BD4" i="5"/>
  <c r="CQ4" i="5" a="1"/>
  <c r="CQ4" i="5" s="1"/>
  <c r="BD422" i="5"/>
  <c r="CQ422" i="5" a="1"/>
  <c r="CQ422" i="5" s="1"/>
  <c r="BD405" i="5"/>
  <c r="CQ405" i="5" a="1"/>
  <c r="CQ405" i="5" s="1"/>
  <c r="BD245" i="5"/>
  <c r="CQ245" i="5" a="1"/>
  <c r="CQ245" i="5" s="1"/>
  <c r="BD321" i="5"/>
  <c r="CQ321" i="5" a="1"/>
  <c r="CQ321" i="5" s="1"/>
  <c r="BD240" i="5"/>
  <c r="CQ240" i="5" a="1"/>
  <c r="CQ240" i="5" s="1"/>
  <c r="BD133" i="5"/>
  <c r="CQ133" i="5" a="1"/>
  <c r="CQ133" i="5" s="1"/>
  <c r="BZ10" i="5"/>
  <c r="CK10" i="5"/>
  <c r="CL10" i="5"/>
  <c r="BY111" i="5"/>
  <c r="CA111" i="5"/>
  <c r="BY90" i="5"/>
  <c r="CA90" i="5"/>
  <c r="BD359" i="5"/>
  <c r="CQ359" i="5" a="1"/>
  <c r="CQ359" i="5" s="1"/>
  <c r="BD236" i="5"/>
  <c r="CQ236" i="5" a="1"/>
  <c r="CQ236" i="5" s="1"/>
  <c r="BD310" i="5"/>
  <c r="CQ310" i="5" a="1"/>
  <c r="CQ310" i="5" s="1"/>
  <c r="BD229" i="5"/>
  <c r="CQ229" i="5" a="1"/>
  <c r="CQ229" i="5" s="1"/>
  <c r="BD127" i="5"/>
  <c r="CQ127" i="5" a="1"/>
  <c r="CQ127" i="5" s="1"/>
  <c r="BD237" i="5"/>
  <c r="CQ237" i="5" a="1"/>
  <c r="CQ237" i="5" s="1"/>
  <c r="BD182" i="5"/>
  <c r="CQ182" i="5" a="1"/>
  <c r="CQ182" i="5" s="1"/>
  <c r="BD263" i="5"/>
  <c r="CQ263" i="5" a="1"/>
  <c r="CQ263" i="5" s="1"/>
  <c r="BD16" i="5"/>
  <c r="CQ16" i="5" a="1"/>
  <c r="CQ16" i="5" s="1"/>
  <c r="BD246" i="5"/>
  <c r="CQ246" i="5" a="1"/>
  <c r="CQ246" i="5" s="1"/>
  <c r="BD211" i="5"/>
  <c r="CQ211" i="5" a="1"/>
  <c r="CQ211" i="5" s="1"/>
  <c r="BD68" i="5"/>
  <c r="CQ68" i="5" a="1"/>
  <c r="CQ68" i="5" s="1"/>
  <c r="BD5" i="5"/>
  <c r="CQ5" i="5" a="1"/>
  <c r="CQ5" i="5" s="1"/>
  <c r="BD412" i="5"/>
  <c r="CQ412" i="5" a="1"/>
  <c r="CQ412" i="5" s="1"/>
  <c r="BD258" i="5"/>
  <c r="CQ258" i="5" a="1"/>
  <c r="CQ258" i="5" s="1"/>
  <c r="BD356" i="5"/>
  <c r="CQ356" i="5" a="1"/>
  <c r="CQ356" i="5" s="1"/>
  <c r="BD382" i="5"/>
  <c r="CQ382" i="5" a="1"/>
  <c r="CQ382" i="5" s="1"/>
  <c r="BD301" i="5"/>
  <c r="CQ301" i="5" a="1"/>
  <c r="CQ301" i="5" s="1"/>
  <c r="BD183" i="5"/>
  <c r="CQ183" i="5" a="1"/>
  <c r="CQ183" i="5" s="1"/>
  <c r="BD191" i="5"/>
  <c r="CQ191" i="5" a="1"/>
  <c r="CQ191" i="5" s="1"/>
  <c r="BD136" i="5"/>
  <c r="CQ136" i="5" a="1"/>
  <c r="CQ136" i="5" s="1"/>
  <c r="BD13" i="5"/>
  <c r="CQ13" i="5" a="1"/>
  <c r="CQ13" i="5" s="1"/>
  <c r="BD230" i="5"/>
  <c r="CQ230" i="5" a="1"/>
  <c r="CQ230" i="5" s="1"/>
  <c r="BD342" i="5"/>
  <c r="CQ342" i="5" a="1"/>
  <c r="CQ342" i="5" s="1"/>
  <c r="BD346" i="5"/>
  <c r="CQ346" i="5" a="1"/>
  <c r="CQ346" i="5" s="1"/>
  <c r="BD145" i="5"/>
  <c r="CQ145" i="5" a="1"/>
  <c r="CQ145" i="5" s="1"/>
  <c r="BD35" i="5"/>
  <c r="CQ35" i="5" a="1"/>
  <c r="CQ35" i="5" s="1"/>
  <c r="BD2" i="5"/>
  <c r="CQ2" i="5" a="1"/>
  <c r="CQ2" i="5" s="1"/>
  <c r="BD132" i="5"/>
  <c r="CQ132" i="5" a="1"/>
  <c r="CQ132" i="5" s="1"/>
  <c r="BD138" i="5"/>
  <c r="CQ138" i="5" a="1"/>
  <c r="CQ138" i="5" s="1"/>
  <c r="BD14" i="5"/>
  <c r="CQ14" i="5" a="1"/>
  <c r="CQ14" i="5" s="1"/>
  <c r="BD25" i="5"/>
  <c r="CQ25" i="5" a="1"/>
  <c r="CQ25" i="5" s="1"/>
  <c r="BD339" i="5"/>
  <c r="CQ339" i="5" a="1"/>
  <c r="CQ339" i="5" s="1"/>
  <c r="BD208" i="5"/>
  <c r="CQ208" i="5" a="1"/>
  <c r="CQ208" i="5" s="1"/>
  <c r="BD103" i="5"/>
  <c r="CQ103" i="5" a="1"/>
  <c r="CQ103" i="5" s="1"/>
  <c r="BD243" i="5"/>
  <c r="CQ243" i="5" a="1"/>
  <c r="CQ243" i="5" s="1"/>
  <c r="BD135" i="5"/>
  <c r="CQ135" i="5" a="1"/>
  <c r="CQ135" i="5" s="1"/>
  <c r="BD71" i="5"/>
  <c r="CQ71" i="5" a="1"/>
  <c r="CQ71" i="5" s="1"/>
  <c r="BD92" i="5"/>
  <c r="CQ92" i="5" a="1"/>
  <c r="CQ92" i="5" s="1"/>
  <c r="BD101" i="5"/>
  <c r="CQ101" i="5" a="1"/>
  <c r="CQ101" i="5" s="1"/>
  <c r="BD322" i="5"/>
  <c r="CQ322" i="5" a="1"/>
  <c r="CQ322" i="5" s="1"/>
  <c r="BD295" i="5"/>
  <c r="CQ295" i="5" a="1"/>
  <c r="CQ295" i="5" s="1"/>
  <c r="BD51" i="5"/>
  <c r="CQ51" i="5" a="1"/>
  <c r="CQ51" i="5" s="1"/>
  <c r="BD220" i="5"/>
  <c r="CQ220" i="5" a="1"/>
  <c r="CQ220" i="5" s="1"/>
  <c r="BD110" i="5"/>
  <c r="CQ110" i="5" a="1"/>
  <c r="CQ110" i="5" s="1"/>
  <c r="BD52" i="5"/>
  <c r="CQ52" i="5" a="1"/>
  <c r="CQ52" i="5" s="1"/>
  <c r="BY330" i="5"/>
  <c r="CA330" i="5"/>
  <c r="BZ280" i="5"/>
  <c r="CK280" i="5"/>
  <c r="CL280" i="5"/>
  <c r="BY430" i="5"/>
  <c r="CA430" i="5"/>
  <c r="BD435" i="5"/>
  <c r="CQ435" i="5" a="1"/>
  <c r="CQ435" i="5" s="1"/>
  <c r="BD438" i="5"/>
  <c r="CQ438" i="5" a="1"/>
  <c r="CQ438" i="5" s="1"/>
  <c r="BD214" i="5"/>
  <c r="CQ214" i="5" a="1"/>
  <c r="CQ214" i="5" s="1"/>
  <c r="BD104" i="5"/>
  <c r="CQ104" i="5" a="1"/>
  <c r="CQ104" i="5" s="1"/>
  <c r="BD46" i="5"/>
  <c r="CQ46" i="5" a="1"/>
  <c r="CQ46" i="5" s="1"/>
  <c r="BD431" i="5"/>
  <c r="CQ431" i="5" a="1"/>
  <c r="CQ431" i="5" s="1"/>
  <c r="BD417" i="5"/>
  <c r="CQ417" i="5" a="1"/>
  <c r="CQ417" i="5" s="1"/>
  <c r="BD162" i="5"/>
  <c r="CQ162" i="5" a="1"/>
  <c r="CQ162" i="5" s="1"/>
  <c r="BD149" i="5"/>
  <c r="CQ149" i="5" a="1"/>
  <c r="CQ149" i="5" s="1"/>
  <c r="BD415" i="5"/>
  <c r="CQ415" i="5" a="1"/>
  <c r="CQ415" i="5" s="1"/>
  <c r="BD365" i="5"/>
  <c r="CQ365" i="5" a="1"/>
  <c r="CQ365" i="5" s="1"/>
  <c r="BD393" i="5"/>
  <c r="CQ393" i="5" a="1"/>
  <c r="CQ393" i="5" s="1"/>
  <c r="BD312" i="5"/>
  <c r="CQ312" i="5" a="1"/>
  <c r="CQ312" i="5" s="1"/>
  <c r="BD196" i="5"/>
  <c r="CQ196" i="5" a="1"/>
  <c r="CQ196" i="5" s="1"/>
  <c r="BD397" i="5"/>
  <c r="CQ397" i="5" a="1"/>
  <c r="CQ397" i="5" s="1"/>
  <c r="BD203" i="5"/>
  <c r="CQ203" i="5" a="1"/>
  <c r="CQ203" i="5" s="1"/>
  <c r="BD282" i="5"/>
  <c r="CQ282" i="5" a="1"/>
  <c r="CQ282" i="5" s="1"/>
  <c r="BD185" i="5"/>
  <c r="CQ185" i="5" a="1"/>
  <c r="CQ185" i="5" s="1"/>
  <c r="BD102" i="5"/>
  <c r="CQ102" i="5" a="1"/>
  <c r="CQ102" i="5" s="1"/>
  <c r="BD385" i="5"/>
  <c r="CQ385" i="5" a="1"/>
  <c r="CQ385" i="5" s="1"/>
  <c r="BD334" i="5"/>
  <c r="CQ334" i="5" a="1"/>
  <c r="CQ334" i="5" s="1"/>
  <c r="BD137" i="5"/>
  <c r="CQ137" i="5" a="1"/>
  <c r="CQ137" i="5" s="1"/>
  <c r="BD105" i="5"/>
  <c r="CQ105" i="5" a="1"/>
  <c r="CQ105" i="5" s="1"/>
  <c r="BD148" i="5"/>
  <c r="CQ148" i="5" a="1"/>
  <c r="CQ148" i="5" s="1"/>
  <c r="BD186" i="5"/>
  <c r="CQ186" i="5" a="1"/>
  <c r="CQ186" i="5" s="1"/>
  <c r="BD20" i="5"/>
  <c r="CQ20" i="5" a="1"/>
  <c r="CQ20" i="5" s="1"/>
  <c r="BD44" i="5"/>
  <c r="CQ44" i="5" a="1"/>
  <c r="CQ44" i="5" s="1"/>
  <c r="BD350" i="5"/>
  <c r="CQ350" i="5" a="1"/>
  <c r="CQ350" i="5" s="1"/>
  <c r="BD294" i="5"/>
  <c r="CQ294" i="5" a="1"/>
  <c r="CQ294" i="5" s="1"/>
  <c r="BD317" i="5"/>
  <c r="CQ317" i="5" a="1"/>
  <c r="CQ317" i="5" s="1"/>
  <c r="BD239" i="5"/>
  <c r="CQ239" i="5" a="1"/>
  <c r="CQ239" i="5" s="1"/>
  <c r="BD305" i="5"/>
  <c r="CQ305" i="5" a="1"/>
  <c r="CQ305" i="5" s="1"/>
  <c r="BD318" i="5"/>
  <c r="CQ318" i="5" a="1"/>
  <c r="CQ318" i="5" s="1"/>
  <c r="BD120" i="5"/>
  <c r="CQ120" i="5" a="1"/>
  <c r="CQ120" i="5" s="1"/>
  <c r="BD10" i="5"/>
  <c r="CQ10" i="5" a="1"/>
  <c r="CQ10" i="5" s="1"/>
  <c r="BD433" i="5"/>
  <c r="CQ433" i="5" a="1"/>
  <c r="CQ433" i="5" s="1"/>
  <c r="BD266" i="5"/>
  <c r="CQ266" i="5" a="1"/>
  <c r="CQ266" i="5" s="1"/>
  <c r="BD298" i="5"/>
  <c r="CQ298" i="5" a="1"/>
  <c r="CQ298" i="5" s="1"/>
  <c r="BD215" i="5"/>
  <c r="CQ215" i="5" a="1"/>
  <c r="CQ215" i="5" s="1"/>
  <c r="BD277" i="5"/>
  <c r="CQ277" i="5" a="1"/>
  <c r="CQ277" i="5" s="1"/>
  <c r="BD281" i="5"/>
  <c r="CQ281" i="5" a="1"/>
  <c r="CQ281" i="5" s="1"/>
  <c r="BD95" i="5"/>
  <c r="CQ95" i="5" a="1"/>
  <c r="CQ95" i="5" s="1"/>
  <c r="BD119" i="5"/>
  <c r="CQ119" i="5" a="1"/>
  <c r="CQ119" i="5" s="1"/>
  <c r="BD48" i="5"/>
  <c r="CQ48" i="5" a="1"/>
  <c r="CQ48" i="5" s="1"/>
  <c r="BD411" i="5"/>
  <c r="CQ411" i="5" a="1"/>
  <c r="CQ411" i="5" s="1"/>
  <c r="BZ330" i="5"/>
  <c r="CL330" i="5"/>
  <c r="CK330" i="5"/>
  <c r="BZ111" i="5"/>
  <c r="CL111" i="5"/>
  <c r="CK111" i="5"/>
  <c r="BZ90" i="5"/>
  <c r="CK90" i="5"/>
  <c r="CL90" i="5"/>
  <c r="BZ430" i="5"/>
  <c r="CL430" i="5"/>
  <c r="CK430" i="5"/>
  <c r="BD268" i="5"/>
  <c r="CQ268" i="5" a="1"/>
  <c r="CQ268" i="5" s="1"/>
  <c r="BD253" i="5"/>
  <c r="CQ253" i="5" a="1"/>
  <c r="CQ253" i="5" s="1"/>
  <c r="BD89" i="5"/>
  <c r="CQ89" i="5" a="1"/>
  <c r="CQ89" i="5" s="1"/>
  <c r="BD100" i="5"/>
  <c r="CQ100" i="5" a="1"/>
  <c r="CQ100" i="5" s="1"/>
  <c r="BD42" i="5"/>
  <c r="CQ42" i="5" a="1"/>
  <c r="CQ42" i="5" s="1"/>
  <c r="BD400" i="5"/>
  <c r="CQ400" i="5" a="1"/>
  <c r="CQ400" i="5" s="1"/>
  <c r="BD255" i="5"/>
  <c r="CQ255" i="5" a="1"/>
  <c r="CQ255" i="5" s="1"/>
  <c r="BD222" i="5"/>
  <c r="CQ222" i="5" a="1"/>
  <c r="CQ222" i="5" s="1"/>
  <c r="BD81" i="5"/>
  <c r="CQ81" i="5" a="1"/>
  <c r="CQ81" i="5" s="1"/>
  <c r="BD24" i="5"/>
  <c r="CQ24" i="5" a="1"/>
  <c r="CQ24" i="5" s="1"/>
  <c r="BD423" i="5"/>
  <c r="CQ423" i="5" a="1"/>
  <c r="CQ423" i="5" s="1"/>
  <c r="BD434" i="5"/>
  <c r="CQ434" i="5" a="1"/>
  <c r="CQ434" i="5" s="1"/>
  <c r="BD216" i="5"/>
  <c r="CQ216" i="5" a="1"/>
  <c r="CQ216" i="5" s="1"/>
  <c r="BD293" i="5"/>
  <c r="CQ293" i="5" a="1"/>
  <c r="CQ293" i="5" s="1"/>
  <c r="BD204" i="5"/>
  <c r="CQ204" i="5" a="1"/>
  <c r="CQ204" i="5" s="1"/>
  <c r="BD108" i="5"/>
  <c r="CQ108" i="5" a="1"/>
  <c r="CQ108" i="5" s="1"/>
  <c r="BD388" i="5"/>
  <c r="CQ388" i="5" a="1"/>
  <c r="CQ388" i="5" s="1"/>
  <c r="BD374" i="5"/>
  <c r="CQ374" i="5" a="1"/>
  <c r="CQ374" i="5" s="1"/>
  <c r="BD170" i="5"/>
  <c r="CQ170" i="5" a="1"/>
  <c r="CQ170" i="5" s="1"/>
  <c r="BD60" i="5"/>
  <c r="CQ60" i="5" a="1"/>
  <c r="CQ60" i="5" s="1"/>
  <c r="BD21" i="5"/>
  <c r="CQ21" i="5" a="1"/>
  <c r="CQ21" i="5" s="1"/>
  <c r="BD425" i="5"/>
  <c r="CQ425" i="5" a="1"/>
  <c r="CQ425" i="5" s="1"/>
  <c r="BD217" i="5"/>
  <c r="CQ217" i="5" a="1"/>
  <c r="CQ217" i="5" s="1"/>
  <c r="BD166" i="5"/>
  <c r="CQ166" i="5" a="1"/>
  <c r="CQ166" i="5" s="1"/>
  <c r="BD56" i="5"/>
  <c r="CQ56" i="5" a="1"/>
  <c r="CQ56" i="5" s="1"/>
  <c r="BD390" i="5"/>
  <c r="CQ390" i="5" a="1"/>
  <c r="CQ390" i="5" s="1"/>
  <c r="BD63" i="5"/>
  <c r="CQ63" i="5" a="1"/>
  <c r="CQ63" i="5" s="1"/>
  <c r="BD326" i="5"/>
  <c r="CQ326" i="5" a="1"/>
  <c r="CQ326" i="5" s="1"/>
  <c r="BD250" i="5"/>
  <c r="CQ250" i="5" a="1"/>
  <c r="CQ250" i="5" s="1"/>
  <c r="BD88" i="5"/>
  <c r="CQ88" i="5" a="1"/>
  <c r="CQ88" i="5" s="1"/>
  <c r="BD38" i="5"/>
  <c r="CQ38" i="5" a="1"/>
  <c r="CQ38" i="5" s="1"/>
  <c r="BD413" i="5"/>
  <c r="CQ413" i="5" a="1"/>
  <c r="CQ413" i="5" s="1"/>
  <c r="BD115" i="5"/>
  <c r="CQ115" i="5" a="1"/>
  <c r="CQ115" i="5" s="1"/>
  <c r="BD113" i="5"/>
  <c r="CQ113" i="5" a="1"/>
  <c r="CQ113" i="5" s="1"/>
  <c r="BD122" i="5"/>
  <c r="CQ122" i="5" a="1"/>
  <c r="CQ122" i="5" s="1"/>
  <c r="BD19" i="5"/>
  <c r="CQ19" i="5" a="1"/>
  <c r="CQ19" i="5" s="1"/>
  <c r="BD333" i="5"/>
  <c r="CQ333" i="5" a="1"/>
  <c r="CQ333" i="5" s="1"/>
  <c r="BD414" i="5"/>
  <c r="CQ414" i="5" a="1"/>
  <c r="CQ414" i="5" s="1"/>
  <c r="BD418" i="5"/>
  <c r="CQ418" i="5" a="1"/>
  <c r="CQ418" i="5" s="1"/>
  <c r="BD391" i="5"/>
  <c r="CQ391" i="5" a="1"/>
  <c r="CQ391" i="5" s="1"/>
  <c r="BD90" i="5"/>
  <c r="CQ90" i="5" a="1"/>
  <c r="CQ90" i="5" s="1"/>
  <c r="BD67" i="5"/>
  <c r="CQ67" i="5" a="1"/>
  <c r="CQ67" i="5" s="1"/>
  <c r="BD437" i="5"/>
  <c r="CQ437" i="5" a="1"/>
  <c r="CQ437" i="5" s="1"/>
  <c r="BD311" i="5"/>
  <c r="CQ311" i="5" a="1"/>
  <c r="CQ311" i="5" s="1"/>
  <c r="BY40" i="5"/>
  <c r="CA40" i="5"/>
  <c r="BY51" i="5"/>
  <c r="CA51" i="5"/>
  <c r="BY230" i="5"/>
  <c r="CA230" i="5"/>
  <c r="BY110" i="5"/>
  <c r="CA110" i="5"/>
  <c r="BY101" i="5"/>
  <c r="CA101" i="5"/>
  <c r="BY250" i="5"/>
  <c r="CA250" i="5"/>
  <c r="BY180" i="5"/>
  <c r="CA180" i="5"/>
  <c r="BZ180" i="5"/>
  <c r="CK180" i="5"/>
  <c r="CL180" i="5"/>
  <c r="BD194" i="5"/>
  <c r="CQ194" i="5" a="1"/>
  <c r="CQ194" i="5" s="1"/>
  <c r="BD428" i="5"/>
  <c r="CQ428" i="5" a="1"/>
  <c r="CQ428" i="5" s="1"/>
  <c r="BD300" i="5"/>
  <c r="CQ300" i="5" a="1"/>
  <c r="CQ300" i="5" s="1"/>
  <c r="BD375" i="5"/>
  <c r="CQ375" i="5" a="1"/>
  <c r="CQ375" i="5" s="1"/>
  <c r="BD399" i="5"/>
  <c r="CQ399" i="5" a="1"/>
  <c r="CQ399" i="5" s="1"/>
  <c r="BD323" i="5"/>
  <c r="CQ323" i="5" a="1"/>
  <c r="CQ323" i="5" s="1"/>
  <c r="BD202" i="5"/>
  <c r="CQ202" i="5" a="1"/>
  <c r="CQ202" i="5" s="1"/>
  <c r="BD407" i="5"/>
  <c r="CQ407" i="5" a="1"/>
  <c r="CQ407" i="5" s="1"/>
  <c r="BD392" i="5"/>
  <c r="CQ392" i="5" a="1"/>
  <c r="CQ392" i="5" s="1"/>
  <c r="BD189" i="5"/>
  <c r="CQ189" i="5" a="1"/>
  <c r="CQ189" i="5" s="1"/>
  <c r="BD79" i="5"/>
  <c r="CQ79" i="5" a="1"/>
  <c r="CQ79" i="5" s="1"/>
  <c r="BD27" i="5"/>
  <c r="CQ27" i="5" a="1"/>
  <c r="CQ27" i="5" s="1"/>
  <c r="BD221" i="5"/>
  <c r="CQ221" i="5" a="1"/>
  <c r="CQ221" i="5" s="1"/>
  <c r="BD225" i="5"/>
  <c r="CQ225" i="5" a="1"/>
  <c r="CQ225" i="5" s="1"/>
  <c r="BD45" i="5"/>
  <c r="CQ45" i="5" a="1"/>
  <c r="CQ45" i="5" s="1"/>
  <c r="BD69" i="5"/>
  <c r="CQ69" i="5" a="1"/>
  <c r="CQ69" i="5" s="1"/>
  <c r="BD17" i="5"/>
  <c r="CQ17" i="5" a="1"/>
  <c r="CQ17" i="5" s="1"/>
  <c r="BD372" i="5"/>
  <c r="CQ372" i="5" a="1"/>
  <c r="CQ372" i="5" s="1"/>
  <c r="BD368" i="5"/>
  <c r="CQ368" i="5" a="1"/>
  <c r="CQ368" i="5" s="1"/>
  <c r="BD347" i="5"/>
  <c r="CQ347" i="5" a="1"/>
  <c r="CQ347" i="5" s="1"/>
  <c r="BD371" i="5"/>
  <c r="CQ371" i="5" a="1"/>
  <c r="CQ371" i="5" s="1"/>
  <c r="BD290" i="5"/>
  <c r="CQ290" i="5" a="1"/>
  <c r="CQ290" i="5" s="1"/>
  <c r="BD177" i="5"/>
  <c r="CQ177" i="5" a="1"/>
  <c r="CQ177" i="5" s="1"/>
  <c r="BD161" i="5"/>
  <c r="CQ161" i="5" a="1"/>
  <c r="CQ161" i="5" s="1"/>
  <c r="BD76" i="5"/>
  <c r="CQ76" i="5" a="1"/>
  <c r="CQ76" i="5" s="1"/>
  <c r="BD419" i="5"/>
  <c r="CQ419" i="5" a="1"/>
  <c r="CQ419" i="5" s="1"/>
  <c r="BD134" i="5"/>
  <c r="CQ134" i="5" a="1"/>
  <c r="CQ134" i="5" s="1"/>
  <c r="BD284" i="5"/>
  <c r="CQ284" i="5" a="1"/>
  <c r="CQ284" i="5" s="1"/>
  <c r="BD288" i="5"/>
  <c r="CQ288" i="5" a="1"/>
  <c r="CQ288" i="5" s="1"/>
  <c r="BD313" i="5"/>
  <c r="CQ313" i="5" a="1"/>
  <c r="CQ313" i="5" s="1"/>
  <c r="BD53" i="5"/>
  <c r="CQ53" i="5" a="1"/>
  <c r="CQ53" i="5" s="1"/>
  <c r="BD285" i="5"/>
  <c r="CQ285" i="5" a="1"/>
  <c r="CQ285" i="5" s="1"/>
  <c r="BD308" i="5"/>
  <c r="CQ308" i="5" a="1"/>
  <c r="CQ308" i="5" s="1"/>
  <c r="BD233" i="5"/>
  <c r="CQ233" i="5" a="1"/>
  <c r="CQ233" i="5" s="1"/>
  <c r="BD265" i="5"/>
  <c r="CQ265" i="5" a="1"/>
  <c r="CQ265" i="5" s="1"/>
  <c r="BD242" i="5"/>
  <c r="CQ242" i="5" a="1"/>
  <c r="CQ242" i="5" s="1"/>
  <c r="BD291" i="5"/>
  <c r="CQ291" i="5" a="1"/>
  <c r="CQ291" i="5" s="1"/>
  <c r="BD41" i="5"/>
  <c r="CQ41" i="5" a="1"/>
  <c r="CQ41" i="5" s="1"/>
  <c r="BD257" i="5"/>
  <c r="CQ257" i="5" a="1"/>
  <c r="CQ257" i="5" s="1"/>
  <c r="BD234" i="5"/>
  <c r="CQ234" i="5" a="1"/>
  <c r="CQ234" i="5" s="1"/>
  <c r="BD209" i="5"/>
  <c r="CQ209" i="5" a="1"/>
  <c r="CQ209" i="5" s="1"/>
  <c r="BY380" i="5"/>
  <c r="CA380" i="5"/>
  <c r="BZ110" i="5"/>
  <c r="CL110" i="5"/>
  <c r="CK110" i="5"/>
  <c r="BY11" i="5"/>
  <c r="CA11" i="5"/>
  <c r="BZ250" i="5"/>
  <c r="CL250" i="5"/>
  <c r="CK250" i="5"/>
  <c r="BY70" i="5"/>
  <c r="CA70" i="5"/>
  <c r="BY60" i="5"/>
  <c r="CA60" i="5"/>
  <c r="BD238" i="5"/>
  <c r="CQ238" i="5" a="1"/>
  <c r="CQ238" i="5" s="1"/>
  <c r="BD213" i="5"/>
  <c r="CQ213" i="5" a="1"/>
  <c r="CQ213" i="5" s="1"/>
  <c r="BD190" i="5"/>
  <c r="CQ190" i="5" a="1"/>
  <c r="CQ190" i="5" s="1"/>
  <c r="BD267" i="5"/>
  <c r="CQ267" i="5" a="1"/>
  <c r="CQ267" i="5" s="1"/>
  <c r="BD226" i="5"/>
  <c r="CQ226" i="5" a="1"/>
  <c r="CQ226" i="5" s="1"/>
  <c r="BD299" i="5"/>
  <c r="CQ299" i="5" a="1"/>
  <c r="CQ299" i="5" s="1"/>
  <c r="BD210" i="5"/>
  <c r="CQ210" i="5" a="1"/>
  <c r="CQ210" i="5" s="1"/>
  <c r="BD121" i="5"/>
  <c r="CQ121" i="5" a="1"/>
  <c r="CQ121" i="5" s="1"/>
  <c r="BD231" i="5"/>
  <c r="CQ231" i="5" a="1"/>
  <c r="CQ231" i="5" s="1"/>
  <c r="BD235" i="5"/>
  <c r="CQ235" i="5" a="1"/>
  <c r="CQ235" i="5" s="1"/>
  <c r="BD64" i="5"/>
  <c r="CQ64" i="5" a="1"/>
  <c r="CQ64" i="5" s="1"/>
  <c r="BD75" i="5"/>
  <c r="CQ75" i="5" a="1"/>
  <c r="CQ75" i="5" s="1"/>
  <c r="BD23" i="5"/>
  <c r="CQ23" i="5" a="1"/>
  <c r="CQ23" i="5" s="1"/>
  <c r="BD383" i="5"/>
  <c r="CQ383" i="5" a="1"/>
  <c r="CQ383" i="5" s="1"/>
  <c r="BD111" i="5"/>
  <c r="CQ111" i="5" a="1"/>
  <c r="CQ111" i="5" s="1"/>
  <c r="BD345" i="5"/>
  <c r="CQ345" i="5" a="1"/>
  <c r="CQ345" i="5" s="1"/>
  <c r="BD272" i="5"/>
  <c r="CQ272" i="5" a="1"/>
  <c r="CQ272" i="5" s="1"/>
  <c r="BD304" i="5"/>
  <c r="CQ304" i="5" a="1"/>
  <c r="CQ304" i="5" s="1"/>
  <c r="BD172" i="5"/>
  <c r="CQ172" i="5" a="1"/>
  <c r="CQ172" i="5" s="1"/>
  <c r="BD271" i="5"/>
  <c r="CQ271" i="5" a="1"/>
  <c r="CQ271" i="5" s="1"/>
  <c r="BD179" i="5"/>
  <c r="CQ179" i="5" a="1"/>
  <c r="CQ179" i="5" s="1"/>
  <c r="BD96" i="5"/>
  <c r="CQ96" i="5" a="1"/>
  <c r="CQ96" i="5" s="1"/>
  <c r="BD348" i="5"/>
  <c r="CQ348" i="5" a="1"/>
  <c r="CQ348" i="5" s="1"/>
  <c r="BD307" i="5"/>
  <c r="CQ307" i="5" a="1"/>
  <c r="CQ307" i="5" s="1"/>
  <c r="BD319" i="5"/>
  <c r="CQ319" i="5" a="1"/>
  <c r="CQ319" i="5" s="1"/>
  <c r="BD66" i="5"/>
  <c r="CQ66" i="5" a="1"/>
  <c r="CQ66" i="5" s="1"/>
  <c r="BD9" i="5"/>
  <c r="CQ9" i="5" a="1"/>
  <c r="CQ9" i="5" s="1"/>
  <c r="BD144" i="5"/>
  <c r="CQ144" i="5" a="1"/>
  <c r="CQ144" i="5" s="1"/>
  <c r="BD97" i="5"/>
  <c r="CQ97" i="5" a="1"/>
  <c r="CQ97" i="5" s="1"/>
  <c r="BD206" i="5"/>
  <c r="CQ206" i="5" a="1"/>
  <c r="CQ206" i="5" s="1"/>
  <c r="BD205" i="5"/>
  <c r="CQ205" i="5" a="1"/>
  <c r="CQ205" i="5" s="1"/>
  <c r="BD61" i="5"/>
  <c r="CQ61" i="5" a="1"/>
  <c r="CQ61" i="5" s="1"/>
  <c r="BD427" i="5"/>
  <c r="CQ427" i="5" a="1"/>
  <c r="CQ427" i="5" s="1"/>
  <c r="BD402" i="5"/>
  <c r="CQ402" i="5" a="1"/>
  <c r="CQ402" i="5" s="1"/>
  <c r="BD109" i="5"/>
  <c r="CQ109" i="5" a="1"/>
  <c r="CQ109" i="5" s="1"/>
  <c r="BD107" i="5"/>
  <c r="CQ107" i="5" a="1"/>
  <c r="CQ107" i="5" s="1"/>
  <c r="BD32" i="5"/>
  <c r="CQ32" i="5" a="1"/>
  <c r="CQ32" i="5" s="1"/>
  <c r="BD187" i="5"/>
  <c r="CQ187" i="5" a="1"/>
  <c r="CQ187" i="5" s="1"/>
  <c r="BD180" i="5"/>
  <c r="CQ180" i="5" a="1"/>
  <c r="CQ180" i="5" s="1"/>
  <c r="BD404" i="5"/>
  <c r="CQ404" i="5" a="1"/>
  <c r="CQ404" i="5" s="1"/>
  <c r="BD409" i="5"/>
  <c r="CQ409" i="5" a="1"/>
  <c r="CQ409" i="5" s="1"/>
  <c r="BD380" i="5"/>
  <c r="CQ380" i="5" a="1"/>
  <c r="CQ380" i="5" s="1"/>
  <c r="BD84" i="5"/>
  <c r="CQ84" i="5" a="1"/>
  <c r="CQ84" i="5" s="1"/>
  <c r="BY350" i="5"/>
  <c r="CA350" i="5"/>
  <c r="BZ380" i="5"/>
  <c r="CK380" i="5"/>
  <c r="CL380" i="5"/>
  <c r="BZ40" i="5"/>
  <c r="CL40" i="5"/>
  <c r="CK40" i="5"/>
  <c r="CA81" i="5"/>
  <c r="BY81" i="5"/>
  <c r="BZ51" i="5"/>
  <c r="CL51" i="5"/>
  <c r="CK51" i="5"/>
  <c r="BZ230" i="5"/>
  <c r="CL230" i="5"/>
  <c r="CK230" i="5"/>
  <c r="BZ101" i="5"/>
  <c r="CK101" i="5"/>
  <c r="CL101" i="5"/>
  <c r="BZ70" i="5"/>
  <c r="CK70" i="5"/>
  <c r="CL70" i="5"/>
  <c r="BZ60" i="5"/>
  <c r="CL60" i="5"/>
  <c r="CK60" i="5"/>
  <c r="BD395" i="5"/>
  <c r="CQ395" i="5" a="1"/>
  <c r="CQ395" i="5" s="1"/>
  <c r="BD381" i="5"/>
  <c r="CQ381" i="5" a="1"/>
  <c r="CQ381" i="5" s="1"/>
  <c r="BD369" i="5"/>
  <c r="CQ369" i="5" a="1"/>
  <c r="CQ369" i="5" s="1"/>
  <c r="BD65" i="5"/>
  <c r="CQ65" i="5" a="1"/>
  <c r="CQ65" i="5" s="1"/>
  <c r="BD416" i="5"/>
  <c r="CQ416" i="5" a="1"/>
  <c r="CQ416" i="5" s="1"/>
  <c r="BD420" i="5"/>
  <c r="CQ420" i="5" a="1"/>
  <c r="CQ420" i="5" s="1"/>
  <c r="BD195" i="5"/>
  <c r="CQ195" i="5" a="1"/>
  <c r="CQ195" i="5" s="1"/>
  <c r="BD85" i="5"/>
  <c r="CQ85" i="5" a="1"/>
  <c r="CQ85" i="5" s="1"/>
  <c r="BD33" i="5"/>
  <c r="CQ33" i="5" a="1"/>
  <c r="CQ33" i="5" s="1"/>
  <c r="BD147" i="5"/>
  <c r="CQ147" i="5" a="1"/>
  <c r="CQ147" i="5" s="1"/>
  <c r="BD354" i="5"/>
  <c r="CQ354" i="5" a="1"/>
  <c r="CQ354" i="5" s="1"/>
  <c r="BD283" i="5"/>
  <c r="CQ283" i="5" a="1"/>
  <c r="CQ283" i="5" s="1"/>
  <c r="BD192" i="5"/>
  <c r="CQ192" i="5" a="1"/>
  <c r="CQ192" i="5" s="1"/>
  <c r="BD153" i="5"/>
  <c r="CQ153" i="5" a="1"/>
  <c r="CQ153" i="5" s="1"/>
  <c r="BD441" i="5"/>
  <c r="CQ441" i="5" a="1"/>
  <c r="CQ441" i="5" s="1"/>
  <c r="BD159" i="5"/>
  <c r="CQ159" i="5" a="1"/>
  <c r="CQ159" i="5" s="1"/>
  <c r="BD370" i="5"/>
  <c r="CQ370" i="5" a="1"/>
  <c r="CQ370" i="5" s="1"/>
  <c r="BD355" i="5"/>
  <c r="CQ355" i="5" a="1"/>
  <c r="CQ355" i="5" s="1"/>
  <c r="BD164" i="5"/>
  <c r="CQ164" i="5" a="1"/>
  <c r="CQ164" i="5" s="1"/>
  <c r="BD54" i="5"/>
  <c r="CQ54" i="5" a="1"/>
  <c r="CQ54" i="5" s="1"/>
  <c r="BD8" i="5"/>
  <c r="CQ8" i="5" a="1"/>
  <c r="CQ8" i="5" s="1"/>
  <c r="BD175" i="5"/>
  <c r="CQ175" i="5" a="1"/>
  <c r="CQ175" i="5" s="1"/>
  <c r="BD117" i="5"/>
  <c r="CQ117" i="5" a="1"/>
  <c r="CQ117" i="5" s="1"/>
  <c r="BD7" i="5"/>
  <c r="CQ7" i="5" a="1"/>
  <c r="CQ7" i="5" s="1"/>
  <c r="BD212" i="5"/>
  <c r="CQ212" i="5" a="1"/>
  <c r="CQ212" i="5" s="1"/>
  <c r="BD224" i="5"/>
  <c r="CQ224" i="5" a="1"/>
  <c r="CQ224" i="5" s="1"/>
  <c r="BD357" i="5"/>
  <c r="CQ357" i="5" a="1"/>
  <c r="CQ357" i="5" s="1"/>
  <c r="BD315" i="5"/>
  <c r="CQ315" i="5" a="1"/>
  <c r="CQ315" i="5" s="1"/>
  <c r="BD118" i="5"/>
  <c r="CQ118" i="5" a="1"/>
  <c r="CQ118" i="5" s="1"/>
  <c r="BD80" i="5"/>
  <c r="CQ80" i="5" a="1"/>
  <c r="CQ80" i="5" s="1"/>
  <c r="BD275" i="5"/>
  <c r="CQ275" i="5" a="1"/>
  <c r="CQ275" i="5" s="1"/>
  <c r="BD270" i="5"/>
  <c r="CQ270" i="5" a="1"/>
  <c r="CQ270" i="5" s="1"/>
  <c r="BD302" i="5"/>
  <c r="CQ302" i="5" a="1"/>
  <c r="CQ302" i="5" s="1"/>
  <c r="BD47" i="5"/>
  <c r="CQ47" i="5" a="1"/>
  <c r="CQ47" i="5" s="1"/>
  <c r="BD320" i="5"/>
  <c r="CQ320" i="5" a="1"/>
  <c r="CQ320" i="5" s="1"/>
  <c r="BD297" i="5"/>
  <c r="CQ297" i="5" a="1"/>
  <c r="CQ297" i="5" s="1"/>
  <c r="BD106" i="5"/>
  <c r="CQ106" i="5" a="1"/>
  <c r="CQ106" i="5" s="1"/>
  <c r="BD55" i="5"/>
  <c r="CQ55" i="5" a="1"/>
  <c r="CQ55" i="5" s="1"/>
  <c r="BD256" i="5"/>
  <c r="CQ256" i="5" a="1"/>
  <c r="CQ256" i="5" s="1"/>
  <c r="BD223" i="5"/>
  <c r="CQ223" i="5" a="1"/>
  <c r="CQ223" i="5" s="1"/>
  <c r="BD280" i="5"/>
  <c r="CQ280" i="5" a="1"/>
  <c r="CQ280" i="5" s="1"/>
  <c r="BD28" i="5"/>
  <c r="CQ28" i="5" a="1"/>
  <c r="CQ28" i="5" s="1"/>
  <c r="BY100" i="5"/>
  <c r="CA100" i="5"/>
  <c r="BY30" i="5"/>
  <c r="CA30" i="5"/>
  <c r="BY80" i="5"/>
  <c r="CA80" i="5"/>
  <c r="BZ11" i="5"/>
  <c r="CK11" i="5"/>
  <c r="CL11" i="5"/>
  <c r="BD247" i="5"/>
  <c r="CQ247" i="5" a="1"/>
  <c r="CQ247" i="5" s="1"/>
  <c r="BD198" i="5"/>
  <c r="CQ198" i="5" a="1"/>
  <c r="CQ198" i="5" s="1"/>
  <c r="BD269" i="5"/>
  <c r="CQ269" i="5" a="1"/>
  <c r="CQ269" i="5" s="1"/>
  <c r="BD22" i="5"/>
  <c r="CQ22" i="5" a="1"/>
  <c r="CQ22" i="5" s="1"/>
  <c r="BD259" i="5"/>
  <c r="CQ259" i="5" a="1"/>
  <c r="CQ259" i="5" s="1"/>
  <c r="BD244" i="5"/>
  <c r="CQ244" i="5" a="1"/>
  <c r="CQ244" i="5" s="1"/>
  <c r="BD70" i="5"/>
  <c r="CQ70" i="5" a="1"/>
  <c r="CQ70" i="5" s="1"/>
  <c r="BD94" i="5"/>
  <c r="CQ94" i="5" a="1"/>
  <c r="CQ94" i="5" s="1"/>
  <c r="BD36" i="5"/>
  <c r="CQ36" i="5" a="1"/>
  <c r="CQ36" i="5" s="1"/>
  <c r="BD389" i="5"/>
  <c r="CQ389" i="5" a="1"/>
  <c r="CQ389" i="5" s="1"/>
  <c r="BD207" i="5"/>
  <c r="CQ207" i="5" a="1"/>
  <c r="CQ207" i="5" s="1"/>
  <c r="BD169" i="5"/>
  <c r="CQ169" i="5" a="1"/>
  <c r="CQ169" i="5" s="1"/>
  <c r="BD165" i="5"/>
  <c r="CQ165" i="5" a="1"/>
  <c r="CQ165" i="5" s="1"/>
  <c r="BD367" i="5"/>
  <c r="CQ367" i="5" a="1"/>
  <c r="CQ367" i="5" s="1"/>
  <c r="BD335" i="5"/>
  <c r="CQ335" i="5" a="1"/>
  <c r="CQ335" i="5" s="1"/>
  <c r="BD341" i="5"/>
  <c r="CQ341" i="5" a="1"/>
  <c r="CQ341" i="5" s="1"/>
  <c r="BD78" i="5"/>
  <c r="CQ78" i="5" a="1"/>
  <c r="CQ78" i="5" s="1"/>
  <c r="BD34" i="5"/>
  <c r="CQ34" i="5" a="1"/>
  <c r="CQ34" i="5" s="1"/>
  <c r="BD163" i="5"/>
  <c r="CQ163" i="5" a="1"/>
  <c r="CQ163" i="5" s="1"/>
  <c r="BD201" i="5"/>
  <c r="CQ201" i="5" a="1"/>
  <c r="CQ201" i="5" s="1"/>
  <c r="BD39" i="5"/>
  <c r="CQ39" i="5" a="1"/>
  <c r="CQ39" i="5" s="1"/>
  <c r="BD50" i="5"/>
  <c r="CQ50" i="5" a="1"/>
  <c r="CQ50" i="5" s="1"/>
  <c r="BD11" i="5"/>
  <c r="CQ11" i="5" a="1"/>
  <c r="CQ11" i="5" s="1"/>
  <c r="BD361" i="5"/>
  <c r="CQ361" i="5" a="1"/>
  <c r="CQ361" i="5" s="1"/>
  <c r="BD366" i="5"/>
  <c r="CQ366" i="5" a="1"/>
  <c r="CQ366" i="5" s="1"/>
  <c r="BD325" i="5"/>
  <c r="CQ325" i="5" a="1"/>
  <c r="CQ325" i="5" s="1"/>
  <c r="BD131" i="5"/>
  <c r="CQ131" i="5" a="1"/>
  <c r="CQ131" i="5" s="1"/>
  <c r="BD99" i="5"/>
  <c r="CQ99" i="5" a="1"/>
  <c r="CQ99" i="5" s="1"/>
  <c r="BD424" i="5"/>
  <c r="CQ424" i="5" a="1"/>
  <c r="CQ424" i="5" s="1"/>
  <c r="BD173" i="5"/>
  <c r="CQ173" i="5" a="1"/>
  <c r="CQ173" i="5" s="1"/>
  <c r="BD116" i="5"/>
  <c r="CQ116" i="5" a="1"/>
  <c r="CQ116" i="5" s="1"/>
  <c r="BD37" i="5"/>
  <c r="CQ37" i="5" a="1"/>
  <c r="CQ37" i="5" s="1"/>
  <c r="BD373" i="5"/>
  <c r="CQ373" i="5" a="1"/>
  <c r="CQ373" i="5" s="1"/>
  <c r="BD128" i="5"/>
  <c r="CQ128" i="5" a="1"/>
  <c r="CQ128" i="5" s="1"/>
  <c r="BD73" i="5"/>
  <c r="CQ73" i="5" a="1"/>
  <c r="CQ73" i="5" s="1"/>
  <c r="BD193" i="5"/>
  <c r="CQ193" i="5" a="1"/>
  <c r="CQ193" i="5" s="1"/>
  <c r="BD199" i="5"/>
  <c r="CQ199" i="5" a="1"/>
  <c r="CQ199" i="5" s="1"/>
  <c r="BD276" i="5"/>
  <c r="CQ276" i="5" a="1"/>
  <c r="CQ276" i="5" s="1"/>
  <c r="BD142" i="5"/>
  <c r="CQ142" i="5" a="1"/>
  <c r="CQ142" i="5" s="1"/>
  <c r="BD432" i="5"/>
  <c r="CQ432" i="5" a="1"/>
  <c r="CQ432" i="5" s="1"/>
  <c r="BD18" i="5"/>
  <c r="CQ18" i="5" a="1"/>
  <c r="CQ18" i="5" s="1"/>
  <c r="BD351" i="5"/>
  <c r="CQ351" i="5" a="1"/>
  <c r="CQ351" i="5" s="1"/>
  <c r="BD86" i="5"/>
  <c r="CQ86" i="5" a="1"/>
  <c r="CQ86" i="5" s="1"/>
  <c r="BD436" i="5"/>
  <c r="CQ436" i="5" a="1"/>
  <c r="CQ436" i="5" s="1"/>
  <c r="BD181" i="5"/>
  <c r="CQ181" i="5" a="1"/>
  <c r="CQ181" i="5" s="1"/>
  <c r="BD174" i="5"/>
  <c r="CQ174" i="5" a="1"/>
  <c r="CQ174" i="5" s="1"/>
  <c r="BZ350" i="5"/>
  <c r="CL350" i="5"/>
  <c r="CK350" i="5"/>
  <c r="BZ100" i="5"/>
  <c r="CL100" i="5"/>
  <c r="CK100" i="5"/>
  <c r="BY360" i="5"/>
  <c r="CA360" i="5"/>
  <c r="BY160" i="5"/>
  <c r="CA160" i="5"/>
  <c r="BZ81" i="5"/>
  <c r="CK81" i="5"/>
  <c r="CL81" i="5"/>
  <c r="BZ260" i="5"/>
  <c r="CL260" i="5"/>
  <c r="CK260" i="5"/>
  <c r="BD57" i="5"/>
  <c r="CQ57" i="5" a="1"/>
  <c r="CQ57" i="5" s="1"/>
  <c r="BD426" i="5"/>
  <c r="CQ426" i="5" a="1"/>
  <c r="CQ426" i="5" s="1"/>
  <c r="BD168" i="5"/>
  <c r="CQ168" i="5" a="1"/>
  <c r="CQ168" i="5" s="1"/>
  <c r="BD155" i="5"/>
  <c r="CQ155" i="5" a="1"/>
  <c r="CQ155" i="5" s="1"/>
  <c r="BD178" i="5"/>
  <c r="CQ178" i="5" a="1"/>
  <c r="CQ178" i="5" s="1"/>
  <c r="BD364" i="5"/>
  <c r="CQ364" i="5" a="1"/>
  <c r="CQ364" i="5" s="1"/>
  <c r="BD289" i="5"/>
  <c r="CQ289" i="5" a="1"/>
  <c r="CQ289" i="5" s="1"/>
  <c r="BD376" i="5"/>
  <c r="CQ376" i="5" a="1"/>
  <c r="CQ376" i="5" s="1"/>
  <c r="BD344" i="5"/>
  <c r="CQ344" i="5" a="1"/>
  <c r="CQ344" i="5" s="1"/>
  <c r="BD352" i="5"/>
  <c r="CQ352" i="5" a="1"/>
  <c r="CQ352" i="5" s="1"/>
  <c r="BD40" i="5"/>
  <c r="CQ40" i="5" a="1"/>
  <c r="CQ40" i="5" s="1"/>
  <c r="BD218" i="5"/>
  <c r="CQ218" i="5" a="1"/>
  <c r="CQ218" i="5" s="1"/>
  <c r="BD151" i="5"/>
  <c r="CQ151" i="5" a="1"/>
  <c r="CQ151" i="5" s="1"/>
  <c r="BD26" i="5"/>
  <c r="CQ26" i="5" a="1"/>
  <c r="CQ26" i="5" s="1"/>
  <c r="BD241" i="5"/>
  <c r="CQ241" i="5" a="1"/>
  <c r="CQ241" i="5" s="1"/>
  <c r="BD91" i="5"/>
  <c r="CQ91" i="5" a="1"/>
  <c r="CQ91" i="5" s="1"/>
  <c r="BD336" i="5"/>
  <c r="CQ336" i="5" a="1"/>
  <c r="CQ336" i="5" s="1"/>
  <c r="BD261" i="5"/>
  <c r="CQ261" i="5" a="1"/>
  <c r="CQ261" i="5" s="1"/>
  <c r="BD286" i="5"/>
  <c r="CQ286" i="5" a="1"/>
  <c r="CQ286" i="5" s="1"/>
  <c r="BD188" i="5"/>
  <c r="CQ188" i="5" a="1"/>
  <c r="CQ188" i="5" s="1"/>
  <c r="BD150" i="5"/>
  <c r="CQ150" i="5" a="1"/>
  <c r="CQ150" i="5" s="1"/>
  <c r="BD43" i="5"/>
  <c r="CQ43" i="5" a="1"/>
  <c r="CQ43" i="5" s="1"/>
  <c r="BD379" i="5"/>
  <c r="CQ379" i="5" a="1"/>
  <c r="CQ379" i="5" s="1"/>
  <c r="BD442" i="5"/>
  <c r="CQ442" i="5" a="1"/>
  <c r="CQ442" i="5" s="1"/>
  <c r="BD328" i="5"/>
  <c r="CQ328" i="5" a="1"/>
  <c r="CQ328" i="5" s="1"/>
  <c r="BD349" i="5"/>
  <c r="CQ349" i="5" a="1"/>
  <c r="CQ349" i="5" s="1"/>
  <c r="BD273" i="5"/>
  <c r="CQ273" i="5" a="1"/>
  <c r="CQ273" i="5" s="1"/>
  <c r="BD158" i="5"/>
  <c r="CQ158" i="5" a="1"/>
  <c r="CQ158" i="5" s="1"/>
  <c r="BD338" i="5"/>
  <c r="CQ338" i="5" a="1"/>
  <c r="CQ338" i="5" s="1"/>
  <c r="BD306" i="5"/>
  <c r="CQ306" i="5" a="1"/>
  <c r="CQ306" i="5" s="1"/>
  <c r="BD112" i="5"/>
  <c r="CQ112" i="5" a="1"/>
  <c r="CQ112" i="5" s="1"/>
  <c r="BD74" i="5"/>
  <c r="CQ74" i="5" a="1"/>
  <c r="CQ74" i="5" s="1"/>
  <c r="BD314" i="5"/>
  <c r="CQ314" i="5" a="1"/>
  <c r="CQ314" i="5" s="1"/>
  <c r="BD254" i="5"/>
  <c r="CQ254" i="5" a="1"/>
  <c r="CQ254" i="5" s="1"/>
  <c r="BD332" i="5"/>
  <c r="CQ332" i="5" a="1"/>
  <c r="CQ332" i="5" s="1"/>
  <c r="BD251" i="5"/>
  <c r="CQ251" i="5" a="1"/>
  <c r="CQ251" i="5" s="1"/>
  <c r="BD146" i="5"/>
  <c r="CQ146" i="5" a="1"/>
  <c r="CQ146" i="5" s="1"/>
  <c r="BD292" i="5"/>
  <c r="CQ292" i="5" a="1"/>
  <c r="CQ292" i="5" s="1"/>
  <c r="BD287" i="5"/>
  <c r="CQ287" i="5" a="1"/>
  <c r="CQ287" i="5" s="1"/>
  <c r="BD93" i="5"/>
  <c r="CQ93" i="5" a="1"/>
  <c r="CQ93" i="5" s="1"/>
  <c r="BD49" i="5"/>
  <c r="CQ49" i="5" a="1"/>
  <c r="CQ49" i="5" s="1"/>
  <c r="BD440" i="5"/>
  <c r="CQ440" i="5" a="1"/>
  <c r="CQ440" i="5" s="1"/>
  <c r="BZ30" i="5"/>
  <c r="CK30" i="5"/>
  <c r="CL30" i="5"/>
  <c r="BZ160" i="5"/>
  <c r="CL160" i="5"/>
  <c r="CK160" i="5"/>
  <c r="BZ80" i="5"/>
  <c r="CK80" i="5"/>
  <c r="CL80" i="5"/>
  <c r="BY260" i="5"/>
  <c r="CA260" i="5"/>
  <c r="BD274" i="5"/>
  <c r="CQ274" i="5" a="1"/>
  <c r="CQ274" i="5" s="1"/>
  <c r="BD278" i="5"/>
  <c r="CQ278" i="5" a="1"/>
  <c r="CQ278" i="5" s="1"/>
  <c r="BD87" i="5"/>
  <c r="CQ87" i="5" a="1"/>
  <c r="CQ87" i="5" s="1"/>
  <c r="BD30" i="5"/>
  <c r="CQ30" i="5" a="1"/>
  <c r="CQ30" i="5" s="1"/>
  <c r="BD429" i="5"/>
  <c r="CQ429" i="5" a="1"/>
  <c r="CQ429" i="5" s="1"/>
  <c r="BD219" i="5"/>
  <c r="CQ219" i="5" a="1"/>
  <c r="CQ219" i="5" s="1"/>
  <c r="BD200" i="5"/>
  <c r="CQ200" i="5" a="1"/>
  <c r="CQ200" i="5" s="1"/>
  <c r="BD184" i="5"/>
  <c r="CQ184" i="5" a="1"/>
  <c r="CQ184" i="5" s="1"/>
  <c r="BD228" i="5"/>
  <c r="CQ228" i="5" a="1"/>
  <c r="CQ228" i="5" s="1"/>
  <c r="BD167" i="5"/>
  <c r="CQ167" i="5" a="1"/>
  <c r="CQ167" i="5" s="1"/>
  <c r="BD252" i="5"/>
  <c r="CQ252" i="5" a="1"/>
  <c r="CQ252" i="5" s="1"/>
  <c r="BD3" i="5"/>
  <c r="CQ3" i="5" a="1"/>
  <c r="CQ3" i="5" s="1"/>
  <c r="BD394" i="5"/>
  <c r="CQ394" i="5" a="1"/>
  <c r="CQ394" i="5" s="1"/>
  <c r="BD398" i="5"/>
  <c r="CQ398" i="5" a="1"/>
  <c r="CQ398" i="5" s="1"/>
  <c r="BD143" i="5"/>
  <c r="CQ143" i="5" a="1"/>
  <c r="CQ143" i="5" s="1"/>
  <c r="BD124" i="5"/>
  <c r="CQ124" i="5" a="1"/>
  <c r="CQ124" i="5" s="1"/>
  <c r="BD176" i="5"/>
  <c r="CQ176" i="5" a="1"/>
  <c r="CQ176" i="5" s="1"/>
  <c r="BD98" i="5"/>
  <c r="CQ98" i="5" a="1"/>
  <c r="CQ98" i="5" s="1"/>
  <c r="BD430" i="5"/>
  <c r="CQ430" i="5" a="1"/>
  <c r="CQ430" i="5" s="1"/>
  <c r="BD140" i="5"/>
  <c r="CQ140" i="5" a="1"/>
  <c r="CQ140" i="5" s="1"/>
  <c r="BD248" i="5"/>
  <c r="CQ248" i="5" a="1"/>
  <c r="CQ248" i="5" s="1"/>
  <c r="BD337" i="5"/>
  <c r="CQ337" i="5" a="1"/>
  <c r="CQ337" i="5" s="1"/>
  <c r="BD360" i="5"/>
  <c r="CQ360" i="5" a="1"/>
  <c r="CQ360" i="5" s="1"/>
  <c r="BD279" i="5"/>
  <c r="CQ279" i="5" a="1"/>
  <c r="CQ279" i="5" s="1"/>
  <c r="BD171" i="5"/>
  <c r="CQ171" i="5" a="1"/>
  <c r="CQ171" i="5" s="1"/>
  <c r="BD303" i="5"/>
  <c r="CQ303" i="5" a="1"/>
  <c r="CQ303" i="5" s="1"/>
  <c r="BD123" i="5"/>
  <c r="CQ123" i="5" a="1"/>
  <c r="CQ123" i="5" s="1"/>
  <c r="BD249" i="5"/>
  <c r="CQ249" i="5" a="1"/>
  <c r="CQ249" i="5" s="1"/>
  <c r="BD154" i="5"/>
  <c r="CQ154" i="5" a="1"/>
  <c r="CQ154" i="5" s="1"/>
  <c r="BD77" i="5"/>
  <c r="CQ77" i="5" a="1"/>
  <c r="CQ77" i="5" s="1"/>
  <c r="BD378" i="5"/>
  <c r="CQ378" i="5" a="1"/>
  <c r="CQ378" i="5" s="1"/>
  <c r="BD157" i="5"/>
  <c r="CQ157" i="5" a="1"/>
  <c r="CQ157" i="5" s="1"/>
  <c r="BD443" i="5"/>
  <c r="CQ443" i="5" a="1"/>
  <c r="CQ443" i="5" s="1"/>
  <c r="BD31" i="5"/>
  <c r="CQ31" i="5" a="1"/>
  <c r="CQ31" i="5" s="1"/>
  <c r="BD362" i="5"/>
  <c r="CQ362" i="5" a="1"/>
  <c r="CQ362" i="5" s="1"/>
  <c r="BD387" i="5"/>
  <c r="CQ387" i="5" a="1"/>
  <c r="CQ387" i="5" s="1"/>
  <c r="BD82" i="5"/>
  <c r="CQ82" i="5" a="1"/>
  <c r="CQ82" i="5" s="1"/>
  <c r="BD232" i="5"/>
  <c r="CQ232" i="5" a="1"/>
  <c r="CQ232" i="5" s="1"/>
  <c r="BD129" i="5"/>
  <c r="CQ129" i="5" a="1"/>
  <c r="CQ129" i="5" s="1"/>
  <c r="BD58" i="5"/>
  <c r="CQ58" i="5" a="1"/>
  <c r="CQ58" i="5" s="1"/>
  <c r="BD377" i="5"/>
  <c r="CQ377" i="5" a="1"/>
  <c r="CQ377" i="5" s="1"/>
  <c r="BD126" i="5"/>
  <c r="CQ126" i="5" a="1"/>
  <c r="CQ126" i="5" s="1"/>
  <c r="BD421" i="5"/>
  <c r="CQ421" i="5" a="1"/>
  <c r="CQ421" i="5" s="1"/>
  <c r="BD12" i="5"/>
  <c r="CQ12" i="5" a="1"/>
  <c r="CQ12" i="5" s="1"/>
  <c r="BD340" i="5"/>
  <c r="CQ340" i="5" a="1"/>
  <c r="CQ340" i="5" s="1"/>
  <c r="CA10" i="5"/>
  <c r="BY10" i="5"/>
  <c r="BZ360" i="5"/>
  <c r="CL360" i="5"/>
  <c r="CK360" i="5"/>
  <c r="BY280" i="5"/>
  <c r="CA280" i="5"/>
  <c r="A331" i="6"/>
  <c r="A330" i="6"/>
  <c r="A329" i="6"/>
  <c r="A328" i="6"/>
  <c r="A327" i="6"/>
  <c r="A326" i="6"/>
  <c r="A325" i="6"/>
  <c r="A324" i="6"/>
  <c r="A323" i="6"/>
  <c r="A322" i="6" l="1"/>
  <c r="A321" i="6"/>
  <c r="A320" i="6"/>
  <c r="A319" i="6"/>
  <c r="A318" i="6"/>
  <c r="A317" i="6"/>
  <c r="A316" i="6"/>
  <c r="A315" i="6"/>
  <c r="A314" i="6"/>
  <c r="A313" i="6"/>
  <c r="A312" i="6"/>
  <c r="A311" i="6"/>
  <c r="A310" i="6"/>
  <c r="A309" i="6"/>
  <c r="A308" i="6"/>
  <c r="A307" i="6"/>
  <c r="A306" i="6" l="1"/>
  <c r="A305" i="6"/>
  <c r="A304" i="6"/>
  <c r="A303" i="6"/>
  <c r="A302" i="6"/>
  <c r="A301" i="6"/>
  <c r="A300" i="6"/>
  <c r="A299" i="6"/>
  <c r="A298" i="6"/>
  <c r="A297" i="6"/>
  <c r="A296" i="6"/>
  <c r="A295" i="6"/>
  <c r="A294" i="6" l="1"/>
  <c r="A293" i="6"/>
  <c r="A292" i="6"/>
  <c r="A291" i="6"/>
  <c r="A290" i="6"/>
  <c r="A289" i="6"/>
  <c r="A288" i="6"/>
  <c r="A287" i="6"/>
  <c r="A286" i="6"/>
  <c r="A285" i="6"/>
  <c r="A284" i="6"/>
  <c r="A283" i="6" l="1"/>
  <c r="A282" i="6"/>
  <c r="A281" i="6"/>
  <c r="A280" i="6"/>
  <c r="A279" i="6"/>
  <c r="A278" i="6"/>
  <c r="A277" i="6"/>
  <c r="A276" i="6"/>
  <c r="A275" i="6"/>
  <c r="A274" i="6"/>
  <c r="A273" i="6"/>
  <c r="A272" i="6"/>
  <c r="A271" i="6"/>
  <c r="A270" i="6"/>
  <c r="A269" i="6"/>
  <c r="A268" i="6"/>
  <c r="A267" i="6"/>
  <c r="A266" i="6"/>
  <c r="A265" i="6"/>
  <c r="A264" i="6" l="1"/>
  <c r="A263" i="6"/>
  <c r="A262" i="6"/>
  <c r="A261" i="6"/>
  <c r="A260" i="6"/>
  <c r="A259" i="6"/>
  <c r="A258" i="6"/>
  <c r="A257" i="6"/>
  <c r="A256" i="6"/>
  <c r="A255" i="6"/>
  <c r="A254" i="6"/>
  <c r="A253" i="6"/>
  <c r="A252" i="6"/>
  <c r="A251" i="6"/>
  <c r="A250" i="6"/>
  <c r="A249" i="6"/>
  <c r="A248" i="6"/>
  <c r="A247" i="6"/>
  <c r="A246" i="6"/>
  <c r="A245" i="6"/>
  <c r="A244" i="6"/>
  <c r="A243" i="6"/>
  <c r="A242" i="6"/>
  <c r="A241" i="6" l="1"/>
  <c r="A240" i="6" l="1"/>
  <c r="A239" i="6"/>
  <c r="A238" i="6"/>
  <c r="A237" i="6"/>
  <c r="A236" i="6"/>
  <c r="A235" i="6"/>
  <c r="A234" i="6"/>
  <c r="A233" i="6"/>
  <c r="A232" i="6"/>
  <c r="A231" i="6"/>
  <c r="A230" i="6"/>
  <c r="A229" i="6"/>
  <c r="A228" i="6"/>
  <c r="A227" i="6"/>
  <c r="A226" i="6"/>
  <c r="A225" i="6"/>
  <c r="A224" i="6"/>
  <c r="A223" i="6"/>
  <c r="A222" i="6"/>
  <c r="A221" i="6"/>
  <c r="A220" i="6"/>
  <c r="A2" i="6" l="1"/>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N444" i="5" l="1"/>
  <c r="B10" i="35" l="1"/>
  <c r="B9" i="35"/>
  <c r="CD444" i="5" l="1"/>
  <c r="B4" i="35"/>
  <c r="CB444" i="5" l="1"/>
  <c r="B5" i="35"/>
  <c r="CC444" i="5" l="1"/>
  <c r="BX444" i="5" l="1"/>
  <c r="CE444" i="5"/>
  <c r="B6" i="35"/>
  <c r="BJ444" i="5" l="1"/>
  <c r="AO444" i="5"/>
  <c r="B7" i="35"/>
  <c r="B12" i="35" l="1" a="1"/>
  <c r="B12" i="35" s="1"/>
  <c r="AL444" i="5"/>
  <c r="AR444" i="5"/>
  <c r="AQ444" i="5"/>
  <c r="CI444" i="5"/>
  <c r="BL444" i="5"/>
  <c r="CH444" i="5"/>
  <c r="BN444" i="5" l="1"/>
  <c r="CQ444" i="5"/>
  <c r="AP444" i="5"/>
  <c r="AS444" i="5"/>
  <c r="AM444" i="5"/>
  <c r="BW444" i="5"/>
  <c r="BT444" i="5" l="1"/>
  <c r="BU444" i="5"/>
  <c r="CN444" i="5"/>
  <c r="BY444" i="5"/>
  <c r="C6" i="24" l="1"/>
  <c r="C7" i="24"/>
  <c r="C8" i="24"/>
  <c r="C5" i="24" l="1"/>
  <c r="AZ444" i="5" l="1"/>
  <c r="BD444" i="5"/>
  <c r="AY444" i="5"/>
  <c r="E6" i="24" l="1"/>
  <c r="BB444" i="5"/>
  <c r="AW444" i="5"/>
  <c r="BE444" i="5"/>
  <c r="AX444" i="5"/>
  <c r="BP444" i="5"/>
  <c r="BS444" i="5"/>
  <c r="BQ444" i="5"/>
  <c r="BO444" i="5"/>
  <c r="E7" i="24" l="1"/>
  <c r="E8" i="24"/>
  <c r="D6" i="24"/>
  <c r="D8" i="24"/>
  <c r="AT444" i="5"/>
  <c r="BC444" i="5" l="1"/>
  <c r="D7" i="24"/>
  <c r="AU444" i="5"/>
  <c r="BF444" i="5"/>
  <c r="BH444" i="5"/>
  <c r="CJ444" i="5"/>
  <c r="BG444" i="5"/>
  <c r="D5" i="24" l="1"/>
  <c r="BI444" i="5"/>
  <c r="BK444" i="5"/>
  <c r="CO444" i="5"/>
  <c r="AV444" i="5"/>
  <c r="E5" i="24" l="1"/>
  <c r="CA444" i="5"/>
  <c r="BM444" i="5"/>
  <c r="CM444" i="5"/>
  <c r="BV444" i="5" l="1"/>
  <c r="BZ444" i="5"/>
  <c r="K7" i="2" l="1"/>
  <c r="K8" i="2"/>
  <c r="K9" i="2"/>
  <c r="K10" i="2"/>
  <c r="K11" i="2"/>
  <c r="K12" i="2"/>
  <c r="K13" i="2"/>
  <c r="W8" i="2" l="1"/>
  <c r="AB8" i="2"/>
  <c r="X9" i="2"/>
  <c r="AB9" i="2"/>
  <c r="X7" i="2"/>
  <c r="AB7" i="2"/>
  <c r="BR444" i="5" l="1"/>
  <c r="P8" i="35" l="1"/>
  <c r="O8" i="35" s="1"/>
  <c r="P9" i="35"/>
  <c r="O9" i="35" s="1"/>
  <c r="P10" i="35"/>
  <c r="O10" i="35" s="1"/>
  <c r="P12" i="35"/>
  <c r="O12" i="35" s="1"/>
  <c r="P13" i="35"/>
  <c r="P11" i="35"/>
  <c r="O11" i="35" s="1"/>
  <c r="P7" i="35" l="1"/>
  <c r="O7" i="35" s="1"/>
  <c r="Q14" i="35"/>
  <c r="O14" i="35" s="1"/>
  <c r="Q13" i="35"/>
  <c r="O13" i="35" s="1"/>
  <c r="P14" i="35" l="1"/>
  <c r="BA444" i="5"/>
  <c r="CL444" i="5" l="1"/>
  <c r="AB444" i="5" l="1"/>
  <c r="CK444" i="5"/>
  <c r="F309" i="6" l="1"/>
  <c r="F303" i="6"/>
  <c r="F248" i="6"/>
  <c r="F100" i="6"/>
  <c r="F425" i="6"/>
  <c r="F382" i="6"/>
  <c r="F366" i="6"/>
  <c r="F21" i="6"/>
  <c r="F434" i="6"/>
  <c r="F346" i="6"/>
  <c r="F350" i="6"/>
  <c r="F247" i="6"/>
  <c r="F41" i="6"/>
  <c r="F64" i="6"/>
  <c r="F95" i="6"/>
  <c r="F19" i="6"/>
  <c r="F109" i="6"/>
  <c r="F242" i="6"/>
  <c r="F37" i="6"/>
  <c r="F308" i="6"/>
  <c r="F138" i="6"/>
  <c r="F161" i="6"/>
  <c r="F167" i="6"/>
  <c r="F331" i="6"/>
  <c r="F376" i="6"/>
  <c r="F202" i="6"/>
  <c r="F254" i="6"/>
  <c r="F287" i="6"/>
  <c r="F86" i="6"/>
  <c r="F321" i="6"/>
  <c r="F306" i="6"/>
  <c r="F377" i="6"/>
  <c r="F105" i="6"/>
  <c r="F404" i="6"/>
  <c r="F416" i="6"/>
  <c r="F119" i="6"/>
  <c r="F438" i="6"/>
  <c r="F221" i="6"/>
  <c r="F59" i="6"/>
  <c r="F32" i="6"/>
  <c r="F352" i="6"/>
  <c r="F91" i="6"/>
  <c r="F223" i="6"/>
  <c r="F403" i="6"/>
  <c r="F135" i="6"/>
  <c r="F360" i="6"/>
  <c r="F310" i="6"/>
  <c r="F357" i="6"/>
  <c r="F103" i="6"/>
  <c r="F141" i="6"/>
  <c r="F239" i="6"/>
  <c r="F400" i="6"/>
  <c r="F319" i="6"/>
  <c r="F178" i="6"/>
  <c r="F297" i="6"/>
  <c r="F330" i="6"/>
  <c r="F222" i="6"/>
  <c r="F48" i="6"/>
  <c r="F418" i="6"/>
  <c r="F203" i="6"/>
  <c r="F394" i="6"/>
  <c r="F263" i="6"/>
  <c r="F27" i="6"/>
  <c r="F417" i="6"/>
  <c r="F348" i="6"/>
  <c r="F212" i="6"/>
  <c r="F336" i="6"/>
  <c r="F384" i="6"/>
  <c r="F84" i="6"/>
  <c r="F6" i="6"/>
  <c r="F261" i="6"/>
  <c r="F301" i="6"/>
  <c r="F78" i="6"/>
  <c r="F392" i="6"/>
  <c r="F443" i="6"/>
  <c r="F204" i="6"/>
  <c r="F422" i="6"/>
  <c r="F31" i="6"/>
  <c r="F188" i="6"/>
  <c r="F268" i="6"/>
  <c r="F146" i="6"/>
  <c r="F57" i="6"/>
  <c r="F325" i="6"/>
  <c r="F139" i="6"/>
  <c r="F294" i="6"/>
  <c r="F177" i="6"/>
  <c r="F144" i="6"/>
  <c r="F250" i="6"/>
  <c r="F395" i="6"/>
  <c r="F23" i="6"/>
  <c r="F326" i="6"/>
  <c r="F61" i="6"/>
  <c r="F65" i="6"/>
  <c r="F233" i="6"/>
  <c r="F194" i="6"/>
  <c r="F80" i="6"/>
  <c r="F63" i="6"/>
  <c r="F142" i="6"/>
  <c r="F274" i="6"/>
  <c r="F182" i="6"/>
  <c r="F127" i="6"/>
  <c r="F430" i="6"/>
  <c r="F272" i="6"/>
  <c r="F265" i="6"/>
  <c r="F99" i="6"/>
  <c r="F286" i="6"/>
  <c r="F329" i="6"/>
  <c r="F431" i="6"/>
  <c r="F90" i="6"/>
  <c r="F33" i="6"/>
  <c r="F375" i="6"/>
  <c r="F17" i="6"/>
  <c r="F398" i="6"/>
  <c r="F150" i="6"/>
  <c r="F232" i="6"/>
  <c r="F38" i="6"/>
  <c r="F180" i="6"/>
  <c r="F216" i="6"/>
  <c r="F200" i="6"/>
  <c r="F241" i="6"/>
  <c r="F184" i="6"/>
  <c r="F47" i="6"/>
  <c r="F437" i="6"/>
  <c r="F185" i="6"/>
  <c r="F153" i="6"/>
  <c r="F317" i="6"/>
  <c r="F71" i="6"/>
  <c r="F198" i="6"/>
  <c r="F97" i="6"/>
  <c r="F217" i="6"/>
  <c r="F122" i="6"/>
  <c r="F338" i="6"/>
  <c r="F267" i="6"/>
  <c r="F269" i="6"/>
  <c r="F210" i="6"/>
  <c r="F442" i="6"/>
  <c r="F219" i="6"/>
  <c r="F112" i="6"/>
  <c r="F432" i="6"/>
  <c r="F345" i="6"/>
  <c r="F428" i="6"/>
  <c r="F379" i="6"/>
  <c r="F2" i="6"/>
  <c r="F228" i="6"/>
  <c r="F175" i="6"/>
  <c r="F275" i="6"/>
  <c r="F278" i="6"/>
  <c r="F72" i="6"/>
  <c r="F354" i="6"/>
  <c r="F52" i="6"/>
  <c r="F24" i="6"/>
  <c r="F133" i="6"/>
  <c r="F396" i="6"/>
  <c r="F29" i="6"/>
  <c r="F253" i="6"/>
  <c r="F283" i="6"/>
  <c r="F374" i="6"/>
  <c r="F129" i="6"/>
  <c r="F277" i="6"/>
  <c r="F427" i="6"/>
  <c r="F166" i="6"/>
  <c r="F4" i="6"/>
  <c r="F378" i="6"/>
  <c r="F7" i="6"/>
  <c r="F370" i="6"/>
  <c r="F231" i="6"/>
  <c r="F311" i="6"/>
  <c r="F46" i="6"/>
  <c r="F211" i="6"/>
  <c r="F441" i="6"/>
  <c r="F390" i="6"/>
  <c r="F243" i="6"/>
  <c r="F176" i="6"/>
  <c r="F365" i="6"/>
  <c r="F34" i="6"/>
  <c r="F355" i="6"/>
  <c r="F300" i="6"/>
  <c r="F340" i="6"/>
  <c r="F54" i="6"/>
  <c r="F155" i="6"/>
  <c r="F124" i="6"/>
  <c r="F302" i="6"/>
  <c r="F264" i="6"/>
  <c r="F341" i="6"/>
  <c r="F214" i="6"/>
  <c r="F429" i="6"/>
  <c r="F273" i="6"/>
  <c r="F281" i="6"/>
  <c r="F236" i="6"/>
  <c r="F307" i="6"/>
  <c r="F101" i="6"/>
  <c r="F318" i="6"/>
  <c r="F387" i="6"/>
  <c r="F55" i="6"/>
  <c r="F151" i="6"/>
  <c r="F386" i="6"/>
  <c r="F36" i="6"/>
  <c r="F44" i="6"/>
  <c r="F312" i="6"/>
  <c r="F276" i="6"/>
  <c r="F359" i="6"/>
  <c r="F110" i="6"/>
  <c r="F402" i="6"/>
  <c r="F292" i="6"/>
  <c r="F298" i="6"/>
  <c r="F8" i="6"/>
  <c r="F225" i="6"/>
  <c r="F421" i="6"/>
  <c r="F9" i="6"/>
  <c r="F328" i="6"/>
  <c r="F134" i="6"/>
  <c r="F189" i="6"/>
  <c r="F193" i="6"/>
  <c r="F123" i="6"/>
  <c r="F364" i="6"/>
  <c r="F149" i="6"/>
  <c r="F181" i="6"/>
  <c r="F299" i="6"/>
  <c r="F291" i="6"/>
  <c r="F40" i="6"/>
  <c r="F205" i="6"/>
  <c r="F332" i="6"/>
  <c r="F107" i="6"/>
  <c r="F26" i="6"/>
  <c r="F92" i="6"/>
  <c r="F197" i="6"/>
  <c r="F245" i="6"/>
  <c r="F30" i="6"/>
  <c r="F13" i="6"/>
  <c r="F435" i="6"/>
  <c r="F85" i="6"/>
  <c r="F362" i="6"/>
  <c r="F397" i="6"/>
  <c r="F10" i="6"/>
  <c r="F316" i="6"/>
  <c r="F381" i="6"/>
  <c r="F88" i="6"/>
  <c r="F420" i="6"/>
  <c r="F412" i="6"/>
  <c r="F380" i="6"/>
  <c r="F18" i="6"/>
  <c r="F81" i="6"/>
  <c r="F339" i="6"/>
  <c r="F262" i="6"/>
  <c r="F43" i="6"/>
  <c r="F96" i="6"/>
  <c r="F358" i="6"/>
  <c r="F196" i="6"/>
  <c r="F285" i="6"/>
  <c r="F120" i="6"/>
  <c r="F130" i="6"/>
  <c r="F79" i="6"/>
  <c r="F35" i="6"/>
  <c r="F436" i="6"/>
  <c r="F305" i="6"/>
  <c r="F128" i="6"/>
  <c r="F296" i="6"/>
  <c r="F208" i="6"/>
  <c r="F280" i="6"/>
  <c r="F368" i="6"/>
  <c r="F440" i="6"/>
  <c r="F60" i="6"/>
  <c r="F191" i="6"/>
  <c r="F11" i="6"/>
  <c r="F125" i="6"/>
  <c r="F152" i="6"/>
  <c r="F347" i="6"/>
  <c r="F39" i="6"/>
  <c r="F409" i="6"/>
  <c r="F187" i="6"/>
  <c r="F383" i="6"/>
  <c r="F168" i="6"/>
  <c r="F426" i="6"/>
  <c r="F344" i="6"/>
  <c r="F114" i="6"/>
  <c r="F58" i="6"/>
  <c r="F289" i="6"/>
  <c r="F334" i="6"/>
  <c r="F371" i="6"/>
  <c r="F363" i="6"/>
  <c r="F113" i="6"/>
  <c r="F143" i="6"/>
  <c r="F433" i="6"/>
  <c r="F342" i="6"/>
  <c r="F235" i="6"/>
  <c r="F5" i="6"/>
  <c r="F215" i="6"/>
  <c r="F399" i="6"/>
  <c r="F108" i="6"/>
  <c r="F410" i="6"/>
  <c r="F145" i="6"/>
  <c r="F118" i="6"/>
  <c r="F256" i="6"/>
  <c r="F159" i="6"/>
  <c r="F137" i="6"/>
  <c r="F322" i="6"/>
  <c r="F115" i="6"/>
  <c r="F246" i="6"/>
  <c r="F270" i="6"/>
  <c r="F158" i="6"/>
  <c r="F206" i="6"/>
  <c r="F407" i="6"/>
  <c r="F293" i="6"/>
  <c r="F361" i="6"/>
  <c r="F324" i="6"/>
  <c r="F76" i="6"/>
  <c r="F201" i="6"/>
  <c r="F288" i="6"/>
  <c r="F244" i="6"/>
  <c r="F279" i="6"/>
  <c r="F423" i="6"/>
  <c r="F192" i="6"/>
  <c r="F174" i="6"/>
  <c r="F314" i="6"/>
  <c r="F304" i="6"/>
  <c r="F367" i="6"/>
  <c r="F74" i="6"/>
  <c r="F117" i="6"/>
  <c r="F147" i="6"/>
  <c r="F20" i="6"/>
  <c r="F391" i="6"/>
  <c r="F89" i="6"/>
  <c r="F67" i="6"/>
  <c r="F333" i="6"/>
  <c r="F327" i="6"/>
  <c r="F186" i="6"/>
  <c r="F126" i="6"/>
  <c r="F102" i="6"/>
  <c r="F195" i="6"/>
  <c r="F140" i="6"/>
  <c r="F295" i="6"/>
  <c r="F405" i="6"/>
  <c r="F413" i="6"/>
  <c r="F234" i="6"/>
  <c r="F227" i="6"/>
  <c r="F56" i="6"/>
  <c r="F169" i="6"/>
  <c r="F356" i="6"/>
  <c r="F62" i="6"/>
  <c r="F15" i="6"/>
  <c r="F207" i="6"/>
  <c r="F121" i="6"/>
  <c r="F132" i="6"/>
  <c r="F401" i="6"/>
  <c r="F373" i="6"/>
  <c r="F77" i="6"/>
  <c r="F209" i="6"/>
  <c r="F257" i="6"/>
  <c r="F70" i="6"/>
  <c r="F411" i="6"/>
  <c r="F94" i="6"/>
  <c r="F75" i="6"/>
  <c r="F260" i="6"/>
  <c r="F323" i="6"/>
  <c r="F66" i="6"/>
  <c r="F73" i="6"/>
  <c r="F156" i="6"/>
  <c r="F249" i="6"/>
  <c r="F131" i="6"/>
  <c r="F271" i="6"/>
  <c r="F136" i="6"/>
  <c r="F313" i="6"/>
  <c r="F218" i="6"/>
  <c r="F290" i="6"/>
  <c r="F369" i="6"/>
  <c r="F251" i="6"/>
  <c r="F224" i="6"/>
  <c r="F106" i="6"/>
  <c r="F385" i="6"/>
  <c r="F14" i="6"/>
  <c r="F284" i="6"/>
  <c r="F320" i="6"/>
  <c r="F171" i="6"/>
  <c r="F199" i="6"/>
  <c r="F255" i="6"/>
  <c r="F172" i="6"/>
  <c r="F22" i="6"/>
  <c r="F266" i="6"/>
  <c r="F87" i="6"/>
  <c r="F252" i="6"/>
  <c r="F230" i="6"/>
  <c r="F53" i="6"/>
  <c r="F179" i="6"/>
  <c r="F343" i="6"/>
  <c r="F148" i="6"/>
  <c r="F163" i="6"/>
  <c r="F170" i="6"/>
  <c r="F349" i="6"/>
  <c r="F164" i="6"/>
  <c r="F240" i="6"/>
  <c r="F173" i="6"/>
  <c r="F414" i="6"/>
  <c r="F238" i="6"/>
  <c r="F111" i="6"/>
  <c r="F16" i="6"/>
  <c r="F213" i="6"/>
  <c r="F415" i="6"/>
  <c r="F372" i="6"/>
  <c r="F282" i="6"/>
  <c r="F258" i="6"/>
  <c r="F28" i="6"/>
  <c r="F82" i="6"/>
  <c r="F157" i="6"/>
  <c r="F419" i="6"/>
  <c r="F351" i="6"/>
  <c r="F25" i="6"/>
  <c r="F162" i="6"/>
  <c r="F3" i="6"/>
  <c r="F45" i="6"/>
  <c r="F93" i="6"/>
  <c r="F49" i="6"/>
  <c r="F165" i="6"/>
  <c r="F220" i="6"/>
  <c r="F42" i="6"/>
  <c r="F116" i="6"/>
  <c r="F104" i="6"/>
  <c r="F393" i="6"/>
  <c r="F226" i="6"/>
  <c r="F12" i="6"/>
  <c r="F406" i="6"/>
  <c r="F83" i="6"/>
  <c r="F237" i="6"/>
  <c r="F388" i="6"/>
  <c r="F51" i="6"/>
  <c r="F337" i="6"/>
  <c r="F68" i="6"/>
  <c r="F69" i="6"/>
  <c r="F160" i="6"/>
  <c r="F98" i="6"/>
  <c r="F229" i="6"/>
  <c r="F439" i="6"/>
  <c r="F154" i="6"/>
  <c r="F353" i="6"/>
  <c r="F259" i="6"/>
  <c r="F424" i="6"/>
  <c r="F389" i="6"/>
  <c r="F50" i="6"/>
  <c r="F183" i="6"/>
  <c r="F408" i="6"/>
  <c r="F315" i="6"/>
  <c r="F190" i="6"/>
  <c r="F335" i="6"/>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00000000-0015-0000-FFFF-FFFF00000000}" keepAlive="1" name="Query - tbl_Case_mins" description="Connection to the 'tbl_Case_mins' query in the workbook." type="5" refreshedVersion="8" background="1" refreshOnLoad="1" saveData="1">
    <dbPr connection="Provider=Microsoft.Mashup.OleDb.1;Data Source=$Workbook$;Location=tbl_Case_mins;Extended Properties=&quot;&quot;" command="SELECT * FROM [tbl_Case_mins]"/>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<sst xmlns="http://purl.oclc.org/ooxml/spreadsheetml/main" count="1244" uniqueCount="248">
  <si>
    <t>CoreTimeDay</t>
  </si>
  <si>
    <t>(All)</t>
  </si>
  <si>
    <t>Grade</t>
  </si>
  <si>
    <t>No of Cases</t>
  </si>
  <si>
    <t>Date</t>
  </si>
  <si>
    <t>Intra Op Interval</t>
  </si>
  <si>
    <t>Theatre</t>
  </si>
  <si>
    <t>Week No</t>
  </si>
  <si>
    <t>Values</t>
  </si>
  <si>
    <t>DelayStartAM</t>
  </si>
  <si>
    <t xml:space="preserve">  </t>
  </si>
  <si>
    <t>No. of In Core Cases</t>
  </si>
  <si>
    <t>No. of Non Core Cases with In Core Time</t>
  </si>
  <si>
    <t>% Theatre Utilisation</t>
  </si>
  <si>
    <t>No. of Cases Cancelled</t>
  </si>
  <si>
    <t>% Days OnTime Start</t>
  </si>
  <si>
    <t xml:space="preserve"> </t>
  </si>
  <si>
    <t>AM Delay Start Mins</t>
  </si>
  <si>
    <t>Grand Total</t>
  </si>
  <si>
    <t>No. of Cancelled Cases</t>
  </si>
  <si>
    <t>Planned Closure</t>
  </si>
  <si>
    <t>Cancelled List</t>
  </si>
  <si>
    <t>Other Use</t>
  </si>
  <si>
    <t>Days, Dates and Weeks</t>
  </si>
  <si>
    <t>StartDate</t>
  </si>
  <si>
    <t>Case Type</t>
  </si>
  <si>
    <t>EndDate</t>
  </si>
  <si>
    <t>NoOfDates</t>
  </si>
  <si>
    <t>NoOfWeeks</t>
  </si>
  <si>
    <t>Current % Utilised of Scheduled (Staffed)</t>
  </si>
  <si>
    <t>StartWeek</t>
  </si>
  <si>
    <t>EndWeek</t>
  </si>
  <si>
    <t>No of Days with InCore Time</t>
  </si>
  <si>
    <t>Core / Non Core Activity</t>
  </si>
  <si>
    <t>Specialty</t>
  </si>
  <si>
    <t>No of Cases (Overview)</t>
  </si>
  <si>
    <t>Cases</t>
  </si>
  <si>
    <t>Core Hours</t>
  </si>
  <si>
    <t>Non Core Hours</t>
  </si>
  <si>
    <t>CancelledCase</t>
  </si>
  <si>
    <t>No started In Core Scheduled</t>
  </si>
  <si>
    <t>No started In Core Unscheduled</t>
  </si>
  <si>
    <t>No started Non Core Scheduled</t>
  </si>
  <si>
    <t>No started Non Core Unscheduled</t>
  </si>
  <si>
    <t>No of cases</t>
  </si>
  <si>
    <t>Core Time Summary</t>
  </si>
  <si>
    <t>No. of InCore Cases</t>
  </si>
  <si>
    <t>Counter</t>
  </si>
  <si>
    <t>Surgeon</t>
  </si>
  <si>
    <t>Surgery Grade</t>
  </si>
  <si>
    <t>Bed Status</t>
  </si>
  <si>
    <t>POA</t>
  </si>
  <si>
    <t>Surgery Status</t>
  </si>
  <si>
    <t>Status Desc</t>
  </si>
  <si>
    <t>Surgery Start Date</t>
  </si>
  <si>
    <t>Day</t>
  </si>
  <si>
    <t>Patient Called</t>
  </si>
  <si>
    <t>Arrival</t>
  </si>
  <si>
    <t>Into Th or AR</t>
  </si>
  <si>
    <t>AnaesthStart</t>
  </si>
  <si>
    <t>Surgery Start</t>
  </si>
  <si>
    <t>Surgery Finish</t>
  </si>
  <si>
    <t>Anaesth End</t>
  </si>
  <si>
    <t>Into Recov</t>
  </si>
  <si>
    <t>Ward Called</t>
  </si>
  <si>
    <t>Out of Recov</t>
  </si>
  <si>
    <t>Surgery End Date</t>
  </si>
  <si>
    <t>AR</t>
  </si>
  <si>
    <t>CT_start</t>
  </si>
  <si>
    <t>CT_end</t>
  </si>
  <si>
    <t>CT</t>
  </si>
  <si>
    <t>Unsch</t>
  </si>
  <si>
    <t>Sch</t>
  </si>
  <si>
    <t>ThOpenAm</t>
  </si>
  <si>
    <t>ThCloseAm</t>
  </si>
  <si>
    <t>ThOpenPM</t>
  </si>
  <si>
    <t>ThClosePm</t>
  </si>
  <si>
    <t>TOT</t>
  </si>
  <si>
    <t>TCT</t>
  </si>
  <si>
    <t>InCoreCase</t>
  </si>
  <si>
    <t>NonCoreCase</t>
  </si>
  <si>
    <t>NoInCoreTime</t>
  </si>
  <si>
    <t>NonCoreInCoreTimeCase</t>
  </si>
  <si>
    <t>Ex_CoreTime</t>
  </si>
  <si>
    <t>InCore_Sch</t>
  </si>
  <si>
    <t>InCore_Unsch</t>
  </si>
  <si>
    <t>AmCase</t>
  </si>
  <si>
    <t>PmCase</t>
  </si>
  <si>
    <t>AllDay Case</t>
  </si>
  <si>
    <t>Ana_time</t>
  </si>
  <si>
    <t>Surg_time</t>
  </si>
  <si>
    <t>AnaPreSurg</t>
  </si>
  <si>
    <t>AnaPostSurg</t>
  </si>
  <si>
    <t>Th_time</t>
  </si>
  <si>
    <t>EarlyStartAM</t>
  </si>
  <si>
    <t>Start_Status</t>
  </si>
  <si>
    <t>FirstAMCase</t>
  </si>
  <si>
    <t>InCoreAM</t>
  </si>
  <si>
    <t>AMOverRun</t>
  </si>
  <si>
    <t>AMUnderRun</t>
  </si>
  <si>
    <t>EarlyStartPM</t>
  </si>
  <si>
    <t>Split_Break</t>
  </si>
  <si>
    <t>DelayStartPM</t>
  </si>
  <si>
    <t>AmInCorePm</t>
  </si>
  <si>
    <t>InCorePM</t>
  </si>
  <si>
    <t>PMUnderRun</t>
  </si>
  <si>
    <t>OutOfCorePM</t>
  </si>
  <si>
    <t>PMOverRun</t>
  </si>
  <si>
    <t>Core_Time</t>
  </si>
  <si>
    <t>Poss_Time</t>
  </si>
  <si>
    <t>Target_Util</t>
  </si>
  <si>
    <t>InCoreUse</t>
  </si>
  <si>
    <t>ICU</t>
  </si>
  <si>
    <t>InCore Unused</t>
  </si>
  <si>
    <t>Total_NonCore</t>
  </si>
  <si>
    <t>NextDay_NonCore</t>
  </si>
  <si>
    <t>SameDay_NonCore</t>
  </si>
  <si>
    <t>InCoreHrs</t>
  </si>
  <si>
    <t>NonCoreHrs</t>
  </si>
  <si>
    <t>Rank_Adjust</t>
  </si>
  <si>
    <t>Rank</t>
  </si>
  <si>
    <t>Rank_AnaSt</t>
  </si>
  <si>
    <t>Rank_AnaEnd</t>
  </si>
  <si>
    <t>Max_RankAnaEnd</t>
  </si>
  <si>
    <t>Min_RankAnaSt</t>
  </si>
  <si>
    <t>SmlLg_End</t>
  </si>
  <si>
    <t>SmlLg_Start</t>
  </si>
  <si>
    <t>Overlaps</t>
  </si>
  <si>
    <t>Delay_CT_Start</t>
  </si>
  <si>
    <t>Delay_No_CT</t>
  </si>
  <si>
    <t>Intervals</t>
  </si>
  <si>
    <t>IOI</t>
  </si>
  <si>
    <t>IR_Interval</t>
  </si>
  <si>
    <t>IRI</t>
  </si>
  <si>
    <t>Last Am Case</t>
  </si>
  <si>
    <t>AS_Interval</t>
  </si>
  <si>
    <t>ASI</t>
  </si>
  <si>
    <t>First PM Case</t>
  </si>
  <si>
    <t>Bay</t>
  </si>
  <si>
    <t>BayOpenAM</t>
  </si>
  <si>
    <t>BayCloseAm</t>
  </si>
  <si>
    <t>BayOpenPM</t>
  </si>
  <si>
    <t>BayClosePM</t>
  </si>
  <si>
    <t>GrandTotal_blank</t>
  </si>
  <si>
    <t>Anaesthetic Start</t>
  </si>
  <si>
    <t>Anaesthetic Finish</t>
  </si>
  <si>
    <t>Left Theatre</t>
  </si>
  <si>
    <t>Comment</t>
  </si>
  <si>
    <t>Manage Theatres</t>
  </si>
  <si>
    <t>Enter All times as Military Time - EG - 8:30 as 0830 and 3:30pm as 1530</t>
  </si>
  <si>
    <t>Theatre List</t>
  </si>
  <si>
    <t>Theatre Core Time (Default)</t>
  </si>
  <si>
    <t>Th Name</t>
  </si>
  <si>
    <t>Clean</t>
  </si>
  <si>
    <t>Th Open</t>
  </si>
  <si>
    <t>Th Close</t>
  </si>
  <si>
    <t>Am Open</t>
  </si>
  <si>
    <t>Am Close</t>
  </si>
  <si>
    <t>PM Open</t>
  </si>
  <si>
    <t>PM Close</t>
  </si>
  <si>
    <t>Reason</t>
  </si>
  <si>
    <t>Staffed</t>
  </si>
  <si>
    <t>UnStaffed</t>
  </si>
  <si>
    <t>Ring-fenced</t>
  </si>
  <si>
    <t>Cancel_List</t>
  </si>
  <si>
    <t>AM Time</t>
  </si>
  <si>
    <t>PM Time</t>
  </si>
  <si>
    <t>Ext Poss Core Time</t>
  </si>
  <si>
    <t>All Day Time</t>
  </si>
  <si>
    <t>Mon</t>
  </si>
  <si>
    <t>Tue</t>
  </si>
  <si>
    <t>Wed</t>
  </si>
  <si>
    <t>Thu</t>
  </si>
  <si>
    <t>Fri</t>
  </si>
  <si>
    <t>Sat</t>
  </si>
  <si>
    <t>Sun</t>
  </si>
  <si>
    <t>Control Lists</t>
  </si>
  <si>
    <t>Specialties List</t>
  </si>
  <si>
    <t>Surgeon List</t>
  </si>
  <si>
    <t>Bed Status List</t>
  </si>
  <si>
    <t>Theatre Status List A</t>
  </si>
  <si>
    <t>Specialty ID</t>
  </si>
  <si>
    <t>SpecDesc</t>
  </si>
  <si>
    <t>Surgeon ID</t>
  </si>
  <si>
    <t>Cancelled</t>
  </si>
  <si>
    <t>Th_Status_FullDay</t>
  </si>
  <si>
    <t>Sur_Grade</t>
  </si>
  <si>
    <t>CdV</t>
  </si>
  <si>
    <t>Cardioversion</t>
  </si>
  <si>
    <t>S1</t>
  </si>
  <si>
    <t>In Patient (DOSA)</t>
  </si>
  <si>
    <t>Patient</t>
  </si>
  <si>
    <t>Major</t>
  </si>
  <si>
    <t>CTS</t>
  </si>
  <si>
    <t>Cardio thoracic</t>
  </si>
  <si>
    <t>S2</t>
  </si>
  <si>
    <t>In Patient (not Dosa)</t>
  </si>
  <si>
    <t>Hospital</t>
  </si>
  <si>
    <t>Unstaffed</t>
  </si>
  <si>
    <t>Inter</t>
  </si>
  <si>
    <t>D</t>
  </si>
  <si>
    <t>Dermatology</t>
  </si>
  <si>
    <t>S3</t>
  </si>
  <si>
    <t>Day Case</t>
  </si>
  <si>
    <t>Clinical</t>
  </si>
  <si>
    <t>Ring-Fenced</t>
  </si>
  <si>
    <t>Minor</t>
  </si>
  <si>
    <t>Den</t>
  </si>
  <si>
    <t>Dental</t>
  </si>
  <si>
    <t>S4</t>
  </si>
  <si>
    <t>Major Complex</t>
  </si>
  <si>
    <t>S5</t>
  </si>
  <si>
    <t>S6</t>
  </si>
  <si>
    <t>S7</t>
  </si>
  <si>
    <t>Lito</t>
  </si>
  <si>
    <t>Lithotripsy</t>
  </si>
  <si>
    <t>S8</t>
  </si>
  <si>
    <t>NS</t>
  </si>
  <si>
    <t>Neurosurgery</t>
  </si>
  <si>
    <t>Obs</t>
  </si>
  <si>
    <t xml:space="preserve">Obstetrics </t>
  </si>
  <si>
    <t>OMFS</t>
  </si>
  <si>
    <t xml:space="preserve">Oromaxillary Facial </t>
  </si>
  <si>
    <t>Oph</t>
  </si>
  <si>
    <t>Ophthalmology</t>
  </si>
  <si>
    <t>PL</t>
  </si>
  <si>
    <t>Plastics</t>
  </si>
  <si>
    <t>Pmgt</t>
  </si>
  <si>
    <t xml:space="preserve">Pain Management </t>
  </si>
  <si>
    <t>Case Cancelled</t>
  </si>
  <si>
    <t>No Cases</t>
  </si>
  <si>
    <t>Column1</t>
  </si>
  <si>
    <t>Site 2</t>
  </si>
  <si>
    <t>Name</t>
  </si>
  <si>
    <t>Theatre C</t>
  </si>
  <si>
    <t>Theatre F</t>
  </si>
  <si>
    <t>C</t>
  </si>
  <si>
    <t>F</t>
  </si>
  <si>
    <t>I</t>
  </si>
  <si>
    <t>O</t>
  </si>
  <si>
    <t>L</t>
  </si>
  <si>
    <t>R</t>
  </si>
  <si>
    <t>Theatre I</t>
  </si>
  <si>
    <t>Theatre L</t>
  </si>
  <si>
    <t>Theatre O</t>
  </si>
  <si>
    <t>Theatre R</t>
  </si>
  <si>
    <t>(Multiple Items)</t>
  </si>
  <si>
    <t>#REF!</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</si>
</sst>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164" formatCode="_-* #,##0_-;\-* #,##0_-;_-* &quot;-&quot;??_-;_-@_-"/>
    <numFmt numFmtId="165" formatCode="_-* #,##0.0_-;\-* #,##0.0_-;_-* &quot;-&quot;??_-;_-@_-"/>
    <numFmt numFmtId="166" formatCode="[$-F400]h:mm:ss\ AM/PM"/>
    <numFmt numFmtId="167" formatCode="0.0%"/>
    <numFmt numFmtId="168" formatCode="ddd\,\ dd\-mmm"/>
    <numFmt numFmtId="169" formatCode="\+00;\ \-00;"/>
    <numFmt numFmtId="170" formatCode="\+00;\ \-00;\ 0;"/>
  </numFmts>
  <fonts count="1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b/>
      <sz val="8"/>
      <color theme="0"/>
      <name val="Arial"/>
      <family val="2"/>
    </font>
    <font>
      <sz val="8"/>
      <color theme="0"/>
      <name val="Arial"/>
      <family val="2"/>
    </font>
    <font>
      <sz val="11"/>
      <color theme="1"/>
      <name val="Calibri"/>
      <family val="2"/>
      <scheme val="minor"/>
    </font>
    <font>
      <b/>
      <sz val="14"/>
      <color theme="0"/>
      <name val="Calibri"/>
      <family val="2"/>
      <scheme val="minor"/>
    </font>
    <font>
      <b/>
      <sz val="14"/>
      <name val="Calibri"/>
      <family val="2"/>
      <scheme val="minor"/>
    </font>
    <font>
      <b/>
      <sz val="14"/>
      <color theme="1"/>
      <name val="Calibri"/>
      <family val="2"/>
      <scheme val="minor"/>
    </font>
    <font>
      <sz val="8"/>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s>
  <fills count="10">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0070C0"/>
        <bgColor indexed="64"/>
      </patternFill>
    </fill>
    <fill>
      <patternFill patternType="solid">
        <fgColor rgb="FF92D050"/>
        <bgColor indexed="64"/>
      </patternFill>
    </fill>
  </fills>
  <borders count="19">
    <border>
      <start/>
      <end/>
      <top/>
      <bottom/>
      <diagonal/>
    </border>
    <border>
      <start/>
      <end/>
      <top/>
      <bottom style="thin">
        <color indexed="64"/>
      </bottom>
      <diagonal/>
    </border>
    <border>
      <start style="thin">
        <color rgb="FF999999"/>
      </start>
      <end/>
      <top style="thin">
        <color rgb="FF999999"/>
      </top>
      <bottom/>
      <diagonal/>
    </border>
    <border>
      <start style="thin">
        <color rgb="FF999999"/>
      </start>
      <end style="thin">
        <color rgb="FF999999"/>
      </end>
      <top style="thin">
        <color rgb="FF999999"/>
      </top>
      <bottom/>
      <diagonal/>
    </border>
    <border>
      <start style="thin">
        <color rgb="FF999999"/>
      </start>
      <end/>
      <top style="thin">
        <color rgb="FF999999"/>
      </top>
      <bottom style="thin">
        <color rgb="FF999999"/>
      </bottom>
      <diagonal/>
    </border>
    <border>
      <start style="thin">
        <color rgb="FF999999"/>
      </start>
      <end style="thin">
        <color rgb="FF999999"/>
      </end>
      <top style="thin">
        <color rgb="FF999999"/>
      </top>
      <bottom style="thin">
        <color rgb="FF999999"/>
      </bottom>
      <diagonal/>
    </border>
    <border>
      <start style="thin">
        <color rgb="FF999999"/>
      </start>
      <end/>
      <top style="thin">
        <color indexed="65"/>
      </top>
      <bottom/>
      <diagonal/>
    </border>
    <border>
      <start/>
      <end/>
      <top style="thin">
        <color rgb="FF999999"/>
      </top>
      <bottom/>
      <diagonal/>
    </border>
    <border>
      <start/>
      <end style="thin">
        <color rgb="FF999999"/>
      </end>
      <top style="thin">
        <color rgb="FF999999"/>
      </top>
      <bottom/>
      <diagonal/>
    </border>
    <border>
      <start style="thin">
        <color indexed="65"/>
      </start>
      <end/>
      <top style="thin">
        <color rgb="FF999999"/>
      </top>
      <bottom style="thin">
        <color rgb="FF999999"/>
      </bottom>
      <diagonal/>
    </border>
    <border>
      <start/>
      <end/>
      <top style="thin">
        <color rgb="FF999999"/>
      </top>
      <bottom style="thin">
        <color rgb="FF999999"/>
      </bottom>
      <diagonal/>
    </border>
    <border>
      <start/>
      <end style="thin">
        <color rgb="FF999999"/>
      </end>
      <top style="thin">
        <color rgb="FF999999"/>
      </top>
      <bottom style="thin">
        <color rgb="FF999999"/>
      </bottom>
      <diagonal/>
    </border>
    <border>
      <start/>
      <end style="thin">
        <color theme="9" tint="0.39997558519241921"/>
      </end>
      <top style="thin">
        <color theme="9" tint="0.39997558519241921"/>
      </top>
      <bottom style="thin">
        <color theme="9" tint="0.39997558519241921"/>
      </bottom>
      <diagonal/>
    </border>
    <border>
      <start style="thin">
        <color theme="0"/>
      </start>
      <end style="thin">
        <color theme="0"/>
      </end>
      <top/>
      <bottom style="thick">
        <color theme="0"/>
      </bottom>
      <diagonal/>
    </border>
    <border>
      <start/>
      <end style="thin">
        <color theme="0"/>
      </end>
      <top/>
      <bottom style="thick">
        <color theme="0"/>
      </bottom>
      <diagonal/>
    </border>
    <border>
      <start style="thin">
        <color theme="9" tint="0.39997558519241921"/>
      </start>
      <end/>
      <top style="thin">
        <color theme="9" tint="0.39997558519241921"/>
      </top>
      <bottom style="thin">
        <color theme="9" tint="0.39997558519241921"/>
      </bottom>
      <diagonal/>
    </border>
    <border>
      <start/>
      <end/>
      <top style="thin">
        <color theme="9" tint="0.39997558519241921"/>
      </top>
      <bottom style="thin">
        <color theme="9" tint="0.39997558519241921"/>
      </bottom>
      <diagonal/>
    </border>
    <border>
      <start style="thin">
        <color theme="9" tint="0.39997558519241921"/>
      </start>
      <end/>
      <top style="thin">
        <color theme="9" tint="0.39997558519241921"/>
      </top>
      <bottom/>
      <diagonal/>
    </border>
    <border>
      <start/>
      <end/>
      <top style="thin">
        <color theme="9" tint="0.39997558519241921"/>
      </top>
      <bottom/>
      <diagonal/>
    </border>
  </borders>
  <cellStyleXfs count="3">
    <xf numFmtId="0" fontId="0" fillId="0" borderId="0"/>
    <xf numFmtId="43" fontId="7" fillId="0" borderId="0" applyFont="0" applyFill="0" applyBorder="0" applyAlignment="0" applyProtection="0"/>
    <xf numFmtId="9" fontId="7" fillId="0" borderId="0" applyFont="0" applyFill="0" applyBorder="0" applyAlignment="0" applyProtection="0"/>
  </cellStyleXfs>
  <cellXfs count="109">
    <xf numFmtId="0" fontId="0" fillId="0" borderId="0" xfId="0"/>
    <xf numFmtId="0" fontId="0" fillId="0" borderId="0" xfId="0" applyAlignment="1">
      <alignment horizontal="left"/>
    </xf>
    <xf numFmtId="0" fontId="2" fillId="2" borderId="0" xfId="0" applyFont="1" applyFill="1" applyAlignment="1">
      <alignment vertical="center"/>
    </xf>
    <xf numFmtId="0" fontId="3" fillId="0" borderId="0" xfId="0" applyFont="1"/>
    <xf numFmtId="14" fontId="0" fillId="0" borderId="0" xfId="0" applyNumberFormat="1"/>
    <xf numFmtId="20" fontId="0" fillId="0" borderId="0" xfId="0" applyNumberFormat="1"/>
    <xf numFmtId="0" fontId="2" fillId="0" borderId="0" xfId="0" applyFont="1" applyAlignment="1">
      <alignment vertical="center"/>
    </xf>
    <xf numFmtId="0" fontId="4" fillId="0" borderId="0" xfId="0" applyFont="1" applyAlignment="1">
      <alignment vertical="center"/>
    </xf>
    <xf numFmtId="0" fontId="5" fillId="0" borderId="0" xfId="0" applyFont="1" applyAlignment="1">
      <alignment horizontal="center" vertical="center" wrapText="1"/>
    </xf>
    <xf numFmtId="1" fontId="0" fillId="0" borderId="0" xfId="0" applyNumberFormat="1"/>
    <xf numFmtId="2" fontId="0" fillId="0" borderId="0" xfId="0" applyNumberFormat="1"/>
    <xf numFmtId="164" fontId="0" fillId="0" borderId="0" xfId="0" applyNumberFormat="1"/>
    <xf numFmtId="43" fontId="0" fillId="0" borderId="0" xfId="0" applyNumberFormat="1"/>
    <xf numFmtId="165" fontId="0" fillId="0" borderId="0" xfId="0" applyNumberFormat="1"/>
    <xf numFmtId="9" fontId="0" fillId="0" borderId="0" xfId="2" applyFont="1"/>
    <xf numFmtId="0" fontId="0" fillId="0" borderId="0" xfId="0" applyProtection="1">
      <protection locked="0"/>
    </xf>
    <xf numFmtId="1" fontId="0" fillId="0" borderId="0" xfId="0" applyNumberFormat="1" applyAlignment="1">
      <alignment horizontal="right"/>
    </xf>
    <xf numFmtId="43" fontId="0" fillId="0" borderId="0" xfId="1" applyFont="1"/>
    <xf numFmtId="20" fontId="5" fillId="2" borderId="0" xfId="0" applyNumberFormat="1" applyFont="1" applyFill="1" applyAlignment="1" applyProtection="1">
      <alignment horizontal="center" vertical="center" wrapText="1"/>
      <protection locked="0"/>
    </xf>
    <xf numFmtId="0" fontId="5" fillId="2" borderId="0" xfId="0" applyFont="1" applyFill="1" applyAlignment="1" applyProtection="1">
      <alignment horizontal="center" vertical="center" wrapText="1"/>
      <protection locked="0"/>
    </xf>
    <xf numFmtId="0" fontId="2" fillId="4" borderId="0" xfId="0" applyFont="1" applyFill="1" applyAlignment="1">
      <alignment vertical="center"/>
    </xf>
    <xf numFmtId="0" fontId="0" fillId="0" borderId="0" xfId="1" applyNumberFormat="1" applyFont="1"/>
    <xf numFmtId="0" fontId="8" fillId="2" borderId="0" xfId="0" applyFont="1" applyFill="1" applyAlignment="1">
      <alignment vertical="center"/>
    </xf>
    <xf numFmtId="0" fontId="9" fillId="4" borderId="0" xfId="0" applyFont="1" applyFill="1" applyAlignment="1">
      <alignment vertical="center"/>
    </xf>
    <xf numFmtId="0" fontId="3" fillId="0" borderId="1" xfId="0" applyFont="1" applyBorder="1"/>
    <xf numFmtId="0" fontId="8" fillId="0" borderId="0" xfId="0" applyFont="1" applyAlignment="1">
      <alignment vertical="center"/>
    </xf>
    <xf numFmtId="0" fontId="0" fillId="4" borderId="0" xfId="0" applyFill="1"/>
    <xf numFmtId="0" fontId="10" fillId="4" borderId="0" xfId="0" applyFont="1" applyFill="1"/>
    <xf numFmtId="0" fontId="10" fillId="4" borderId="0" xfId="0" applyFont="1" applyFill="1" applyAlignment="1">
      <alignment horizontal="left" vertical="center"/>
    </xf>
    <xf numFmtId="0" fontId="10" fillId="4" borderId="0" xfId="0" applyFont="1" applyFill="1" applyAlignment="1">
      <alignment vertical="center"/>
    </xf>
    <xf numFmtId="0" fontId="0" fillId="0" borderId="0" xfId="0" applyAlignment="1">
      <alignment vertical="center"/>
    </xf>
    <xf numFmtId="0" fontId="0" fillId="4" borderId="0" xfId="0" applyFill="1" applyAlignment="1">
      <alignment vertical="center"/>
    </xf>
    <xf numFmtId="0" fontId="0" fillId="0" borderId="0" xfId="0" applyAlignment="1">
      <alignment horizontal="left" vertical="center"/>
    </xf>
    <xf numFmtId="0" fontId="3" fillId="3" borderId="0" xfId="0" applyFont="1" applyFill="1" applyAlignment="1">
      <alignment horizontal="left" vertical="center"/>
    </xf>
    <xf numFmtId="43" fontId="0" fillId="0" borderId="0" xfId="1" applyFont="1" applyAlignment="1">
      <alignment horizontal="left" vertical="center"/>
    </xf>
    <xf numFmtId="9" fontId="0" fillId="0" borderId="0" xfId="2" applyFont="1" applyAlignment="1">
      <alignment horizontal="left" vertical="center"/>
    </xf>
    <xf numFmtId="0" fontId="3" fillId="0" borderId="0" xfId="0" applyFont="1" applyAlignment="1">
      <alignment horizontal="left" vertical="center"/>
    </xf>
    <xf numFmtId="165" fontId="0" fillId="0" borderId="0" xfId="0" applyNumberFormat="1" applyAlignment="1">
      <alignment horizontal="left" vertical="center"/>
    </xf>
    <xf numFmtId="165" fontId="0" fillId="3" borderId="0" xfId="1" applyNumberFormat="1" applyFont="1" applyFill="1" applyAlignment="1">
      <alignment horizontal="right" vertical="center"/>
    </xf>
    <xf numFmtId="165" fontId="0" fillId="0" borderId="0" xfId="0" applyNumberFormat="1" applyAlignment="1">
      <alignment horizontal="right" vertical="center"/>
    </xf>
    <xf numFmtId="0" fontId="0" fillId="0" borderId="0" xfId="0" pivotButton="1"/>
    <xf numFmtId="164" fontId="0" fillId="0" borderId="0" xfId="0" applyNumberFormat="1" applyAlignment="1">
      <alignment horizontal="right" vertical="center"/>
    </xf>
    <xf numFmtId="164" fontId="0" fillId="3" borderId="0" xfId="1" applyNumberFormat="1" applyFont="1" applyFill="1" applyAlignment="1">
      <alignment horizontal="right" vertical="center"/>
    </xf>
    <xf numFmtId="9" fontId="0" fillId="0" borderId="0" xfId="0" applyNumberFormat="1"/>
    <xf numFmtId="168" fontId="0" fillId="0" borderId="0" xfId="0" applyNumberFormat="1" applyAlignment="1">
      <alignment horizontal="left"/>
    </xf>
    <xf numFmtId="0" fontId="0" fillId="0" borderId="0" xfId="0" applyAlignment="1">
      <alignment horizontal="left" vertical="top"/>
    </xf>
    <xf numFmtId="169" fontId="0" fillId="0" borderId="0" xfId="0" applyNumberFormat="1"/>
    <xf numFmtId="9" fontId="0" fillId="0" borderId="0" xfId="2" applyFont="1" applyAlignment="1">
      <alignment vertical="center"/>
    </xf>
    <xf numFmtId="167" fontId="0" fillId="0" borderId="0" xfId="2" applyNumberFormat="1" applyFont="1"/>
    <xf numFmtId="167" fontId="0" fillId="0" borderId="0" xfId="2" applyNumberFormat="1" applyFont="1" applyAlignment="1">
      <alignment vertical="center"/>
    </xf>
    <xf numFmtId="0" fontId="0" fillId="0" borderId="0" xfId="0" applyAlignment="1">
      <alignment horizontal="center"/>
    </xf>
    <xf numFmtId="10" fontId="0" fillId="0" borderId="0" xfId="2" applyNumberFormat="1" applyFont="1" applyAlignment="1">
      <alignment vertical="center"/>
    </xf>
    <xf numFmtId="170" fontId="0" fillId="0" borderId="0" xfId="0" applyNumberFormat="1"/>
    <xf numFmtId="166" fontId="0" fillId="0" borderId="0" xfId="0" applyNumberFormat="1"/>
    <xf numFmtId="0" fontId="1" fillId="0" borderId="0" xfId="0" applyFont="1" applyProtection="1">
      <protection locked="0"/>
    </xf>
    <xf numFmtId="0" fontId="1" fillId="0" borderId="0" xfId="0" applyFont="1" applyAlignment="1" applyProtection="1">
      <alignment horizontal="center"/>
      <protection locked="0"/>
    </xf>
    <xf numFmtId="14" fontId="1" fillId="0" borderId="0" xfId="0" applyNumberFormat="1" applyFont="1" applyAlignment="1" applyProtection="1">
      <alignment horizontal="left"/>
      <protection locked="0"/>
    </xf>
    <xf numFmtId="0" fontId="0" fillId="0" borderId="2" xfId="0" pivotButton="1" applyBorder="1"/>
    <xf numFmtId="0" fontId="0" fillId="0" borderId="3" xfId="0" applyBorder="1"/>
    <xf numFmtId="0" fontId="0" fillId="0" borderId="4" xfId="0" applyBorder="1"/>
    <xf numFmtId="0" fontId="0" fillId="0" borderId="5" xfId="0" pivotButton="1" applyBorder="1"/>
    <xf numFmtId="0" fontId="0" fillId="0" borderId="5" xfId="0" applyBorder="1"/>
    <xf numFmtId="0" fontId="0" fillId="0" borderId="2" xfId="0" applyBorder="1"/>
    <xf numFmtId="0" fontId="0" fillId="0" borderId="6" xfId="0" applyBorder="1"/>
    <xf numFmtId="0" fontId="0" fillId="0" borderId="7" xfId="0" applyBorder="1"/>
    <xf numFmtId="0" fontId="0" fillId="0" borderId="8" xfId="0" applyBorder="1"/>
    <xf numFmtId="14" fontId="0" fillId="0" borderId="2" xfId="0" applyNumberFormat="1" applyBorder="1"/>
    <xf numFmtId="9" fontId="0" fillId="0" borderId="2" xfId="0" applyNumberFormat="1" applyBorder="1"/>
    <xf numFmtId="0" fontId="0" fillId="0" borderId="9" xfId="0" applyBorder="1"/>
    <xf numFmtId="9" fontId="0" fillId="0" borderId="4" xfId="0" applyNumberFormat="1" applyBorder="1"/>
    <xf numFmtId="0" fontId="4" fillId="5" borderId="0" xfId="0" applyFont="1" applyFill="1" applyAlignment="1">
      <alignment vertical="center"/>
    </xf>
    <xf numFmtId="0" fontId="0" fillId="0" borderId="0" xfId="0" applyAlignment="1" applyProtection="1">
      <alignment horizontal="center"/>
      <protection locked="0"/>
    </xf>
    <xf numFmtId="14" fontId="0" fillId="0" borderId="0" xfId="0" applyNumberFormat="1" applyAlignment="1" applyProtection="1">
      <alignment horizontal="left"/>
      <protection locked="0"/>
    </xf>
    <xf numFmtId="0" fontId="12" fillId="0" borderId="0" xfId="0" applyFont="1"/>
    <xf numFmtId="14" fontId="12" fillId="0" borderId="0" xfId="0" applyNumberFormat="1" applyFont="1"/>
    <xf numFmtId="0" fontId="13" fillId="0" borderId="0" xfId="0" applyFont="1" applyAlignment="1" applyProtection="1">
      <alignment horizontal="center"/>
      <protection locked="0"/>
    </xf>
    <xf numFmtId="14" fontId="13" fillId="0" borderId="0" xfId="0" applyNumberFormat="1" applyFont="1" applyAlignment="1" applyProtection="1">
      <alignment horizontal="left"/>
      <protection locked="0"/>
    </xf>
    <xf numFmtId="14" fontId="13" fillId="0" borderId="0" xfId="0" applyNumberFormat="1" applyFont="1"/>
    <xf numFmtId="0" fontId="13" fillId="0" borderId="0" xfId="0" applyFont="1" applyProtection="1">
      <protection locked="0"/>
    </xf>
    <xf numFmtId="0" fontId="14" fillId="0" borderId="0" xfId="0" applyFont="1" applyProtection="1">
      <protection locked="0"/>
    </xf>
    <xf numFmtId="0" fontId="14" fillId="0" borderId="0" xfId="0" applyFont="1" applyAlignment="1" applyProtection="1">
      <alignment horizontal="center"/>
      <protection locked="0"/>
    </xf>
    <xf numFmtId="14" fontId="14" fillId="0" borderId="0" xfId="0" applyNumberFormat="1" applyFont="1" applyAlignment="1" applyProtection="1">
      <alignment horizontal="left"/>
      <protection locked="0"/>
    </xf>
    <xf numFmtId="0" fontId="14" fillId="0" borderId="0" xfId="0" applyFont="1"/>
    <xf numFmtId="14" fontId="14" fillId="0" borderId="0" xfId="0" applyNumberFormat="1" applyFont="1"/>
    <xf numFmtId="0" fontId="2" fillId="6" borderId="12" xfId="0" applyFont="1" applyFill="1" applyBorder="1"/>
    <xf numFmtId="0" fontId="5" fillId="2" borderId="13" xfId="0" applyFont="1" applyFill="1" applyBorder="1" applyAlignment="1">
      <alignment horizontal="left" vertical="center" wrapText="1"/>
    </xf>
    <xf numFmtId="0" fontId="5" fillId="8" borderId="0" xfId="0" applyFont="1" applyFill="1" applyAlignment="1" applyProtection="1">
      <alignment horizontal="center" vertical="center" wrapText="1"/>
      <protection locked="0"/>
    </xf>
    <xf numFmtId="0" fontId="6" fillId="8" borderId="0" xfId="0" applyFont="1" applyFill="1" applyAlignment="1">
      <alignment horizontal="center" vertical="center" wrapText="1"/>
    </xf>
    <xf numFmtId="0" fontId="6" fillId="9" borderId="0" xfId="0" applyFont="1" applyFill="1" applyAlignment="1">
      <alignment horizontal="center" vertical="center" wrapText="1"/>
    </xf>
    <xf numFmtId="0" fontId="5" fillId="2" borderId="14" xfId="0" applyFont="1" applyFill="1" applyBorder="1" applyAlignment="1">
      <alignment horizontal="center" vertical="center" wrapText="1"/>
    </xf>
    <xf numFmtId="0" fontId="0" fillId="0" borderId="16" xfId="0" applyBorder="1"/>
    <xf numFmtId="1" fontId="0" fillId="0" borderId="0" xfId="0" applyNumberFormat="1" applyAlignment="1">
      <alignment horizontal="left"/>
    </xf>
    <xf numFmtId="14" fontId="0" fillId="0" borderId="4" xfId="0" applyNumberFormat="1" applyBorder="1"/>
    <xf numFmtId="9" fontId="0" fillId="0" borderId="5" xfId="0" applyNumberFormat="1" applyBorder="1" applyAlignment="1">
      <alignment vertical="center"/>
    </xf>
    <xf numFmtId="0" fontId="0" fillId="0" borderId="4" xfId="0" applyBorder="1" applyAlignment="1">
      <alignment vertical="center"/>
    </xf>
    <xf numFmtId="0" fontId="0" fillId="0" borderId="3" xfId="0" pivotButton="1" applyBorder="1"/>
    <xf numFmtId="1" fontId="0" fillId="0" borderId="5" xfId="0" applyNumberFormat="1" applyBorder="1"/>
    <xf numFmtId="0" fontId="2" fillId="6" borderId="17" xfId="0" applyFont="1" applyFill="1" applyBorder="1"/>
    <xf numFmtId="0" fontId="2" fillId="6" borderId="18" xfId="0" applyFont="1" applyFill="1" applyBorder="1"/>
    <xf numFmtId="0" fontId="3" fillId="7" borderId="17" xfId="0" applyFont="1" applyFill="1" applyBorder="1"/>
    <xf numFmtId="0" fontId="0" fillId="7" borderId="18" xfId="0" applyFill="1" applyBorder="1"/>
    <xf numFmtId="0" fontId="3" fillId="0" borderId="17" xfId="0" applyFont="1" applyBorder="1"/>
    <xf numFmtId="0" fontId="0" fillId="0" borderId="18" xfId="0" applyBorder="1"/>
    <xf numFmtId="0" fontId="3" fillId="0" borderId="15" xfId="0" applyFont="1" applyBorder="1"/>
    <xf numFmtId="0" fontId="3" fillId="7" borderId="12" xfId="0" applyFont="1" applyFill="1" applyBorder="1" applyAlignment="1">
      <alignment horizontal="left"/>
    </xf>
    <xf numFmtId="0" fontId="3" fillId="0" borderId="12" xfId="0" applyFont="1" applyBorder="1" applyAlignment="1">
      <alignment horizontal="left"/>
    </xf>
    <xf numFmtId="0" fontId="0" fillId="0" borderId="10" xfId="0" applyBorder="1"/>
    <xf numFmtId="0" fontId="0" fillId="0" borderId="11" xfId="0" applyBorder="1"/>
    <xf numFmtId="14" fontId="5" fillId="2" borderId="13" xfId="0" applyNumberFormat="1" applyFont="1" applyFill="1" applyBorder="1" applyAlignment="1">
      <alignment horizontal="center" vertical="center" wrapText="1"/>
    </xf>
  </cellXfs>
  <cellStyles count="3">
    <cellStyle name="Comma" xfId="1" builtinId="3"/>
    <cellStyle name="Normal" xfId="0" builtinId="0"/>
    <cellStyle name="Per cent" xfId="2" builtinId="5"/>
  </cellStyles>
  <dxfs count="230">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numFmt numFmtId="0" formatCode="General"/>
    </dxf>
    <dxf>
      <numFmt numFmtId="25" formatCode="hh:mm"/>
    </dxf>
    <dxf>
      <numFmt numFmtId="25" formatCode="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F400]h:mm:ss\ AM/PM"/>
    </dxf>
    <dxf>
      <numFmt numFmtId="166" formatCode="[$-F400]h:mm:ss\ AM/PM"/>
    </dxf>
    <dxf>
      <numFmt numFmtId="166" formatCode="[$-F400]h:mm:ss\ AM/PM"/>
    </dxf>
    <dxf>
      <numFmt numFmtId="166" formatCode="[$-F400]h:mm:ss\ AM/PM"/>
    </dxf>
    <dxf>
      <numFmt numFmtId="19" formatCode="dd/mm/yyyy"/>
    </dxf>
    <dxf>
      <font>
        <b val="0"/>
        <i val="0"/>
        <strike val="0"/>
        <condense val="0"/>
        <extend val="0"/>
        <outline val="0"/>
        <shadow val="0"/>
        <u val="none"/>
        <vertAlign val="baseline"/>
        <sz val="11"/>
        <color theme="1"/>
        <name val="Calibri"/>
        <family val="2"/>
        <scheme val="minor"/>
      </font>
      <protection locked="0" hidden="0"/>
    </dxf>
    <dxf>
      <font>
        <b val="0"/>
        <i val="0"/>
        <strike val="0"/>
        <condense val="0"/>
        <extend val="0"/>
        <outline val="0"/>
        <shadow val="0"/>
        <u val="none"/>
        <vertAlign val="baseline"/>
        <sz val="11"/>
        <color theme="1"/>
        <name val="Calibri"/>
        <family val="2"/>
        <scheme val="minor"/>
      </font>
      <numFmt numFmtId="19" formatCode="dd/mm/yyyy"/>
    </dxf>
    <dxf>
      <numFmt numFmtId="166" formatCode="[$-F400]h:mm:ss\ AM/PM"/>
    </dxf>
    <dxf>
      <numFmt numFmtId="166" formatCode="[$-F400]h:mm:ss\ AM/PM"/>
    </dxf>
    <dxf>
      <numFmt numFmtId="166" formatCode="[$-F400]h:mm:ss\ AM/PM"/>
    </dxf>
    <dxf>
      <numFmt numFmtId="166" formatCode="[$-F400]h:mm:ss\ AM/PM"/>
    </dxf>
    <dxf>
      <numFmt numFmtId="166" formatCode="[$-F400]h:mm:ss\ AM/PM"/>
    </dxf>
    <dxf>
      <numFmt numFmtId="19" formatCode="dd/mm/yyyy"/>
    </dxf>
    <dxf>
      <font>
        <b val="0"/>
        <i val="0"/>
        <strike val="0"/>
        <condense val="0"/>
        <extend val="0"/>
        <outline val="0"/>
        <shadow val="0"/>
        <u val="none"/>
        <vertAlign val="baseline"/>
        <sz val="11"/>
        <color theme="1"/>
        <name val="Calibri"/>
        <family val="2"/>
        <scheme val="minor"/>
      </font>
      <numFmt numFmtId="19" formatCode="dd/mm/yyyy"/>
      <alignment horizontal="left" vertical="bottom" textRotation="0" wrapText="0" indent="0" justifyLastLine="0" shrinkToFit="0" readingOrder="0"/>
      <protection locked="0" hidden="0"/>
    </dxf>
    <dxf>
      <numFmt numFmtId="1" formatCode="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protection locked="0" hidden="0"/>
    </dxf>
    <dxf>
      <font>
        <b/>
        <i val="0"/>
        <strike val="0"/>
        <condense val="0"/>
        <extend val="0"/>
        <outline val="0"/>
        <shadow val="0"/>
        <u val="none"/>
        <vertAlign val="baseline"/>
        <sz val="8"/>
        <color theme="0"/>
        <name val="Arial"/>
        <family val="2"/>
        <scheme val="none"/>
      </font>
      <numFmt numFmtId="25" formatCode="hh:mm"/>
      <fill>
        <patternFill patternType="solid">
          <fgColor indexed="64"/>
          <bgColor theme="9"/>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theme="4" tint="0.79998168889431442"/>
          <bgColor auto="1"/>
        </patternFill>
      </fill>
    </dxf>
    <dxf>
      <font>
        <b val="0"/>
        <i val="0"/>
        <strike val="0"/>
        <condense val="0"/>
        <extend val="0"/>
        <outline val="0"/>
        <shadow val="0"/>
        <u val="none"/>
        <vertAlign val="baseline"/>
        <sz val="11"/>
        <color theme="1"/>
        <name val="Calibri"/>
        <scheme val="minor"/>
      </font>
      <fill>
        <patternFill patternType="none">
          <fgColor theme="4" tint="0.79998168889431442"/>
          <bgColor auto="1"/>
        </patternFill>
      </fill>
    </dxf>
    <dxf>
      <font>
        <strike val="0"/>
        <outline val="0"/>
        <shadow val="0"/>
        <u val="none"/>
        <vertAlign val="baseline"/>
        <sz val="8"/>
        <color theme="0"/>
        <name val="Arial"/>
        <scheme val="none"/>
      </font>
      <fill>
        <patternFill patternType="none">
          <fgColor indexed="64"/>
          <bgColor auto="1"/>
        </patternFill>
      </fill>
      <alignment horizontal="center" vertical="center" textRotation="0" wrapText="1"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alignment horizontal="right" vertical="bottom" textRotation="0" wrapText="0" indent="0" justifyLastLine="0" shrinkToFit="0" readingOrder="0"/>
    </dxf>
    <dxf>
      <numFmt numFmtId="1" formatCode="0"/>
    </dxf>
    <dxf>
      <numFmt numFmtId="1" formatCode="0"/>
      <alignment horizontal="right" vertical="bottom" textRotation="0" wrapText="0" indent="0" justifyLastLine="0" shrinkToFit="0" readingOrder="0"/>
    </dxf>
    <dxf>
      <numFmt numFmtId="1" formatCode="0"/>
    </dxf>
    <dxf>
      <numFmt numFmtId="1" formatCode="0"/>
      <alignment horizontal="right" vertical="bottom"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9" formatCode="dd/mm/yy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 formatCode="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alignment vertical="center" indent="0"/>
    </dxf>
    <dxf>
      <alignment vertical="center" indent="0"/>
    </dxf>
    <dxf>
      <alignment vertical="center" indent="0"/>
    </dxf>
    <dxf>
      <alignment vertical="center" indent="0"/>
    </dxf>
    <dxf>
      <alignment vertical="center" indent="0"/>
    </dxf>
    <dxf>
      <numFmt numFmtId="13" formatCode="0%"/>
    </dxf>
    <dxf>
      <numFmt numFmtId="13" formatCode="0%"/>
    </dxf>
    <dxf>
      <numFmt numFmtId="169" formatCode="\+00;\ \-00;"/>
    </dxf>
    <dxf>
      <numFmt numFmtId="13" formatCode="0%"/>
    </dxf>
    <dxf>
      <numFmt numFmtId="13" formatCode="0%"/>
    </dxf>
    <dxf>
      <numFmt numFmtId="170" formatCode="\+00;\ \-00;\ 0;"/>
    </dxf>
    <dxf>
      <numFmt numFmtId="13" formatCode="0%"/>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xr9:uid="{00000000-0011-0000-FFFF-FFFF00000000}">
      <tableStyleElement type="headerRow" dxfId="229"/>
      <tableStyleElement type="totalRow" dxfId="228"/>
      <tableStyleElement type="secondRowStripe" dxfId="227"/>
    </tableStyle>
  </tableStyles>
  <colors>
    <mruColors>
      <color rgb="FF243B7A"/>
      <color rgb="FF3B5FC5"/>
      <color rgb="FFDF1834"/>
      <color rgb="FFDF341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schemas.microsoft.com/office/2007/relationships/slicerCache" Target="slicerCaches/slicerCache3.xml"/><Relationship Id="rId18" Type="http://purl.oclc.org/ooxml/officeDocument/relationships/sheetMetadata" Target="metadata.xml"/><Relationship Id="rId3" Type="http://purl.oclc.org/ooxml/officeDocument/relationships/worksheet" Target="worksheets/sheet3.xml"/><Relationship Id="rId21" Type="http://purl.oclc.org/ooxml/officeDocument/relationships/customXml" Target="../customXml/item2.xml"/><Relationship Id="rId7" Type="http://purl.oclc.org/ooxml/officeDocument/relationships/worksheet" Target="worksheets/sheet7.xml"/><Relationship Id="rId12" Type="http://schemas.microsoft.com/office/2007/relationships/slicerCache" Target="slicerCaches/slicerCache2.xml"/><Relationship Id="rId17" Type="http://purl.oclc.org/ooxml/officeDocument/relationships/sharedStrings" Target="sharedStrings.xml"/><Relationship Id="rId2" Type="http://purl.oclc.org/ooxml/officeDocument/relationships/worksheet" Target="worksheets/sheet2.xml"/><Relationship Id="rId16" Type="http://purl.oclc.org/ooxml/officeDocument/relationships/styles" Target="styles.xml"/><Relationship Id="rId20" Type="http://purl.oclc.org/ooxml/officeDocument/relationships/customXml" Target="../customXml/item1.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connections" Target="connections.xml"/><Relationship Id="rId23" Type="http://purl.oclc.org/ooxml/officeDocument/relationships/customXml" Target="../customXml/item4.xml"/><Relationship Id="rId10" Type="http://purl.oclc.org/ooxml/officeDocument/relationships/pivotCacheDefinition" Target="pivotCache/pivotCacheDefinition1.xml"/><Relationship Id="rId19"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 Id="rId22" Type="http://purl.oclc.org/ooxml/officeDocument/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'Core_Non Core Activity'!$C$4</c:f>
              <c:strCache>
                <c:ptCount val="1"/>
                <c:pt idx="0">
                  <c:v>Cases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'Core_Non Core Activity'!$B$5:$B$8</c:f>
              <c:strCache>
                <c:ptCount val="4"/>
                <c:pt idx="0">
                  <c:v>No started In Core Scheduled</c:v>
                </c:pt>
                <c:pt idx="1">
                  <c:v>No started In Core Unscheduled</c:v>
                </c:pt>
                <c:pt idx="2">
                  <c:v>No started Non Core Scheduled</c:v>
                </c:pt>
                <c:pt idx="3">
                  <c:v>No started Non Core Unscheduled</c:v>
                </c:pt>
              </c:strCache>
            </c:strRef>
          </c:cat>
          <c:val>
            <c:numRef>
              <c:f>'Core_Non Core Activity'!$C$5:$C$8</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AB66-4EF4-9601-66AA857499E2}"/>
            </c:ext>
          </c:extLst>
        </c:ser>
        <c:ser>
          <c:idx val="1"/>
          <c:order val="1"/>
          <c:tx>
            <c:strRef>
              <c:f>'Core_Non Core Activity'!$D$4</c:f>
              <c:strCache>
                <c:ptCount val="1"/>
                <c:pt idx="0">
                  <c:v>Core Hours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'Core_Non Core Activity'!$B$5:$B$8</c:f>
              <c:strCache>
                <c:ptCount val="4"/>
                <c:pt idx="0">
                  <c:v>No started In Core Scheduled</c:v>
                </c:pt>
                <c:pt idx="1">
                  <c:v>No started In Core Unscheduled</c:v>
                </c:pt>
                <c:pt idx="2">
                  <c:v>No started Non Core Scheduled</c:v>
                </c:pt>
                <c:pt idx="3">
                  <c:v>No started Non Core Unscheduled</c:v>
                </c:pt>
              </c:strCache>
            </c:strRef>
          </c:cat>
          <c:val>
            <c:numRef>
              <c:f>'Core_Non Core Activity'!$D$5:$D$8</c:f>
              <c:numCache>
                <c:formatCode>_-* #,##0.0_-;\-* #,##0.0_-;_-* "-"??_-;_-@_-</c:formatCode>
                <c:ptCount val="4"/>
                <c:pt idx="0">
                  <c:v>0</c:v>
                </c:pt>
                <c:pt idx="1">
                  <c:v>0</c:v>
                </c:pt>
                <c:pt idx="2">
                  <c:v>0</c:v>
                </c:pt>
                <c:pt idx="3">
                  <c:v>0</c:v>
                </c:pt>
              </c:numCache>
            </c:numRef>
          </c:val>
          <c:extLst>
            <c:ext xmlns:c16="http://schemas.microsoft.com/office/drawing/2014/chart" uri="{C3380CC4-5D6E-409C-BE32-E72D297353CC}">
              <c16:uniqueId val="{00000001-AB66-4EF4-9601-66AA857499E2}"/>
            </c:ext>
          </c:extLst>
        </c:ser>
        <c:ser>
          <c:idx val="2"/>
          <c:order val="2"/>
          <c:tx>
            <c:strRef>
              <c:f>'Core_Non Core Activity'!$E$4</c:f>
              <c:strCache>
                <c:ptCount val="1"/>
                <c:pt idx="0">
                  <c:v>Non Core Hours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'Core_Non Core Activity'!$B$5:$B$8</c:f>
              <c:strCache>
                <c:ptCount val="4"/>
                <c:pt idx="0">
                  <c:v>No started In Core Scheduled</c:v>
                </c:pt>
                <c:pt idx="1">
                  <c:v>No started In Core Unscheduled</c:v>
                </c:pt>
                <c:pt idx="2">
                  <c:v>No started Non Core Scheduled</c:v>
                </c:pt>
                <c:pt idx="3">
                  <c:v>No started Non Core Unscheduled</c:v>
                </c:pt>
              </c:strCache>
            </c:strRef>
          </c:cat>
          <c:val>
            <c:numRef>
              <c:f>'Core_Non Core Activity'!$E$5:$E$8</c:f>
              <c:numCache>
                <c:formatCode>_-* #,##0.0_-;\-* #,##0.0_-;_-* "-"??_-;_-@_-</c:formatCode>
                <c:ptCount val="4"/>
                <c:pt idx="0">
                  <c:v>0</c:v>
                </c:pt>
                <c:pt idx="1">
                  <c:v>0</c:v>
                </c:pt>
                <c:pt idx="2">
                  <c:v>0</c:v>
                </c:pt>
                <c:pt idx="3">
                  <c:v>0</c:v>
                </c:pt>
              </c:numCache>
            </c:numRef>
          </c:val>
          <c:extLst>
            <c:ext xmlns:c16="http://schemas.microsoft.com/office/drawing/2014/chart" uri="{C3380CC4-5D6E-409C-BE32-E72D297353CC}">
              <c16:uniqueId val="{00000000-0446-45B7-B037-472254EB2AB2}"/>
            </c:ext>
          </c:extLst>
        </c:ser>
        <c:dLbls>
          <c:dLblPos val="outEnd"/>
          <c:showLegendKey val="0"/>
          <c:showVal val="1"/>
          <c:showCatName val="0"/>
          <c:showSerName val="0"/>
          <c:showPercent val="0"/>
          <c:showBubbleSize val="0"/>
        </c:dLbls>
        <c:gapWidth val="182"/>
        <c:overlap val="-50"/>
        <c:axId val="1064520784"/>
        <c:axId val="1064514800"/>
      </c:barChart>
      <c:catAx>
        <c:axId val="1064520784"/>
        <c:scaling>
          <c:orientation val="maxMin"/>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crossAx val="1064514800"/>
        <c:crosses val="autoZero"/>
        <c:auto val="1"/>
        <c:lblAlgn val="ctr"/>
        <c:lblOffset val="100"/>
        <c:noMultiLvlLbl val="0"/>
      </c:catAx>
      <c:valAx>
        <c:axId val="1064514800"/>
        <c:scaling>
          <c:orientation val="minMax"/>
        </c:scaling>
        <c:delete val="0"/>
        <c:axPos val="b"/>
        <c:majorGridlines>
          <c:spPr>
            <a:ln w="9525" cap="flat" cmpd="sng" algn="ctr">
              <a:solidFill>
                <a:schemeClr val="tx1">
                  <a:lumMod val="15%"/>
                  <a:lumOff val="85%"/>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crossAx val="106452078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legend>
    <c:plotVisOnly val="1"/>
    <c:dispBlanksAs val="gap"/>
    <c:showDLblsOverMax val="0"/>
  </c:chart>
  <c:spPr>
    <a:solidFill>
      <a:schemeClr val="bg1"/>
    </a:solidFill>
    <a:ln w="9525" cap="flat" cmpd="sng" algn="ctr">
      <a:noFill/>
      <a:round/>
    </a:ln>
    <a:effectLst/>
  </c:spPr>
  <c:txPr>
    <a:bodyPr/>
    <a:lstStyle/>
    <a:p>
      <a:pPr>
        <a:defRPr sz="1050" b="1"/>
      </a:pPr>
      <a:endParaRPr lang="en-UA"/>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[2023-12-08_tmm_1month_1hospital_sample_data.xlsx]Core_Non Core Activity!pvt_C_NCActivity</c:name>
    <c:fmtId val="22"/>
  </c:pivotSource>
  <c:chart>
    <c:title>
      <c:tx>
        <c:rich>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r>
              <a:rPr lang="en-IE" sz="1400"/>
              <a:t>No of Cases by Theatre, Specialty and Date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endParaRPr lang="en-U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472C4"/>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'Core_Non Core Activity'!$BB$6:$BB$7</c:f>
              <c:strCache>
                <c:ptCount val="1"/>
                <c:pt idx="0">
                  <c:v>#REF!</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17-DDC1-4E29-BD37-4F5BF9889EB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A"/>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'Core_Non Core Activity'!$BA$8</c:f>
              <c:strCache>
                <c:ptCount val="1"/>
                <c:pt idx="0">
                  <c:v>Total</c:v>
                </c:pt>
              </c:strCache>
            </c:strRef>
          </c:cat>
          <c:val>
            <c:numRef>
              <c:f>'Core_Non Core Activity'!$BB$8</c:f>
              <c:numCache>
                <c:formatCode>General</c:formatCode>
                <c:ptCount val="1"/>
                <c:pt idx="0">
                  <c:v>442</c:v>
                </c:pt>
              </c:numCache>
            </c:numRef>
          </c:val>
          <c:extLst>
            <c:ext xmlns:c16="http://schemas.microsoft.com/office/drawing/2014/chart" uri="{C3380CC4-5D6E-409C-BE32-E72D297353CC}">
              <c16:uniqueId val="{00000000-DDC1-4E29-BD37-4F5BF9889EBD}"/>
            </c:ext>
          </c:extLst>
        </c:ser>
        <c:dLbls>
          <c:dLblPos val="outEnd"/>
          <c:showLegendKey val="0"/>
          <c:showVal val="1"/>
          <c:showCatName val="0"/>
          <c:showSerName val="0"/>
          <c:showPercent val="0"/>
          <c:showBubbleSize val="0"/>
        </c:dLbls>
        <c:gapWidth val="219"/>
        <c:overlap val="-27"/>
        <c:axId val="1064508272"/>
        <c:axId val="1064508816"/>
      </c:barChart>
      <c:catAx>
        <c:axId val="1064508272"/>
        <c:scaling>
          <c:orientation val="minMax"/>
        </c:scaling>
        <c:delete val="1"/>
        <c:axPos val="b"/>
        <c:numFmt formatCode="General" sourceLinked="1"/>
        <c:majorTickMark val="none"/>
        <c:minorTickMark val="none"/>
        <c:tickLblPos val="nextTo"/>
        <c:crossAx val="1064508816"/>
        <c:crosses val="autoZero"/>
        <c:auto val="1"/>
        <c:lblAlgn val="ctr"/>
        <c:lblOffset val="100"/>
        <c:noMultiLvlLbl val="0"/>
      </c:catAx>
      <c:valAx>
        <c:axId val="106450881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A"/>
          </a:p>
        </c:txPr>
        <c:crossAx val="1064508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sz="1100" b="1"/>
      </a:pPr>
      <a:endParaRPr lang="en-U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[2023-12-08_tmm_1month_1hospital_sample_data.xlsx]% Util # Cases!pvt_byTheatre</c:name>
    <c:fmtId val="9"/>
  </c:pivotSource>
  <c:chart>
    <c:title>
      <c:tx>
        <c:rich>
          <a:bodyPr rot="0" spcFirstLastPara="1" vertOverflow="ellipsis" vert="horz" wrap="square" anchor="ctr" anchorCtr="1"/>
          <a:lstStyle/>
          <a:p>
            <a:pPr>
              <a:defRPr sz="1600" b="1" i="0" u="none" strike="noStrike" kern="1200" spc="0" baseline="0%">
                <a:solidFill>
                  <a:schemeClr val="tx1">
                    <a:lumMod val="65%"/>
                    <a:lumOff val="35%"/>
                  </a:schemeClr>
                </a:solidFill>
                <a:latin typeface="+mn-lt"/>
                <a:ea typeface="+mn-ea"/>
                <a:cs typeface="+mn-cs"/>
              </a:defRPr>
            </a:pPr>
            <a:r>
              <a:rPr lang="en-IE" sz="1600"/>
              <a:t>% Utilisation and No of Cases in Core</a:t>
            </a:r>
            <a:r>
              <a:rPr lang="en-IE" sz="1600" baseline="0%"/>
              <a:t> Hours</a:t>
            </a:r>
            <a:endParaRPr lang="en-IE" sz="1600"/>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
                  <a:lumOff val="35%"/>
                </a:schemeClr>
              </a:solidFill>
              <a:latin typeface="+mn-lt"/>
              <a:ea typeface="+mn-ea"/>
              <a:cs typeface="+mn-cs"/>
            </a:defRPr>
          </a:pPr>
          <a:endParaRPr lang="en-UA"/>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pattFill prst="ltUpDiag">
            <a:fgClr>
              <a:schemeClr val="accent6"/>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1"/>
        <c:spPr>
          <a:pattFill prst="ltUpDiag">
            <a:fgClr>
              <a:schemeClr val="accent6"/>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solidFill>
              <a:schemeClr val="accent4"/>
            </a:solidFill>
            <a:round/>
          </a:ln>
          <a:effectLst/>
        </c:spPr>
        <c:marker>
          <c:symbol val="circle"/>
          <c:size val="5"/>
          <c:spPr>
            <a:solidFill>
              <a:schemeClr val="accent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b"/>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alpha val="0%"/>
                    </a:schemeClr>
                  </a:solidFill>
                  <a:latin typeface="+mn-lt"/>
                  <a:ea typeface="+mn-ea"/>
                  <a:cs typeface="+mn-cs"/>
                </a:defRPr>
              </a:pPr>
              <a:endParaRPr lang="en-UA"/>
            </a:p>
          </c:txPr>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A"/>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solidFill>
              <a:schemeClr val="accent3"/>
            </a:solidFill>
            <a:round/>
          </a:ln>
          <a:effectLst/>
        </c:spPr>
        <c:marker>
          <c:symbol val="circle"/>
          <c:size val="5"/>
          <c:spPr>
            <a:solidFill>
              <a:schemeClr val="accent3"/>
            </a:solidFill>
            <a:ln w="9525">
              <a:noFill/>
            </a:ln>
            <a:effectLst/>
          </c:spPr>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r"/>
          <c:showLegendKey val="0"/>
          <c:showVal val="1"/>
          <c:showCatName val="0"/>
          <c:showSerName val="0"/>
          <c:showPercent val="0"/>
          <c:showBubbleSize val="0"/>
          <c:extLst>
            <c:ext xmlns:c15="http://schemas.microsoft.com/office/drawing/2012/chart" uri="{CE6537A1-D6FC-4f65-9D91-7224C49458BB}"/>
          </c:extLst>
        </c:dLbl>
      </c:pivotFmt>
      <c:pivotFmt>
        <c:idx val="58"/>
        <c:spPr>
          <a:ln w="28575" cap="rnd">
            <a:solidFill>
              <a:schemeClr val="accent2"/>
            </a:solidFill>
            <a:round/>
          </a:ln>
          <a:effectLst/>
        </c:spPr>
        <c:marker>
          <c:symbol val="circle"/>
          <c:size val="5"/>
          <c:spPr>
            <a:solidFill>
              <a:schemeClr val="accent2"/>
            </a:solidFill>
            <a:ln w="9525">
              <a:no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Util # Cases'!$C$5</c:f>
              <c:strCache>
                <c:ptCount val="1"/>
                <c:pt idx="0">
                  <c:v>% Theatre Utilisation</c:v>
                </c:pt>
              </c:strCache>
            </c:strRef>
          </c:tx>
          <c:spPr>
            <a:ln w="28575" cap="rnd">
              <a:solidFill>
                <a:schemeClr val="accent4"/>
              </a:solidFill>
              <a:round/>
            </a:ln>
            <a:effectLst/>
          </c:spPr>
          <c:marker>
            <c:symbol val="circle"/>
            <c:size val="5"/>
            <c:spPr>
              <a:solidFill>
                <a:schemeClr val="accent4"/>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 Util # Cases'!$A$6:$B$7</c:f>
              <c:multiLvlStrCache>
                <c:ptCount val="1"/>
                <c:lvl>
                  <c:pt idx="0">
                    <c:v>#REF!</c:v>
                  </c:pt>
                </c:lvl>
                <c:lvl>
                  <c:pt idx="0">
                    <c:v>#REF!</c:v>
                  </c:pt>
                </c:lvl>
              </c:multiLvlStrCache>
            </c:multiLvlStrRef>
          </c:cat>
          <c:val>
            <c:numRef>
              <c:f>'% Util # Cases'!$C$6:$C$7</c:f>
              <c:numCache>
                <c:formatCode>0%</c:formatCode>
                <c:ptCount val="1"/>
                <c:pt idx="0">
                  <c:v>0</c:v>
                </c:pt>
              </c:numCache>
            </c:numRef>
          </c:val>
          <c:smooth val="0"/>
          <c:extLst>
            <c:ext xmlns:c16="http://schemas.microsoft.com/office/drawing/2014/chart" uri="{C3380CC4-5D6E-409C-BE32-E72D297353CC}">
              <c16:uniqueId val="{00000006-E9C6-43A1-91B8-2A6FBF1A84B8}"/>
            </c:ext>
          </c:extLst>
        </c:ser>
        <c:dLbls>
          <c:dLblPos val="t"/>
          <c:showLegendKey val="0"/>
          <c:showVal val="1"/>
          <c:showCatName val="0"/>
          <c:showSerName val="0"/>
          <c:showPercent val="0"/>
          <c:showBubbleSize val="0"/>
        </c:dLbls>
        <c:marker val="1"/>
        <c:smooth val="0"/>
        <c:axId val="1068338208"/>
        <c:axId val="1068330048"/>
      </c:lineChart>
      <c:lineChart>
        <c:grouping val="standard"/>
        <c:varyColors val="0"/>
        <c:ser>
          <c:idx val="1"/>
          <c:order val="1"/>
          <c:tx>
            <c:strRef>
              <c:f>'% Util # Cases'!$D$5</c:f>
              <c:strCache>
                <c:ptCount val="1"/>
                <c:pt idx="0">
                  <c:v>No. of InCore Cases</c:v>
                </c:pt>
              </c:strCache>
            </c:strRef>
          </c:tx>
          <c:spPr>
            <a:ln w="28575" cap="rnd">
              <a:solidFill>
                <a:schemeClr val="accent1"/>
              </a:solidFill>
              <a:round/>
            </a:ln>
            <a:effectLst/>
          </c:spPr>
          <c:marker>
            <c:symbol val="circle"/>
            <c:size val="5"/>
            <c:spPr>
              <a:solidFill>
                <a:schemeClr val="accent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 Util # Cases'!$A$6:$B$7</c:f>
              <c:multiLvlStrCache>
                <c:ptCount val="1"/>
                <c:lvl>
                  <c:pt idx="0">
                    <c:v>#REF!</c:v>
                  </c:pt>
                </c:lvl>
                <c:lvl>
                  <c:pt idx="0">
                    <c:v>#REF!</c:v>
                  </c:pt>
                </c:lvl>
              </c:multiLvlStrCache>
            </c:multiLvlStrRef>
          </c:cat>
          <c:val>
            <c:numRef>
              <c:f>'% Util # Cases'!$D$6:$D$7</c:f>
              <c:numCache>
                <c:formatCode>General</c:formatCode>
                <c:ptCount val="1"/>
                <c:pt idx="0">
                  <c:v>#N/A</c:v>
                </c:pt>
              </c:numCache>
            </c:numRef>
          </c:val>
          <c:smooth val="0"/>
          <c:extLst>
            <c:ext xmlns:c16="http://schemas.microsoft.com/office/drawing/2014/chart" uri="{C3380CC4-5D6E-409C-BE32-E72D297353CC}">
              <c16:uniqueId val="{00000009-E9C6-43A1-91B8-2A6FBF1A84B8}"/>
            </c:ext>
          </c:extLst>
        </c:ser>
        <c:ser>
          <c:idx val="2"/>
          <c:order val="2"/>
          <c:tx>
            <c:strRef>
              <c:f>'% Util # Cases'!$E$5</c:f>
              <c:strCache>
                <c:ptCount val="1"/>
                <c:pt idx="0">
                  <c:v>No. of Non Core Cases with In Core Time</c:v>
                </c:pt>
              </c:strCache>
            </c:strRef>
          </c:tx>
          <c:spPr>
            <a:ln w="28575" cap="rnd">
              <a:solidFill>
                <a:schemeClr val="accent2"/>
              </a:solidFill>
              <a:round/>
            </a:ln>
            <a:effectLst/>
          </c:spPr>
          <c:marker>
            <c:symbol val="circle"/>
            <c:size val="5"/>
            <c:spPr>
              <a:solidFill>
                <a:schemeClr val="accent2"/>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 Util # Cases'!$A$6:$B$7</c:f>
              <c:multiLvlStrCache>
                <c:ptCount val="1"/>
                <c:lvl>
                  <c:pt idx="0">
                    <c:v>#REF!</c:v>
                  </c:pt>
                </c:lvl>
                <c:lvl>
                  <c:pt idx="0">
                    <c:v>#REF!</c:v>
                  </c:pt>
                </c:lvl>
              </c:multiLvlStrCache>
            </c:multiLvlStrRef>
          </c:cat>
          <c:val>
            <c:numRef>
              <c:f>'% Util # Cases'!$E$6:$E$7</c:f>
              <c:numCache>
                <c:formatCode>General</c:formatCode>
                <c:ptCount val="1"/>
                <c:pt idx="0">
                  <c:v>#N/A</c:v>
                </c:pt>
              </c:numCache>
            </c:numRef>
          </c:val>
          <c:smooth val="0"/>
          <c:extLst>
            <c:ext xmlns:c16="http://schemas.microsoft.com/office/drawing/2014/chart" uri="{C3380CC4-5D6E-409C-BE32-E72D297353CC}">
              <c16:uniqueId val="{00000001-25FF-4E9D-AFD6-243533B9F036}"/>
            </c:ext>
          </c:extLst>
        </c:ser>
        <c:ser>
          <c:idx val="3"/>
          <c:order val="3"/>
          <c:tx>
            <c:strRef>
              <c:f>'% Util # Cases'!$F$5</c:f>
              <c:strCache>
                <c:ptCount val="1"/>
                <c:pt idx="0">
                  <c:v>No. of Cancelled Cases</c:v>
                </c:pt>
              </c:strCache>
            </c:strRef>
          </c:tx>
          <c:spPr>
            <a:ln w="28575" cap="rnd">
              <a:solidFill>
                <a:schemeClr val="accent3"/>
              </a:solidFill>
              <a:round/>
            </a:ln>
            <a:effectLst/>
          </c:spPr>
          <c:marker>
            <c:symbol val="circle"/>
            <c:size val="5"/>
            <c:spPr>
              <a:solidFill>
                <a:schemeClr val="accent3"/>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lumMod val="75%"/>
                        <a:lumOff val="25%"/>
                      </a:schemeClr>
                    </a:solidFill>
                    <a:latin typeface="+mn-lt"/>
                    <a:ea typeface="+mn-ea"/>
                    <a:cs typeface="+mn-cs"/>
                  </a:defRPr>
                </a:pPr>
                <a:endParaRPr lang="en-UA"/>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 Util # Cases'!$A$6:$B$7</c:f>
              <c:multiLvlStrCache>
                <c:ptCount val="1"/>
                <c:lvl>
                  <c:pt idx="0">
                    <c:v>#REF!</c:v>
                  </c:pt>
                </c:lvl>
                <c:lvl>
                  <c:pt idx="0">
                    <c:v>#REF!</c:v>
                  </c:pt>
                </c:lvl>
              </c:multiLvlStrCache>
            </c:multiLvlStrRef>
          </c:cat>
          <c:val>
            <c:numRef>
              <c:f>'% Util # Cases'!$F$6:$F$7</c:f>
              <c:numCache>
                <c:formatCode>General</c:formatCode>
                <c:ptCount val="1"/>
                <c:pt idx="0">
                  <c:v>#N/A</c:v>
                </c:pt>
              </c:numCache>
            </c:numRef>
          </c:val>
          <c:smooth val="0"/>
          <c:extLst>
            <c:ext xmlns:c16="http://schemas.microsoft.com/office/drawing/2014/chart" uri="{C3380CC4-5D6E-409C-BE32-E72D297353CC}">
              <c16:uniqueId val="{00000002-25FF-4E9D-AFD6-243533B9F036}"/>
            </c:ext>
          </c:extLst>
        </c:ser>
        <c:dLbls>
          <c:showLegendKey val="0"/>
          <c:showVal val="0"/>
          <c:showCatName val="0"/>
          <c:showSerName val="0"/>
          <c:showPercent val="0"/>
          <c:showBubbleSize val="0"/>
        </c:dLbls>
        <c:marker val="1"/>
        <c:smooth val="0"/>
        <c:axId val="1068336576"/>
        <c:axId val="1068332768"/>
      </c:lineChart>
      <c:catAx>
        <c:axId val="106833820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crossAx val="1068330048"/>
        <c:crosses val="autoZero"/>
        <c:auto val="1"/>
        <c:lblAlgn val="ctr"/>
        <c:lblOffset val="100"/>
        <c:noMultiLvlLbl val="0"/>
      </c:catAx>
      <c:valAx>
        <c:axId val="1068330048"/>
        <c:scaling>
          <c:orientation val="minMax"/>
          <c:max val="1"/>
        </c:scaling>
        <c:delete val="0"/>
        <c:axPos val="l"/>
        <c:majorGridlines>
          <c:spPr>
            <a:ln w="9525" cap="flat" cmpd="sng" algn="ctr">
              <a:solidFill>
                <a:schemeClr val="tx1">
                  <a:lumMod val="15%"/>
                  <a:lumOff val="85%"/>
                </a:schemeClr>
              </a:solidFill>
              <a:round/>
            </a:ln>
            <a:effectLst/>
          </c:spPr>
        </c:majorGridlines>
        <c:minorGridlines>
          <c:spPr>
            <a:ln w="9525" cap="flat" cmpd="sng" algn="ctr">
              <a:solidFill>
                <a:schemeClr val="tx1">
                  <a:lumMod val="5%"/>
                  <a:lumOff val="95%"/>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crossAx val="1068338208"/>
        <c:crosses val="autoZero"/>
        <c:crossBetween val="between"/>
      </c:valAx>
      <c:valAx>
        <c:axId val="1068332768"/>
        <c:scaling>
          <c:orientation val="minMax"/>
          <c:max val="1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crossAx val="1068336576"/>
        <c:crosses val="max"/>
        <c:crossBetween val="between"/>
      </c:valAx>
      <c:catAx>
        <c:axId val="1068336576"/>
        <c:scaling>
          <c:orientation val="minMax"/>
        </c:scaling>
        <c:delete val="1"/>
        <c:axPos val="b"/>
        <c:numFmt formatCode="General" sourceLinked="1"/>
        <c:majorTickMark val="out"/>
        <c:minorTickMark val="none"/>
        <c:tickLblPos val="nextTo"/>
        <c:crossAx val="10683327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
                  <a:lumOff val="35%"/>
                </a:schemeClr>
              </a:solidFill>
              <a:latin typeface="+mn-lt"/>
              <a:ea typeface="+mn-ea"/>
              <a:cs typeface="+mn-cs"/>
            </a:defRPr>
          </a:pPr>
          <a:endParaRPr lang="en-U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sz="1050" b="1"/>
      </a:pPr>
      <a:endParaRPr lang="en-U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purl.oclc.org/ooxml/officeDocument/relationships/chart" Target="../charts/chart2.xml"/><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3.xml"/></Relationships>
</file>

<file path=xl/drawings/drawing1.xml><?xml version="1.0" encoding="utf-8"?>
<xdr:wsDr xmlns:xdr="http://purl.oclc.org/ooxml/drawingml/spreadsheetDrawing" xmlns:a="http://purl.oclc.org/ooxml/drawingml/main">
  <xdr:twoCellAnchor editAs="absolute">
    <xdr:from>
      <xdr:col>6</xdr:col>
      <xdr:colOff>54597</xdr:colOff>
      <xdr:row>1</xdr:row>
      <xdr:rowOff>15921</xdr:rowOff>
    </xdr:from>
    <xdr:to>
      <xdr:col>24</xdr:col>
      <xdr:colOff>397860</xdr:colOff>
      <xdr:row>12</xdr:row>
      <xdr:rowOff>22485</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noChangeAspect="1"/>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absolute">
    <xdr:from>
      <xdr:col>1</xdr:col>
      <xdr:colOff>210080</xdr:colOff>
      <xdr:row>12</xdr:row>
      <xdr:rowOff>168985</xdr:rowOff>
    </xdr:from>
    <xdr:to>
      <xdr:col>1</xdr:col>
      <xdr:colOff>1694458</xdr:colOff>
      <xdr:row>27</xdr:row>
      <xdr:rowOff>0</xdr:rowOff>
    </xdr:to>
    <mc:AlternateContent xmlns:mc="http://schemas.openxmlformats.org/markup-compatibility/2006" xmlns:a14="http://schemas.microsoft.com/office/drawing/2010/main">
      <mc:Choice Requires="a14">
        <xdr:graphicFrame macro="">
          <xdr:nvGraphicFramePr>
            <xdr:cNvPr id="8" name="Theatre 2">
              <a:extLst>
                <a:ext uri="{FF2B5EF4-FFF2-40B4-BE49-F238E27FC236}">
                  <a16:creationId xmlns:a16="http://schemas.microsoft.com/office/drawing/2014/main" id="{00000000-0008-0000-0700-00000800000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Theatre 2"/>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893135" y="2743200"/>
              <a:ext cx="1512000" cy="2519082"/>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1694969</xdr:colOff>
      <xdr:row>12</xdr:row>
      <xdr:rowOff>167717</xdr:rowOff>
    </xdr:from>
    <xdr:to>
      <xdr:col>3</xdr:col>
      <xdr:colOff>474140</xdr:colOff>
      <xdr:row>27</xdr:row>
      <xdr:rowOff>0</xdr:rowOff>
    </xdr:to>
    <mc:AlternateContent xmlns:mc="http://schemas.openxmlformats.org/markup-compatibility/2006" xmlns:a14="http://schemas.microsoft.com/office/drawing/2010/main">
      <mc:Choice Requires="a14">
        <xdr:graphicFrame macro="">
          <xdr:nvGraphicFramePr>
            <xdr:cNvPr id="9" name="Specialty">
              <a:extLst>
                <a:ext uri="{FF2B5EF4-FFF2-40B4-BE49-F238E27FC236}">
                  <a16:creationId xmlns:a16="http://schemas.microsoft.com/office/drawing/2014/main" id="{00000000-0008-0000-0700-00000900000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Specialty"/>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2405646" y="2745742"/>
              <a:ext cx="1512000" cy="250757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472940</xdr:colOff>
      <xdr:row>12</xdr:row>
      <xdr:rowOff>167640</xdr:rowOff>
    </xdr:from>
    <xdr:to>
      <xdr:col>5</xdr:col>
      <xdr:colOff>171307</xdr:colOff>
      <xdr:row>27</xdr:row>
      <xdr:rowOff>0</xdr:rowOff>
    </xdr:to>
    <mc:AlternateContent xmlns:mc="http://schemas.openxmlformats.org/markup-compatibility/2006" xmlns:a14="http://schemas.microsoft.com/office/drawing/2010/main">
      <mc:Choice Requires="a14">
        <xdr:graphicFrame macro="">
          <xdr:nvGraphicFramePr>
            <xdr:cNvPr id="10" name="Date">
              <a:extLst>
                <a:ext uri="{FF2B5EF4-FFF2-40B4-BE49-F238E27FC236}">
                  <a16:creationId xmlns:a16="http://schemas.microsoft.com/office/drawing/2014/main" id="{00000000-0008-0000-0700-00000A00000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3918351" y="2745591"/>
              <a:ext cx="1512000" cy="2507727"/>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171450</xdr:colOff>
      <xdr:row>12</xdr:row>
      <xdr:rowOff>161925</xdr:rowOff>
    </xdr:from>
    <xdr:to>
      <xdr:col>24</xdr:col>
      <xdr:colOff>161924</xdr:colOff>
      <xdr:row>26</xdr:row>
      <xdr:rowOff>172794</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2.xml><?xml version="1.0" encoding="utf-8"?>
<xdr:wsDr xmlns:xdr="http://purl.oclc.org/ooxml/drawingml/spreadsheetDrawing" xmlns:a="http://purl.oclc.org/ooxml/drawingml/main">
  <xdr:twoCellAnchor>
    <xdr:from>
      <xdr:col>7</xdr:col>
      <xdr:colOff>0</xdr:colOff>
      <xdr:row>1</xdr:row>
      <xdr:rowOff>5746</xdr:rowOff>
    </xdr:from>
    <xdr:to>
      <xdr:col>23</xdr:col>
      <xdr:colOff>622390</xdr:colOff>
      <xdr:row>37</xdr:row>
      <xdr:rowOff>165191</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OnLoad="1" refreshedBy="Oleksii Dovhaniuk" refreshedDateIso="2023-12-09T18:41:20.01999976113438600" createdVersion="6" refreshedVersion="8" minRefreshableVersion="3" recordCount="442" xr:uid="{00000000-000A-0000-FFFF-FFFF13000000}">
  <cacheSource type="worksheet">
    <worksheetSource name="tbl_Case_mins"/>
  </cacheSource>
  <cacheFields count="110">
    <cacheField name="Counter" numFmtId="0">
      <sharedItems containsSemiMixedTypes="0" containsString="0" containsNumber="1" containsInteger="1" minValue="1" maxValue="442"/>
    </cacheField>
    <cacheField name="Theatre" numFmtId="0">
      <sharedItems containsMixedTypes="1" containsNumber="1" minValue="0" maxValue="8" count="11">
        <e v="#REF!"/>
        <n v="3" u="1"/>
        <n v="4" u="1"/>
        <n v="5" u="1"/>
        <n v="7" u="1"/>
        <n v="6" u="1"/>
        <n v="8" u="1"/>
        <n v="0" u="1"/>
        <n v="6.1" u="1"/>
        <n v="4.0999999999999996" u="1"/>
        <n v="5.0999999999999996" u="1"/>
      </sharedItems>
    </cacheField>
    <cacheField name="Surgeon" numFmtId="0">
      <sharedItems/>
    </cacheField>
    <cacheField name="Case Type" numFmtId="0">
      <sharedItems containsMixedTypes="1" containsNumber="1" containsInteger="1" minValue="0" maxValue="0" count="2">
        <e v="#REF!"/>
        <n v="0" u="1"/>
      </sharedItems>
    </cacheField>
    <cacheField name="Surgery Grade" numFmtId="0">
      <sharedItems containsMixedTypes="1" containsNumber="1" containsInteger="1" minValue="0" maxValue="0" count="2">
        <e v="#REF!"/>
        <n v="0" u="1"/>
      </sharedItems>
    </cacheField>
    <cacheField name="Specialty" numFmtId="0">
      <sharedItems containsMixedTypes="1" containsNumber="1" containsInteger="1" minValue="0" maxValue="20" count="11">
        <e v="#REF!"/>
        <n v="18" u="1"/>
        <n v="14" u="1"/>
        <n v="15" u="1"/>
        <n v="20" u="1"/>
        <n v="19" u="1"/>
        <n v="7" u="1"/>
        <n v="1" u="1"/>
        <n v="4" u="1"/>
        <n v="0" u="1"/>
        <n v="8" u="1"/>
      </sharedItems>
    </cacheField>
    <cacheField name="Bed Status" numFmtId="0">
      <sharedItems/>
    </cacheField>
    <cacheField name="POA" numFmtId="0">
      <sharedItems/>
    </cacheField>
    <cacheField name="Surgery Status" numFmtId="0">
      <sharedItems/>
    </cacheField>
    <cacheField name="Status Desc" numFmtId="0">
      <sharedItems/>
    </cacheField>
    <cacheField name="Surgery Start Date" numFmtId="14">
      <sharedItems containsDate="1" containsMixedTypes="1" minDate="1899-12-30T00:00:00" maxDate="2021-11-29T00:00:00" count="30">
        <e v="#REF!"/>
        <d v="2021-11-01T00:00:00" u="1"/>
        <d v="2021-11-02T00:00:00" u="1"/>
        <d v="2021-11-03T00:00:00" u="1"/>
        <d v="2021-11-04T00:00:00" u="1"/>
        <d v="2021-11-05T00:00:00" u="1"/>
        <d v="2021-11-08T00:00:00" u="1"/>
        <d v="2021-11-09T00:00:00" u="1"/>
        <d v="2021-11-10T00:00:00" u="1"/>
        <d v="2021-11-11T00:00:00" u="1"/>
        <d v="2021-11-12T00:00:00" u="1"/>
        <d v="2021-11-15T00:00:00" u="1"/>
        <d v="2021-11-16T00:00:00" u="1"/>
        <d v="2021-11-17T00:00:00" u="1"/>
        <d v="2021-11-18T00:00:00" u="1"/>
        <d v="2021-11-19T00:00:00" u="1"/>
        <d v="2021-11-22T00:00:00" u="1"/>
        <d v="2021-11-23T00:00:00" u="1"/>
        <d v="2021-11-24T00:00:00" u="1"/>
        <d v="2021-11-25T00:00:00" u="1"/>
        <d v="2021-11-26T00:00:00" u="1"/>
        <d v="2021-11-28T00:00:00" u="1"/>
        <d v="2021-11-21T00:00:00" u="1"/>
        <d v="2021-11-14T00:00:00" u="1"/>
        <d v="2021-11-07T00:00:00" u="1"/>
        <d v="1899-12-30T00:00:00" u="1"/>
        <d v="2021-11-27T00:00:00" u="1"/>
        <d v="2021-11-20T00:00:00" u="1"/>
        <d v="2021-11-13T00:00:00" u="1"/>
        <d v="2021-11-06T00:00:00" u="1"/>
      </sharedItems>
    </cacheField>
    <cacheField name="Week No" numFmtId="0">
      <sharedItems count="7">
        <e v="#REF!"/>
        <s v="Wk 44" u="1"/>
        <s v="Wk 45" u="1"/>
        <s v="Wk 46" u="1"/>
        <s v="Wk 47" u="1"/>
        <s v="Wk 52" u="1"/>
        <e v="#VALUE!" u="1"/>
      </sharedItems>
    </cacheField>
    <cacheField name="Day" numFmtId="0">
      <sharedItems/>
    </cacheField>
    <cacheField name="Patient Called" numFmtId="1">
      <sharedItems/>
    </cacheField>
    <cacheField name="Arrival" numFmtId="0">
      <sharedItems/>
    </cacheField>
    <cacheField name="Into Th or AR" numFmtId="1">
      <sharedItems/>
    </cacheField>
    <cacheField name="AnaesthStart" numFmtId="1">
      <sharedItems/>
    </cacheField>
    <cacheField name="Surgery Start" numFmtId="1">
      <sharedItems/>
    </cacheField>
    <cacheField name="Surgery Finish" numFmtId="1">
      <sharedItems/>
    </cacheField>
    <cacheField name="Anaesth End" numFmtId="1">
      <sharedItems/>
    </cacheField>
    <cacheField name="Into Recov" numFmtId="1">
      <sharedItems/>
    </cacheField>
    <cacheField name="Ward Called" numFmtId="1">
      <sharedItems/>
    </cacheField>
    <cacheField name="Out of Recov" numFmtId="1">
      <sharedItems/>
    </cacheField>
    <cacheField name="Surgery End Date" numFmtId="14">
      <sharedItems/>
    </cacheField>
    <cacheField name="AR" numFmtId="0">
      <sharedItems containsSemiMixedTypes="0" containsString="0" containsNumber="1" containsInteger="1" minValue="0" maxValue="0"/>
    </cacheField>
    <cacheField name="CT_start" numFmtId="1">
      <sharedItems/>
    </cacheField>
    <cacheField name="CT_end" numFmtId="1">
      <sharedItems/>
    </cacheField>
    <cacheField name="CT" numFmtId="1">
      <sharedItems/>
    </cacheField>
    <cacheField name="Unsch" numFmtId="1">
      <sharedItems/>
    </cacheField>
    <cacheField name="Sch" numFmtId="1">
      <sharedItems/>
    </cacheField>
    <cacheField name="ThOpenAm" numFmtId="1">
      <sharedItems/>
    </cacheField>
    <cacheField name="ThCloseAm" numFmtId="1">
      <sharedItems containsSemiMixedTypes="0" containsString="0" containsNumber="1" containsInteger="1" minValue="0" maxValue="0"/>
    </cacheField>
    <cacheField name="ThOpenPM" numFmtId="1">
      <sharedItems containsSemiMixedTypes="0" containsString="0" containsNumber="1" containsInteger="1" minValue="0" maxValue="0"/>
    </cacheField>
    <cacheField name="ThClosePm" numFmtId="1">
      <sharedItems/>
    </cacheField>
    <cacheField name="TOT" numFmtId="1">
      <sharedItems/>
    </cacheField>
    <cacheField name="TCT" numFmtId="1">
      <sharedItems/>
    </cacheField>
    <cacheField name="CoreTimeDay" numFmtId="1">
      <sharedItems containsMixedTypes="1" containsNumber="1" containsInteger="1" minValue="0" maxValue="1" count="3">
        <e v="#REF!"/>
        <n v="1" u="1"/>
        <n v="0" u="1"/>
      </sharedItems>
    </cacheField>
    <cacheField name="InCoreCase" numFmtId="1">
      <sharedItems/>
    </cacheField>
    <cacheField name="NonCoreCase" numFmtId="1">
      <sharedItems/>
    </cacheField>
    <cacheField name="CancelledCase" numFmtId="1">
      <sharedItems containsMixedTypes="1" containsNumber="1" containsInteger="1" minValue="0" maxValue="1" count="3">
        <e v="#REF!"/>
        <n v="0" u="1"/>
        <n v="1" u="1"/>
      </sharedItems>
    </cacheField>
    <cacheField name="NoInCoreTime" numFmtId="1">
      <sharedItems/>
    </cacheField>
    <cacheField name="NonCoreInCoreTimeCase" numFmtId="1">
      <sharedItems/>
    </cacheField>
    <cacheField name="Ex_CoreTime" numFmtId="1">
      <sharedItems/>
    </cacheField>
    <cacheField name="InCore_Sch" numFmtId="1">
      <sharedItems/>
    </cacheField>
    <cacheField name="InCore_Unsch" numFmtId="1">
      <sharedItems/>
    </cacheField>
    <cacheField name="AmCase" numFmtId="1">
      <sharedItems/>
    </cacheField>
    <cacheField name="PmCase" numFmtId="1">
      <sharedItems/>
    </cacheField>
    <cacheField name="AllDay Case" numFmtId="1">
      <sharedItems/>
    </cacheField>
    <cacheField name="Ana_time" numFmtId="1">
      <sharedItems/>
    </cacheField>
    <cacheField name="Surg_time" numFmtId="1">
      <sharedItems/>
    </cacheField>
    <cacheField name="AnaPreSurg" numFmtId="1">
      <sharedItems/>
    </cacheField>
    <cacheField name="AnaPostSurg" numFmtId="1">
      <sharedItems/>
    </cacheField>
    <cacheField name="Th_time" numFmtId="1">
      <sharedItems/>
    </cacheField>
    <cacheField name="EarlyStartAM" numFmtId="1">
      <sharedItems/>
    </cacheField>
    <cacheField name="DelayStartAM" numFmtId="1">
      <sharedItems containsSemiMixedTypes="0" containsString="0" containsNumber="1" minValue="0" maxValue="435" count="86">
        <n v="0"/>
        <n v="85" u="1"/>
        <n v="57" u="1"/>
        <n v="75" u="1"/>
        <n v="100" u="1"/>
        <n v="70" u="1"/>
        <n v="90" u="1"/>
        <n v="78" u="1"/>
        <n v="55" u="1"/>
        <n v="66" u="1"/>
        <n v="58" u="1"/>
        <n v="113" u="1"/>
        <n v="61" u="1"/>
        <n v="63" u="1"/>
        <n v="82" u="1"/>
        <n v="72" u="1"/>
        <n v="69" u="1"/>
        <n v="80" u="1"/>
        <n v="51" u="1"/>
        <n v="65" u="1"/>
        <n v="60" u="1"/>
        <n v="95" u="1"/>
        <n v="120" u="1"/>
        <n v="111" u="1"/>
        <n v="150" u="1"/>
        <n v="46" u="1"/>
        <n v="50" u="1"/>
        <n v="45" u="1"/>
        <n v="86" u="1"/>
        <n v="121" u="1"/>
        <n v="128" u="1"/>
        <n v="56" u="1"/>
        <n v="74" u="1"/>
        <n v="47" u="1"/>
        <n v="31" u="1"/>
        <n v="81" u="1"/>
        <n v="145" u="1"/>
        <n v="98" u="1"/>
        <n v="62" u="1"/>
        <n v="245" u="1"/>
        <n v="91" u="1"/>
        <n v="54" u="1"/>
        <n v="53" u="1"/>
        <n v="93" u="1"/>
        <n v="102" u="1"/>
        <n v="190" u="1"/>
        <n v="435" u="1"/>
        <n v="96" u="1"/>
        <n v="67" u="1"/>
        <n v="160" u="1"/>
        <n v="170" u="1"/>
        <n v="140" u="1"/>
        <n v="25" u="1"/>
        <n v="15" u="1"/>
        <n v="40" u="1"/>
        <n v="10" u="1"/>
        <n v="30" u="1"/>
        <n v="18" u="1"/>
        <n v="6" u="1"/>
        <n v="1" u="1"/>
        <n v="3" u="1"/>
        <n v="22" u="1"/>
        <n v="12" u="1"/>
        <n v="9" u="1"/>
        <n v="20" u="1"/>
        <n v="5" u="1"/>
        <n v="35" u="1"/>
        <n v="26" u="1"/>
        <n v="68" u="1"/>
        <n v="14" u="1"/>
        <n v="21" u="1"/>
        <n v="38" u="1"/>
        <n v="2" u="1"/>
        <n v="185" u="1"/>
        <n v="33" u="1"/>
        <n v="42" u="1"/>
        <n v="130" u="1"/>
        <n v="36" u="1"/>
        <n v="7" u="1"/>
        <n v="110" u="1"/>
        <n v="34" u="1"/>
        <n v="11.999999999999886" u="1"/>
        <n v="104" u="1"/>
        <n v="155" u="1"/>
        <n v="192" u="1"/>
        <n v="88" u="1"/>
      </sharedItems>
    </cacheField>
    <cacheField name="Start_Status" numFmtId="1">
      <sharedItems/>
    </cacheField>
    <cacheField name="FirstAMCase" numFmtId="1">
      <sharedItems/>
    </cacheField>
    <cacheField name="InCoreAM" numFmtId="1">
      <sharedItems/>
    </cacheField>
    <cacheField name="AMOverRun" numFmtId="1">
      <sharedItems/>
    </cacheField>
    <cacheField name="AMUnderRun" numFmtId="1">
      <sharedItems/>
    </cacheField>
    <cacheField name="EarlyStartPM" numFmtId="1">
      <sharedItems/>
    </cacheField>
    <cacheField name="Split_Break" numFmtId="1">
      <sharedItems/>
    </cacheField>
    <cacheField name="DelayStartPM" numFmtId="1">
      <sharedItems/>
    </cacheField>
    <cacheField name="AmInCorePm" numFmtId="1">
      <sharedItems/>
    </cacheField>
    <cacheField name="InCorePM" numFmtId="1">
      <sharedItems/>
    </cacheField>
    <cacheField name="PMUnderRun" numFmtId="1">
      <sharedItems/>
    </cacheField>
    <cacheField name="OutOfCorePM" numFmtId="1">
      <sharedItems/>
    </cacheField>
    <cacheField name="PMOverRun" numFmtId="1">
      <sharedItems/>
    </cacheField>
    <cacheField name="Core_Time" numFmtId="1">
      <sharedItems/>
    </cacheField>
    <cacheField name="Poss_Time" numFmtId="1">
      <sharedItems/>
    </cacheField>
    <cacheField name="Target_Util" numFmtId="1">
      <sharedItems/>
    </cacheField>
    <cacheField name="InCoreUse" numFmtId="1">
      <sharedItems/>
    </cacheField>
    <cacheField name="ICU" numFmtId="1">
      <sharedItems/>
    </cacheField>
    <cacheField name="InCore Unused" numFmtId="1">
      <sharedItems/>
    </cacheField>
    <cacheField name="Total_NonCore" numFmtId="1">
      <sharedItems/>
    </cacheField>
    <cacheField name="NextDay_NonCore" numFmtId="1">
      <sharedItems/>
    </cacheField>
    <cacheField name="SameDay_NonCore" numFmtId="1">
      <sharedItems/>
    </cacheField>
    <cacheField name="InCoreHrs" numFmtId="2">
      <sharedItems/>
    </cacheField>
    <cacheField name="NonCoreHrs" numFmtId="2">
      <sharedItems/>
    </cacheField>
    <cacheField name="Rank_Adjust" numFmtId="0">
      <sharedItems/>
    </cacheField>
    <cacheField name="Rank" numFmtId="1">
      <sharedItems/>
    </cacheField>
    <cacheField name="Rank_AnaSt" numFmtId="1">
      <sharedItems/>
    </cacheField>
    <cacheField name="Rank_AnaEnd" numFmtId="1">
      <sharedItems/>
    </cacheField>
    <cacheField name="Max_RankAnaEnd" numFmtId="1">
      <sharedItems containsSemiMixedTypes="0" containsString="0" containsNumber="1" containsInteger="1" minValue="-1" maxValue="-1"/>
    </cacheField>
    <cacheField name="Min_RankAnaSt" numFmtId="1">
      <sharedItems containsSemiMixedTypes="0" containsString="0" containsNumber="1" containsInteger="1" minValue="-1" maxValue="-1"/>
    </cacheField>
    <cacheField name="SmlLg_End" numFmtId="1">
      <sharedItems/>
    </cacheField>
    <cacheField name="SmlLg_Start" numFmtId="1">
      <sharedItems/>
    </cacheField>
    <cacheField name="Overlaps" numFmtId="0">
      <sharedItems/>
    </cacheField>
    <cacheField name="Delay_CT_Start" numFmtId="1">
      <sharedItems/>
    </cacheField>
    <cacheField name="Delay_No_CT" numFmtId="1">
      <sharedItems/>
    </cacheField>
    <cacheField name="Intervals" numFmtId="1">
      <sharedItems/>
    </cacheField>
    <cacheField name="IOI" numFmtId="1">
      <sharedItems/>
    </cacheField>
    <cacheField name="IR_Interval" numFmtId="1">
      <sharedItems containsSemiMixedTypes="0" containsString="0" containsNumber="1" containsInteger="1" minValue="0" maxValue="0"/>
    </cacheField>
    <cacheField name="IRI" numFmtId="1">
      <sharedItems containsSemiMixedTypes="0" containsString="0" containsNumber="1" containsInteger="1" minValue="0" maxValue="0"/>
    </cacheField>
    <cacheField name="Last Am Case" numFmtId="1">
      <sharedItems containsSemiMixedTypes="0" containsString="0" containsNumber="1" containsInteger="1" minValue="0" maxValue="0"/>
    </cacheField>
    <cacheField name="AS_Interval" numFmtId="1">
      <sharedItems containsSemiMixedTypes="0" containsString="0" containsNumber="1" containsInteger="1" minValue="0" maxValue="0"/>
    </cacheField>
    <cacheField name="ASI" numFmtId="1">
      <sharedItems/>
    </cacheField>
    <cacheField name="First PM Case" numFmtId="1">
      <sharedItems containsSemiMixedTypes="0" containsString="0" containsNumber="1" containsInteger="1" minValue="0" maxValue="0"/>
    </cacheField>
    <cacheField name="Bay" numFmtId="0">
      <sharedItems containsSemiMixedTypes="0" containsString="0" containsNumber="1" containsInteger="1" minValue="0" maxValue="0"/>
    </cacheField>
    <cacheField name="BayOpenAM" numFmtId="1">
      <sharedItems/>
    </cacheField>
    <cacheField name="BayCloseAm" numFmtId="1">
      <sharedItems containsSemiMixedTypes="0" containsString="0" containsNumber="1" containsInteger="1" minValue="0" maxValue="0"/>
    </cacheField>
    <cacheField name="BayOpenPM" numFmtId="1">
      <sharedItems containsSemiMixedTypes="0" containsString="0" containsNumber="1" containsInteger="1" minValue="0" maxValue="0"/>
    </cacheField>
    <cacheField name="BayClosePM" numFmtId="1">
      <sharedItems/>
    </cacheField>
    <cacheField name="GrandTotal_blank" numFmtId="1">
      <sharedItems containsNonDate="0" containsString="0" containsBlank="1"/>
    </cacheField>
    <cacheField name="Usage" numFmtId="0" formula="IFERROR(InCoreUse/Core_Time,0)" databaseField="0"/>
    <cacheField name="Goal In Core Utilised" numFmtId="0" formula="IFERROR(Target_Util/Core_Time,0)" databaseField="0"/>
    <cacheField name="EarlyStart" numFmtId="0" formula="0-EarlyStartAM" databaseField="0"/>
    <cacheField name="EarlyFinishPM" numFmtId="0" formula=" 0-PMUnderRun" databaseField="0"/>
    <cacheField name="Early_Finish" numFmtId="0" formula=" 0 -PMUnderRun" databaseField="0"/>
    <cacheField name="% EarlyOTStart" numFmtId="0" formula="Start_Status /FirstAMCase" databaseField="0"/>
  </cacheFields>
  <extLst>
    <ext xmlns:x14="http://schemas.microsoft.com/office/spreadsheetml/2009/9/main" uri="{725AE2AE-9491-48be-B2B4-4EB974FC3084}">
      <x14:pivotCacheDefinition pivotCacheId="1208963433"/>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42">
  <r>
    <n v="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5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6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7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8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9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0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1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2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3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4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5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6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7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8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19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0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1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2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3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4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5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6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7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8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29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0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1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2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3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4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5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6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7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8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39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0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1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2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3"/>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4"/>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5"/>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6"/>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7"/>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8"/>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39"/>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40"/>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41"/>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r>
    <n v="442"/>
    <x v="0"/>
    <e v="#REF!"/>
    <x v="0"/>
    <x v="0"/>
    <x v="0"/>
    <e v="#REF!"/>
    <e v="#REF!"/>
    <e v="#REF!"/>
    <e v="#REF!"/>
    <x v="0"/>
    <x v="0"/>
    <e v="#REF!"/>
    <e v="#REF!"/>
    <e v="#REF!"/>
    <e v="#REF!"/>
    <e v="#REF!"/>
    <e v="#REF!"/>
    <e v="#REF!"/>
    <e v="#REF!"/>
    <e v="#REF!"/>
    <e v="#REF!"/>
    <e v="#REF!"/>
    <e v="#REF!"/>
    <n v="0"/>
    <e v="#REF!"/>
    <e v="#REF!"/>
    <e v="#REF!"/>
    <e v="#REF!"/>
    <e v="#REF!"/>
    <e v="#REF!"/>
    <n v="0"/>
    <n v="0"/>
    <e v="#REF!"/>
    <e v="#REF!"/>
    <e v="#REF!"/>
    <x v="0"/>
    <e v="#REF!"/>
    <e v="#REF!"/>
    <x v="0"/>
    <e v="#REF!"/>
    <e v="#REF!"/>
    <e v="#REF!"/>
    <e v="#REF!"/>
    <e v="#REF!"/>
    <e v="#REF!"/>
    <e v="#REF!"/>
    <e v="#REF!"/>
    <e v="#REF!"/>
    <e v="#REF!"/>
    <e v="#REF!"/>
    <e v="#REF!"/>
    <e v="#REF!"/>
    <e v="#REF!"/>
    <x v="0"/>
    <e v="#REF!"/>
    <e v="#REF!"/>
    <e v="#REF!"/>
    <e v="#REF!"/>
    <e v="#REF!"/>
    <e v="#REF!"/>
    <e v="#REF!"/>
    <e v="#REF!"/>
    <e v="#REF!"/>
    <e v="#REF!"/>
    <e v="#REF!"/>
    <e v="#REF!"/>
    <e v="#REF!"/>
    <e v="#REF!"/>
    <e v="#REF!"/>
    <e v="#REF!"/>
    <e v="#REF!"/>
    <e v="#REF!"/>
    <e v="#REF!"/>
    <e v="#REF!"/>
    <e v="#REF!"/>
    <e v="#REF!"/>
    <e v="#REF!"/>
    <e v="#REF!"/>
    <e v="#REF!"/>
    <e v="#REF!"/>
    <e v="#REF!"/>
    <e v="#REF!"/>
    <n v="-1"/>
    <n v="-1"/>
    <e v="#REF!"/>
    <e v="#REF!"/>
    <e v="#REF!"/>
    <e v="#REF!"/>
    <e v="#REF!"/>
    <e v="#REF!"/>
    <e v="#REF!"/>
    <n v="0"/>
    <n v="0"/>
    <n v="0"/>
    <n v="0"/>
    <e v="#REF!"/>
    <n v="0"/>
    <n v="0"/>
    <e v="#REF!"/>
    <n v="0"/>
    <n v="0"/>
    <e v="#REF!"/>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100-000001000000}" name="pvt_Tier1_IOI"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0" rowHeaderCaption="Date">
  <location ref="G3:H4" firstHeaderRow="1" firstDataRow="1" firstDataCol="1"/>
  <pivotFields count="110">
    <pivotField showAll="0"/>
    <pivotField showAll="0"/>
    <pivotField showAll="0"/>
    <pivotField showAll="0"/>
    <pivotField showAll="0"/>
    <pivotField showAll="0"/>
    <pivotField showAll="0"/>
    <pivotField showAll="0"/>
    <pivotField showAll="0"/>
    <pivotField showAll="0"/>
    <pivotField axis="axisRow" numFmtId="168" showAll="0" measureFilter="1" sortType="ascending">
      <items count="31">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 t="default"/>
      </items>
    </pivotField>
    <pivotField showAll="0"/>
    <pivotField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4"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 numFmtId="2" showAll="0"/>
    <pivotField showAll="0"/>
    <pivotField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numFmtId="1" showAll="0"/>
    <pivotField numFmtId="1" showAll="0"/>
    <pivotField numFmtI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1">
    <i>
      <x/>
    </i>
  </rowItems>
  <colItems count="1">
    <i/>
  </colItems>
  <dataFields count="1">
    <dataField name="Intra Op Interval" fld="90"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1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100-000003000000}" name="pvt_Tier1_OTSL" cacheId="1" dataOnRows="1"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chartFormat="16">
  <location ref="Q5:R5" firstHeaderRow="1" firstDataRow="1" firstDataCol="1" rowPageCount="1" colPageCount="1"/>
  <pivotFields count="110">
    <pivotField compact="0" outline="0" subtotalTop="0" showAll="0" defaultSubtotal="0"/>
    <pivotField axis="axisPage" compact="0" outline="0" subtotalTop="0" multipleItemSelectionAllowed="1" showAll="0" defaultSubtotal="0">
      <items count="11">
        <item h="1" m="1" x="7"/>
        <item m="1" x="1"/>
        <item h="1" m="1" x="2"/>
        <item h="1" m="1" x="3"/>
        <item h="1" m="1" x="4"/>
        <item h="1" m="1" x="5"/>
        <item h="1" m="1" x="6"/>
        <item h="1" m="1" x="9"/>
        <item h="1" m="1" x="8"/>
        <item h="1" m="1" x="10"/>
        <item h="1" x="0"/>
      </items>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compact="0" numFmtId="14" outline="0" subtotalTop="0" showAll="0" sortType="descending" defaultSubtotal="0"/>
    <pivotField axis="axisRow" compact="0" outline="0" subtotalTop="0" showAll="0" defaultSubtotal="0">
      <items count="7">
        <item m="1" x="5"/>
        <item m="1" x="1"/>
        <item m="1" x="2"/>
        <item m="1" x="3"/>
        <item m="1" x="4"/>
        <item m="1" x="6"/>
        <item x="0"/>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multipleItemSelectionAllowed="1"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name="Totals" compact="0" outline="0" subtotalTop="0" showAll="0" sumSubtotal="1" avgSubtotal="1"/>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s>
  <rowFields count="1">
    <field x="11"/>
  </rowFields>
  <colItems count="1">
    <i/>
  </colItems>
  <pageFields count="1">
    <pageField fld="1" hier="-1"/>
  </pageFields>
  <dataFields count="1">
    <dataField name="% Days OnTime Start" fld="109" baseField="0" baseItem="0" numFmtId="1"/>
  </dataFields>
  <formats count="1">
    <format dxfId="224">
      <pivotArea outline="0" collapsedLevelsAreSubtotals="1"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100-000004000000}" name="pvt_Tier1_SG"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7" rowHeaderCaption="Grade">
  <location ref="B3:C4" firstHeaderRow="1" firstDataRow="1" firstDataCol="1"/>
  <pivotFields count="110">
    <pivotField dataField="1" showAll="0"/>
    <pivotField showAll="0"/>
    <pivotField showAll="0"/>
    <pivotField showAll="0"/>
    <pivotField axis="axisRow" showAll="0" measureFilter="1" sortType="ascending">
      <items count="3">
        <item m="1" x="1"/>
        <item x="0"/>
        <item t="default"/>
      </items>
    </pivotField>
    <pivotField showAll="0"/>
    <pivotField showAll="0"/>
    <pivotField showAll="0"/>
    <pivotField showAll="0"/>
    <pivotField showAll="0"/>
    <pivotField numFmtId="14" showAll="0"/>
    <pivotField showAll="0"/>
    <pivotField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4"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 numFmtId="2" showAll="0"/>
    <pivotField showAll="0"/>
    <pivotField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numFmtId="1" showAll="0"/>
    <pivotField numFmtId="1" showAll="0"/>
    <pivotField numFmtI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
    <i>
      <x v="1"/>
    </i>
  </rowItems>
  <colItems count="1">
    <i/>
  </colItems>
  <dataFields count="1">
    <dataField name="No of Cases" fld="0" subtotal="count" baseField="0" baseItem="0"/>
  </dataFields>
  <pivotTableStyleInfo name="PivotStyleLight1" showRowHeaders="1" showColHeaders="1" showRowStripes="0" showColStripes="0" showLastColumn="1"/>
  <filters count="1">
    <filter fld="4"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100-000000000000}" name="pvt_Tier1_EFO" cacheId="1" dataOnRows="1"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chartFormat="24">
  <location ref="V3:X5" firstHeaderRow="1" firstDataRow="1" firstDataCol="2"/>
  <pivotFields count="110">
    <pivotField compact="0" outline="0" subtotalTop="0" showAll="0" defaultSubtotal="0"/>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compact="0" numFmtId="14" outline="0" subtotalTop="0" showAll="0" sortType="descending" defaultSubtotal="0"/>
    <pivotField axis="axisRow" compact="0" outline="0" subtotalTop="0" showAll="0" sortType="ascending" defaultSubtotal="0">
      <items count="7">
        <item m="1" x="1"/>
        <item m="1" x="2"/>
        <item m="1" x="3"/>
        <item m="1" x="4"/>
        <item m="1" x="5"/>
        <item x="0"/>
        <item m="1" x="6"/>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multipleItemSelectionAllowed="1"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name="Totals" compact="0" outline="0" subtotalTop="0" showAll="0" sumSubtotal="1" avgSubtotal="1"/>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 compact="0" outline="0" subtotalTop="0" dragToRow="0" dragToCol="0" dragToPage="0" showAll="0" defaultSubtotal="0"/>
  </pivotFields>
  <rowFields count="2">
    <field x="11"/>
    <field x="-2"/>
  </rowFields>
  <rowItems count="2">
    <i>
      <x v="5"/>
      <x/>
    </i>
    <i r="1" i="1">
      <x v="1"/>
    </i>
  </rowItems>
  <colItems count="1">
    <i/>
  </colItems>
  <dataFields count="2">
    <dataField name="  " fld="108" baseField="11" baseItem="0" numFmtId="1"/>
    <dataField name=" " fld="67" baseField="11" baseItem="0"/>
  </dataFields>
  <formats count="1">
    <format dxfId="225">
      <pivotArea outline="0" collapsedLevelsAreSubtotals="1"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00000000-0007-0000-0100-000002000000}" name="pvt_Tier1_OTSC"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chartFormat="19">
  <location ref="L6:M6" firstHeaderRow="1" firstDataRow="1" firstDataCol="1" rowPageCount="2" colPageCount="1"/>
  <pivotFields count="110">
    <pivotField compact="0" outline="0" subtotalTop="0" showAll="0" defaultSubtotal="0"/>
    <pivotField axis="axisPage" compact="0" outline="0" subtotalTop="0" multipleItemSelectionAllowed="1" showAll="0" defaultSubtotal="0">
      <items count="11">
        <item h="1" m="1" x="7"/>
        <item m="1" x="1"/>
        <item h="1" m="1" x="2"/>
        <item h="1" m="1" x="3"/>
        <item h="1" m="1" x="4"/>
        <item h="1" m="1" x="5"/>
        <item h="1" m="1" x="6"/>
        <item h="1" m="1" x="9"/>
        <item h="1" m="1" x="8"/>
        <item h="1" m="1" x="10"/>
        <item h="1" x="0"/>
      </items>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compact="0" numFmtId="14" outline="0" subtotalTop="0" showAll="0" sortType="descending" defaultSubtotal="0"/>
    <pivotField axis="axisRow" compact="0" outline="0" subtotalTop="0" showAll="0" defaultSubtotal="0">
      <items count="7">
        <item m="1" x="5"/>
        <item m="1" x="1"/>
        <item m="1" x="2"/>
        <item m="1" x="3"/>
        <item m="1" x="4"/>
        <item m="1" x="6"/>
        <item x="0"/>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axis="axisPage" dataField="1" compact="0" numFmtId="1" outline="0" subtotalTop="0" multipleItemSelectionAllowed="1" showAll="0" defaultSubtotal="0">
      <items count="86">
        <item x="0"/>
        <item m="1" x="52"/>
        <item m="1" x="53"/>
        <item m="1" x="54"/>
        <item m="1" x="55"/>
        <item m="1" x="56"/>
        <item m="1" x="57"/>
        <item m="1" x="58"/>
        <item m="1" x="42"/>
        <item m="1" x="59"/>
        <item m="1" x="60"/>
        <item m="1" x="61"/>
        <item m="1" x="62"/>
        <item m="1" x="63"/>
        <item m="1" x="64"/>
        <item m="1" x="24"/>
        <item m="1" x="65"/>
        <item m="1" x="3"/>
        <item m="1" x="66"/>
        <item m="1" x="20"/>
        <item m="1" x="18"/>
        <item m="1" x="6"/>
        <item m="1" x="67"/>
        <item m="1" x="12"/>
        <item m="1" x="68"/>
        <item m="1" x="69"/>
        <item m="1" x="80"/>
        <item m="1" x="9"/>
        <item m="1" x="85"/>
        <item m="1" x="25"/>
        <item m="1" x="34"/>
        <item m="1" x="70"/>
        <item m="1" x="1"/>
        <item m="1" x="71"/>
        <item m="1" x="19"/>
        <item m="1" x="72"/>
        <item m="1" x="73"/>
        <item m="1" x="83"/>
        <item m="1" x="82"/>
        <item m="1" x="81"/>
        <item m="1" x="74"/>
        <item m="1" x="75"/>
        <item m="1" x="76"/>
        <item m="1" x="77"/>
        <item m="1" x="4"/>
        <item m="1" x="78"/>
        <item m="1" x="79"/>
        <item m="1" x="17"/>
        <item m="1" x="84"/>
        <item m="1" x="2"/>
        <item m="1" x="5"/>
        <item m="1" x="7"/>
        <item m="1" x="8"/>
        <item m="1" x="10"/>
        <item m="1" x="11"/>
        <item m="1" x="13"/>
        <item m="1" x="14"/>
        <item m="1" x="15"/>
        <item m="1" x="16"/>
        <item m="1" x="21"/>
        <item m="1" x="22"/>
        <item m="1" x="23"/>
        <item m="1" x="26"/>
        <item m="1" x="27"/>
        <item m="1" x="28"/>
        <item m="1" x="29"/>
        <item m="1" x="30"/>
        <item m="1" x="31"/>
        <item m="1" x="32"/>
        <item m="1" x="33"/>
        <item m="1" x="35"/>
        <item m="1" x="36"/>
        <item m="1" x="37"/>
        <item m="1" x="38"/>
        <item m="1" x="39"/>
        <item m="1" x="40"/>
        <item m="1" x="41"/>
        <item m="1" x="43"/>
        <item m="1" x="44"/>
        <item m="1" x="45"/>
        <item m="1" x="46"/>
        <item m="1" x="47"/>
        <item m="1" x="48"/>
        <item m="1" x="49"/>
        <item m="1" x="50"/>
        <item m="1" x="51"/>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name="Totals" compact="0" outline="0" subtotalTop="0" showAll="0" sumSubtotal="1" avgSubtotal="1"/>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1"/>
  </rowFields>
  <colItems count="1">
    <i/>
  </colItems>
  <pageFields count="2">
    <pageField fld="1" hier="-1"/>
    <pageField fld="54" hier="-1"/>
  </pageFields>
  <dataFields count="1">
    <dataField name="AM Delay Start Mins" fld="54"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00000000-0007-0000-0100-000005000000}" name="pvt_Tier1_UTRC" cacheId="1" applyNumberFormats="0" applyBorderFormats="0" applyFontFormats="0" applyPatternFormats="0" applyAlignmentFormats="0" applyWidthHeightFormats="1" dataCaption="Values" updatedVersion="8" minRefreshableVersion="3" enableDrill="0" useAutoFormatting="1" colGrandTotals="0" itemPrintTitles="1" createdVersion="6" indent="0" compact="0" compactData="0" multipleFieldFilters="0" chartFormat="17">
  <location ref="AC4:AG6" firstHeaderRow="0" firstDataRow="1" firstDataCol="1" rowPageCount="1" colPageCount="1"/>
  <pivotFields count="110">
    <pivotField compact="0" outline="0" subtotalTop="0" showAll="0" defaultSubtotal="0"/>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axis="axisRow" compact="0" numFmtId="14" outline="0" subtotalTop="0" showAll="0" sortType="ascending" defaultSubtotal="0">
      <items count="30">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s>
    </pivotField>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axis="axisPage" compact="0" numFmtId="1" outline="0" subtotalTop="0" showAll="0" defaultSubtotal="0">
      <items count="3">
        <item m="1" x="2"/>
        <item m="1" x="1"/>
        <item x="0"/>
      </items>
    </pivotField>
    <pivotField dataField="1" compact="0"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2">
    <i>
      <x/>
    </i>
    <i t="grand">
      <x/>
    </i>
  </rowItems>
  <colFields count="1">
    <field x="-2"/>
  </colFields>
  <colItems count="4">
    <i>
      <x/>
    </i>
    <i i="1">
      <x v="1"/>
    </i>
    <i i="2">
      <x v="2"/>
    </i>
    <i i="3">
      <x v="3"/>
    </i>
  </colItems>
  <pageFields count="1">
    <pageField fld="36" hier="-1"/>
  </pageFields>
  <dataFields count="4">
    <dataField name="No. of In Core Cases" fld="37" baseField="0" baseItem="0"/>
    <dataField name="No. of Non Core Cases with In Core Time" fld="41" baseField="0" baseItem="0"/>
    <dataField name="% Theatre Utilisation" fld="104" baseField="0" baseItem="0" numFmtId="9"/>
    <dataField name="No. of Cases Cancelled" fld="39" baseField="0" baseItem="0"/>
  </dataFields>
  <formats count="1">
    <format dxfId="226">
      <pivotArea outline="0" fieldPosition="0">
        <references count="1">
          <reference field="4294967294" count="1" selected="0">
            <x v="2"/>
          </reference>
        </references>
      </pivotArea>
    </format>
  </formats>
  <chartFormats count="2">
    <chartFormat chart="9" format="52" series="1">
      <pivotArea type="data" outline="0" fieldPosition="0">
        <references count="1">
          <reference field="4294967294" count="1" selected="0">
            <x v="2"/>
          </reference>
        </references>
      </pivotArea>
    </chartFormat>
    <chartFormat chart="9" format="53"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0000000-0007-0000-0300-000004000000}" name="pvt_Tier2_SG"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8" rowHeaderCaption="Grade">
  <location ref="I3:J4" firstHeaderRow="1" firstDataRow="1" firstDataCol="1"/>
  <pivotFields count="110">
    <pivotField dataField="1" showAll="0"/>
    <pivotField showAll="0"/>
    <pivotField showAll="0"/>
    <pivotField showAll="0"/>
    <pivotField axis="axisRow" showAll="0" measureFilter="1" sortType="ascending">
      <items count="3">
        <item m="1" x="1"/>
        <item x="0"/>
        <item t="default"/>
      </items>
    </pivotField>
    <pivotField showAll="0"/>
    <pivotField showAll="0"/>
    <pivotField showAll="0"/>
    <pivotField showAll="0"/>
    <pivotField showAll="0"/>
    <pivotField numFmtId="14" showAll="0"/>
    <pivotField showAll="0"/>
    <pivotField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4"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 numFmtId="2" showAll="0"/>
    <pivotField showAll="0"/>
    <pivotField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numFmtId="1" showAll="0"/>
    <pivotField numFmtId="1" showAll="0"/>
    <pivotField numFmtI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
    <i>
      <x v="1"/>
    </i>
  </rowItems>
  <colItems count="1">
    <i/>
  </colItems>
  <dataFields count="1">
    <dataField name="No of Cases"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4"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00000000-0007-0000-0300-000001000000}" name="pvt_Tier2_IOI"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rowHeaderCaption="Date">
  <location ref="N3:O5" firstHeaderRow="1" firstDataRow="1" firstDataCol="1"/>
  <pivotFields count="110">
    <pivotField showAll="0"/>
    <pivotField showAll="0"/>
    <pivotField showAll="0"/>
    <pivotField showAll="0"/>
    <pivotField showAll="0"/>
    <pivotField showAll="0"/>
    <pivotField showAll="0"/>
    <pivotField showAll="0"/>
    <pivotField showAll="0"/>
    <pivotField showAll="0"/>
    <pivotField axis="axisRow" numFmtId="168" showAll="0" measureFilter="1" sortType="ascending">
      <items count="31">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 t="default"/>
      </items>
    </pivotField>
    <pivotField showAll="0"/>
    <pivotField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4"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 numFmtId="2" showAll="0"/>
    <pivotField showAll="0"/>
    <pivotField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numFmtId="1" showAll="0"/>
    <pivotField numFmtId="1" showAll="0"/>
    <pivotField numFmtI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2">
    <i>
      <x/>
    </i>
    <i t="grand">
      <x/>
    </i>
  </rowItems>
  <colItems count="1">
    <i/>
  </colItems>
  <dataFields count="1">
    <dataField name="Intra Op Interval" fld="90"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1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00000000-0007-0000-0300-000002000000}" name="pvt_Tier2_OTSC"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chartFormat="20">
  <location ref="S6:T7" firstHeaderRow="1" firstDataRow="1" firstDataCol="1" rowPageCount="2" colPageCount="1"/>
  <pivotFields count="110">
    <pivotField compact="0" outline="0" subtotalTop="0" showAll="0" defaultSubtotal="0"/>
    <pivotField axis="axisPage" compact="0" outline="0" subtotalTop="0" multipleItemSelectionAllowed="1" showAll="0" defaultSubtotal="0">
      <items count="11">
        <item m="1" x="7"/>
        <item m="1" x="1"/>
        <item m="1" x="2"/>
        <item m="1" x="3"/>
        <item m="1" x="4"/>
        <item m="1" x="5"/>
        <item m="1" x="6"/>
        <item m="1" x="9"/>
        <item m="1" x="8"/>
        <item m="1" x="10"/>
        <item x="0"/>
      </items>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compact="0" numFmtId="14" outline="0" subtotalTop="0" showAll="0" sortType="descending" defaultSubtotal="0"/>
    <pivotField axis="axisRow" compact="0" outline="0" subtotalTop="0" showAll="0" defaultSubtotal="0">
      <items count="7">
        <item m="1" x="5"/>
        <item m="1" x="1"/>
        <item m="1" x="2"/>
        <item m="1" x="3"/>
        <item m="1" x="4"/>
        <item m="1" x="6"/>
        <item x="0"/>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axis="axisPage" dataField="1" compact="0" numFmtId="1" outline="0" subtotalTop="0" multipleItemSelectionAllowed="1" showAll="0" defaultSubtotal="0">
      <items count="86">
        <item x="0"/>
        <item m="1" x="52"/>
        <item m="1" x="53"/>
        <item m="1" x="54"/>
        <item m="1" x="55"/>
        <item m="1" x="56"/>
        <item m="1" x="57"/>
        <item m="1" x="58"/>
        <item m="1" x="42"/>
        <item m="1" x="59"/>
        <item m="1" x="60"/>
        <item m="1" x="61"/>
        <item m="1" x="62"/>
        <item m="1" x="63"/>
        <item m="1" x="64"/>
        <item m="1" x="24"/>
        <item m="1" x="65"/>
        <item m="1" x="3"/>
        <item m="1" x="66"/>
        <item m="1" x="20"/>
        <item m="1" x="18"/>
        <item m="1" x="6"/>
        <item m="1" x="67"/>
        <item m="1" x="12"/>
        <item m="1" x="68"/>
        <item m="1" x="69"/>
        <item m="1" x="80"/>
        <item m="1" x="9"/>
        <item m="1" x="85"/>
        <item m="1" x="25"/>
        <item m="1" x="34"/>
        <item m="1" x="70"/>
        <item m="1" x="1"/>
        <item m="1" x="71"/>
        <item m="1" x="19"/>
        <item m="1" x="72"/>
        <item m="1" x="73"/>
        <item m="1" x="83"/>
        <item m="1" x="82"/>
        <item m="1" x="81"/>
        <item m="1" x="74"/>
        <item m="1" x="75"/>
        <item m="1" x="76"/>
        <item m="1" x="77"/>
        <item m="1" x="4"/>
        <item m="1" x="78"/>
        <item m="1" x="79"/>
        <item m="1" x="17"/>
        <item m="1" x="84"/>
        <item m="1" x="2"/>
        <item m="1" x="5"/>
        <item m="1" x="7"/>
        <item m="1" x="8"/>
        <item m="1" x="10"/>
        <item m="1" x="11"/>
        <item m="1" x="13"/>
        <item m="1" x="14"/>
        <item m="1" x="15"/>
        <item m="1" x="16"/>
        <item m="1" x="21"/>
        <item m="1" x="22"/>
        <item m="1" x="23"/>
        <item m="1" x="26"/>
        <item m="1" x="27"/>
        <item m="1" x="28"/>
        <item m="1" x="29"/>
        <item m="1" x="30"/>
        <item m="1" x="31"/>
        <item m="1" x="32"/>
        <item m="1" x="33"/>
        <item m="1" x="35"/>
        <item m="1" x="36"/>
        <item m="1" x="37"/>
        <item m="1" x="38"/>
        <item m="1" x="39"/>
        <item m="1" x="40"/>
        <item m="1" x="41"/>
        <item m="1" x="43"/>
        <item m="1" x="44"/>
        <item m="1" x="45"/>
        <item m="1" x="46"/>
        <item m="1" x="47"/>
        <item m="1" x="48"/>
        <item m="1" x="49"/>
        <item m="1" x="50"/>
        <item m="1" x="51"/>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name="Totals" compact="0" outline="0" subtotalTop="0" showAll="0" sumSubtotal="1" avgSubtotal="1"/>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1"/>
  </rowFields>
  <rowItems count="1">
    <i>
      <x v="6"/>
    </i>
  </rowItems>
  <colItems count="1">
    <i/>
  </colItems>
  <pageFields count="2">
    <pageField fld="1" hier="-1"/>
    <pageField fld="54" hier="-1"/>
  </pageFields>
  <dataFields count="1">
    <dataField name="AM Delay Start Mins" fld="54" baseField="0" baseItem="0"/>
  </dataFields>
  <chartFormats count="1">
    <chartFormat chart="14" format="3"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00000000-0007-0000-0300-000003000000}" name="pvt_Tier2_OTSL" cacheId="1" dataOnRows="1"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chartFormat="17">
  <location ref="X5:Y6" firstHeaderRow="1" firstDataRow="1" firstDataCol="1" rowPageCount="1" colPageCount="1"/>
  <pivotFields count="110">
    <pivotField compact="0" outline="0" subtotalTop="0" showAll="0" defaultSubtotal="0"/>
    <pivotField axis="axisPage" compact="0" outline="0" subtotalTop="0" multipleItemSelectionAllowed="1" showAll="0" defaultSubtotal="0">
      <items count="11">
        <item m="1" x="7"/>
        <item m="1" x="1"/>
        <item m="1" x="2"/>
        <item m="1" x="3"/>
        <item m="1" x="4"/>
        <item m="1" x="5"/>
        <item m="1" x="6"/>
        <item m="1" x="9"/>
        <item m="1" x="8"/>
        <item m="1" x="10"/>
        <item x="0"/>
      </items>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compact="0" numFmtId="14" outline="0" subtotalTop="0" showAll="0" sortType="descending" defaultSubtotal="0"/>
    <pivotField axis="axisRow" compact="0" outline="0" subtotalTop="0" showAll="0" defaultSubtotal="0">
      <items count="7">
        <item m="1" x="5"/>
        <item m="1" x="1"/>
        <item m="1" x="2"/>
        <item m="1" x="3"/>
        <item m="1" x="4"/>
        <item m="1" x="6"/>
        <item x="0"/>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multipleItemSelectionAllowed="1"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name="Totals" compact="0" outline="0" subtotalTop="0" showAll="0" sumSubtotal="1" avgSubtotal="1"/>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s>
  <rowFields count="1">
    <field x="11"/>
  </rowFields>
  <rowItems count="1">
    <i>
      <x v="6"/>
    </i>
  </rowItems>
  <colItems count="1">
    <i/>
  </colItems>
  <pageFields count="1">
    <pageField fld="1" hier="-1"/>
  </pageFields>
  <dataFields count="1">
    <dataField name="% Days OnTime Start" fld="109" baseField="0" baseItem="0" numFmtId="1"/>
  </dataFields>
  <formats count="1">
    <format dxfId="221">
      <pivotArea outline="0" collapsedLevelsAreSubtotals="1"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00000000-0007-0000-0300-000000000000}" name="pvt_Tier2_EFO" cacheId="1" dataOnRows="1"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chartFormat="25">
  <location ref="AC3:AE5" firstHeaderRow="1" firstDataRow="1" firstDataCol="2"/>
  <pivotFields count="110">
    <pivotField compact="0" outline="0" subtotalTop="0" showAll="0" defaultSubtotal="0"/>
    <pivotField compact="0" outline="0" subtotalTop="0" multipleItemSelectionAllowed="1" showAll="0" defaultSubtotal="0">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compact="0" numFmtId="14" outline="0" subtotalTop="0" showAll="0" sortType="descending" defaultSubtotal="0"/>
    <pivotField axis="axisRow" compact="0" outline="0" subtotalTop="0" showAll="0" sortType="ascending" defaultSubtotal="0">
      <items count="7">
        <item m="1" x="1"/>
        <item m="1" x="2"/>
        <item m="1" x="3"/>
        <item m="1" x="4"/>
        <item m="1" x="5"/>
        <item x="0"/>
        <item m="1" x="6"/>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multipleItemSelectionAllowed="1"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name="Totals" compact="0" outline="0" subtotalTop="0" showAll="0" sumSubtotal="1" avgSubtotal="1"/>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 compact="0" outline="0" subtotalTop="0" dragToRow="0" dragToCol="0" dragToPage="0" showAll="0" defaultSubtotal="0"/>
  </pivotFields>
  <rowFields count="2">
    <field x="11"/>
    <field x="-2"/>
  </rowFields>
  <rowItems count="2">
    <i>
      <x v="5"/>
      <x/>
    </i>
    <i r="1" i="1">
      <x v="1"/>
    </i>
  </rowItems>
  <colItems count="1">
    <i/>
  </colItems>
  <dataFields count="2">
    <dataField name="  " fld="108" baseField="11" baseItem="0" numFmtId="1"/>
    <dataField name=" " fld="67" baseField="11" baseItem="0"/>
  </dataFields>
  <formats count="1">
    <format dxfId="222">
      <pivotArea outline="0" collapsedLevelsAreSubtotals="1" fieldPosition="0"/>
    </format>
  </formats>
  <chartFormats count="2">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00000000-0007-0000-0300-000005000000}" name="pvt_Tier2_UTRC" cacheId="1" applyNumberFormats="0" applyBorderFormats="0" applyFontFormats="0" applyPatternFormats="0" applyAlignmentFormats="0" applyWidthHeightFormats="1" dataCaption="Values" updatedVersion="8" minRefreshableVersion="3" enableDrill="0" useAutoFormatting="1" colGrandTotals="0" itemPrintTitles="1" createdVersion="6" indent="0" compact="0" compactData="0" multipleFieldFilters="0" chartFormat="18">
  <location ref="B3:F5" firstHeaderRow="0" firstDataRow="1" firstDataCol="1" rowPageCount="1" colPageCount="1"/>
  <pivotFields count="110">
    <pivotField compact="0" outline="0" subtotalTop="0" showAll="0" defaultSubtotal="0"/>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axis="axisRow" compact="0" numFmtId="14" outline="0" subtotalTop="0" showAll="0" sortType="ascending" defaultSubtotal="0">
      <items count="30">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s>
    </pivotField>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axis="axisPage" compact="0" numFmtId="1" outline="0" subtotalTop="0" showAll="0" defaultSubtotal="0">
      <items count="3">
        <item m="1" x="2"/>
        <item m="1" x="1"/>
        <item x="0"/>
      </items>
    </pivotField>
    <pivotField dataField="1" compact="0"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2">
    <i>
      <x/>
    </i>
    <i t="grand">
      <x/>
    </i>
  </rowItems>
  <colFields count="1">
    <field x="-2"/>
  </colFields>
  <colItems count="4">
    <i>
      <x/>
    </i>
    <i i="1">
      <x v="1"/>
    </i>
    <i i="2">
      <x v="2"/>
    </i>
    <i i="3">
      <x v="3"/>
    </i>
  </colItems>
  <pageFields count="1">
    <pageField fld="36" hier="-1"/>
  </pageFields>
  <dataFields count="4">
    <dataField name="No. of In Core Cases" fld="37" baseField="0" baseItem="0"/>
    <dataField name="No. of Non Core Cases with In Core Time" fld="41" baseField="0" baseItem="0"/>
    <dataField name="% Theatre Utilisation" fld="104" baseField="0" baseItem="0" numFmtId="9"/>
    <dataField name="No. of Cancelled Cases" fld="39" baseField="0" baseItem="0"/>
  </dataFields>
  <formats count="1">
    <format dxfId="223">
      <pivotArea outline="0" fieldPosition="0">
        <references count="1">
          <reference field="4294967294" count="1" selected="0">
            <x v="2"/>
          </reference>
        </references>
      </pivotArea>
    </format>
  </formats>
  <chartFormats count="4">
    <chartFormat chart="9" format="52" series="1">
      <pivotArea type="data" outline="0" fieldPosition="0">
        <references count="1">
          <reference field="4294967294" count="1" selected="0">
            <x v="2"/>
          </reference>
        </references>
      </pivotArea>
    </chartFormat>
    <chartFormat chart="9" format="53"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2"/>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rowHeaderCaption="Grade">
  <location ref="K7:L9" firstHeaderRow="1" firstDataRow="1" firstDataCol="1"/>
  <pivotFields count="110">
    <pivotField dataField="1" showAll="0"/>
    <pivotField showAll="0"/>
    <pivotField showAll="0"/>
    <pivotField showAll="0"/>
    <pivotField axis="axisRow" showAll="0">
      <items count="3">
        <item m="1" x="1"/>
        <item x="0"/>
        <item t="default"/>
      </items>
    </pivotField>
    <pivotField showAll="0"/>
    <pivotField showAll="0"/>
    <pivotField showAll="0"/>
    <pivotField showAll="0"/>
    <pivotField showAll="0"/>
    <pivotField numFmtId="14" showAll="0"/>
    <pivotField showAll="0"/>
    <pivotField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4"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 numFmtId="2" showAll="0"/>
    <pivotField showAll="0"/>
    <pivotField showAll="0"/>
    <pivotField numFmtId="1" showAll="0"/>
    <pivotField numFmtId="1" showAll="0"/>
    <pivotField numFmtId="1" showAll="0"/>
    <pivotField numFmtId="1" showAll="0"/>
    <pivotField numFmtId="1" showAll="0"/>
    <pivotField numFmtId="1" showAll="0"/>
    <pivotField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numFmtId="1" showAll="0"/>
    <pivotField numFmtId="1" showAll="0"/>
    <pivotField numFmtI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1"/>
    </i>
    <i t="grand">
      <x/>
    </i>
  </rowItems>
  <colItems count="1">
    <i/>
  </colItems>
  <dataFields count="1">
    <dataField name="No of Cases" fld="0" subtotal="count" baseField="0" baseItem="0"/>
  </dataFields>
  <formats count="3">
    <format dxfId="217">
      <pivotArea outline="0" collapsedLevelsAreSubtotals="1" fieldPosition="0"/>
    </format>
    <format dxfId="216">
      <pivotArea dataOnly="0" labelOnly="1" fieldPosition="0">
        <references count="1">
          <reference field="4" count="0"/>
        </references>
      </pivotArea>
    </format>
    <format dxfId="215">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purl.oclc.org/ooxml/spreadsheetml/main" xmlns:mc="http://schemas.openxmlformats.org/markup-compatibility/2006" xmlns:xr="http://schemas.microsoft.com/office/spreadsheetml/2014/revision" mc:Ignorable="xr" xr:uid="{00000000-0007-0000-0500-000001000000}" name="pvt_Tier3_Line"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20">
  <location ref="E7:G8" firstHeaderRow="1" firstDataRow="1" firstDataCol="2" rowPageCount="3" colPageCount="1"/>
  <pivotFields count="110">
    <pivotField compact="0" outline="0" showAll="0" defaultSubtotal="0"/>
    <pivotField axis="axisPage" compact="0" outline="0" multipleItemSelectionAllowed="1" showAll="0" defaultSubtotal="0">
      <items count="11">
        <item m="1" x="7"/>
        <item m="1" x="1"/>
        <item m="1" x="2"/>
        <item m="1" x="3"/>
        <item m="1" x="4"/>
        <item m="1" x="5"/>
        <item m="1" x="6"/>
        <item m="1" x="9"/>
        <item m="1" x="8"/>
        <item m="1" x="10"/>
        <item x="0"/>
      </items>
    </pivotField>
    <pivotField compact="0" outline="0" showAll="0" defaultSubtotal="0"/>
    <pivotField axis="axisPage" compact="0" outline="0" multipleItemSelectionAllowed="1" showAll="0" defaultSubtotal="0">
      <items count="2">
        <item m="1" x="1"/>
        <item x="0"/>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name="Date" axis="axisRow" compact="0" numFmtId="14" outline="0" showAll="0" sortType="ascending" defaultSubtotal="0">
      <items count="30">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s>
    </pivotField>
    <pivotField axis="axisRow" compact="0" outline="0" showAll="0" defaultSubtotal="0">
      <items count="7">
        <item m="1" x="5"/>
        <item m="1" x="1"/>
        <item m="1" x="2"/>
        <item m="1" x="3"/>
        <item m="1" x="4"/>
        <item m="1" x="6"/>
        <item x="0"/>
      </items>
    </pivotField>
    <pivotField compact="0" outline="0" showAll="0" defaultSubtotal="0"/>
    <pivotField compact="0" numFmtId="1" outline="0" subtotalTop="0" showAll="0" defaultSubtotal="0"/>
    <pivotField compact="0" numFmtId="1" outline="0" showAll="0" defaultSubtotal="0"/>
    <pivotField compact="0" numFmtId="1" outline="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4" outline="0" showAll="0" defaultSubtotal="0"/>
    <pivotField compact="0" outline="0" subtotalTop="0" showAll="0" defaultSubtotal="0"/>
    <pivotField compact="0" numFmtId="1" outline="0" showAll="0" defaultSubtotal="0"/>
    <pivotField compact="0" numFmtId="1"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axis="axisPage" compact="0" numFmtId="1" outline="0" subtotalTop="0" showAll="0" defaultSubtotal="0">
      <items count="3">
        <item m="1" x="2"/>
        <item m="1" x="1"/>
        <item x="0"/>
      </items>
    </pivotField>
    <pivotField compact="0"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howAll="0" defaultSubtotal="0"/>
    <pivotField compact="0"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outline="0" subtotalTop="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ubtotalTop="0" showAll="0" defaultSubtotal="0"/>
    <pivotField compact="0" numFmtId="1" outline="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ubtotalTop="0" showAll="0" defaultSubtotal="0"/>
    <pivotField compact="0" numFmtId="1" outline="0" showAll="0" defaultSubtotal="0"/>
    <pivotField compact="0" numFmtId="1" outline="0" subtotalTop="0" showAll="0" defaultSubtotal="0"/>
    <pivotField compact="0" numFmtId="1"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howAll="0" defaultSubtotal="0"/>
    <pivotField compact="0" numFmtId="2" outline="0" subtotalTop="0" showAll="0" defaultSubtotal="0"/>
    <pivotField compact="0" outline="0" subtotalTop="0" showAll="0" defaultSubtotal="0"/>
    <pivotField compact="0"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howAll="0" defaultSubtotal="0"/>
    <pivotField compact="0" numFmtId="1" outline="0" subtotalTop="0" showAll="0" defaultSubtotal="0"/>
    <pivotField compact="0" numFmtId="1" outline="0" subtotalTop="0" showAll="0" defaultSubtotal="0"/>
    <pivotField compact="0"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howAll="0" defaultSubtotal="0"/>
    <pivotField compact="0" numFmtId="1" outline="0" showAll="0" defaultSubtotal="0"/>
    <pivotField compact="0" numFmtId="1" outline="0" showAll="0" defaultSubtotal="0"/>
    <pivotField compact="0" outline="0" showAll="0" defaultSubtotal="0"/>
    <pivotField compact="0" outline="0" showAll="0" defaultSubtotal="0"/>
    <pivotField compact="0" outline="0" subtotalTop="0" showAll="0" defaultSubtota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1"/>
    <field x="10"/>
  </rowFields>
  <rowItems count="1">
    <i>
      <x v="6"/>
      <x/>
    </i>
  </rowItems>
  <colItems count="1">
    <i/>
  </colItems>
  <pageFields count="3">
    <pageField fld="1" hier="-1"/>
    <pageField fld="3" hier="-1"/>
    <pageField fld="36" hier="-1"/>
  </pageFields>
  <dataFields count="1">
    <dataField name="Current % Utilised of Scheduled (Staffed)" fld="104" baseField="0" baseItem="0" numFmtId="9"/>
  </dataFields>
  <formats count="3">
    <format dxfId="220">
      <pivotArea outline="0" collapsedLevelsAreSubtotals="1" fieldPosition="0"/>
    </format>
    <format dxfId="219">
      <pivotArea outline="0" collapsedLevelsAreSubtotals="1" fieldPosition="0"/>
    </format>
    <format dxfId="218">
      <pivotArea dataOnly="0" labelOnly="1" outline="0" fieldPosition="0">
        <references count="1">
          <reference field="11"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purl.oclc.org/ooxml/spreadsheetml/main" xmlns:mc="http://schemas.openxmlformats.org/markup-compatibility/2006" xmlns:xr="http://schemas.microsoft.com/office/spreadsheetml/2014/revision" mc:Ignorable="xr" xr:uid="{00000000-0007-0000-0700-000000000000}" name="pvt_C_NCActivity"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23">
  <location ref="BA6:BB8" firstHeaderRow="1" firstDataRow="2" firstDataCol="1" rowPageCount="4" colPageCount="1"/>
  <pivotFields count="110">
    <pivotField dataField="1" compact="0" outline="0" showAll="0" defaultSubtotal="0"/>
    <pivotField axis="axisPage" compact="0" outline="0" multipleItemSelectionAllowed="1" showAll="0" defaultSubtotal="0">
      <items count="11">
        <item m="1" x="7"/>
        <item m="1" x="1"/>
        <item m="1" x="2"/>
        <item m="1" x="3"/>
        <item m="1" x="4"/>
        <item m="1" x="5"/>
        <item m="1" x="6"/>
        <item m="1" x="9"/>
        <item m="1" x="8"/>
        <item m="1" x="10"/>
        <item x="0"/>
      </items>
    </pivotField>
    <pivotField compact="0" outline="0" showAll="0" defaultSubtotal="0"/>
    <pivotField axis="axisCol" compact="0" outline="0" showAll="0" sortType="ascending" defaultSubtotal="0">
      <items count="2">
        <item m="1" x="1"/>
        <item x="0"/>
      </items>
    </pivotField>
    <pivotField compact="0" outline="0" subtotalTop="0" showAll="0" defaultSubtotal="0"/>
    <pivotField axis="axisPage" compact="0" outline="0" multipleItemSelectionAllowed="1" showAll="0" defaultSubtotal="0">
      <items count="11">
        <item m="1" x="9"/>
        <item m="1" x="1"/>
        <item m="1" x="2"/>
        <item m="1" x="3"/>
        <item m="1" x="4"/>
        <item m="1" x="5"/>
        <item m="1" x="6"/>
        <item m="1" x="7"/>
        <item m="1" x="8"/>
        <item m="1" x="10"/>
        <item x="0"/>
      </items>
    </pivotField>
    <pivotField compact="0" outline="0" showAll="0" defaultSubtotal="0"/>
    <pivotField compact="0" outline="0" showAll="0" defaultSubtotal="0"/>
    <pivotField compact="0" outline="0" showAll="0" defaultSubtotal="0"/>
    <pivotField compact="0" outline="0" showAll="0" defaultSubtotal="0"/>
    <pivotField name="Date" compact="0" numFmtId="14" outline="0" showAll="0" defaultSubtotal="0">
      <items count="30">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s>
    </pivotField>
    <pivotField axis="axisPage" compact="0" outline="0" showAll="0" defaultSubtotal="0">
      <items count="7">
        <item m="1" x="5"/>
        <item m="1" x="1"/>
        <item m="1" x="2"/>
        <item m="1" x="3"/>
        <item m="1" x="4"/>
        <item m="1" x="6"/>
        <item x="0"/>
      </items>
    </pivotField>
    <pivotField compact="0" outline="0" showAll="0" defaultSubtotal="0"/>
    <pivotField compact="0" numFmtId="1" outline="0" subtotalTop="0" showAll="0" defaultSubtotal="0"/>
    <pivotField compact="0" numFmtId="1" outline="0" showAll="0" defaultSubtotal="0"/>
    <pivotField compact="0" numFmtId="1" outline="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4" outline="0" showAll="0" defaultSubtotal="0"/>
    <pivotField compact="0" outline="0" subtotalTop="0" showAll="0" defaultSubtotal="0"/>
    <pivotField compact="0" numFmtId="1" outline="0" showAll="0" defaultSubtotal="0"/>
    <pivotField compact="0" numFmtId="1"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ubtotalTop="0" showAll="0" defaultSubtotal="0"/>
    <pivotField compact="0" outline="0" showAll="0" defaultSubtotal="0"/>
    <pivotField compact="0" numFmtId="1" outline="0" subtotalTop="0" showAll="0" defaultSubtotal="0"/>
    <pivotField axis="axisPage" compact="0" numFmtId="1" outline="0" subtotalTop="0" showAll="0" defaultSubtotal="0">
      <items count="3">
        <item m="1" x="1"/>
        <item m="1" x="2"/>
        <item x="0"/>
      </items>
    </pivotField>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howAll="0" defaultSubtotal="0"/>
    <pivotField compact="0"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outline="0" subtotalTop="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ubtotalTop="0" showAll="0" defaultSubtotal="0"/>
    <pivotField compact="0" numFmtId="1" outline="0" showAll="0" defaultSubtotal="0"/>
    <pivotField compact="0" numFmtId="1" outline="0" subtotalTop="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howAll="0" defaultSubtotal="0"/>
    <pivotField compact="0" numFmtId="1" outline="0" subtotalTop="0" showAll="0" defaultSubtotal="0"/>
    <pivotField compact="0" numFmtId="1" outline="0" showAll="0" defaultSubtotal="0"/>
    <pivotField compact="0" numFmtId="1" outline="0" subtotalTop="0" showAll="0" defaultSubtotal="0"/>
    <pivotField compact="0" numFmtId="1"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howAll="0" defaultSubtotal="0"/>
    <pivotField compact="0" numFmtId="2" outline="0" subtotalTop="0" showAll="0" defaultSubtotal="0"/>
    <pivotField compact="0" outline="0" subtotalTop="0" showAll="0" defaultSubtotal="0"/>
    <pivotField compact="0"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howAll="0" defaultSubtotal="0"/>
    <pivotField compact="0" numFmtId="1" outline="0" subtotalTop="0" showAll="0" defaultSubtotal="0"/>
    <pivotField compact="0" numFmtId="1" outline="0" subtotalTop="0" showAll="0" defaultSubtotal="0"/>
    <pivotField compact="0" outline="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howAll="0" defaultSubtotal="0"/>
    <pivotField compact="0" numFmtId="1" outline="0" showAll="0" defaultSubtotal="0"/>
    <pivotField compact="0" numFmtId="1" outline="0" showAll="0" defaultSubtotal="0"/>
    <pivotField compact="0" outline="0" showAll="0" defaultSubtotal="0"/>
    <pivotField compact="0" outline="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Fields count="1">
    <field x="3"/>
  </colFields>
  <colItems count="1">
    <i>
      <x v="1"/>
    </i>
  </colItems>
  <pageFields count="4">
    <pageField fld="1" hier="-1"/>
    <pageField fld="5" hier="-1"/>
    <pageField fld="11" hier="-1"/>
    <pageField fld="39" item="2" hier="-1"/>
  </pageFields>
  <dataFields count="1">
    <dataField name="No of cases" fld="0" subtotal="count" baseField="0" baseItem="0"/>
  </dataFields>
  <chartFormats count="2">
    <chartFormat chart="19" format="8"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purl.oclc.org/ooxml/spreadsheetml/main" xmlns:mc="http://schemas.openxmlformats.org/markup-compatibility/2006" xmlns:xr="http://schemas.microsoft.com/office/spreadsheetml/2014/revision" mc:Ignorable="xr" xr:uid="{00000000-0007-0000-0800-000000000000}" name="pvt_byTheatre" cacheId="1" applyNumberFormats="0" applyBorderFormats="0" applyFontFormats="0" applyPatternFormats="0" applyAlignmentFormats="0" applyWidthHeightFormats="1" dataCaption="Values" updatedVersion="8" minRefreshableVersion="3" enableDrill="0" useAutoFormatting="1" colGrandTotals="0" itemPrintTitles="1" createdVersion="6" indent="0" compact="0" compactData="0" multipleFieldFilters="0" chartFormat="10">
  <location ref="A5:F7" firstHeaderRow="0" firstDataRow="1" firstDataCol="2" rowPageCount="2" colPageCount="1"/>
  <pivotFields count="110">
    <pivotField compact="0" outline="0" subtotalTop="0" showAll="0" defaultSubtotal="0"/>
    <pivotField axis="axisPage" compact="0" outline="0" subtotalTop="0" showAll="0" defaultSubtotal="0">
      <items count="11">
        <item m="1" x="7"/>
        <item m="1" x="1"/>
        <item m="1" x="2"/>
        <item m="1" x="3"/>
        <item m="1" x="4"/>
        <item m="1" x="5"/>
        <item m="1" x="6"/>
        <item m="1" x="9"/>
        <item m="1" x="8"/>
        <item m="1" x="10"/>
        <item x="0"/>
      </items>
      <extLst>
        <ext xmlns:x14="http://schemas.microsoft.com/office/spreadsheetml/2009/9/main" uri="{2946ED86-A175-432a-8AC1-64E0C546D7DE}">
          <x14:pivotField fillDownLabels="1"/>
        </ext>
      </extLst>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Date" axis="axisRow" compact="0" numFmtId="14" outline="0" subtotalTop="0" showAll="0" sortType="ascending" defaultSubtotal="0">
      <items count="30">
        <item x="0"/>
        <item m="1" x="25"/>
        <item m="1" x="1"/>
        <item m="1" x="2"/>
        <item m="1" x="3"/>
        <item m="1" x="4"/>
        <item m="1" x="5"/>
        <item m="1" x="29"/>
        <item m="1" x="24"/>
        <item m="1" x="6"/>
        <item m="1" x="7"/>
        <item m="1" x="8"/>
        <item m="1" x="9"/>
        <item m="1" x="10"/>
        <item m="1" x="28"/>
        <item m="1" x="23"/>
        <item m="1" x="11"/>
        <item m="1" x="12"/>
        <item m="1" x="13"/>
        <item m="1" x="14"/>
        <item m="1" x="15"/>
        <item m="1" x="27"/>
        <item m="1" x="22"/>
        <item m="1" x="16"/>
        <item m="1" x="17"/>
        <item m="1" x="18"/>
        <item m="1" x="19"/>
        <item m="1" x="20"/>
        <item m="1" x="26"/>
        <item m="1" x="21"/>
      </items>
    </pivotField>
    <pivotField axis="axisRow" compact="0" outline="0" subtotalTop="0" showAll="0" defaultSubtotal="0">
      <items count="7">
        <item m="1" x="5"/>
        <item m="1" x="1"/>
        <item m="1" x="2"/>
        <item m="1" x="3"/>
        <item m="1" x="4"/>
        <item m="1" x="6"/>
        <item x="0"/>
      </items>
    </pivotField>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4"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axis="axisPage" compact="0" numFmtId="1" outline="0" subtotalTop="0" showAll="0" defaultSubtotal="0">
      <items count="3">
        <item m="1" x="2"/>
        <item m="1" x="1"/>
        <item x="0"/>
      </items>
    </pivotField>
    <pivotField dataField="1" compact="0"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dataField="1"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2" outline="0" subtotalTop="0" showAll="0" defaultSubtotal="0"/>
    <pivotField compact="0" numFmtId="2"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numFmtId="1"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1"/>
    <field x="10"/>
  </rowFields>
  <rowItems count="2">
    <i>
      <x v="6"/>
      <x/>
    </i>
    <i t="grand">
      <x/>
    </i>
  </rowItems>
  <colFields count="1">
    <field x="-2"/>
  </colFields>
  <colItems count="4">
    <i>
      <x/>
    </i>
    <i i="1">
      <x v="1"/>
    </i>
    <i i="2">
      <x v="2"/>
    </i>
    <i i="3">
      <x v="3"/>
    </i>
  </colItems>
  <pageFields count="2">
    <pageField fld="1" item="10" hier="-1"/>
    <pageField fld="36" item="2" hier="-1"/>
  </pageFields>
  <dataFields count="4">
    <dataField name="% Theatre Utilisation" fld="104" baseField="0" baseItem="0" numFmtId="9"/>
    <dataField name="No. of InCore Cases" fld="37" baseField="0" baseItem="0"/>
    <dataField name="No. of Non Core Cases with In Core Time" fld="41" baseField="0" baseItem="0"/>
    <dataField name="No. of Cancelled Cases" fld="39" baseField="0" baseItem="0"/>
  </dataFields>
  <formats count="1">
    <format dxfId="214">
      <pivotArea outline="0" fieldPosition="0">
        <references count="1">
          <reference field="4294967294" count="1" selected="0">
            <x v="0"/>
          </reference>
        </references>
      </pivotArea>
    </format>
  </formats>
  <chartFormats count="4">
    <chartFormat chart="9" format="52" series="1">
      <pivotArea type="data" outline="0" fieldPosition="0">
        <references count="1">
          <reference field="4294967294" count="1" selected="0">
            <x v="0"/>
          </reference>
        </references>
      </pivotArea>
    </chartFormat>
    <chartFormat chart="9" format="53" series="1">
      <pivotArea type="data" outline="0" fieldPosition="0">
        <references count="1">
          <reference field="4294967294" count="1" selected="0">
            <x v="1"/>
          </reference>
        </references>
      </pivotArea>
    </chartFormat>
    <chartFormat chart="9" format="57" series="1">
      <pivotArea type="data" outline="0" fieldPosition="0">
        <references count="1">
          <reference field="4294967294" count="1" selected="0">
            <x v="3"/>
          </reference>
        </references>
      </pivotArea>
    </chartFormat>
    <chartFormat chart="9" format="58"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purl.oclc.org/ooxml/spreadsheetml/main" xmlns:mc="http://schemas.openxmlformats.org/markup-compatibility/2006" xmlns:xr16="http://schemas.microsoft.com/office/spreadsheetml/2017/revision16" mc:Ignorable="xr16" name="ExternalData_1" refreshOnLoad="1" connectionId="1" xr16:uid="{00000000-0016-0000-0900-000000000000}" autoFormatId="16" applyNumberFormats="0" applyBorderFormats="0" applyFontFormats="0" applyPatternFormats="0" applyAlignmentFormats="0" applyWidthHeightFormats="0">
  <queryTableRefresh nextId="177" unboundColumnsRight="103">
    <queryTableFields count="104">
      <queryTableField id="23" name="Counter" tableColumnId="23"/>
      <queryTableField id="24" dataBound="0" tableColumnId="24"/>
      <queryTableField id="25" dataBound="0" tableColumnId="25"/>
      <queryTableField id="32" dataBound="0" tableColumnId="26"/>
      <queryTableField id="124" dataBound="0" tableColumnId="84"/>
      <queryTableField id="31" dataBound="0" tableColumnId="27"/>
      <queryTableField id="30" dataBound="0" tableColumnId="28"/>
      <queryTableField id="29" dataBound="0" tableColumnId="29"/>
      <queryTableField id="28" dataBound="0" tableColumnId="30"/>
      <queryTableField id="27" dataBound="0" tableColumnId="31"/>
      <queryTableField id="26" dataBound="0" tableColumnId="32"/>
      <queryTableField id="48" dataBound="0" tableColumnId="6"/>
      <queryTableField id="66" dataBound="0" tableColumnId="5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 id="17" dataBound="0" tableColumnId="17"/>
      <queryTableField id="18" dataBound="0" tableColumnId="18"/>
      <queryTableField id="20" dataBound="0" tableColumnId="20"/>
      <queryTableField id="21" dataBound="0" tableColumnId="21"/>
      <queryTableField id="22" dataBound="0" tableColumnId="22"/>
      <queryTableField id="102" dataBound="0" tableColumnId="74"/>
      <queryTableField id="50" dataBound="0" tableColumnId="7"/>
      <queryTableField id="49" dataBound="0" tableColumnId="8"/>
      <queryTableField id="107" dataBound="0" tableColumnId="72"/>
      <queryTableField id="45" dataBound="0" tableColumnId="2"/>
      <queryTableField id="44" dataBound="0" tableColumnId="3"/>
      <queryTableField id="33" dataBound="0" tableColumnId="33"/>
      <queryTableField id="34" dataBound="0" tableColumnId="34"/>
      <queryTableField id="35" dataBound="0" tableColumnId="35"/>
      <queryTableField id="36" dataBound="0" tableColumnId="36"/>
      <queryTableField id="59" dataBound="0" tableColumnId="1"/>
      <queryTableField id="60" dataBound="0" tableColumnId="45"/>
      <queryTableField id="172" dataBound="0" tableColumnId="101"/>
      <queryTableField id="76" dataBound="0" tableColumnId="56"/>
      <queryTableField id="164" dataBound="0" tableColumnId="98"/>
      <queryTableField id="167" dataBound="0" tableColumnId="102"/>
      <queryTableField id="122" dataBound="0" tableColumnId="83"/>
      <queryTableField id="169" dataBound="0" tableColumnId="104"/>
      <queryTableField id="144" dataBound="0" tableColumnId="92"/>
      <queryTableField id="117" dataBound="0" tableColumnId="80"/>
      <queryTableField id="118" dataBound="0" tableColumnId="81"/>
      <queryTableField id="91" dataBound="0" tableColumnId="66"/>
      <queryTableField id="92" dataBound="0" tableColumnId="67"/>
      <queryTableField id="93" dataBound="0" tableColumnId="68"/>
      <queryTableField id="56" dataBound="0" tableColumnId="42"/>
      <queryTableField id="38" dataBound="0" tableColumnId="38"/>
      <queryTableField id="57" dataBound="0" tableColumnId="43"/>
      <queryTableField id="58" dataBound="0" tableColumnId="44"/>
      <queryTableField id="39" dataBound="0" tableColumnId="39"/>
      <queryTableField id="47" dataBound="0" tableColumnId="5"/>
      <queryTableField id="84" dataBound="0" tableColumnId="62"/>
      <queryTableField id="125" dataBound="0" tableColumnId="85"/>
      <queryTableField id="126" dataBound="0" tableColumnId="70"/>
      <queryTableField id="51" dataBound="0" tableColumnId="9"/>
      <queryTableField id="52" dataBound="0" tableColumnId="4"/>
      <queryTableField id="77" dataBound="0" tableColumnId="57"/>
      <queryTableField id="55" dataBound="0" tableColumnId="41"/>
      <queryTableField id="114" dataBound="0" tableColumnId="77"/>
      <queryTableField id="90" dataBound="0" tableColumnId="65"/>
      <queryTableField id="116" dataBound="0" tableColumnId="79"/>
      <queryTableField id="53" dataBound="0" tableColumnId="10"/>
      <queryTableField id="78" dataBound="0" tableColumnId="58"/>
      <queryTableField id="54" dataBound="0" tableColumnId="40"/>
      <queryTableField id="79" dataBound="0" tableColumnId="53"/>
      <queryTableField id="37" dataBound="0" tableColumnId="37"/>
      <queryTableField id="88" dataBound="0" tableColumnId="64"/>
      <queryTableField id="97" dataBound="0" tableColumnId="69"/>
      <queryTableField id="67" dataBound="0" tableColumnId="51"/>
      <queryTableField id="161" dataBound="0" tableColumnId="99"/>
      <queryTableField id="80" dataBound="0" tableColumnId="59"/>
      <queryTableField id="68" dataBound="0" tableColumnId="52"/>
      <queryTableField id="139" dataBound="0" tableColumnId="86"/>
      <queryTableField id="138" dataBound="0" tableColumnId="87"/>
      <queryTableField id="73" dataBound="0" tableColumnId="54"/>
      <queryTableField id="72" dataBound="0" tableColumnId="55"/>
      <queryTableField id="82" dataBound="0" tableColumnId="60"/>
      <queryTableField id="140" dataBound="0" tableColumnId="88"/>
      <queryTableField id="152" dataBound="0" tableColumnId="89"/>
      <queryTableField id="151" dataBound="0" tableColumnId="94"/>
      <queryTableField id="175" dataBound="0" tableColumnId="105"/>
      <queryTableField id="176" dataBound="0" tableColumnId="106"/>
      <queryTableField id="154" dataBound="0" tableColumnId="90"/>
      <queryTableField id="153" dataBound="0" tableColumnId="91"/>
      <queryTableField id="83" dataBound="0" tableColumnId="61"/>
      <queryTableField id="99" dataBound="0" tableColumnId="71"/>
      <queryTableField id="101" dataBound="0" tableColumnId="73"/>
      <queryTableField id="87" dataBound="0" tableColumnId="63"/>
      <queryTableField id="159" dataBound="0" tableColumnId="97"/>
      <queryTableField id="109" dataBound="0" tableColumnId="75"/>
      <queryTableField id="158" dataBound="0" tableColumnId="96"/>
      <queryTableField id="115" dataBound="0" tableColumnId="78"/>
      <queryTableField id="110" dataBound="0" tableColumnId="76"/>
      <queryTableField id="157" dataBound="0" tableColumnId="95"/>
      <queryTableField id="162" dataBound="0" tableColumnId="93"/>
      <queryTableField id="19" dataBound="0" tableColumnId="19"/>
      <queryTableField id="61" dataBound="0" tableColumnId="46"/>
      <queryTableField id="62" dataBound="0" tableColumnId="47"/>
      <queryTableField id="63" dataBound="0" tableColumnId="48"/>
      <queryTableField id="64" dataBound="0" tableColumnId="49"/>
      <queryTableField id="120" dataBound="0" tableColumnId="82"/>
    </queryTableFields>
  </queryTableRefresh>
</queryTable>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Theatre" xr10:uid="{00000000-0013-0000-FFFF-FFFF01000000}" sourceName="Theatre">
  <pivotTables>
    <pivotTable tabId="24" name="pvt_C_NCActivity"/>
  </pivotTables>
  <data>
    <tabular pivotCacheId="1208963433">
      <items count="11">
        <i x="0" s="1"/>
        <i x="7" s="1" nd="1"/>
        <i x="1" s="1" nd="1"/>
        <i x="2" s="1" nd="1"/>
        <i x="9" s="1" nd="1"/>
        <i x="3" s="1" nd="1"/>
        <i x="10" s="1" nd="1"/>
        <i x="5" s="1" nd="1"/>
        <i x="8" s="1" nd="1"/>
        <i x="4" s="1" nd="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rgery_Start_Date1" xr10:uid="{00000000-0013-0000-FFFF-FFFF02000000}" sourceName="Surgery Start Date">
  <pivotTables>
    <pivotTable tabId="24" name="pvt_C_NCActivity"/>
  </pivotTables>
  <data>
    <tabular pivotCacheId="1208963433">
      <items count="30">
        <i x="0" s="1"/>
        <i x="25" s="1" nd="1"/>
        <i x="1" s="1" nd="1"/>
        <i x="2" s="1" nd="1"/>
        <i x="3" s="1" nd="1"/>
        <i x="4" s="1" nd="1"/>
        <i x="5" s="1" nd="1"/>
        <i x="29" s="1" nd="1"/>
        <i x="24" s="1" nd="1"/>
        <i x="6" s="1" nd="1"/>
        <i x="7" s="1" nd="1"/>
        <i x="8" s="1" nd="1"/>
        <i x="9" s="1" nd="1"/>
        <i x="10" s="1" nd="1"/>
        <i x="28" s="1" nd="1"/>
        <i x="23" s="1" nd="1"/>
        <i x="11" s="1" nd="1"/>
        <i x="12" s="1" nd="1"/>
        <i x="13" s="1" nd="1"/>
        <i x="14" s="1" nd="1"/>
        <i x="15" s="1" nd="1"/>
        <i x="27" s="1" nd="1"/>
        <i x="22" s="1" nd="1"/>
        <i x="16" s="1" nd="1"/>
        <i x="17" s="1" nd="1"/>
        <i x="18" s="1" nd="1"/>
        <i x="19" s="1" nd="1"/>
        <i x="20" s="1" nd="1"/>
        <i x="26" s="1" nd="1"/>
        <i x="2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pecialty1" xr10:uid="{00000000-0013-0000-FFFF-FFFF04000000}" sourceName="Specialty">
  <pivotTables>
    <pivotTable tabId="24" name="pvt_C_NCActivity"/>
  </pivotTables>
  <data>
    <tabular pivotCacheId="1208963433">
      <items count="11">
        <i x="0" s="1"/>
        <i x="9" s="1" nd="1"/>
        <i x="7" s="1" nd="1"/>
        <i x="8" s="1" nd="1"/>
        <i x="6" s="1" nd="1"/>
        <i x="10" s="1" nd="1"/>
        <i x="2" s="1" nd="1"/>
        <i x="3" s="1" nd="1"/>
        <i x="1"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Theatre 2" xr10:uid="{00000000-0014-0000-FFFF-FFFF02000000}" cache="Slicer_Theatre" caption="Theatre" lockedPosition="1" rowHeight="234950"/>
  <slicer name="Date" xr10:uid="{00000000-0014-0000-FFFF-FFFF03000000}" cache="Slicer_Surgery_Start_Date1" caption="Date" lockedPosition="1" rowHeight="234950"/>
  <slicer name="Specialty" xr10:uid="{00000000-0014-0000-FFFF-FFFF04000000}" cache="Slicer_Specialty1" caption="Specialty" lockedPosition="1" rowHeight="234950"/>
</slicers>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2" xr:uid="{00000000-000C-0000-FFFF-FFFF00000000}" name="tbl_Case_mins" displayName="tbl_Case_mins" ref="A1:CZ444" tableType="queryTable" totalsRowCount="1">
  <autoFilter ref="A1:CZ443" xr:uid="{00000000-0009-0000-0100-00000C000000}"/>
  <tableColumns count="104">
    <tableColumn id="23" xr3:uid="{00000000-0010-0000-0000-000017000000}" uniqueName="23" name="Counter" totalsRowFunction="count" queryTableFieldId="23" dataDxfId="213"/>
    <tableColumn id="24" xr3:uid="{00000000-0010-0000-0000-000018000000}" uniqueName="24" name="Theatre" queryTableFieldId="24" dataDxfId="212">
      <calculatedColumnFormula>#REF!</calculatedColumnFormula>
    </tableColumn>
    <tableColumn id="25" xr3:uid="{00000000-0010-0000-0000-000019000000}" uniqueName="25" name="Surgeon" queryTableFieldId="25" dataDxfId="211">
      <calculatedColumnFormula>#REF!</calculatedColumnFormula>
    </tableColumn>
    <tableColumn id="26" xr3:uid="{00000000-0010-0000-0000-00001A000000}" uniqueName="26" name="Case Type" queryTableFieldId="32" dataDxfId="210">
      <calculatedColumnFormula>#REF!</calculatedColumnFormula>
    </tableColumn>
    <tableColumn id="84" xr3:uid="{00000000-0010-0000-0000-000054000000}" uniqueName="84" name="Surgery Grade" queryTableFieldId="124" dataDxfId="209">
      <calculatedColumnFormula>#REF!</calculatedColumnFormula>
    </tableColumn>
    <tableColumn id="27" xr3:uid="{00000000-0010-0000-0000-00001B000000}" uniqueName="27" name="Specialty" queryTableFieldId="31" dataDxfId="208">
      <calculatedColumnFormula>#REF!</calculatedColumnFormula>
    </tableColumn>
    <tableColumn id="28" xr3:uid="{00000000-0010-0000-0000-00001C000000}" uniqueName="28" name="Bed Status" queryTableFieldId="30" dataDxfId="207">
      <calculatedColumnFormula>#REF!</calculatedColumnFormula>
    </tableColumn>
    <tableColumn id="29" xr3:uid="{00000000-0010-0000-0000-00001D000000}" uniqueName="29" name="POA" queryTableFieldId="29" dataDxfId="206">
      <calculatedColumnFormula>#REF!</calculatedColumnFormula>
    </tableColumn>
    <tableColumn id="30" xr3:uid="{00000000-0010-0000-0000-00001E000000}" uniqueName="30" name="Surgery Status" queryTableFieldId="28" dataDxfId="205">
      <calculatedColumnFormula>IF(#REF!="Case Cancelled",1,IF(#REF!="No Cases",2,0))</calculatedColumnFormula>
    </tableColumn>
    <tableColumn id="31" xr3:uid="{00000000-0010-0000-0000-00001F000000}" uniqueName="31" name="Status Desc" queryTableFieldId="27" dataDxfId="204">
      <calculatedColumnFormula>#REF!</calculatedColumnFormula>
    </tableColumn>
    <tableColumn id="32" xr3:uid="{00000000-0010-0000-0000-000020000000}" uniqueName="32" name="Surgery Start Date" queryTableFieldId="26" dataDxfId="203">
      <calculatedColumnFormula>#REF!</calculatedColumnFormula>
    </tableColumn>
    <tableColumn id="6" xr3:uid="{00000000-0010-0000-0000-000006000000}" uniqueName="6" name="Week No" queryTableFieldId="48" dataDxfId="202">
      <calculatedColumnFormula>"Wk "&amp;WEEKNUM(tbl_Case_mins[[#This Row],[Surgery Start Date]],21)</calculatedColumnFormula>
    </tableColumn>
    <tableColumn id="50" xr3:uid="{00000000-0010-0000-0000-000032000000}" uniqueName="50" name="Day" queryTableFieldId="66" dataDxfId="201">
      <calculatedColumnFormula>TEXT(tbl_Case_mins[[#This Row],[Surgery Start Date]],"ddd")</calculatedColumnFormula>
    </tableColumn>
    <tableColumn id="11" xr3:uid="{00000000-0010-0000-0000-00000B000000}" uniqueName="11" name="Patient Called" queryTableFieldId="11" dataDxfId="200">
      <calculatedColumnFormula>(#REF!-TIME(0,0,0))*1440</calculatedColumnFormula>
    </tableColumn>
    <tableColumn id="12" xr3:uid="{00000000-0010-0000-0000-00000C000000}" uniqueName="12" name="Arrival" queryTableFieldId="12" dataDxfId="199">
      <calculatedColumnFormula>IF(AND(ROUND((#REF!-TIME(0,0,0))*1440,0)&gt;0,ROUND((#REF!-TIME(0,0,0))*1440,0)&lt;tbl_Case_mins[[#This Row],[Patient Called]],tbl_Case_mins[[#This Row],[Surgery End Date]]&gt;tbl_Case_mins[[#This Row],[Surgery Start Date]]),ROUND((#REF!-TIME(0,0,0))*1440,0)+1440,ROUND((#REF!-TIME(0,0,0))*1440,0))</calculatedColumnFormula>
    </tableColumn>
    <tableColumn id="13" xr3:uid="{00000000-0010-0000-0000-00000D000000}" uniqueName="13" name="Into Th or AR" queryTableFieldId="13" dataDxfId="198">
      <calculatedColumnFormula>IF(AND(ROUND((#REF!-TIME(0,0,0))*1440,0)&gt;0,ROUND((#REF!-TIME(0,0,0))*1440,0)&lt;tbl_Case_mins[[#This Row],[Arrival]],tbl_Case_mins[[#This Row],[Surgery End Date]]&gt;tbl_Case_mins[[#This Row],[Surgery Start Date]]),ROUND((#REF!-TIME(0,0,0))*1440,0)+1440,ROUND((#REF!-TIME(0,0,0))*1440,0))</calculatedColumnFormula>
    </tableColumn>
    <tableColumn id="14" xr3:uid="{00000000-0010-0000-0000-00000E000000}" uniqueName="14" name="AnaesthStart" queryTableFieldId="14" dataDxfId="197">
      <calculatedColumnFormula>IF(AND(ROUND((#REF!-TIME(0,0,0))*1440,0)&gt;0,ROUND((#REF!-TIME(0,0,0))*1440,0)&lt;tbl_Case_mins[[#This Row],[Into Th or AR]],tbl_Case_mins[[#This Row],[Surgery End Date]]&gt;tbl_Case_mins[[#This Row],[Surgery Start Date]]),ROUND((#REF!-TIME(0,0,0))*1440,0)+1440,ROUND((#REF!-TIME(0,0,0))*1440,0))</calculatedColumnFormula>
    </tableColumn>
    <tableColumn id="15" xr3:uid="{00000000-0010-0000-0000-00000F000000}" uniqueName="15" name="Surgery Start" queryTableFieldId="15" dataDxfId="196">
      <calculatedColumnFormula>IF(AND(ROUND((#REF!-TIME(0,0,0))*1440,0)&gt;0,ROUND((#REF!-TIME(0,0,0))*1440,0)&lt;tbl_Case_mins[[#This Row],[AnaesthStart]],tbl_Case_mins[[#This Row],[Surgery End Date]]&gt;tbl_Case_mins[[#This Row],[Surgery Start Date]]),ROUND((#REF!-TIME(0,0,0))*1440,0)+1440,ROUND((#REF!-TIME(0,0,0))*1440,0))</calculatedColumnFormula>
    </tableColumn>
    <tableColumn id="16" xr3:uid="{00000000-0010-0000-0000-000010000000}" uniqueName="16" name="Surgery Finish" queryTableFieldId="16" dataDxfId="195">
      <calculatedColumnFormula>IF(AND(ROUND((#REF!-TIME(0,0,0))*1440,0),ROUND((#REF!-TIME(0,0,0))*1440,0)&lt;tbl_Case_mins[[#This Row],[Surgery Start]],tbl_Case_mins[[#This Row],[Surgery End Date]]&gt;tbl_Case_mins[[#This Row],[Surgery Start Date]]),ROUND((#REF!-TIME(0,0,0))*1440,0)+1440,ROUND((#REF!-TIME(0,0,0))*1440,0))</calculatedColumnFormula>
    </tableColumn>
    <tableColumn id="17" xr3:uid="{00000000-0010-0000-0000-000011000000}" uniqueName="17" name="Anaesth End" queryTableFieldId="17" dataDxfId="194">
      <calculatedColumnFormula>IF(AND(ROUND((#REF!-TIME(0,0,0))*1440,0)&gt;0,ROUND((#REF!-TIME(0,0,0))*1440,0)&lt;tbl_Case_mins[[#This Row],[Surgery Finish]],tbl_Case_mins[[#This Row],[Surgery End Date]]&gt;tbl_Case_mins[[#This Row],[Surgery Start Date]]),ROUND((#REF!-TIME(0,0,0))*1440,0)+1440,ROUND((#REF!-TIME(0,0,0))*1440,0))</calculatedColumnFormula>
    </tableColumn>
    <tableColumn id="18" xr3:uid="{00000000-0010-0000-0000-000012000000}" uniqueName="18" name="Into Recov" queryTableFieldId="18" dataDxfId="193">
      <calculatedColumnFormula>IF(AND(ROUND((#REF!-TIME(0,0,0))*1440,0)&gt;0,ROUND((#REF!-TIME(0,0,0))*1440,0)&lt;tbl_Case_mins[[#This Row],[Anaesth End]],tbl_Case_mins[[#This Row],[Surgery End Date]]&gt;tbl_Case_mins[[#This Row],[Surgery Start Date]]),ROUND((#REF!-TIME(0,0,0))*1440,0)+1440,ROUND((#REF!-TIME(0,0,0))*1440,0))</calculatedColumnFormula>
    </tableColumn>
    <tableColumn id="20" xr3:uid="{00000000-0010-0000-0000-000014000000}" uniqueName="20" name="Ward Called" queryTableFieldId="20" dataDxfId="192">
      <calculatedColumnFormula>IF(AND(ROUND((#REF!-TIME(0,0,0))*1440,0)&gt;0,ROUND((#REF!-TIME(0,0,0))*1440,0)&lt;tbl_Case_mins[[#This Row],[Into Recov]],tbl_Case_mins[[#This Row],[Surgery End Date]]&gt;tbl_Case_mins[[#This Row],[Surgery Start Date]]),ROUND((#REF!-TIME(0,0,0))*1440,0)+1440,ROUND((#REF!-TIME(0,0,0))*1440,0))</calculatedColumnFormula>
    </tableColumn>
    <tableColumn id="21" xr3:uid="{00000000-0010-0000-0000-000015000000}" uniqueName="21" name="Out of Recov" queryTableFieldId="21" dataDxfId="191">
      <calculatedColumnFormula>IF(AND(ROUND((#REF!-TIME(0,0,0))*1440,0)&gt;0,ROUND((#REF!-TIME(0,0,0))*1440,0)&lt;tbl_Case_mins[[#This Row],[Ward Called]],tbl_Case_mins[[#This Row],[Surgery End Date]]&gt;tbl_Case_mins[[#This Row],[Surgery Start Date]]),ROUND((#REF!-TIME(0,0,0))*1440,0)+1440,ROUND((#REF!-TIME(0,0,0))*1440,0))</calculatedColumnFormula>
    </tableColumn>
    <tableColumn id="22" xr3:uid="{00000000-0010-0000-0000-000016000000}" uniqueName="22" name="Surgery End Date" queryTableFieldId="22" dataDxfId="190">
      <calculatedColumnFormula>IF(ISBLANK(#REF!),tbl_Case_mins[[#This Row],[Surgery Start Date]],#REF!)</calculatedColumnFormula>
    </tableColumn>
    <tableColumn id="74" xr3:uid="{00000000-0010-0000-0000-00004A000000}" uniqueName="74" name="AR" queryTableFieldId="102" dataDxfId="189">
      <calculatedColumnFormula>IFERROR(IF(VLOOKUP(tbl_Case_mins[[#This Row],[Theatre]],'Mng Theatres'!$C$7:$G$12,3,FALSE)="Yes","Yes","No"),0)</calculatedColumnFormula>
    </tableColumn>
    <tableColumn id="7" xr3:uid="{00000000-0010-0000-0000-000007000000}" uniqueName="7" name="CT_start" queryTableFieldId="50" dataDxfId="188">
      <calculatedColumnFormula array="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calculatedColumnFormula>
    </tableColumn>
    <tableColumn id="8" xr3:uid="{00000000-0010-0000-0000-000008000000}" uniqueName="8" name="CT_end" queryTableFieldId="49" dataDxfId="187">
      <calculatedColumnFormula array="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calculatedColumnFormula>
    </tableColumn>
    <tableColumn id="72" xr3:uid="{00000000-0010-0000-0000-000048000000}" uniqueName="72" name="CT" totalsRowFunction="sum" queryTableFieldId="107" dataDxfId="186" totalsRowDxfId="185">
      <calculatedColumnFormula>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calculatedColumnFormula>
    </tableColumn>
    <tableColumn id="2" xr3:uid="{00000000-0010-0000-0000-000002000000}" uniqueName="2" name="Unsch" queryTableFieldId="45" dataDxfId="184">
      <calculatedColumnFormula>IF(tbl_Case_mins[[#This Row],[Case Type]]="Unsch",1,0)</calculatedColumnFormula>
    </tableColumn>
    <tableColumn id="3" xr3:uid="{00000000-0010-0000-0000-000003000000}" uniqueName="3" name="Sch" queryTableFieldId="44" dataDxfId="183">
      <calculatedColumnFormula>IF(tbl_Case_mins[[#This Row],[Case Type]]="Sch",1,0)</calculatedColumnFormula>
    </tableColumn>
    <tableColumn id="33" xr3:uid="{00000000-0010-0000-0000-000021000000}" uniqueName="33" name="ThOpenAm" queryTableFieldId="33" dataDxfId="182">
      <calculatedColumnFormula>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calculatedColumnFormula>
    </tableColumn>
    <tableColumn id="34" xr3:uid="{00000000-0010-0000-0000-000022000000}" uniqueName="34" name="ThCloseAm" queryTableFieldId="34" dataDxfId="181">
      <calculatedColumnFormula>IFERROR(IF(ISBLANK(INDEX(Am_Close,MATCH(1,INDEX((tbl_Case_mins[[#This Row],[Theatre]]=Theatre_No)*(tbl_Case_mins[[#This Row],[Surgery Start Date]]=Date),0,1),0))*1440),0,INDEX(Am_Close,MATCH(1,INDEX((tbl_Case_mins[[#This Row],[Theatre]]=Theatre_No)*(tbl_Case_mins[[#This Row],[Surgery Start Date]]=Date),0,1),0))*1440),0)</calculatedColumnFormula>
    </tableColumn>
    <tableColumn id="35" xr3:uid="{00000000-0010-0000-0000-000023000000}" uniqueName="35" name="ThOpenPM" queryTableFieldId="35" dataDxfId="180">
      <calculatedColumnFormula>IFERROR(IF(ISBLANK(INDEX(PM_Open,MATCH(1,INDEX((tbl_Case_mins[[#This Row],[Theatre]]=Theatre_No)*(tbl_Case_mins[[#This Row],[Surgery Start Date]]=Date),0,1),0))*1440),0,INDEX(PM_Open,MATCH(1,INDEX((tbl_Case_mins[[#This Row],[Theatre]]=Theatre_No)*(tbl_Case_mins[[#This Row],[Surgery Start Date]]=Date),0,1),0))*1440),0)</calculatedColumnFormula>
    </tableColumn>
    <tableColumn id="36" xr3:uid="{00000000-0010-0000-0000-000024000000}" uniqueName="36" name="ThClosePm" queryTableFieldId="36" dataDxfId="179">
      <calculatedColumnFormula>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calculatedColumnFormula>
    </tableColumn>
    <tableColumn id="1" xr3:uid="{00000000-0010-0000-0000-000001000000}" uniqueName="1" name="TOT" queryTableFieldId="59" dataDxfId="178">
      <calculatedColumnFormula>IF(tbl_Case_mins[[#This Row],[ThOpenAm]]=0,tbl_Case_mins[[#This Row],[ThOpenPM]],tbl_Case_mins[[#This Row],[ThOpenAm]])</calculatedColumnFormula>
    </tableColumn>
    <tableColumn id="45" xr3:uid="{00000000-0010-0000-0000-00002D000000}" uniqueName="45" name="TCT" queryTableFieldId="60" dataDxfId="177">
      <calculatedColumnFormula>IF(tbl_Case_mins[[#This Row],[ThCloseAm]]&gt;0,IF(tbl_Case_mins[[#This Row],[ThOpenPM]]&gt;0,tbl_Case_mins[[#This Row],[ThClosePm]],tbl_Case_mins[[#This Row],[ThCloseAm]]),tbl_Case_mins[[#This Row],[ThClosePm]])</calculatedColumnFormula>
    </tableColumn>
    <tableColumn id="101" xr3:uid="{00000000-0010-0000-0000-000065000000}" uniqueName="101" name="CoreTimeDay" queryTableFieldId="172" dataDxfId="176">
      <calculatedColumnFormula>IF(tbl_Case_mins[[#This Row],[TOT]]&gt;0,1,0)</calculatedColumnFormula>
    </tableColumn>
    <tableColumn id="56" xr3:uid="{00000000-0010-0000-0000-000038000000}" uniqueName="56" name="InCoreCase" totalsRowFunction="sum" queryTableFieldId="76" dataDxfId="175" totalsRowDxfId="174">
      <calculatedColumnFormula>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calculatedColumnFormula>
    </tableColumn>
    <tableColumn id="98" xr3:uid="{00000000-0010-0000-0000-000062000000}" uniqueName="98" name="NonCoreCase" totalsRowFunction="sum" queryTableFieldId="164" dataDxfId="173" totalsRowDxfId="172">
      <calculatedColumnFormula>IF(AND(tbl_Case_mins[[#This Row],[Surgery Status]]&lt;&gt;2,tbl_Case_mins[[#This Row],[InCoreCase]]=0,tbl_Case_mins[[#This Row],[CancelledCase]]=0),1,0)</calculatedColumnFormula>
    </tableColumn>
    <tableColumn id="102" xr3:uid="{00000000-0010-0000-0000-000066000000}" uniqueName="102" name="CancelledCase" totalsRowFunction="sum" queryTableFieldId="167" dataDxfId="171" totalsRowDxfId="170">
      <calculatedColumnFormula>IF(tbl_Case_mins[[#This Row],[Surgery Status]]=1,1,0)</calculatedColumnFormula>
    </tableColumn>
    <tableColumn id="83" xr3:uid="{00000000-0010-0000-0000-000053000000}" uniqueName="83" name="NoInCoreTime" totalsRowFunction="sum" queryTableFieldId="122" dataDxfId="169" totalsRowDxfId="168">
      <calculatedColumnFormula>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calculatedColumnFormula>
    </tableColumn>
    <tableColumn id="104" xr3:uid="{00000000-0010-0000-0000-000068000000}" uniqueName="104" name="NonCoreInCoreTimeCase" totalsRowFunction="sum" queryTableFieldId="169" dataDxfId="167" totalsRowDxfId="166">
      <calculatedColumnFormula>IF(AND(tbl_Case_mins[[#This Row],[NonCoreCase]]=1,tbl_Case_mins[[#This Row],[NoInCoreTime]]=0),1,0)</calculatedColumnFormula>
    </tableColumn>
    <tableColumn id="92" xr3:uid="{00000000-0010-0000-0000-00005C000000}" uniqueName="92" name="Ex_CoreTime" totalsRowFunction="sum" queryTableFieldId="144" dataDxfId="165" totalsRowDxfId="164">
      <calculatedColumnFormula>IF(tbl_Case_mins[[#This Row],[Rank_AnaEnd]]&lt;tbl_Case_mins[[#This Row],[Rank_AnaSt]],1,0)</calculatedColumnFormula>
    </tableColumn>
    <tableColumn id="80" xr3:uid="{00000000-0010-0000-0000-000050000000}" uniqueName="80" name="InCore_Sch" totalsRowFunction="sum" queryTableFieldId="117" dataDxfId="163" totalsRowDxfId="162">
      <calculatedColumnFormula>IF(AND(tbl_Case_mins[[#This Row],[InCoreCase]]=1,tbl_Case_mins[[#This Row],[Sch]]=1),1,0)</calculatedColumnFormula>
    </tableColumn>
    <tableColumn id="81" xr3:uid="{00000000-0010-0000-0000-000051000000}" uniqueName="81" name="InCore_Unsch" totalsRowFunction="sum" queryTableFieldId="118" dataDxfId="161" totalsRowDxfId="160">
      <calculatedColumnFormula>IF(AND(tbl_Case_mins[[#This Row],[InCoreCase]]=1,tbl_Case_mins[[#This Row],[Unsch]]=1),1,0)</calculatedColumnFormula>
    </tableColumn>
    <tableColumn id="66" xr3:uid="{00000000-0010-0000-0000-000042000000}" uniqueName="66" name="AmCase" totalsRowFunction="sum" queryTableFieldId="91" dataDxfId="159" totalsRowDxfId="158">
      <calculatedColumnFormula>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calculatedColumnFormula>
    </tableColumn>
    <tableColumn id="67" xr3:uid="{00000000-0010-0000-0000-000043000000}" uniqueName="67" name="PmCase" totalsRowFunction="sum" queryTableFieldId="92" dataDxfId="157" totalsRowDxfId="156">
      <calculatedColumnFormula>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calculatedColumnFormula>
    </tableColumn>
    <tableColumn id="68" xr3:uid="{00000000-0010-0000-0000-000044000000}" uniqueName="68" name="AllDay Case" totalsRowFunction="sum" queryTableFieldId="93" dataDxfId="155" totalsRowDxfId="154">
      <calculatedColumnFormula>IF(AND(tbl_Case_mins[[#This Row],[Surgery Status]]=0,tbl_Case_mins[[#This Row],[InCoreCase]]=1,tbl_Case_mins[[#This Row],[AmCase]]=0,tbl_Case_mins[[#This Row],[PmCase]]=0),1,IF(AND(tbl_Case_mins[[#This Row],[Surgery Status]]=0,tbl_Case_mins[[#This Row],[InCoreCase]]=0,tbl_Case_mins[[#This Row],[AmCase]]=0,tbl_Case_mins[[#This Row],[PmCase]]=0),1,0))</calculatedColumnFormula>
    </tableColumn>
    <tableColumn id="42" xr3:uid="{00000000-0010-0000-0000-00002A000000}" uniqueName="42" name="Ana_time" totalsRowFunction="sum" queryTableFieldId="56" dataDxfId="153" totalsRowDxfId="152">
      <calculatedColumnFormula>IF(tbl_Case_mins[[#This Row],[Surgery Status]]=0,(tbl_Case_mins[[#This Row],[Anaesth End]]-tbl_Case_mins[[#This Row],[AnaesthStart]]),0)</calculatedColumnFormula>
    </tableColumn>
    <tableColumn id="38" xr3:uid="{00000000-0010-0000-0000-000026000000}" uniqueName="38" name="Surg_time" totalsRowFunction="sum" queryTableFieldId="38" dataDxfId="151" totalsRowDxfId="150">
      <calculatedColumnFormula>IF(tbl_Case_mins[[#This Row],[Surgery Status]]=0,(tbl_Case_mins[[#This Row],[Surgery Finish]]-tbl_Case_mins[[#This Row],[Surgery Start]]),0)</calculatedColumnFormula>
    </tableColumn>
    <tableColumn id="43" xr3:uid="{00000000-0010-0000-0000-00002B000000}" uniqueName="43" name="AnaPreSurg" totalsRowFunction="sum" queryTableFieldId="57" dataDxfId="149" totalsRowDxfId="148">
      <calculatedColumnFormula>tbl_Case_mins[[#This Row],[Surgery Start]]-tbl_Case_mins[[#This Row],[AnaesthStart]]</calculatedColumnFormula>
    </tableColumn>
    <tableColumn id="44" xr3:uid="{00000000-0010-0000-0000-00002C000000}" uniqueName="44" name="AnaPostSurg" totalsRowFunction="sum" queryTableFieldId="58" dataDxfId="147" totalsRowDxfId="146">
      <calculatedColumnFormula>tbl_Case_mins[[#This Row],[Anaesth End]]-tbl_Case_mins[[#This Row],[Surgery Finish]]</calculatedColumnFormula>
    </tableColumn>
    <tableColumn id="39" xr3:uid="{00000000-0010-0000-0000-000027000000}" uniqueName="39" name="Th_time" totalsRowFunction="sum" queryTableFieldId="39" dataDxfId="145" totalsRowDxfId="144">
      <calculatedColumnFormula>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calculatedColumnFormula>
    </tableColumn>
    <tableColumn id="5" xr3:uid="{00000000-0010-0000-0000-000005000000}" uniqueName="5" name="EarlyStartAM" totalsRowFunction="sum" queryTableFieldId="47" dataDxfId="143" totalsRowDxfId="142">
      <calculatedColumnFormula>IF(AND(tbl_Case_mins[[#This Row],[Ex_CoreTime]]=0,tbl_Case_mins[[#This Row],[Surgery Status]]=0),IF(AND(tbl_Case_mins[[#This Row],[AnaesthStart]]&lt;tbl_Case_mins[[#This Row],[ThOpenAm]],tbl_Case_mins[[#This Row],[Anaesth End]]&gt;=tbl_Case_mins[[#This Row],[ThOpenAm]]),tbl_Case_mins[[#This Row],[ThOpenAm]]-tbl_Case_mins[[#This Row],[AnaesthStart]],0),0)</calculatedColumnFormula>
    </tableColumn>
    <tableColumn id="62" xr3:uid="{00000000-0010-0000-0000-00003E000000}" uniqueName="62" name="DelayStartAM" totalsRowFunction="sum" queryTableFieldId="84" dataDxfId="141" totalsRowDxfId="140">
      <calculatedColumnFormula array="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calculatedColumnFormula>
    </tableColumn>
    <tableColumn id="85" xr3:uid="{00000000-0010-0000-0000-000055000000}" uniqueName="85" name="Start_Status" totalsRowFunction="sum" queryTableFieldId="125" dataDxfId="139" totalsRowDxfId="138">
      <calculatedColumnFormula>IF(AND(tbl_Case_mins[[#This Row],[FirstAMCase]]=1,tbl_Case_mins[[#This Row],[CancelledCase]]=0,OR(tbl_Case_mins[[#This Row],[EarlyStartAM]]&gt;0,tbl_Case_mins[[#This Row],[AnaesthStart]]=tbl_Case_mins[[#This Row],[ThOpenAm]])),1,0)</calculatedColumnFormula>
    </tableColumn>
    <tableColumn id="70" xr3:uid="{00000000-0010-0000-0000-000046000000}" uniqueName="70" name="FirstAMCase" totalsRowFunction="sum" queryTableFieldId="126" dataDxfId="137" totalsRowDxfId="136">
      <calculatedColumnFormula>IF(AND(tbl_Case_mins[[#This Row],[Rank_AnaSt]]=tbl_Case_mins[[#This Row],[Min_RankAnaSt]],tbl_Case_mins[[#This Row],[Anaesth End]]&gt;=tbl_Case_mins[[#This Row],[ThOpenAm]],tbl_Case_mins[[#This Row],[PmCase]]=0),1,0)</calculatedColumnFormula>
    </tableColumn>
    <tableColumn id="9" xr3:uid="{00000000-0010-0000-0000-000009000000}" uniqueName="9" name="InCoreAM" totalsRowFunction="sum" queryTableFieldId="51" dataDxfId="135" totalsRowDxfId="134">
      <calculatedColumnFormula>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calculatedColumnFormula>
    </tableColumn>
    <tableColumn id="4" xr3:uid="{00000000-0010-0000-0000-000004000000}" uniqueName="4" name="AMOverRun" totalsRowFunction="sum" queryTableFieldId="52" dataDxfId="133" totalsRowDxfId="132">
      <calculatedColumnFormula>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calculatedColumnFormula>
    </tableColumn>
    <tableColumn id="57" xr3:uid="{00000000-0010-0000-0000-000039000000}" uniqueName="57" name="AMUnderRun" totalsRowFunction="sum" queryTableFieldId="77" dataDxfId="131" totalsRowDxfId="130">
      <calculatedColumnFormula array="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calculatedColumnFormula>
    </tableColumn>
    <tableColumn id="41" xr3:uid="{00000000-0010-0000-0000-000029000000}" uniqueName="41" name="EarlyStartPM" totalsRowFunction="sum" queryTableFieldId="55" dataDxfId="129" totalsRowDxfId="128">
      <calculatedColumnFormula>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calculatedColumnFormula>
    </tableColumn>
    <tableColumn id="77" xr3:uid="{00000000-0010-0000-0000-00004D000000}" uniqueName="77" name="Split_Break" totalsRowFunction="sum" queryTableFieldId="114" dataDxfId="127" totalsRowDxfId="126">
      <calculatedColumnFormula>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calculatedColumnFormula>
    </tableColumn>
    <tableColumn id="65" xr3:uid="{00000000-0010-0000-0000-000041000000}" uniqueName="65" name="DelayStartPM" totalsRowFunction="sum" queryTableFieldId="90" dataDxfId="125" totalsRowDxfId="124">
      <calculatedColumnFormula>IF(AND(tbl_Case_mins[[#This Row],[ThOpenPM]]&gt;0,tbl_Case_mins[[#This Row],[AnaesthStart]]&gt;tbl_Case_mins[[#This Row],[ThOpenPM]],tbl_Case_mins[[#This Row],[First PM Case]]=1),tbl_Case_mins[[#This Row],[AnaesthStart]]-tbl_Case_mins[[#This Row],[ThOpenPM]],0)</calculatedColumnFormula>
    </tableColumn>
    <tableColumn id="79" xr3:uid="{00000000-0010-0000-0000-00004F000000}" uniqueName="79" name="AmInCorePm" totalsRowFunction="sum" queryTableFieldId="116" dataDxfId="123" totalsRowDxfId="122">
      <calculatedColumnFormula>IF(AND(tbl_Case_mins[[#This Row],[Surgery Status]]=0,tbl_Case_mins[[#This Row],[AmCase]]=1,tbl_Case_mins[[#This Row],[ThCloseAm]]&gt;0,tbl_Case_mins[[#This Row],[ThOpenPM]]&gt;0,tbl_Case_mins[[#This Row],[Into Recov]]&gt;tbl_Case_mins[[#This Row],[ThOpenPM]]),tbl_Case_mins[[#This Row],[Into Recov]]-tbl_Case_mins[[#This Row],[ThOpenPM]],0)</calculatedColumnFormula>
    </tableColumn>
    <tableColumn id="10" xr3:uid="{00000000-0010-0000-0000-00000A000000}" uniqueName="10" name="InCorePM" totalsRowFunction="sum" queryTableFieldId="53" dataDxfId="121" totalsRowDxfId="120">
      <calculatedColumnFormula>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calculatedColumnFormula>
    </tableColumn>
    <tableColumn id="58" xr3:uid="{00000000-0010-0000-0000-00003A000000}" uniqueName="58" name="PMUnderRun" totalsRowFunction="custom" queryTableFieldId="78" dataDxfId="119" totalsRowDxfId="118">
      <calculatedColumnFormula array="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calculatedColumnFormula>
      <totalsRowFormula>SUM(tbl_Case_mins[PMUnderRun])</totalsRowFormula>
    </tableColumn>
    <tableColumn id="40" xr3:uid="{00000000-0010-0000-0000-000028000000}" uniqueName="40" name="OutOfCorePM" totalsRowFunction="sum" queryTableFieldId="54" dataDxfId="117" totalsRowDxfId="116">
      <calculatedColumnFormula>IF(AND(tbl_Case_mins[[#This Row],[ThClosePm]]&gt;0,tbl_Case_mins[[#This Row],[Anaesth End]]&gt;tbl_Case_mins[[#This Row],[ThClosePm]],tbl_Case_mins[[#This Row],[AnaesthStart]]&gt;tbl_Case_mins[[#This Row],[ThClosePm]]),tbl_Case_mins[[#This Row],[Into Recov]]-tbl_Case_mins[[#This Row],[AnaesthStart]],0)</calculatedColumnFormula>
    </tableColumn>
    <tableColumn id="53" xr3:uid="{00000000-0010-0000-0000-000035000000}" uniqueName="53" name="PMOverRun" totalsRowFunction="max" queryTableFieldId="79" dataDxfId="115" totalsRowDxfId="114">
      <calculatedColumnFormula>IF(AND(tbl_Case_mins[[#This Row],[AnaesthStart]]&lt;tbl_Case_mins[[#This Row],[ThClosePm]],tbl_Case_mins[[#This Row],[Anaesth End]]&gt;tbl_Case_mins[[#This Row],[ThClosePm]]),tbl_Case_mins[[#This Row],[Anaesth End]]-tbl_Case_mins[[#This Row],[ThClosePm]],0)</calculatedColumnFormula>
    </tableColumn>
    <tableColumn id="37" xr3:uid="{00000000-0010-0000-0000-000025000000}" uniqueName="37" name="Core_Time" totalsRowFunction="sum" queryTableFieldId="37" dataDxfId="113" totalsRowDxfId="112">
      <calculatedColumnFormula array="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calculatedColumnFormula>
    </tableColumn>
    <tableColumn id="64" xr3:uid="{00000000-0010-0000-0000-000040000000}" uniqueName="64" name="Poss_Time" totalsRowFunction="sum" queryTableFieldId="88" dataDxfId="111" totalsRowDxfId="110">
      <calculatedColumnFormula array="1">IF(tbl_Case_mins[[#This Row],[Rank_Adjust]]=SUMPRODUCT(-(tbl_Case_mins[Surgery Start Date]=tbl_Case_mins[[#This Row],[Surgery Start Date]]),-(tbl_Case_mins[Theatre]=tbl_Case_mins[[#This Row],[Theatre]])),INDEX(Poss_Time,MATCH(TEXT(tbl_Case_mins[[#This Row],[Surgery Start Date]],"ddd"),Day,0)),0)</calculatedColumnFormula>
    </tableColumn>
    <tableColumn id="69" xr3:uid="{00000000-0010-0000-0000-000045000000}" uniqueName="69" name="Target_Util" totalsRowFunction="sum" queryTableFieldId="97" dataDxfId="109" totalsRowDxfId="108">
      <calculatedColumnFormula>tbl_Case_mins[[#This Row],[Core_Time]]*Util_Goal</calculatedColumnFormula>
    </tableColumn>
    <tableColumn id="51" xr3:uid="{00000000-0010-0000-0000-000033000000}" uniqueName="51" name="InCoreUse" totalsRowFunction="custom" queryTableFieldId="67" dataDxfId="107" totalsRowDxfId="106">
      <calculatedColumnFormula array="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calculatedColumnFormula>
      <totalsRowFormula>SUM(tbl_Case_mins[InCoreUse])</totalsRowFormula>
    </tableColumn>
    <tableColumn id="99" xr3:uid="{00000000-0010-0000-0000-000063000000}" uniqueName="99" name="ICU" totalsRowFunction="custom" queryTableFieldId="161" dataDxfId="105" totalsRowDxfId="104">
      <calculatedColumnFormula array="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calculatedColumnFormula>
      <totalsRowFormula>SUM(tbl_Case_mins[ICU])</totalsRowFormula>
    </tableColumn>
    <tableColumn id="59" xr3:uid="{00000000-0010-0000-0000-00003B000000}" uniqueName="59" name="InCore Unused" totalsRowFunction="sum" queryTableFieldId="80" dataDxfId="103" totalsRowDxfId="102">
      <calculatedColumnFormula>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calculatedColumnFormula>
    </tableColumn>
    <tableColumn id="52" xr3:uid="{00000000-0010-0000-0000-000034000000}" uniqueName="52" name="Total_NonCore" totalsRowFunction="sum" queryTableFieldId="68" dataDxfId="101" totalsRowDxfId="100">
      <calculatedColumnFormula>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calculatedColumnFormula>
    </tableColumn>
    <tableColumn id="86" xr3:uid="{00000000-0010-0000-0000-000056000000}" uniqueName="86" name="NextDay_NonCore" totalsRowFunction="sum" queryTableFieldId="139" dataDxfId="99" totalsRowDxfId="98">
      <calculatedColumnFormula>IF(tbl_Case_mins[[#This Row],[Surgery End Date]]&gt;tbl_Case_mins[[#This Row],[Surgery Start Date]],tbl_Case_mins[[#This Row],[Anaesth End]]-1440,0)</calculatedColumnFormula>
    </tableColumn>
    <tableColumn id="87" xr3:uid="{00000000-0010-0000-0000-000057000000}" uniqueName="87" name="SameDay_NonCore" totalsRowFunction="sum" queryTableFieldId="138" dataDxfId="97" totalsRowDxfId="96">
      <calculatedColumnFormula>tbl_Case_mins[[#This Row],[Total_NonCore]]-tbl_Case_mins[[#This Row],[NextDay_NonCore]]</calculatedColumnFormula>
    </tableColumn>
    <tableColumn id="54" xr3:uid="{00000000-0010-0000-0000-000036000000}" uniqueName="54" name="InCoreHrs" totalsRowFunction="sum" queryTableFieldId="73" dataDxfId="95" totalsRowDxfId="94">
      <calculatedColumnFormula>tbl_Case_mins[[#This Row],[InCoreUse]]/60</calculatedColumnFormula>
    </tableColumn>
    <tableColumn id="55" xr3:uid="{00000000-0010-0000-0000-000037000000}" uniqueName="55" name="NonCoreHrs" totalsRowFunction="sum" queryTableFieldId="72" dataDxfId="93" totalsRowDxfId="92">
      <calculatedColumnFormula>tbl_Case_mins[[#This Row],[Total_NonCore]]/60</calculatedColumnFormula>
    </tableColumn>
    <tableColumn id="60" xr3:uid="{00000000-0010-0000-0000-00003C000000}" uniqueName="60" name="Rank_Adjust" totalsRowFunction="max" queryTableFieldId="82" dataDxfId="91">
      <calculatedColumnFormula array="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calculatedColumnFormula>
    </tableColumn>
    <tableColumn id="88" xr3:uid="{00000000-0010-0000-0000-000058000000}" uniqueName="88" name="Rank" totalsRowFunction="max" queryTableFieldId="140" dataDxfId="90" totalsRowDxfId="89">
      <calculatedColumnFormula array="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calculatedColumnFormula>
    </tableColumn>
    <tableColumn id="89" xr3:uid="{00000000-0010-0000-0000-000059000000}" uniqueName="89" name="Rank_AnaSt" totalsRowFunction="max" queryTableFieldId="152" dataDxfId="88" totalsRowDxfId="87">
      <calculatedColumnFormula array="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calculatedColumnFormula>
    </tableColumn>
    <tableColumn id="94" xr3:uid="{00000000-0010-0000-0000-00005E000000}" uniqueName="94" name="Rank_AnaEnd" totalsRowFunction="max" queryTableFieldId="151" dataDxfId="86" totalsRowDxfId="85">
      <calculatedColumnFormula array="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calculatedColumnFormula>
    </tableColumn>
    <tableColumn id="105" xr3:uid="{00000000-0010-0000-0000-000069000000}" uniqueName="105" name="Max_RankAnaEnd" queryTableFieldId="175" dataDxfId="84" totalsRowDxfId="83">
      <calculatedColumnFormula array="1">IFERROR(_xlfn.AGGREGATE(14,6,(tbl_Case_mins[Rank_AnaEnd])/((tbl_Case_mins[Surgery Start Date]=tbl_Case_mins[[#This Row],[Surgery Start Date]])*(tbl_Case_mins[Theatre]=tbl_Case_mins[[#This Row],[Theatre]])*(tbl_Case_mins[NoInCoreTime]=0)),1),-1)</calculatedColumnFormula>
    </tableColumn>
    <tableColumn id="106" xr3:uid="{00000000-0010-0000-0000-00006A000000}" uniqueName="106" name="Min_RankAnaSt" queryTableFieldId="176" dataDxfId="82" totalsRowDxfId="81">
      <calculatedColumnFormula array="1">IFERROR(_xlfn.AGGREGATE(15,6,(tbl_Case_mins[Rank_AnaSt])/((tbl_Case_mins[Surgery Start Date]=tbl_Case_mins[[#This Row],[Surgery Start Date]])*(tbl_Case_mins[Theatre]=tbl_Case_mins[[#This Row],[Theatre]])*(tbl_Case_mins[NoInCoreTime]=0)),1),-1)</calculatedColumnFormula>
    </tableColumn>
    <tableColumn id="90" xr3:uid="{00000000-0010-0000-0000-00005A000000}" uniqueName="90" name="SmlLg_End" totalsRowFunction="sum" queryTableFieldId="154" dataDxfId="80" totalsRowDxfId="79">
      <calculatedColumnFormula>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calculatedColumnFormula>
    </tableColumn>
    <tableColumn id="91" xr3:uid="{00000000-0010-0000-0000-00005B000000}" uniqueName="91" name="SmlLg_Start" totalsRowFunction="sum" queryTableFieldId="153" dataDxfId="78" totalsRowDxfId="77">
      <calculatedColumnFormula>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calculatedColumnFormula>
    </tableColumn>
    <tableColumn id="61" xr3:uid="{00000000-0010-0000-0000-00003D000000}" uniqueName="61" name="Overlaps" totalsRowFunction="sum" queryTableFieldId="83" dataDxfId="76">
      <calculatedColumnFormula array="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calculatedColumnFormula>
    </tableColumn>
    <tableColumn id="71" xr3:uid="{00000000-0010-0000-0000-000047000000}" uniqueName="71" name="Delay_CT_Start" totalsRowFunction="sum" queryTableFieldId="99" dataDxfId="75" totalsRowDxfId="74">
      <calculatedColumnFormula>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calculatedColumnFormula>
    </tableColumn>
    <tableColumn id="73" xr3:uid="{00000000-0010-0000-0000-000049000000}" uniqueName="73" name="Delay_No_CT" totalsRowFunction="sum" queryTableFieldId="101" dataDxfId="73" totalsRowDxfId="72">
      <calculatedColumnFormula>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calculatedColumnFormula>
    </tableColumn>
    <tableColumn id="63" xr3:uid="{00000000-0010-0000-0000-00003F000000}" uniqueName="63" name="Intervals" totalsRowFunction="sum" queryTableFieldId="87" dataDxfId="71" totalsRowDxfId="70">
      <calculatedColumnFormula>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calculatedColumnFormula>
    </tableColumn>
    <tableColumn id="97" xr3:uid="{00000000-0010-0000-0000-000061000000}" uniqueName="97" name="IOI" totalsRowFunction="sum" queryTableFieldId="159" dataDxfId="69" totalsRowDxfId="68">
      <calculatedColumnFormula>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calculatedColumnFormula>
    </tableColumn>
    <tableColumn id="75" xr3:uid="{00000000-0010-0000-0000-00004B000000}" uniqueName="75" name="IR_Interval" totalsRowFunction="sum" queryTableFieldId="109" dataDxfId="67" totalsRowDxfId="66">
      <calculatedColumnFormula array="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calculatedColumnFormula>
    </tableColumn>
    <tableColumn id="96" xr3:uid="{00000000-0010-0000-0000-000060000000}" uniqueName="96" name="IRI" queryTableFieldId="158" dataDxfId="65" totalsRowDxfId="64">
      <calculatedColumnFormula array="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calculatedColumnFormula>
    </tableColumn>
    <tableColumn id="78" xr3:uid="{00000000-0010-0000-0000-00004E000000}" uniqueName="78" name="Last Am Case" totalsRowFunction="sum" queryTableFieldId="115" dataDxfId="63" totalsRowDxfId="62">
      <calculatedColumnFormula array="1">IFERROR(IF(AND(tbl_Case_mins[[#This Row],[FirstAMCase]]=0,tbl_Case_mins[[#This Row],[Rank]]=_xlfn.AGGREGATE(14,6,(tbl_Case_mins[Rank])/((tbl_Case_mins[Surgery Start Date]=tbl_Case_mins[[#This Row],[Surgery Start Date]])*(tbl_Case_mins[Theatre]=tbl_Case_mins[[#This Row],[Theatre]])*(tbl_Case_mins[AmCase]=1)),1)),1,0),0)</calculatedColumnFormula>
    </tableColumn>
    <tableColumn id="76" xr3:uid="{00000000-0010-0000-0000-00004C000000}" uniqueName="76" name="AS_Interval" queryTableFieldId="110" dataDxfId="61" totalsRowDxfId="60">
      <calculatedColumnFormula array="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calculatedColumnFormula>
    </tableColumn>
    <tableColumn id="95" xr3:uid="{00000000-0010-0000-0000-00005F000000}" uniqueName="95" name="ASI" queryTableFieldId="157" dataDxfId="59" totalsRowDxfId="58">
      <calculatedColumnFormula array="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calculatedColumnFormula>
    </tableColumn>
    <tableColumn id="93" xr3:uid="{00000000-0010-0000-0000-00005D000000}" uniqueName="93" name="First PM Case" queryTableFieldId="162" dataDxfId="57" totalsRowDxfId="56">
      <calculatedColumnFormula array="1">IFERROR(IF(tbl_Case_mins[[#This Row],[Rank]]=_xlfn.AGGREGATE(15,6,(tbl_Case_mins[Rank])/((tbl_Case_mins[Surgery Start Date]=tbl_Case_mins[[#This Row],[Surgery Start Date]])*(tbl_Case_mins[Theatre]=tbl_Case_mins[[#This Row],[Theatre]])*(tbl_Case_mins[PmCase]=1)),1),1,0),0)</calculatedColumnFormula>
    </tableColumn>
    <tableColumn id="19" xr3:uid="{00000000-0010-0000-0000-000013000000}" uniqueName="19" name="Bay" queryTableFieldId="19" dataDxfId="55">
      <calculatedColumnFormula>IFERROR(#REF!,0)</calculatedColumnFormula>
    </tableColumn>
    <tableColumn id="46" xr3:uid="{00000000-0010-0000-0000-00002E000000}" uniqueName="46" name="BayOpenAM" queryTableFieldId="61" dataDxfId="54">
      <calculatedColumnFormula array="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calculatedColumnFormula>
    </tableColumn>
    <tableColumn id="47" xr3:uid="{00000000-0010-0000-0000-00002F000000}" uniqueName="47" name="BayCloseAm" queryTableFieldId="62" dataDxfId="53">
      <calculatedColumnFormula>IFERROR(IF(ISBLANK(INDEX(Bay_AmClose,MATCH(1,INDEX((tbl_Case_mins[[#This Row],[Bay]]=BayNo)*(tbl_Case_mins[[#This Row],[Surgery Start Date]]=BDate),0,1),0))*1440),0,INDEX(Bay_AmClose,MATCH(1,INDEX((tbl_Case_mins[[#This Row],[Bay]]=BayNo)*(tbl_Case_mins[[#This Row],[Surgery Start Date]]=BDate),0,1),0))*1440),0)</calculatedColumnFormula>
    </tableColumn>
    <tableColumn id="48" xr3:uid="{00000000-0010-0000-0000-000030000000}" uniqueName="48" name="BayOpenPM" queryTableFieldId="63" dataDxfId="52">
      <calculatedColumnFormula array="1">IFERROR(IF(ISBLANK(INDEX(Bay_PmOpen,MATCH(1,INDEX((tbl_Case_mins[[#This Row],[Bay]]=BayNo)*(tbl_Case_mins[[#This Row],[Surgery Start Date]]=BDate),0,1),0))*1440),0,INDEX(Bay_PmOpen,MATCH(1,INDEX((tbl_Case_mins[[#This Row],[Bay]]=BayNo)*(tbl_Case_mins[[#This Row],[Surgery Start Date]]=BDate),0,1),0))*1440),0)</calculatedColumnFormula>
    </tableColumn>
    <tableColumn id="49" xr3:uid="{00000000-0010-0000-0000-000031000000}" uniqueName="49" name="BayClosePM" queryTableFieldId="64" dataDxfId="51" totalsRowDxfId="50">
      <calculatedColumnFormula>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calculatedColumnFormula>
    </tableColumn>
    <tableColumn id="82" xr3:uid="{00000000-0010-0000-0000-000052000000}" uniqueName="82" name="GrandTotal_blank" queryTableFieldId="120" dataDxfId="49"/>
  </tableColumns>
  <tableStyleInfo name="TableStyleMedium7"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3" xr:uid="{00000000-000C-0000-FFFF-FFFF01000000}" name="tbl_Entry" displayName="tbl_Entry" ref="A1:A443" headerRowDxfId="48" dataDxfId="47">
  <autoFilter ref="A1:A443" xr:uid="{00000000-0009-0000-0100-00000D000000}"/>
  <tableColumns count="1">
    <tableColumn id="22" xr3:uid="{00000000-0010-0000-0100-000016000000}" name="Counter" dataDxfId="46">
      <calculatedColumnFormula>ROW()-1</calculatedColumnFormula>
    </tableColumn>
  </tableColumns>
  <tableStyleInfo name="TableStyleMedium9"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612E885E-3331-D84A-97BB-6D737CB8E5EB}" name="Table9" displayName="Table9" ref="B1:M443" totalsRowShown="0" headerRowDxfId="45">
  <autoFilter ref="B1:M443" xr:uid="{612E885E-3331-D84A-97BB-6D737CB8E5EB}"/>
  <tableColumns count="12">
    <tableColumn id="1" xr3:uid="{F99649A5-2983-814D-9E76-21DEA94BB408}" name="Theatre"/>
    <tableColumn id="2" xr3:uid="{D639975D-9DD7-3242-82F9-05D78910AF43}" name="Case Type" dataDxfId="44"/>
    <tableColumn id="3" xr3:uid="{E70A324A-2764-0B4C-B791-979E78FF8279}" name="Specialty" dataDxfId="43"/>
    <tableColumn id="4" xr3:uid="{851A5CEE-7765-A142-956A-8EE22D56E55F}" name="Surgery Status" dataDxfId="42"/>
    <tableColumn id="5" xr3:uid="{D9923608-32ED-884E-97FA-42A3CEB870BA}" name="Surgery Start Date" dataDxfId="41">
      <calculatedColumnFormula>Table9[[#This Row],[Surgery Start Date]]+1</calculatedColumnFormula>
    </tableColumn>
    <tableColumn id="6" xr3:uid="{E162C760-8AD5-0A4F-BC72-4468BB3A2251}" name="Anaesthetic Start" dataDxfId="40"/>
    <tableColumn id="7" xr3:uid="{E1C6C38C-8313-884F-804C-AAA0116DB30C}" name="Surgery Start" dataDxfId="39"/>
    <tableColumn id="8" xr3:uid="{1CCDE1E9-7800-9842-9132-F0E803BE2E83}" name="Surgery Finish" dataDxfId="38"/>
    <tableColumn id="9" xr3:uid="{26E43F79-8146-A841-B8BA-A91BEE5A3872}" name="Anaesthetic Finish" dataDxfId="37"/>
    <tableColumn id="10" xr3:uid="{2478C09C-C32F-2D43-A4CE-374ECF1EE32E}" name="Left Theatre" dataDxfId="36"/>
    <tableColumn id="11" xr3:uid="{16AC2D21-912B-794E-8D44-370775799F22}" name="Surgery End Date" dataDxfId="35"/>
    <tableColumn id="12" xr3:uid="{4EA468E5-63C8-1645-BDD5-B43EEBCCA828}" name="Comment" dataDxfId="34"/>
  </tableColumns>
  <tableStyleInfo name="TableStyleMedium6"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7" xr:uid="{00000000-000C-0000-FFFF-FFFF03000000}" name="tbl_TheatreMatrix" displayName="tbl_TheatreMatrix" ref="N6:AC9" totalsRowShown="0">
  <autoFilter ref="N6:AC9" xr:uid="{00000000-0009-0000-0100-000007000000}"/>
  <tableColumns count="16">
    <tableColumn id="2" xr3:uid="{00000000-0010-0000-0300-000002000000}" name="Date" dataDxfId="33"/>
    <tableColumn id="3" xr3:uid="{00000000-0010-0000-0300-000003000000}" name="Am Open" dataDxfId="32"/>
    <tableColumn id="4" xr3:uid="{00000000-0010-0000-0300-000004000000}" name="Am Close" dataDxfId="31"/>
    <tableColumn id="5" xr3:uid="{00000000-0010-0000-0300-000005000000}" name="PM Open" dataDxfId="30"/>
    <tableColumn id="6" xr3:uid="{00000000-0010-0000-0300-000006000000}" name="PM Close" dataDxfId="29"/>
    <tableColumn id="7" xr3:uid="{00000000-0010-0000-0300-000007000000}" name="Reason"/>
    <tableColumn id="10" xr3:uid="{00000000-0010-0000-0300-00000A000000}" name="Staffed" dataDxfId="28" dataCellStyle="Comma">
      <calculatedColumnFormula>tbl_TheatreMatrix[[#This Row],[AM Time]]+tbl_TheatreMatrix[[#This Row],[PM Time]]+tbl_TheatreMatrix[[#This Row],[All Day Time]]</calculatedColumnFormula>
    </tableColumn>
    <tableColumn id="8" xr3:uid="{00000000-0010-0000-0300-000008000000}" name="UnStaffed" dataDxfId="27">
      <calculatedColumnFormula>IF(tbl_TheatreMatrix[[#This Row],[Reason]]="UnStaffed",IF(tbl_TheatreMatrix[[#This Row],[Staffed]]&lt;=INDEX(tbl_ThDefaults[[#All],[Poss_Time]],MATCH(TEXT(tbl_TheatreMatrix[[#This Row],[Date]],"ddd"),tbl_ThDefaults[[#All],[Day]],0)),INDEX(tbl_ThDefaults[[#All],[Poss_Time]],MATCH(TEXT(tbl_TheatreMatrix[[#This Row],[Date]],"ddd"),tbl_ThDefaults[[#All],[Day]],0))-tbl_TheatreMatrix[[#This Row],[Staffed]],tbl_TheatreMatrix[[#This Row],[Staffed]]-INDEX(tbl_ThDefaults[[#All],[Poss_Time]],MATCH(TEXT(tbl_TheatreMatrix[[#This Row],[Date]],"ddd"),tbl_ThDefaults[[#All],[Day]],0))),0)</calculatedColumnFormula>
    </tableColumn>
    <tableColumn id="11" xr3:uid="{00000000-0010-0000-0300-00000B000000}" name="Ring-fenced" dataDxfId="26">
      <calculatedColumnFormula>IF(tbl_TheatreMatrix[[#This Row],[Reason]]="Ring-fenced",INDEX(tbl_ThDefaults[[#All],[Poss_Time]],MATCH(TEXT(tbl_TheatreMatrix[[#This Row],[Date]],"ddd"),tbl_ThDefaults[[#All],[Day]],0))-tbl_TheatreMatrix[[#This Row],[Staffed]],0)</calculatedColumnFormula>
    </tableColumn>
    <tableColumn id="16" xr3:uid="{00000000-0010-0000-0300-000010000000}" name="Planned Closure" dataDxfId="25">
      <calculatedColumnFormula>IF(tbl_TheatreMatrix[[#This Row],[Reason]]="Planned Closure",INDEX(tbl_ThDefaults[[#All],[Poss_Time]],MATCH(TEXT(tbl_TheatreMatrix[[#This Row],[Date]],"ddd"),tbl_ThDefaults[[#All],[Day]],0))-tbl_TheatreMatrix[[#This Row],[Staffed]],0)</calculatedColumnFormula>
    </tableColumn>
    <tableColumn id="9" xr3:uid="{00000000-0010-0000-0300-000009000000}" name="Cancel_List" dataDxfId="24">
      <calculatedColumnFormula>IF(tbl_TheatreMatrix[[#This Row],[Reason]]="Cancelled List",INDEX(tbl_ThDefaults[[#All],[Poss_Time]],MATCH(TEXT(tbl_TheatreMatrix[[#This Row],[Date]],"ddd"),tbl_ThDefaults[[#All],[Day]],0))-tbl_TheatreMatrix[[#This Row],[Staffed]],0)</calculatedColumnFormula>
    </tableColumn>
    <tableColumn id="26" xr3:uid="{00000000-0010-0000-0300-00001A000000}" name="Other Use" dataDxfId="23">
      <calculatedColumnFormula>IF(tbl_TheatreMatrix[[#This Row],[Reason]]="Other Use",INDEX(tbl_ThDefaults[[#All],[Poss_Time]],MATCH(TEXT(tbl_TheatreMatrix[[#This Row],[Date]],"ddd"),tbl_ThDefaults[[#All],[Day]],0))-tbl_TheatreMatrix[[#This Row],[Staffed]],0)</calculatedColumnFormula>
    </tableColumn>
    <tableColumn id="12" xr3:uid="{00000000-0010-0000-0300-00000C000000}" name="AM Time" dataDxfId="22" dataCellStyle="Comma">
      <calculatedColumnFormula>IF(AND(tbl_TheatreMatrix[[#This Row],[Am Open]]&lt;&gt;0,tbl_TheatreMatrix[[#This Row],[Am Close]]&lt;&gt;0),(tbl_TheatreMatrix[[#This Row],[Am Close]]-tbl_TheatreMatrix[[#This Row],[Am Open]])*1440,0)</calculatedColumnFormula>
    </tableColumn>
    <tableColumn id="13" xr3:uid="{00000000-0010-0000-0300-00000D000000}" name="PM Time" dataDxfId="21">
      <calculatedColumnFormula>IF(AND(tbl_TheatreMatrix[[#This Row],[PM Open]]&lt;&gt;0,tbl_TheatreMatrix[[#This Row],[PM Close]]&lt;&gt;0),(tbl_TheatreMatrix[[#This Row],[PM Close]]-tbl_TheatreMatrix[[#This Row],[PM Open]])*1440,0)</calculatedColumnFormula>
    </tableColumn>
    <tableColumn id="15" xr3:uid="{00000000-0010-0000-0300-00000F000000}" name="Ext Poss Core Time" dataDxfId="20">
      <calculatedColumnFormula>IF(tbl_TheatreMatrix[[#This Row],[Staffed]]&gt;INDEX(tbl_ThDefaults[[#All],[Poss_Time]],MATCH(TEXT(tbl_TheatreMatrix[[#This Row],[Date]],"ddd"),tbl_ThDefaults[[#All],[Day]],0)),tbl_TheatreMatrix[[#This Row],[Staffed]]-INDEX(tbl_ThDefaults[[#All],[Poss_Time]],MATCH(TEXT(tbl_TheatreMatrix[[#This Row],[Date]],"ddd"),tbl_ThDefaults[[#All],[Day]],0)),0)</calculatedColumnFormula>
    </tableColumn>
    <tableColumn id="14" xr3:uid="{00000000-0010-0000-0300-00000E000000}" name="All Day Time" dataDxfId="19">
      <calculatedColumnFormula>IF(AND(tbl_TheatreMatrix[[#This Row],[Am Open]]&lt;&gt;0,tbl_TheatreMatrix[[#This Row],[Am Close]]=0,tbl_TheatreMatrix[[#This Row],[PM Open]]=0,tbl_TheatreMatrix[[#This Row],[PM Close]]&lt;&gt;0),(tbl_TheatreMatrix[[#This Row],[PM Close]]-tbl_TheatreMatrix[[#This Row],[Am Open]])*1440,0)</calculatedColumnFormula>
    </tableColumn>
  </tableColumns>
  <tableStyleInfo name="TableStyleMedium7"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8" xr:uid="{00000000-000C-0000-FFFF-FFFF04000000}" name="tbl_ThDefaults" displayName="tbl_ThDefaults" ref="H6:K13" totalsRowShown="0">
  <tableColumns count="4">
    <tableColumn id="1" xr3:uid="{00000000-0010-0000-0400-000001000000}" name="Day" dataDxfId="18"/>
    <tableColumn id="2" xr3:uid="{00000000-0010-0000-0400-000002000000}" name="Th Open" dataDxfId="17"/>
    <tableColumn id="3" xr3:uid="{00000000-0010-0000-0400-000003000000}" name="Th Close" dataDxfId="16"/>
    <tableColumn id="4" xr3:uid="{00000000-0010-0000-0400-000004000000}" name="Poss_Time" dataDxfId="15">
      <calculatedColumnFormula>IF(((tbl_ThDefaults[[#This Row],[Th Close]]-tbl_ThDefaults[[#This Row],[Th Open]])*1440)&gt;0,((tbl_ThDefaults[[#This Row],[Th Close]]-tbl_ThDefaults[[#This Row],[Th Open]])*1440),0)</calculatedColumnFormula>
    </tableColumn>
  </tableColumns>
  <tableStyleInfo name="TableStyleMedium7" showFirstColumn="1"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5000000}" name="tbl_Specialty" displayName="tbl_Specialty" ref="C4:E24" totalsRowShown="0" headerRowDxfId="14" dataDxfId="13">
  <autoFilter ref="C4:E24" xr:uid="{00000000-0009-0000-0100-000001000000}"/>
  <sortState xmlns:xlrd2="http://schemas.microsoft.com/office/spreadsheetml/2017/richdata2" ref="C5:D24">
    <sortCondition ref="D4"/>
  </sortState>
  <tableColumns count="3">
    <tableColumn id="1" xr3:uid="{00000000-0010-0000-0500-000001000000}" name="Specialty ID" dataDxfId="12"/>
    <tableColumn id="2" xr3:uid="{00000000-0010-0000-0500-000002000000}" name="SpecDesc" dataDxfId="11"/>
    <tableColumn id="3" xr3:uid="{00000000-0010-0000-0500-000003000000}" name="Column1" dataDxfId="10"/>
  </tableColumns>
  <tableStyleInfo name="TableStyleMedium4"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00000000-000C-0000-FFFF-FFFF06000000}" name="tbl_Surgeon" displayName="tbl_Surgeon" ref="F4:G12" totalsRowShown="0" headerRowDxfId="9" dataDxfId="8">
  <autoFilter ref="F4:G12" xr:uid="{00000000-0009-0000-0100-000003000000}"/>
  <tableColumns count="2">
    <tableColumn id="1" xr3:uid="{00000000-0010-0000-0600-000001000000}" name="Surgeon ID" dataDxfId="7"/>
    <tableColumn id="2" xr3:uid="{00000000-0010-0000-0600-000002000000}" name="Surgeon" dataDxfId="6"/>
  </tableColumns>
  <tableStyleInfo name="TableStyleMedium4"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4" xr:uid="{00000000-000C-0000-FFFF-FFFF07000000}" name="tbl_BedStatus" displayName="tbl_BedStatus" ref="I4:I7" totalsRowShown="0" headerRowDxfId="5" dataDxfId="4">
  <autoFilter ref="I4:I7" xr:uid="{00000000-0009-0000-0100-000004000000}"/>
  <tableColumns count="1">
    <tableColumn id="1" xr3:uid="{00000000-0010-0000-0700-000001000000}" name="Bed Status" dataDxfId="3"/>
  </tableColumns>
  <tableStyleInfo name="TableStyleMedium4" showFirstColumn="0" showLastColumn="0" showRowStripes="1" showColumnStripes="0"/>
</table>
</file>

<file path=xl/tables/table9.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00000000-000C-0000-FFFF-FFFF08000000}" name="tbl_Cancelled" displayName="tbl_Cancelled" ref="K4:K7" totalsRowShown="0" headerRowDxfId="2" dataDxfId="1">
  <autoFilter ref="K4:K7" xr:uid="{00000000-0009-0000-0100-000005000000}"/>
  <tableColumns count="1">
    <tableColumn id="1" xr3:uid="{00000000-0010-0000-0800-000001000000}" name="Cancelled" dataDxfId="0"/>
  </tableColumns>
  <tableStyleInfo name="TableStyleMedium4" showFirstColumn="0" showLastColumn="0" showRowStripes="1" showColumnStripes="0"/>
</table>
</file>

<file path=xl/tables/table10.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00000000-000C-0000-FFFF-FFFF09000000}" name="tbl_ThFullDay" displayName="tbl_ThFullDay" ref="M4:M9" totalsRowShown="0">
  <autoFilter ref="M4:M9" xr:uid="{00000000-0009-0000-0100-000002000000}"/>
  <tableColumns count="1">
    <tableColumn id="1" xr3:uid="{00000000-0010-0000-0900-000001000000}" name="Th_Status_FullDay"/>
  </tableColumns>
  <tableStyleInfo name="TableStyleMedium4" showFirstColumn="0" showLastColumn="0" showRowStripes="1" showColumnStripes="0"/>
</table>
</file>

<file path=xl/tables/table1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5" xr:uid="{00000000-000C-0000-FFFF-FFFF0A000000}" name="tbl_SurGrade" displayName="tbl_SurGrade" ref="P4:P8" totalsRowShown="0">
  <autoFilter ref="P4:P8" xr:uid="{00000000-0009-0000-0100-00000F000000}"/>
  <tableColumns count="1">
    <tableColumn id="1" xr3:uid="{00000000-0010-0000-0A00-000001000000}" name="Sur_Grade"/>
  </tableColumns>
  <tableStyleInfo name="TableStyleMedium4"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purl.oclc.org/ooxml/officeDocument/relationships/pivotTable" Target="../pivotTables/pivotTable3.xml"/><Relationship Id="rId7" Type="http://purl.oclc.org/ooxml/officeDocument/relationships/printerSettings" Target="../printerSettings/printerSettings1.bin"/><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4" Type="http://purl.oclc.org/ooxml/officeDocument/relationships/pivotTable" Target="../pivotTables/pivotTable4.xml"/></Relationships>
</file>

<file path=xl/worksheets/_rels/sheet2.xml.rels><?xml version="1.0" encoding="UTF-8" standalone="yes"?>
<Relationships xmlns="http://schemas.openxmlformats.org/package/2006/relationships"><Relationship Id="rId3" Type="http://purl.oclc.org/ooxml/officeDocument/relationships/pivotTable" Target="../pivotTables/pivotTable9.xml"/><Relationship Id="rId7" Type="http://purl.oclc.org/ooxml/officeDocument/relationships/printerSettings" Target="../printerSettings/printerSettings2.bin"/><Relationship Id="rId2" Type="http://purl.oclc.org/ooxml/officeDocument/relationships/pivotTable" Target="../pivotTables/pivotTable8.xml"/><Relationship Id="rId1" Type="http://purl.oclc.org/ooxml/officeDocument/relationships/pivotTable" Target="../pivotTables/pivotTable7.xml"/><Relationship Id="rId6" Type="http://purl.oclc.org/ooxml/officeDocument/relationships/pivotTable" Target="../pivotTables/pivotTable12.xml"/><Relationship Id="rId5" Type="http://purl.oclc.org/ooxml/officeDocument/relationships/pivotTable" Target="../pivotTables/pivotTable11.xml"/><Relationship Id="rId4" Type="http://purl.oclc.org/ooxml/officeDocument/relationships/pivotTable" Target="../pivotTables/pivotTable10.xml"/></Relationships>
</file>

<file path=xl/worksheets/_rels/sheet3.xml.rels><?xml version="1.0" encoding="UTF-8" standalone="yes"?>
<Relationships xmlns="http://schemas.openxmlformats.org/package/2006/relationships"><Relationship Id="rId3" Type="http://purl.oclc.org/ooxml/officeDocument/relationships/printerSettings" Target="../printerSettings/printerSettings3.bin"/><Relationship Id="rId2" Type="http://purl.oclc.org/ooxml/officeDocument/relationships/pivotTable" Target="../pivotTables/pivotTable14.xml"/><Relationship Id="rId1" Type="http://purl.oclc.org/ooxml/officeDocument/relationships/pivotTable" Target="../pivotTables/pivotTable13.xml"/></Relationships>
</file>

<file path=xl/worksheets/_rels/sheet4.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printerSettings" Target="../printerSettings/printerSettings4.bin"/><Relationship Id="rId1" Type="http://purl.oclc.org/ooxml/officeDocument/relationships/pivotTable" Target="../pivotTables/pivotTable15.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purl.oclc.org/ooxml/officeDocument/relationships/drawing" Target="../drawings/drawing2.xml"/><Relationship Id="rId2" Type="http://purl.oclc.org/ooxml/officeDocument/relationships/printerSettings" Target="../printerSettings/printerSettings5.bin"/><Relationship Id="rId1" Type="http://purl.oclc.org/ooxml/officeDocument/relationships/pivotTable" Target="../pivotTables/pivotTable16.xml"/></Relationships>
</file>

<file path=xl/worksheets/_rels/sheet6.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printerSettings" Target="../printerSettings/printerSettings6.bin"/></Relationships>
</file>

<file path=xl/worksheets/_rels/sheet7.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table" Target="../tables/table2.xml"/><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table" Target="../tables/table4.xml"/><Relationship Id="rId1" Type="http://purl.oclc.org/ooxml/officeDocument/relationships/printerSettings" Target="../printerSettings/printerSettings8.bin"/></Relationships>
</file>

<file path=xl/worksheets/_rels/sheet9.xml.rels><?xml version="1.0" encoding="UTF-8" standalone="yes"?>
<Relationships xmlns="http://schemas.openxmlformats.org/package/2006/relationships"><Relationship Id="rId3" Type="http://purl.oclc.org/ooxml/officeDocument/relationships/table" Target="../tables/table7.xml"/><Relationship Id="rId7" Type="http://purl.oclc.org/ooxml/officeDocument/relationships/table" Target="../tables/table11.xml"/><Relationship Id="rId2" Type="http://purl.oclc.org/ooxml/officeDocument/relationships/table" Target="../tables/table6.xml"/><Relationship Id="rId1" Type="http://purl.oclc.org/ooxml/officeDocument/relationships/printerSettings" Target="../printerSettings/printerSettings9.bin"/><Relationship Id="rId6" Type="http://purl.oclc.org/ooxml/officeDocument/relationships/table" Target="../tables/table10.xml"/><Relationship Id="rId5" Type="http://purl.oclc.org/ooxml/officeDocument/relationships/table" Target="../tables/table9.xml"/><Relationship Id="rId4" Type="http://purl.oclc.org/ooxml/officeDocument/relationships/table" Target="../tables/table8.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dimension ref="B2:AG6"/>
  <sheetViews>
    <sheetView topLeftCell="Q1" workbookViewId="0">
      <selection activeCell="Y8" sqref="Y8"/>
    </sheetView>
  </sheetViews>
  <sheetFormatPr baseColWidth="10" defaultColWidth="8.83203125" defaultRowHeight="15" x14ac:dyDescent="0.2"/>
  <cols>
    <col min="2" max="2" width="8.33203125" bestFit="1" customWidth="1"/>
    <col min="3" max="3" width="9.6640625" bestFit="1" customWidth="1"/>
    <col min="7" max="7" width="7.33203125" bestFit="1" customWidth="1"/>
    <col min="8" max="8" width="13.6640625" bestFit="1" customWidth="1"/>
    <col min="12" max="12" width="11.5" bestFit="1" customWidth="1"/>
    <col min="13" max="13" width="17" bestFit="1" customWidth="1"/>
    <col min="17" max="17" width="10.6640625" bestFit="1" customWidth="1"/>
    <col min="18" max="18" width="16.83203125" bestFit="1" customWidth="1"/>
    <col min="23" max="23" width="8.83203125" bestFit="1" customWidth="1"/>
    <col min="24" max="24" width="5.33203125" bestFit="1" customWidth="1"/>
    <col min="29" max="29" width="11.1640625" bestFit="1" customWidth="1"/>
    <col min="30" max="30" width="16" bestFit="1" customWidth="1"/>
    <col min="31" max="31" width="32.1640625" bestFit="1" customWidth="1"/>
    <col min="32" max="32" width="17.33203125" bestFit="1" customWidth="1"/>
    <col min="33" max="33" width="18.33203125" bestFit="1" customWidth="1"/>
    <col min="34" max="34" width="20.1640625" bestFit="1" customWidth="1"/>
  </cols>
  <sheetData>
    <row r="2" spans="2:33" x14ac:dyDescent="0.2">
      <c r="B2" s="45"/>
      <c r="C2" s="45"/>
      <c r="D2" s="45"/>
      <c r="E2" s="45"/>
      <c r="F2" s="45"/>
      <c r="G2" s="45"/>
      <c r="H2" s="45"/>
      <c r="I2" s="45"/>
      <c r="J2" s="45"/>
      <c r="K2" s="45"/>
      <c r="L2" s="45"/>
      <c r="M2" s="45"/>
      <c r="N2" s="45"/>
      <c r="O2" s="45"/>
      <c r="P2" s="45"/>
      <c r="S2" s="45"/>
      <c r="T2" s="45"/>
      <c r="U2" s="45"/>
      <c r="V2" s="45"/>
      <c r="W2" s="45"/>
      <c r="X2" s="45"/>
      <c r="AC2" s="40" t="s">
        <v>0</v>
      </c>
      <c r="AD2" t="s">
        <v>1</v>
      </c>
    </row>
    <row r="3" spans="2:33" x14ac:dyDescent="0.2">
      <c r="B3" s="40" t="s">
        <v>2</v>
      </c>
      <c r="C3" t="s">
        <v>3</v>
      </c>
      <c r="D3" s="45"/>
      <c r="E3" s="45"/>
      <c r="F3" s="45"/>
      <c r="G3" s="40" t="s">
        <v>4</v>
      </c>
      <c r="H3" t="s">
        <v>5</v>
      </c>
      <c r="I3" s="45"/>
      <c r="J3" s="45"/>
      <c r="K3" s="45"/>
      <c r="L3" s="40" t="s">
        <v>6</v>
      </c>
      <c r="M3" t="s">
        <v>246</v>
      </c>
      <c r="N3" s="45"/>
      <c r="O3" s="45"/>
      <c r="P3" s="45"/>
      <c r="Q3" s="40" t="s">
        <v>6</v>
      </c>
      <c r="R3" t="s">
        <v>246</v>
      </c>
      <c r="S3" s="45"/>
      <c r="T3" s="45"/>
      <c r="U3" s="45"/>
      <c r="V3" s="40" t="s">
        <v>7</v>
      </c>
      <c r="W3" s="40" t="s">
        <v>8</v>
      </c>
      <c r="AC3" s="45"/>
      <c r="AD3" s="45"/>
      <c r="AE3" s="45"/>
      <c r="AF3" s="45"/>
    </row>
    <row r="4" spans="2:33" x14ac:dyDescent="0.2">
      <c r="B4" s="1" t="s">
        <v>247</v>
      </c>
      <c r="C4">
        <v>442</v>
      </c>
      <c r="G4" s="44" t="s">
        <v>247</v>
      </c>
      <c r="H4" t="e">
        <v>#REF!</v>
      </c>
      <c r="L4" s="40" t="s">
        <v>9</v>
      </c>
      <c r="M4" s="91">
        <v>0</v>
      </c>
      <c r="V4" t="s">
        <v>247</v>
      </c>
      <c r="W4" t="s">
        <v>10</v>
      </c>
      <c r="X4" s="52" t="e">
        <v>#REF!</v>
      </c>
      <c r="AC4" s="40" t="s">
        <v>4</v>
      </c>
      <c r="AD4" t="s">
        <v>11</v>
      </c>
      <c r="AE4" t="s">
        <v>12</v>
      </c>
      <c r="AF4" t="s">
        <v>13</v>
      </c>
      <c r="AG4" t="s">
        <v>14</v>
      </c>
    </row>
    <row r="5" spans="2:33" x14ac:dyDescent="0.2">
      <c r="Q5" s="40" t="s">
        <v>7</v>
      </c>
      <c r="R5" t="s">
        <v>15</v>
      </c>
      <c r="W5" t="s">
        <v>16</v>
      </c>
      <c r="X5" s="52" t="e">
        <v>#REF!</v>
      </c>
      <c r="AC5" s="4" t="s">
        <v>247</v>
      </c>
      <c r="AD5" t="e">
        <v>#REF!</v>
      </c>
      <c r="AE5" t="e">
        <v>#REF!</v>
      </c>
      <c r="AF5" s="43">
        <v>0</v>
      </c>
      <c r="AG5" t="e">
        <v>#REF!</v>
      </c>
    </row>
    <row r="6" spans="2:33" x14ac:dyDescent="0.2">
      <c r="L6" s="40" t="s">
        <v>7</v>
      </c>
      <c r="M6" t="s">
        <v>17</v>
      </c>
      <c r="AC6" s="4" t="s">
        <v>18</v>
      </c>
      <c r="AD6" t="e">
        <v>#REF!</v>
      </c>
      <c r="AE6" t="e">
        <v>#REF!</v>
      </c>
      <c r="AF6" s="43">
        <v>0</v>
      </c>
      <c r="AG6" t="e">
        <v>#REF!</v>
      </c>
    </row>
  </sheetData>
  <pageMargins left="0.7" right="0.7" top="0.75" bottom="0.75" header="0.3" footer="0.3"/>
  <pageSetup paperSize="9" orientation="portrait" horizontalDpi="0" verticalDpi="0" r:id="rId7"/>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9"/>
  <dimension ref="B1:AG7"/>
  <sheetViews>
    <sheetView topLeftCell="L1" workbookViewId="0">
      <selection activeCell="Y6" sqref="Y6"/>
    </sheetView>
  </sheetViews>
  <sheetFormatPr baseColWidth="10" defaultColWidth="8.83203125" defaultRowHeight="15" x14ac:dyDescent="0.2"/>
  <cols>
    <col min="2" max="2" width="11.1640625" bestFit="1" customWidth="1"/>
    <col min="3" max="3" width="16" bestFit="1" customWidth="1"/>
    <col min="4" max="4" width="32.1640625" bestFit="1" customWidth="1"/>
    <col min="5" max="5" width="17.33203125" bestFit="1" customWidth="1"/>
    <col min="6" max="6" width="18.33203125" bestFit="1" customWidth="1"/>
    <col min="7" max="8" width="28.83203125" bestFit="1" customWidth="1"/>
    <col min="9" max="9" width="8.33203125" bestFit="1" customWidth="1"/>
    <col min="10" max="10" width="9.6640625" bestFit="1" customWidth="1"/>
    <col min="14" max="14" width="10" bestFit="1" customWidth="1"/>
    <col min="15" max="15" width="13.6640625" bestFit="1" customWidth="1"/>
    <col min="19" max="19" width="11.5" bestFit="1" customWidth="1"/>
    <col min="20" max="20" width="17" bestFit="1" customWidth="1"/>
    <col min="24" max="24" width="10.6640625" bestFit="1" customWidth="1"/>
    <col min="25" max="25" width="16.83203125" bestFit="1" customWidth="1"/>
    <col min="30" max="30" width="8.83203125" bestFit="1" customWidth="1"/>
    <col min="31" max="31" width="5.33203125" bestFit="1" customWidth="1"/>
  </cols>
  <sheetData>
    <row r="1" spans="2:33" x14ac:dyDescent="0.2">
      <c r="B1" s="40" t="s">
        <v>0</v>
      </c>
      <c r="C1" t="s">
        <v>1</v>
      </c>
    </row>
    <row r="2" spans="2:33" x14ac:dyDescent="0.2">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2:33" x14ac:dyDescent="0.2">
      <c r="B3" s="40" t="s">
        <v>4</v>
      </c>
      <c r="C3" t="s">
        <v>11</v>
      </c>
      <c r="D3" t="s">
        <v>12</v>
      </c>
      <c r="E3" t="s">
        <v>13</v>
      </c>
      <c r="F3" t="s">
        <v>19</v>
      </c>
      <c r="I3" s="40" t="s">
        <v>2</v>
      </c>
      <c r="J3" t="s">
        <v>3</v>
      </c>
      <c r="K3" s="45"/>
      <c r="L3" s="45"/>
      <c r="M3" s="45"/>
      <c r="N3" s="40" t="s">
        <v>4</v>
      </c>
      <c r="O3" t="s">
        <v>5</v>
      </c>
      <c r="P3" s="45"/>
      <c r="Q3" s="45"/>
      <c r="R3" s="45"/>
      <c r="S3" s="40" t="s">
        <v>6</v>
      </c>
      <c r="T3" t="s">
        <v>247</v>
      </c>
      <c r="U3" s="45"/>
      <c r="V3" s="45"/>
      <c r="W3" s="45"/>
      <c r="X3" s="40" t="s">
        <v>6</v>
      </c>
      <c r="Y3" t="s">
        <v>247</v>
      </c>
      <c r="Z3" s="45"/>
      <c r="AB3" s="45"/>
      <c r="AC3" s="40" t="s">
        <v>7</v>
      </c>
      <c r="AD3" s="40" t="s">
        <v>8</v>
      </c>
      <c r="AF3" s="45"/>
      <c r="AG3" s="45"/>
    </row>
    <row r="4" spans="2:33" x14ac:dyDescent="0.2">
      <c r="B4" s="4" t="s">
        <v>247</v>
      </c>
      <c r="C4" t="e">
        <v>#REF!</v>
      </c>
      <c r="D4" t="e">
        <v>#REF!</v>
      </c>
      <c r="E4" s="43">
        <v>0</v>
      </c>
      <c r="F4" t="e">
        <v>#REF!</v>
      </c>
      <c r="I4" s="1" t="s">
        <v>247</v>
      </c>
      <c r="J4">
        <v>442</v>
      </c>
      <c r="N4" s="44" t="s">
        <v>247</v>
      </c>
      <c r="O4" t="e">
        <v>#REF!</v>
      </c>
      <c r="S4" s="40" t="s">
        <v>9</v>
      </c>
      <c r="T4" s="91">
        <v>0</v>
      </c>
      <c r="AC4" t="s">
        <v>247</v>
      </c>
      <c r="AD4" t="s">
        <v>10</v>
      </c>
      <c r="AE4" s="46" t="e">
        <v>#REF!</v>
      </c>
    </row>
    <row r="5" spans="2:33" x14ac:dyDescent="0.2">
      <c r="B5" s="4" t="s">
        <v>18</v>
      </c>
      <c r="C5" t="e">
        <v>#REF!</v>
      </c>
      <c r="D5" t="e">
        <v>#REF!</v>
      </c>
      <c r="E5" s="43">
        <v>0</v>
      </c>
      <c r="F5" t="e">
        <v>#REF!</v>
      </c>
      <c r="N5" s="44" t="s">
        <v>18</v>
      </c>
      <c r="O5" t="e">
        <v>#REF!</v>
      </c>
      <c r="X5" s="40" t="s">
        <v>7</v>
      </c>
      <c r="Y5" t="s">
        <v>15</v>
      </c>
      <c r="AD5" t="s">
        <v>16</v>
      </c>
      <c r="AE5" s="46" t="e">
        <v>#REF!</v>
      </c>
    </row>
    <row r="6" spans="2:33" x14ac:dyDescent="0.2">
      <c r="S6" s="40" t="s">
        <v>7</v>
      </c>
      <c r="T6" t="s">
        <v>17</v>
      </c>
      <c r="X6" t="s">
        <v>247</v>
      </c>
      <c r="Y6" s="43" t="e">
        <v>#REF!</v>
      </c>
    </row>
    <row r="7" spans="2:33" x14ac:dyDescent="0.2">
      <c r="S7" t="s">
        <v>247</v>
      </c>
      <c r="T7">
        <v>0</v>
      </c>
    </row>
  </sheetData>
  <pageMargins left="0.7" right="0.7" top="0.75" bottom="0.75" header="0.3" footer="0.3"/>
  <pageSetup paperSize="9" orientation="portrait" horizontalDpi="0" verticalDpi="0" r:id="rId7"/>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dimension ref="A3:R21"/>
  <sheetViews>
    <sheetView workbookViewId="0">
      <selection activeCell="E7" sqref="E7"/>
    </sheetView>
  </sheetViews>
  <sheetFormatPr baseColWidth="10" defaultColWidth="8.83203125" defaultRowHeight="15" x14ac:dyDescent="0.2"/>
  <cols>
    <col min="1" max="1" width="25.6640625" customWidth="1"/>
    <col min="2" max="2" width="11" bestFit="1" customWidth="1"/>
    <col min="5" max="5" width="11.33203125" bestFit="1" customWidth="1"/>
    <col min="6" max="6" width="7.83203125" bestFit="1" customWidth="1"/>
    <col min="7" max="7" width="32" bestFit="1" customWidth="1"/>
    <col min="8" max="8" width="7.1640625" bestFit="1" customWidth="1"/>
    <col min="9" max="9" width="34.5" bestFit="1" customWidth="1"/>
    <col min="10" max="10" width="24.33203125" bestFit="1" customWidth="1"/>
    <col min="11" max="11" width="10" bestFit="1" customWidth="1"/>
    <col min="12" max="12" width="9.6640625" bestFit="1" customWidth="1"/>
    <col min="15" max="15" width="30.5" bestFit="1" customWidth="1"/>
  </cols>
  <sheetData>
    <row r="3" spans="1:18" x14ac:dyDescent="0.2">
      <c r="A3" s="24" t="s">
        <v>23</v>
      </c>
      <c r="E3" s="60" t="s">
        <v>6</v>
      </c>
      <c r="F3" s="61" t="s">
        <v>247</v>
      </c>
    </row>
    <row r="4" spans="1:18" x14ac:dyDescent="0.2">
      <c r="A4" t="s">
        <v>24</v>
      </c>
      <c r="B4">
        <f>IFERROR(TEXT(IF(WEEKDAY(MIN(#REF!),3)=0,MIN(#REF!),MIN(#REF!)-WEEKDAY(MIN(#REF!),3)),"dd mmm yyyy"),0)</f>
        <v>0</v>
      </c>
      <c r="E4" s="60" t="s">
        <v>25</v>
      </c>
      <c r="F4" s="61" t="s">
        <v>247</v>
      </c>
    </row>
    <row r="5" spans="1:18" x14ac:dyDescent="0.2">
      <c r="A5" t="s">
        <v>26</v>
      </c>
      <c r="B5">
        <f>IFERROR(TEXT(IF(WEEKDAY(MAX(#REF!),2)=7,MAX(#REF!),MAX(#REF!)+7-WEEKDAY(MAX(#REF!),2)),"dd mmm yyyy"),0)</f>
        <v>0</v>
      </c>
      <c r="E5" s="60" t="s">
        <v>0</v>
      </c>
      <c r="F5" s="61" t="s">
        <v>1</v>
      </c>
    </row>
    <row r="6" spans="1:18" x14ac:dyDescent="0.2">
      <c r="A6" t="s">
        <v>27</v>
      </c>
      <c r="B6">
        <f>IFERROR((B5-B4)+1,0)</f>
        <v>1</v>
      </c>
    </row>
    <row r="7" spans="1:18" x14ac:dyDescent="0.2">
      <c r="A7" t="s">
        <v>28</v>
      </c>
      <c r="B7">
        <f>ROUNDUP(B6/7,0)</f>
        <v>1</v>
      </c>
      <c r="E7" s="57" t="s">
        <v>7</v>
      </c>
      <c r="F7" s="57" t="s">
        <v>4</v>
      </c>
      <c r="G7" s="58" t="s">
        <v>29</v>
      </c>
      <c r="K7" s="40" t="s">
        <v>2</v>
      </c>
      <c r="L7" t="s">
        <v>3</v>
      </c>
      <c r="O7" s="30" t="e">
        <f>"Staffed Time - "&amp;TEXT(P7,"0%")</f>
        <v>#REF!</v>
      </c>
      <c r="P7" s="48" t="e">
        <f>#REF!/#REF!</f>
        <v>#REF!</v>
      </c>
    </row>
    <row r="8" spans="1:18" x14ac:dyDescent="0.2">
      <c r="E8" s="94" t="s">
        <v>247</v>
      </c>
      <c r="F8" s="92" t="s">
        <v>247</v>
      </c>
      <c r="G8" s="93">
        <v>0</v>
      </c>
      <c r="K8" s="32" t="s">
        <v>247</v>
      </c>
      <c r="L8" s="30">
        <v>442</v>
      </c>
      <c r="M8" s="30"/>
      <c r="N8" s="30"/>
      <c r="O8" s="30" t="e">
        <f>"Unstaffed Time - "&amp;TEXT(P8,"0.0%")</f>
        <v>#REF!</v>
      </c>
      <c r="P8" s="49" t="e">
        <f>#REF!/#REF!</f>
        <v>#REF!</v>
      </c>
      <c r="Q8" s="30"/>
      <c r="R8" s="30"/>
    </row>
    <row r="9" spans="1:18" x14ac:dyDescent="0.2">
      <c r="A9" t="s">
        <v>30</v>
      </c>
      <c r="B9" t="e">
        <f>INT((MIN(#REF!)-DATE(YEAR(MIN(#REF!)-WEEKDAY(MIN(#REF!)-1)+4),1,3)+
WEEKDAY(DATE(YEAR(MIN(#REF!)-WEEKDAY(MIN(#REF!)-1)+4),1,3))+5)/7)</f>
        <v>#REF!</v>
      </c>
      <c r="K9" s="32" t="s">
        <v>18</v>
      </c>
      <c r="L9" s="30">
        <v>442</v>
      </c>
      <c r="M9" s="30"/>
      <c r="N9" s="30"/>
      <c r="O9" s="30" t="e">
        <f>"Ring Fenced Time - "&amp;TEXT(P9,"0.0%")</f>
        <v>#REF!</v>
      </c>
      <c r="P9" s="51" t="e">
        <f>#REF!/#REF!</f>
        <v>#REF!</v>
      </c>
      <c r="Q9" s="30"/>
      <c r="R9" s="30"/>
    </row>
    <row r="10" spans="1:18" x14ac:dyDescent="0.2">
      <c r="A10" t="s">
        <v>31</v>
      </c>
      <c r="B10" t="e">
        <f>INT((MAX(#REF!)-DATE(YEAR(MAX(#REF!)-WEEKDAY(MAX(#REF!)-1)+4),1,3)+WEEKDAY(DATE(YEAR(MAX(#REF!)-WEEKDAY(MAX(#REF!)-1)+4),1,3))+5)/7)</f>
        <v>#REF!</v>
      </c>
      <c r="M10" s="30"/>
      <c r="N10" s="30"/>
      <c r="O10" s="30" t="e">
        <f>"Planned Closure - "&amp;TEXT(P10,"0.0%")</f>
        <v>#REF!</v>
      </c>
      <c r="P10" s="49" t="e">
        <f>#REF!/#REF!</f>
        <v>#REF!</v>
      </c>
      <c r="Q10" s="30"/>
      <c r="R10" s="30"/>
    </row>
    <row r="11" spans="1:18" x14ac:dyDescent="0.2">
      <c r="M11" s="30"/>
      <c r="N11" s="30"/>
      <c r="O11" s="30" t="e">
        <f>"Cancelled List - "&amp;TEXT(P11,"0.0%")</f>
        <v>#REF!</v>
      </c>
      <c r="P11" s="49" t="e">
        <f>#REF!/#REF!</f>
        <v>#REF!</v>
      </c>
      <c r="Q11" s="30"/>
      <c r="R11" s="30"/>
    </row>
    <row r="12" spans="1:18" x14ac:dyDescent="0.2">
      <c r="A12" t="s">
        <v>32</v>
      </c>
      <c r="B12" cm="1">
        <f t="array" ref="B12">COUNT(1/FREQUENCY(IF(tbl_Case_mins[InCoreCase]=1,IF(tbl_Case_mins[Surgery Start Date]&lt;&gt;"",tbl_Case_mins[Surgery Start Date])),IF(tbl_Case_mins[Surgery Start Date]&lt;&gt;"",tbl_Case_mins[Surgery Start Date])))</f>
        <v>0</v>
      </c>
      <c r="M12" s="30"/>
      <c r="N12" s="30"/>
      <c r="O12" s="30" t="e">
        <f>"Other Use - "&amp;TEXT(P12,"0.0%")</f>
        <v>#REF!</v>
      </c>
      <c r="P12" s="49" t="e">
        <f>#REF!/#REF!</f>
        <v>#REF!</v>
      </c>
      <c r="R12" s="30"/>
    </row>
    <row r="13" spans="1:18" x14ac:dyDescent="0.2">
      <c r="I13" s="30"/>
      <c r="J13" s="30"/>
      <c r="M13" s="30"/>
      <c r="N13" s="30"/>
      <c r="O13" s="30" t="e">
        <f>"Utilised Time - "&amp;TEXT(Q13,"0.0%")&amp;" of Staffed"</f>
        <v>#REF!</v>
      </c>
      <c r="P13" s="49" t="e">
        <f>#REF!/#REF!</f>
        <v>#REF!</v>
      </c>
      <c r="Q13" s="47" t="e">
        <f>#REF!/#REF!</f>
        <v>#REF!</v>
      </c>
      <c r="R13" s="30"/>
    </row>
    <row r="14" spans="1:18" x14ac:dyDescent="0.2">
      <c r="I14" s="30"/>
      <c r="J14" s="30"/>
      <c r="K14" s="30"/>
      <c r="L14" s="30"/>
      <c r="M14" s="30"/>
      <c r="N14" s="30"/>
      <c r="O14" s="30" t="e">
        <f>"Unutilised Time - "&amp;TEXT(Q14,"0.0%")&amp;" of Staffed"</f>
        <v>#REF!</v>
      </c>
      <c r="P14" s="49" t="e">
        <f>#REF!/#REF!</f>
        <v>#REF!</v>
      </c>
      <c r="Q14" s="47" t="e">
        <f>#REF!/#REF!</f>
        <v>#REF!</v>
      </c>
      <c r="R14" s="30"/>
    </row>
    <row r="15" spans="1:18" x14ac:dyDescent="0.2">
      <c r="I15" s="30"/>
      <c r="J15" s="30"/>
      <c r="K15" s="30"/>
      <c r="L15" s="30"/>
      <c r="M15" s="30"/>
      <c r="N15" s="30"/>
      <c r="O15" s="30"/>
      <c r="P15" s="30"/>
      <c r="Q15" s="30"/>
      <c r="R15" s="30"/>
    </row>
    <row r="16" spans="1:18" x14ac:dyDescent="0.2">
      <c r="I16" s="30"/>
      <c r="J16" s="30"/>
      <c r="K16" s="30"/>
      <c r="L16" s="30"/>
      <c r="M16" s="30"/>
      <c r="N16" s="30"/>
      <c r="O16" s="30"/>
      <c r="P16" s="30"/>
      <c r="Q16" s="30"/>
      <c r="R16" s="30"/>
    </row>
    <row r="17" spans="9:18" x14ac:dyDescent="0.2">
      <c r="I17" s="30"/>
      <c r="J17" s="30"/>
      <c r="K17" s="30"/>
      <c r="L17" s="30"/>
      <c r="M17" s="30"/>
      <c r="N17" s="30"/>
      <c r="Q17" s="30"/>
      <c r="R17" s="30"/>
    </row>
    <row r="18" spans="9:18" x14ac:dyDescent="0.2">
      <c r="I18" s="30"/>
      <c r="J18" s="30"/>
      <c r="K18" s="30"/>
      <c r="L18" s="30"/>
      <c r="M18" s="30"/>
      <c r="N18" s="30"/>
      <c r="O18" s="30"/>
      <c r="P18" s="30"/>
      <c r="Q18" s="30"/>
      <c r="R18" s="30"/>
    </row>
    <row r="19" spans="9:18" x14ac:dyDescent="0.2">
      <c r="I19" s="30"/>
      <c r="J19" s="30"/>
      <c r="K19" s="30"/>
      <c r="L19" s="30"/>
      <c r="M19" s="30"/>
      <c r="N19" s="30"/>
      <c r="O19" s="30"/>
      <c r="P19" s="30"/>
      <c r="Q19" s="30"/>
      <c r="R19" s="30"/>
    </row>
    <row r="20" spans="9:18" x14ac:dyDescent="0.2">
      <c r="I20" s="30"/>
      <c r="J20" s="30"/>
      <c r="K20" s="30"/>
      <c r="L20" s="30"/>
      <c r="M20" s="30"/>
      <c r="N20" s="30"/>
      <c r="O20" s="30"/>
      <c r="P20" s="30"/>
      <c r="Q20" s="30"/>
      <c r="R20" s="30"/>
    </row>
    <row r="21" spans="9:18" x14ac:dyDescent="0.2">
      <c r="I21" s="30"/>
      <c r="J21" s="30"/>
      <c r="K21" s="30"/>
      <c r="L21" s="30"/>
      <c r="M21" s="30"/>
      <c r="N21" s="30"/>
      <c r="O21" s="30"/>
      <c r="P21" s="30"/>
      <c r="Q21" s="30"/>
      <c r="R21" s="30"/>
    </row>
  </sheetData>
  <pageMargins left="0.7" right="0.7" top="0.75" bottom="0.75" header="0.3" footer="0.3"/>
  <pageSetup paperSize="9" orientation="portrait" horizontalDpi="0" verticalDpi="0" r:id="rId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BE38"/>
  <sheetViews>
    <sheetView zoomScale="80" zoomScaleNormal="80" workbookViewId="0"/>
  </sheetViews>
  <sheetFormatPr baseColWidth="10" defaultColWidth="9.33203125" defaultRowHeight="15" x14ac:dyDescent="0.2"/>
  <cols>
    <col min="1" max="1" width="10" customWidth="1"/>
    <col min="2" max="2" width="30.6640625" bestFit="1" customWidth="1"/>
    <col min="3" max="3" width="9.33203125" customWidth="1"/>
    <col min="4" max="4" width="11.6640625" customWidth="1"/>
    <col min="5" max="5" width="15.33203125" customWidth="1"/>
    <col min="14" max="14" width="7.5" customWidth="1"/>
    <col min="18" max="22" width="6.5" customWidth="1"/>
    <col min="25" max="25" width="9.33203125" customWidth="1"/>
    <col min="53" max="53" width="12.33203125" bestFit="1" customWidth="1"/>
    <col min="54" max="54" width="12" bestFit="1" customWidth="1"/>
    <col min="55" max="55" width="4.5" bestFit="1" customWidth="1"/>
    <col min="56" max="56" width="6.5" bestFit="1" customWidth="1"/>
    <col min="57" max="57" width="8.1640625" bestFit="1" customWidth="1"/>
  </cols>
  <sheetData>
    <row r="1" spans="1:57" s="30" customFormat="1" ht="30" customHeight="1" x14ac:dyDescent="0.2">
      <c r="A1" s="31"/>
      <c r="B1" s="29" t="s">
        <v>33</v>
      </c>
      <c r="C1" s="31"/>
      <c r="D1" s="29"/>
      <c r="E1" s="31"/>
      <c r="F1" s="31"/>
      <c r="G1" s="31"/>
      <c r="H1" s="31"/>
      <c r="I1" s="31"/>
      <c r="J1" s="31"/>
      <c r="K1" s="31"/>
      <c r="L1" s="31"/>
      <c r="M1" s="31"/>
      <c r="N1" s="31"/>
      <c r="O1" s="31"/>
      <c r="P1" s="31"/>
      <c r="Q1" s="31"/>
      <c r="R1" s="31"/>
      <c r="S1" s="31"/>
      <c r="T1" s="31"/>
      <c r="U1" s="31"/>
      <c r="V1" s="31"/>
      <c r="W1" s="31"/>
      <c r="X1" s="31"/>
      <c r="Y1" s="31"/>
      <c r="Z1" s="31"/>
      <c r="BA1" s="60" t="s">
        <v>6</v>
      </c>
      <c r="BB1" s="61" t="s">
        <v>247</v>
      </c>
    </row>
    <row r="2" spans="1:57" x14ac:dyDescent="0.2">
      <c r="BA2" s="60" t="s">
        <v>34</v>
      </c>
      <c r="BB2" s="61" t="s">
        <v>247</v>
      </c>
    </row>
    <row r="3" spans="1:57" x14ac:dyDescent="0.2">
      <c r="S3" s="13"/>
      <c r="T3" s="14"/>
      <c r="U3" s="14"/>
      <c r="BA3" s="60" t="s">
        <v>7</v>
      </c>
      <c r="BB3" s="61" t="s">
        <v>1</v>
      </c>
    </row>
    <row r="4" spans="1:57" x14ac:dyDescent="0.2">
      <c r="B4" s="24" t="s">
        <v>35</v>
      </c>
      <c r="C4" s="24" t="s">
        <v>36</v>
      </c>
      <c r="D4" s="24" t="s">
        <v>37</v>
      </c>
      <c r="E4" s="24" t="s">
        <v>38</v>
      </c>
      <c r="S4" s="13"/>
      <c r="T4" s="14"/>
      <c r="U4" s="14"/>
      <c r="BA4" s="60" t="s">
        <v>39</v>
      </c>
      <c r="BB4" s="96" t="s">
        <v>247</v>
      </c>
    </row>
    <row r="5" spans="1:57" s="32" customFormat="1" ht="18.5" customHeight="1" x14ac:dyDescent="0.2">
      <c r="B5" s="33" t="s">
        <v>40</v>
      </c>
      <c r="C5" s="42">
        <f>COUNTIFS(tbl_Case_mins[InCoreCase],1,tbl_Case_mins[Case Type],"Sch",tbl_Case_mins[Surgery Status],0)</f>
        <v>0</v>
      </c>
      <c r="D5" s="38">
        <f>SUMIFS(tbl_Case_mins[InCoreUse],tbl_Case_mins[Case Type],"Sch",tbl_Case_mins[InCoreCase],1,tbl_Case_mins[Surgery Status],0)/60</f>
        <v>0</v>
      </c>
      <c r="E5" s="38">
        <f>SUMIFS(tbl_Case_mins[NonCoreHrs],tbl_Case_mins[Case Type],"Sch",tbl_Case_mins[InCoreCase],1,tbl_Case_mins[Surgery Status],0)</f>
        <v>0</v>
      </c>
      <c r="T5" s="34"/>
      <c r="U5" s="35"/>
      <c r="BA5"/>
      <c r="BB5"/>
      <c r="BC5"/>
    </row>
    <row r="6" spans="1:57" s="32" customFormat="1" ht="18.5" customHeight="1" x14ac:dyDescent="0.2">
      <c r="B6" s="36" t="s">
        <v>41</v>
      </c>
      <c r="C6" s="41">
        <f>COUNTIFS(tbl_Case_mins[InCoreCase],1,tbl_Case_mins[Case Type],"Unsch",tbl_Case_mins[Surgery Status],0)</f>
        <v>0</v>
      </c>
      <c r="D6" s="39">
        <f>SUMIFS(tbl_Case_mins[InCoreUse],tbl_Case_mins[Case Type],"Unsch",tbl_Case_mins[InCoreCase],1,tbl_Case_mins[Surgery Status],0)/60</f>
        <v>0</v>
      </c>
      <c r="E6" s="39">
        <f>SUMIFS(tbl_Case_mins[NonCoreHrs],tbl_Case_mins[Case Type],"Unsch",tbl_Case_mins[InCoreCase],1,tbl_Case_mins[Surgery Status],0)</f>
        <v>0</v>
      </c>
      <c r="T6" s="34"/>
      <c r="U6" s="35"/>
      <c r="BA6" s="62"/>
      <c r="BB6" s="95" t="s">
        <v>25</v>
      </c>
      <c r="BC6"/>
      <c r="BD6"/>
      <c r="BE6"/>
    </row>
    <row r="7" spans="1:57" s="32" customFormat="1" ht="18.5" customHeight="1" x14ac:dyDescent="0.2">
      <c r="B7" s="33" t="s">
        <v>42</v>
      </c>
      <c r="C7" s="42">
        <f>COUNTIFS(tbl_Case_mins[InCoreCase],0,tbl_Case_mins[Case Type],"Sch",tbl_Case_mins[Surgery Status],0)</f>
        <v>0</v>
      </c>
      <c r="D7" s="38">
        <f>SUMIFS(tbl_Case_mins[InCoreUse],tbl_Case_mins[Case Type],"Sch",tbl_Case_mins[InCoreCase],0,tbl_Case_mins[Surgery Status],0)/60</f>
        <v>0</v>
      </c>
      <c r="E7" s="38">
        <f>SUMIFS(tbl_Case_mins[NonCoreHrs],tbl_Case_mins[Case Type],"Sch",tbl_Case_mins[InCoreCase],0,tbl_Case_mins[Surgery Status],0)</f>
        <v>0</v>
      </c>
      <c r="S7" s="37"/>
      <c r="T7" s="34"/>
      <c r="U7" s="35"/>
      <c r="BA7" s="63"/>
      <c r="BB7" s="58" t="s">
        <v>247</v>
      </c>
      <c r="BC7"/>
      <c r="BD7"/>
      <c r="BE7"/>
    </row>
    <row r="8" spans="1:57" s="32" customFormat="1" ht="18.5" customHeight="1" x14ac:dyDescent="0.2">
      <c r="B8" s="36" t="s">
        <v>43</v>
      </c>
      <c r="C8" s="41">
        <f>COUNTIFS(tbl_Case_mins[InCoreCase],0,tbl_Case_mins[Case Type],"Unsch",tbl_Case_mins[Surgery Status],0)</f>
        <v>0</v>
      </c>
      <c r="D8" s="39">
        <f>SUMIFS(tbl_Case_mins[InCoreUse],tbl_Case_mins[Case Type],"Unsch",tbl_Case_mins[InCoreCase],0,tbl_Case_mins[Surgery Status],0)/60</f>
        <v>0</v>
      </c>
      <c r="E8" s="39">
        <f>SUMIFS(tbl_Case_mins[NonCoreHrs],tbl_Case_mins[Case Type],"Unsch",tbl_Case_mins[InCoreCase],0,tbl_Case_mins[Surgery Status],0)</f>
        <v>0</v>
      </c>
      <c r="S8" s="37"/>
      <c r="T8" s="34"/>
      <c r="U8" s="35"/>
      <c r="BA8" s="59" t="s">
        <v>44</v>
      </c>
      <c r="BB8" s="61">
        <v>442</v>
      </c>
      <c r="BC8"/>
      <c r="BD8"/>
      <c r="BE8"/>
    </row>
    <row r="9" spans="1:57" x14ac:dyDescent="0.2">
      <c r="S9" s="13"/>
      <c r="T9" s="17"/>
      <c r="U9" s="14"/>
    </row>
    <row r="11" spans="1:57" ht="15" customHeight="1" x14ac:dyDescent="0.2"/>
    <row r="12" spans="1:57" x14ac:dyDescent="0.2">
      <c r="C12" s="11"/>
    </row>
    <row r="38" spans="3:3" x14ac:dyDescent="0.2">
      <c r="C38" s="9"/>
    </row>
  </sheetData>
  <sheetProtection pivotTables="0"/>
  <pageMargins left="0.7" right="0.7" top="0.75" bottom="0.75" header="0.3" footer="0.3"/>
  <pageSetup paperSize="9" orientation="portrait" horizontalDpi="360" verticalDpi="36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dimension ref="A1:X7"/>
  <sheetViews>
    <sheetView showGridLines="0" zoomScale="85" zoomScaleNormal="85" workbookViewId="0">
      <selection activeCell="E38" sqref="E38"/>
    </sheetView>
  </sheetViews>
  <sheetFormatPr baseColWidth="10" defaultColWidth="9.33203125" defaultRowHeight="15" x14ac:dyDescent="0.2"/>
  <cols>
    <col min="1" max="1" width="22.6640625" customWidth="1"/>
    <col min="2" max="2" width="8.1640625" bestFit="1" customWidth="1"/>
    <col min="3" max="3" width="17" bestFit="1" customWidth="1"/>
    <col min="4" max="4" width="15.5" bestFit="1" customWidth="1"/>
    <col min="5" max="5" width="31.33203125" bestFit="1" customWidth="1"/>
    <col min="6" max="6" width="17.83203125" bestFit="1" customWidth="1"/>
    <col min="7" max="7" width="12.33203125" bestFit="1" customWidth="1"/>
    <col min="8" max="8" width="13.33203125" bestFit="1" customWidth="1"/>
    <col min="9" max="9" width="14.5" bestFit="1" customWidth="1"/>
    <col min="10" max="10" width="13.33203125" bestFit="1" customWidth="1"/>
    <col min="11" max="11" width="10.6640625" bestFit="1" customWidth="1"/>
  </cols>
  <sheetData>
    <row r="1" spans="1:24" ht="30" customHeight="1" x14ac:dyDescent="0.25">
      <c r="A1" s="26"/>
      <c r="B1" s="28" t="s">
        <v>45</v>
      </c>
      <c r="C1" s="26"/>
      <c r="D1" s="27"/>
      <c r="E1" s="26"/>
      <c r="F1" s="26"/>
      <c r="G1" s="26"/>
      <c r="H1" s="26"/>
      <c r="I1" s="26"/>
      <c r="J1" s="26"/>
      <c r="K1" s="26"/>
      <c r="L1" s="26"/>
      <c r="M1" s="26"/>
      <c r="N1" s="26"/>
      <c r="O1" s="26"/>
      <c r="P1" s="26"/>
      <c r="Q1" s="26"/>
      <c r="R1" s="26"/>
      <c r="S1" s="26"/>
      <c r="T1" s="26"/>
      <c r="U1" s="26"/>
      <c r="V1" s="26"/>
      <c r="W1" s="26"/>
      <c r="X1" s="26"/>
    </row>
    <row r="2" spans="1:24" x14ac:dyDescent="0.2">
      <c r="A2" s="60" t="s">
        <v>6</v>
      </c>
      <c r="B2" s="61" t="s">
        <v>247</v>
      </c>
    </row>
    <row r="3" spans="1:24" x14ac:dyDescent="0.2">
      <c r="A3" s="60" t="s">
        <v>0</v>
      </c>
      <c r="B3" s="96" t="s">
        <v>247</v>
      </c>
      <c r="D3" s="3"/>
    </row>
    <row r="5" spans="1:24" x14ac:dyDescent="0.2">
      <c r="A5" s="57" t="s">
        <v>7</v>
      </c>
      <c r="B5" s="57" t="s">
        <v>4</v>
      </c>
      <c r="C5" s="62" t="s">
        <v>13</v>
      </c>
      <c r="D5" s="64" t="s">
        <v>46</v>
      </c>
      <c r="E5" s="64" t="s">
        <v>12</v>
      </c>
      <c r="F5" s="65" t="s">
        <v>19</v>
      </c>
    </row>
    <row r="6" spans="1:24" x14ac:dyDescent="0.2">
      <c r="A6" s="62" t="s">
        <v>247</v>
      </c>
      <c r="B6" s="66" t="s">
        <v>247</v>
      </c>
      <c r="C6" s="67">
        <v>0</v>
      </c>
      <c r="D6" s="64" t="e">
        <v>#REF!</v>
      </c>
      <c r="E6" s="64" t="e">
        <v>#REF!</v>
      </c>
      <c r="F6" s="65" t="e">
        <v>#REF!</v>
      </c>
    </row>
    <row r="7" spans="1:24" x14ac:dyDescent="0.2">
      <c r="A7" s="59" t="s">
        <v>18</v>
      </c>
      <c r="B7" s="68"/>
      <c r="C7" s="69">
        <v>0</v>
      </c>
      <c r="D7" s="106" t="e">
        <v>#REF!</v>
      </c>
      <c r="E7" s="106" t="e">
        <v>#REF!</v>
      </c>
      <c r="F7" s="107" t="e">
        <v>#REF!</v>
      </c>
    </row>
  </sheetData>
  <pageMargins left="0.7" right="0.7" top="0.75" bottom="0.75" header="0.3" footer="0.3"/>
  <pageSetup paperSize="9" orientation="portrait" horizontalDpi="0" verticalDpi="0" r:id="rId2"/>
  <drawing r:id="rId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CZ452"/>
  <sheetViews>
    <sheetView zoomScale="85" zoomScaleNormal="85" workbookViewId="0">
      <pane xSplit="1" topLeftCell="AT1" activePane="topRight" state="frozen"/>
      <selection pane="topRight" sqref="A1:CZ444"/>
    </sheetView>
  </sheetViews>
  <sheetFormatPr baseColWidth="10" defaultColWidth="8.83203125" defaultRowHeight="15" x14ac:dyDescent="0.2"/>
  <cols>
    <col min="1" max="7" width="8.83203125" bestFit="1" customWidth="1"/>
    <col min="8" max="8" width="7.6640625" bestFit="1" customWidth="1"/>
    <col min="9" max="12" width="8.83203125" bestFit="1" customWidth="1"/>
    <col min="13" max="13" width="7.1640625" bestFit="1" customWidth="1"/>
    <col min="14" max="24" width="8.83203125" bestFit="1" customWidth="1"/>
    <col min="25" max="25" width="6.33203125" bestFit="1" customWidth="1"/>
    <col min="26" max="27" width="8.83203125" bestFit="1" customWidth="1"/>
    <col min="28" max="28" width="6.1640625" bestFit="1" customWidth="1"/>
    <col min="29" max="29" width="8.83203125" bestFit="1" customWidth="1"/>
    <col min="30" max="30" width="7" bestFit="1" customWidth="1"/>
    <col min="31" max="34" width="8.83203125" bestFit="1" customWidth="1"/>
    <col min="35" max="35" width="7.1640625" bestFit="1" customWidth="1"/>
    <col min="36" max="36" width="7" bestFit="1" customWidth="1"/>
    <col min="37" max="72" width="8.83203125" bestFit="1" customWidth="1"/>
    <col min="73" max="73" width="7" bestFit="1" customWidth="1"/>
    <col min="74" max="80" width="8.83203125" bestFit="1" customWidth="1"/>
    <col min="81" max="81" width="8" bestFit="1" customWidth="1"/>
    <col min="82" max="91" width="8.83203125" bestFit="1" customWidth="1"/>
    <col min="92" max="92" width="6.33203125" bestFit="1" customWidth="1"/>
    <col min="93" max="93" width="8.83203125" bestFit="1" customWidth="1"/>
    <col min="94" max="94" width="6.1640625" bestFit="1" customWidth="1"/>
    <col min="95" max="96" width="8.83203125" bestFit="1" customWidth="1"/>
    <col min="97" max="97" width="6.6640625" bestFit="1" customWidth="1"/>
    <col min="98" max="98" width="8.83203125" bestFit="1" customWidth="1"/>
    <col min="99" max="99" width="7" bestFit="1" customWidth="1"/>
    <col min="100" max="104" width="8.83203125" bestFit="1" customWidth="1"/>
  </cols>
  <sheetData>
    <row r="1" spans="1:104" x14ac:dyDescent="0.2">
      <c r="A1" t="s">
        <v>47</v>
      </c>
      <c r="B1" t="s">
        <v>6</v>
      </c>
      <c r="C1" t="s">
        <v>48</v>
      </c>
      <c r="D1" t="s">
        <v>25</v>
      </c>
      <c r="E1" t="s">
        <v>49</v>
      </c>
      <c r="F1" t="s">
        <v>34</v>
      </c>
      <c r="G1" t="s">
        <v>50</v>
      </c>
      <c r="H1" t="s">
        <v>51</v>
      </c>
      <c r="I1" t="s">
        <v>52</v>
      </c>
      <c r="J1" t="s">
        <v>53</v>
      </c>
      <c r="K1" t="s">
        <v>54</v>
      </c>
      <c r="L1" t="s">
        <v>7</v>
      </c>
      <c r="M1" t="s">
        <v>55</v>
      </c>
      <c r="N1" t="s">
        <v>56</v>
      </c>
      <c r="O1" t="s">
        <v>57</v>
      </c>
      <c r="P1" t="s">
        <v>58</v>
      </c>
      <c r="Q1" t="s">
        <v>59</v>
      </c>
      <c r="R1" t="s">
        <v>60</v>
      </c>
      <c r="S1" t="s">
        <v>61</v>
      </c>
      <c r="T1" t="s">
        <v>62</v>
      </c>
      <c r="U1" t="s">
        <v>63</v>
      </c>
      <c r="V1" t="s">
        <v>64</v>
      </c>
      <c r="W1" t="s">
        <v>65</v>
      </c>
      <c r="X1" t="s">
        <v>66</v>
      </c>
      <c r="Y1" t="s">
        <v>67</v>
      </c>
      <c r="Z1" t="s">
        <v>68</v>
      </c>
      <c r="AA1" t="s">
        <v>69</v>
      </c>
      <c r="AB1" t="s">
        <v>70</v>
      </c>
      <c r="AC1" t="s">
        <v>71</v>
      </c>
      <c r="AD1" t="s">
        <v>72</v>
      </c>
      <c r="AE1" t="s">
        <v>73</v>
      </c>
      <c r="AF1" t="s">
        <v>74</v>
      </c>
      <c r="AG1" t="s">
        <v>75</v>
      </c>
      <c r="AH1" t="s">
        <v>76</v>
      </c>
      <c r="AI1" t="s">
        <v>77</v>
      </c>
      <c r="AJ1" t="s">
        <v>78</v>
      </c>
      <c r="AK1" t="s">
        <v>0</v>
      </c>
      <c r="AL1" t="s">
        <v>79</v>
      </c>
      <c r="AM1" t="s">
        <v>80</v>
      </c>
      <c r="AN1" t="s">
        <v>39</v>
      </c>
      <c r="AO1" t="s">
        <v>81</v>
      </c>
      <c r="AP1" t="s">
        <v>82</v>
      </c>
      <c r="AQ1" t="s">
        <v>83</v>
      </c>
      <c r="AR1" t="s">
        <v>84</v>
      </c>
      <c r="AS1" t="s">
        <v>85</v>
      </c>
      <c r="AT1" t="s">
        <v>86</v>
      </c>
      <c r="AU1" t="s">
        <v>87</v>
      </c>
      <c r="AV1" t="s">
        <v>88</v>
      </c>
      <c r="AW1" t="s">
        <v>89</v>
      </c>
      <c r="AX1" t="s">
        <v>90</v>
      </c>
      <c r="AY1" t="s">
        <v>91</v>
      </c>
      <c r="AZ1" t="s">
        <v>92</v>
      </c>
      <c r="BA1" t="s">
        <v>93</v>
      </c>
      <c r="BB1" t="s">
        <v>94</v>
      </c>
      <c r="BC1" t="s">
        <v>9</v>
      </c>
      <c r="BD1" t="s">
        <v>95</v>
      </c>
      <c r="BE1" t="s">
        <v>96</v>
      </c>
      <c r="BF1" t="s">
        <v>97</v>
      </c>
      <c r="BG1" t="s">
        <v>98</v>
      </c>
      <c r="BH1" t="s">
        <v>99</v>
      </c>
      <c r="BI1" t="s">
        <v>100</v>
      </c>
      <c r="BJ1" t="s">
        <v>101</v>
      </c>
      <c r="BK1" t="s">
        <v>102</v>
      </c>
      <c r="BL1" t="s">
        <v>103</v>
      </c>
      <c r="BM1" t="s">
        <v>104</v>
      </c>
      <c r="BN1" t="s">
        <v>105</v>
      </c>
      <c r="BO1" t="s">
        <v>106</v>
      </c>
      <c r="BP1" t="s">
        <v>107</v>
      </c>
      <c r="BQ1" t="s">
        <v>108</v>
      </c>
      <c r="BR1" t="s">
        <v>109</v>
      </c>
      <c r="BS1" t="s">
        <v>110</v>
      </c>
      <c r="BT1" t="s">
        <v>111</v>
      </c>
      <c r="BU1" t="s">
        <v>112</v>
      </c>
      <c r="BV1" t="s">
        <v>113</v>
      </c>
      <c r="BW1" t="s">
        <v>114</v>
      </c>
      <c r="BX1" t="s">
        <v>115</v>
      </c>
      <c r="BY1" t="s">
        <v>116</v>
      </c>
      <c r="BZ1" t="s">
        <v>117</v>
      </c>
      <c r="CA1" t="s">
        <v>118</v>
      </c>
      <c r="CB1" t="s">
        <v>119</v>
      </c>
      <c r="CC1" t="s">
        <v>120</v>
      </c>
      <c r="CD1" t="s">
        <v>121</v>
      </c>
      <c r="CE1" t="s">
        <v>122</v>
      </c>
      <c r="CF1" t="s">
        <v>123</v>
      </c>
      <c r="CG1" t="s">
        <v>124</v>
      </c>
      <c r="CH1" t="s">
        <v>125</v>
      </c>
      <c r="CI1" t="s">
        <v>126</v>
      </c>
      <c r="CJ1" t="s">
        <v>127</v>
      </c>
      <c r="CK1" t="s">
        <v>128</v>
      </c>
      <c r="CL1" t="s">
        <v>129</v>
      </c>
      <c r="CM1" t="s">
        <v>130</v>
      </c>
      <c r="CN1" t="s">
        <v>131</v>
      </c>
      <c r="CO1" t="s">
        <v>132</v>
      </c>
      <c r="CP1" t="s">
        <v>133</v>
      </c>
      <c r="CQ1" t="s">
        <v>134</v>
      </c>
      <c r="CR1" t="s">
        <v>135</v>
      </c>
      <c r="CS1" t="s">
        <v>136</v>
      </c>
      <c r="CT1" t="s">
        <v>137</v>
      </c>
      <c r="CU1" t="s">
        <v>138</v>
      </c>
      <c r="CV1" t="s">
        <v>139</v>
      </c>
      <c r="CW1" t="s">
        <v>140</v>
      </c>
      <c r="CX1" t="s">
        <v>141</v>
      </c>
      <c r="CY1" t="s">
        <v>142</v>
      </c>
      <c r="CZ1" t="s">
        <v>143</v>
      </c>
    </row>
    <row r="2" spans="1:104" x14ac:dyDescent="0.2">
      <c r="A2">
        <v>1</v>
      </c>
      <c r="B2" t="e">
        <f>#REF!</f>
        <v>#REF!</v>
      </c>
      <c r="C2" t="e">
        <f>#REF!</f>
        <v>#REF!</v>
      </c>
      <c r="D2" t="e">
        <f>#REF!</f>
        <v>#REF!</v>
      </c>
      <c r="E2" t="e">
        <f>#REF!</f>
        <v>#REF!</v>
      </c>
      <c r="F2" t="e">
        <f>#REF!</f>
        <v>#REF!</v>
      </c>
      <c r="G2" t="e">
        <f>#REF!</f>
        <v>#REF!</v>
      </c>
      <c r="H2" t="e">
        <f>#REF!</f>
        <v>#REF!</v>
      </c>
      <c r="I2" t="e">
        <f>IF(#REF!="Case Cancelled",1,IF(#REF!="No Cases",2,0))</f>
        <v>#REF!</v>
      </c>
      <c r="J2" t="e">
        <f>#REF!</f>
        <v>#REF!</v>
      </c>
      <c r="K2" s="4" t="e">
        <f>#REF!</f>
        <v>#REF!</v>
      </c>
      <c r="L2" t="e">
        <f>"Wk "&amp;WEEKNUM(tbl_Case_mins[[#This Row],[Surgery Start Date]],21)</f>
        <v>#REF!</v>
      </c>
      <c r="M2" t="e">
        <f>TEXT(tbl_Case_mins[[#This Row],[Surgery Start Date]],"ddd")</f>
        <v>#REF!</v>
      </c>
      <c r="N2" s="9" t="e">
        <f>(#REF!-TIME(0,0,0))*1440</f>
        <v>#REF!</v>
      </c>
      <c r="O2" t="e">
        <f>IF(AND(ROUND((#REF!-TIME(0,0,0))*1440,0)&gt;0,ROUND((#REF!-TIME(0,0,0))*1440,0)&lt;tbl_Case_mins[[#This Row],[Patient Called]],tbl_Case_mins[[#This Row],[Surgery End Date]]&gt;tbl_Case_mins[[#This Row],[Surgery Start Date]]),ROUND((#REF!-TIME(0,0,0))*1440,0)+1440,ROUND((#REF!-TIME(0,0,0))*1440,0))</f>
        <v>#REF!</v>
      </c>
      <c r="P2" s="9" t="e">
        <f>IF(AND(ROUND((#REF!-TIME(0,0,0))*1440,0)&gt;0,ROUND((#REF!-TIME(0,0,0))*1440,0)&lt;tbl_Case_mins[[#This Row],[Arrival]],tbl_Case_mins[[#This Row],[Surgery End Date]]&gt;tbl_Case_mins[[#This Row],[Surgery Start Date]]),ROUND((#REF!-TIME(0,0,0))*1440,0)+1440,ROUND((#REF!-TIME(0,0,0))*1440,0))</f>
        <v>#REF!</v>
      </c>
      <c r="Q2" s="9" t="e">
        <f>IF(AND(ROUND((#REF!-TIME(0,0,0))*1440,0)&gt;0,ROUND((#REF!-TIME(0,0,0))*1440,0)&lt;tbl_Case_mins[[#This Row],[Into Th or AR]],tbl_Case_mins[[#This Row],[Surgery End Date]]&gt;tbl_Case_mins[[#This Row],[Surgery Start Date]]),ROUND((#REF!-TIME(0,0,0))*1440,0)+1440,ROUND((#REF!-TIME(0,0,0))*1440,0))</f>
        <v>#REF!</v>
      </c>
      <c r="R2" s="9" t="e">
        <f>IF(AND(ROUND((#REF!-TIME(0,0,0))*1440,0)&gt;0,ROUND((#REF!-TIME(0,0,0))*1440,0)&lt;tbl_Case_mins[[#This Row],[AnaesthStart]],tbl_Case_mins[[#This Row],[Surgery End Date]]&gt;tbl_Case_mins[[#This Row],[Surgery Start Date]]),ROUND((#REF!-TIME(0,0,0))*1440,0)+1440,ROUND((#REF!-TIME(0,0,0))*1440,0))</f>
        <v>#REF!</v>
      </c>
      <c r="S2" s="9" t="e">
        <f>IF(AND(ROUND((#REF!-TIME(0,0,0))*1440,0),ROUND((#REF!-TIME(0,0,0))*1440,0)&lt;tbl_Case_mins[[#This Row],[Surgery Start]],tbl_Case_mins[[#This Row],[Surgery End Date]]&gt;tbl_Case_mins[[#This Row],[Surgery Start Date]]),ROUND((#REF!-TIME(0,0,0))*1440,0)+1440,ROUND((#REF!-TIME(0,0,0))*1440,0))</f>
        <v>#REF!</v>
      </c>
      <c r="T2" s="9" t="e">
        <f>IF(AND(ROUND((#REF!-TIME(0,0,0))*1440,0)&gt;0,ROUND((#REF!-TIME(0,0,0))*1440,0)&lt;tbl_Case_mins[[#This Row],[Surgery Finish]],tbl_Case_mins[[#This Row],[Surgery End Date]]&gt;tbl_Case_mins[[#This Row],[Surgery Start Date]]),ROUND((#REF!-TIME(0,0,0))*1440,0)+1440,ROUND((#REF!-TIME(0,0,0))*1440,0))</f>
        <v>#REF!</v>
      </c>
      <c r="U2" s="9" t="e">
        <f>IF(AND(ROUND((#REF!-TIME(0,0,0))*1440,0)&gt;0,ROUND((#REF!-TIME(0,0,0))*1440,0)&lt;tbl_Case_mins[[#This Row],[Anaesth End]],tbl_Case_mins[[#This Row],[Surgery End Date]]&gt;tbl_Case_mins[[#This Row],[Surgery Start Date]]),ROUND((#REF!-TIME(0,0,0))*1440,0)+1440,ROUND((#REF!-TIME(0,0,0))*1440,0))</f>
        <v>#REF!</v>
      </c>
      <c r="V2" s="9" t="e">
        <f>IF(AND(ROUND((#REF!-TIME(0,0,0))*1440,0)&gt;0,ROUND((#REF!-TIME(0,0,0))*1440,0)&lt;tbl_Case_mins[[#This Row],[Into Recov]],tbl_Case_mins[[#This Row],[Surgery End Date]]&gt;tbl_Case_mins[[#This Row],[Surgery Start Date]]),ROUND((#REF!-TIME(0,0,0))*1440,0)+1440,ROUND((#REF!-TIME(0,0,0))*1440,0))</f>
        <v>#REF!</v>
      </c>
      <c r="W2" s="9" t="e">
        <f>IF(AND(ROUND((#REF!-TIME(0,0,0))*1440,0)&gt;0,ROUND((#REF!-TIME(0,0,0))*1440,0)&lt;tbl_Case_mins[[#This Row],[Ward Called]],tbl_Case_mins[[#This Row],[Surgery End Date]]&gt;tbl_Case_mins[[#This Row],[Surgery Start Date]]),ROUND((#REF!-TIME(0,0,0))*1440,0)+1440,ROUND((#REF!-TIME(0,0,0))*1440,0))</f>
        <v>#REF!</v>
      </c>
      <c r="X2" s="4" t="e">
        <f>IF(ISBLANK(#REF!),tbl_Case_mins[[#This Row],[Surgery Start Date]],#REF!)</f>
        <v>#REF!</v>
      </c>
      <c r="Y2">
        <f>IFERROR(IF(VLOOKUP(tbl_Case_mins[[#This Row],[Theatre]],'Mng Theatres'!$C$7:$G$12,3,FALSE)="Yes","Yes","No"),0)</f>
        <v>0</v>
      </c>
      <c r="Z2" s="9" t="e" cm="1">
        <f t="array" ref="Z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 s="9" t="e" cm="1">
        <f t="array" ref="AA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 s="9" t="e">
        <f>IF(tbl_Case_mins[[#This Row],[Case Type]]="Unsch",1,0)</f>
        <v>#REF!</v>
      </c>
      <c r="AD2" s="9" t="e">
        <f>IF(tbl_Case_mins[[#This Row],[Case Type]]="Sch",1,0)</f>
        <v>#REF!</v>
      </c>
      <c r="AE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 s="9">
        <f>IFERROR(IF(ISBLANK(INDEX(Am_Close,MATCH(1,INDEX((tbl_Case_mins[[#This Row],[Theatre]]=Theatre_No)*(tbl_Case_mins[[#This Row],[Surgery Start Date]]=Date),0,1),0))*1440),0,INDEX(Am_Close,MATCH(1,INDEX((tbl_Case_mins[[#This Row],[Theatre]]=Theatre_No)*(tbl_Case_mins[[#This Row],[Surgery Start Date]]=Date),0,1),0))*1440),0)</f>
        <v>0</v>
      </c>
      <c r="AG2" s="9">
        <f>IFERROR(IF(ISBLANK(INDEX(PM_Open,MATCH(1,INDEX((tbl_Case_mins[[#This Row],[Theatre]]=Theatre_No)*(tbl_Case_mins[[#This Row],[Surgery Start Date]]=Date),0,1),0))*1440),0,INDEX(PM_Open,MATCH(1,INDEX((tbl_Case_mins[[#This Row],[Theatre]]=Theatre_No)*(tbl_Case_mins[[#This Row],[Surgery Start Date]]=Date),0,1),0))*1440),0)</f>
        <v>0</v>
      </c>
      <c r="AH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 s="9" t="e">
        <f>IF(tbl_Case_mins[[#This Row],[ThOpenAm]]=0,tbl_Case_mins[[#This Row],[ThOpenPM]],tbl_Case_mins[[#This Row],[ThOpenAm]])</f>
        <v>#REF!</v>
      </c>
      <c r="AJ2" s="9" t="e">
        <f>IF(tbl_Case_mins[[#This Row],[ThCloseAm]]&gt;0,IF(tbl_Case_mins[[#This Row],[ThOpenPM]]&gt;0,tbl_Case_mins[[#This Row],[ThClosePm]],tbl_Case_mins[[#This Row],[ThCloseAm]]),tbl_Case_mins[[#This Row],[ThClosePm]])</f>
        <v>#REF!</v>
      </c>
      <c r="AK2" s="9" t="e">
        <f>IF(tbl_Case_mins[[#This Row],[TOT]]&gt;0,1,0)</f>
        <v>#REF!</v>
      </c>
      <c r="AL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 s="9" t="e">
        <f>IF(AND(tbl_Case_mins[[#This Row],[Surgery Status]]&lt;&gt;2,tbl_Case_mins[[#This Row],[InCoreCase]]=0,tbl_Case_mins[[#This Row],[CancelledCase]]=0),1,0)</f>
        <v>#REF!</v>
      </c>
      <c r="AN2" s="9" t="e">
        <f>IF(tbl_Case_mins[[#This Row],[Surgery Status]]=1,1,0)</f>
        <v>#REF!</v>
      </c>
      <c r="AO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 s="9" t="e">
        <f>IF(AND(tbl_Case_mins[[#This Row],[NonCoreCase]]=1,tbl_Case_mins[[#This Row],[NoInCoreTime]]=0),1,0)</f>
        <v>#REF!</v>
      </c>
      <c r="AQ2" s="9" t="e">
        <f>IF(tbl_Case_mins[[#This Row],[Rank_AnaEnd]]&lt;tbl_Case_mins[[#This Row],[Rank_AnaSt]],1,0)</f>
        <v>#REF!</v>
      </c>
      <c r="AR2" s="9" t="e">
        <f>IF(AND(tbl_Case_mins[[#This Row],[InCoreCase]]=1,tbl_Case_mins[[#This Row],[Sch]]=1),1,0)</f>
        <v>#REF!</v>
      </c>
      <c r="AS2" s="9" t="e">
        <f>IF(AND(tbl_Case_mins[[#This Row],[InCoreCase]]=1,tbl_Case_mins[[#This Row],[Unsch]]=1),1,0)</f>
        <v>#REF!</v>
      </c>
      <c r="AT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 s="9" t="e">
        <f>IF(tbl_Case_mins[[#This Row],[Surgery Status]]=0,(tbl_Case_mins[[#This Row],[Anaesth End]]-tbl_Case_mins[[#This Row],[AnaesthStart]]),0)</f>
        <v>#REF!</v>
      </c>
      <c r="AX2" s="9" t="e">
        <f>IF(tbl_Case_mins[[#This Row],[Surgery Status]]=0,(tbl_Case_mins[[#This Row],[Surgery Finish]]-tbl_Case_mins[[#This Row],[Surgery Start]]),0)</f>
        <v>#REF!</v>
      </c>
      <c r="AY2" s="9" t="e">
        <f>tbl_Case_mins[[#This Row],[Surgery Start]]-tbl_Case_mins[[#This Row],[AnaesthStart]]</f>
        <v>#REF!</v>
      </c>
      <c r="AZ2" s="9" t="e">
        <f>tbl_Case_mins[[#This Row],[Anaesth End]]-tbl_Case_mins[[#This Row],[Surgery Finish]]</f>
        <v>#REF!</v>
      </c>
      <c r="BA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 s="16" cm="1">
        <f t="array" ref="BC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 s="16" t="e">
        <f>IF(AND(tbl_Case_mins[[#This Row],[FirstAMCase]]=1,tbl_Case_mins[[#This Row],[CancelledCase]]=0,OR(tbl_Case_mins[[#This Row],[EarlyStartAM]]&gt;0,tbl_Case_mins[[#This Row],[AnaesthStart]]=tbl_Case_mins[[#This Row],[ThOpenAm]])),1,0)</f>
        <v>#REF!</v>
      </c>
      <c r="BE2" s="16" t="e">
        <f>IF(AND(tbl_Case_mins[[#This Row],[Rank_AnaSt]]=tbl_Case_mins[[#This Row],[Min_RankAnaSt]],tbl_Case_mins[[#This Row],[Anaesth End]]&gt;=tbl_Case_mins[[#This Row],[ThOpenAm]],tbl_Case_mins[[#This Row],[PmCase]]=0),1,0)</f>
        <v>#REF!</v>
      </c>
      <c r="BF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 s="9" t="e" cm="1">
        <f t="array" ref="BH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 s="9" t="e">
        <f>IF(AND(tbl_Case_mins[[#This Row],[ThOpenPM]]&gt;0,tbl_Case_mins[[#This Row],[AnaesthStart]]&gt;tbl_Case_mins[[#This Row],[ThOpenPM]],tbl_Case_mins[[#This Row],[First PM Case]]=1),tbl_Case_mins[[#This Row],[AnaesthStart]]-tbl_Case_mins[[#This Row],[ThOpenPM]],0)</f>
        <v>#REF!</v>
      </c>
      <c r="BL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 s="9" t="e" cm="1">
        <f t="array" ref="BN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 s="9" t="e">
        <f>IF(AND(tbl_Case_mins[[#This Row],[ThClosePm]]&gt;0,tbl_Case_mins[[#This Row],[Anaesth End]]&gt;tbl_Case_mins[[#This Row],[ThClosePm]],tbl_Case_mins[[#This Row],[AnaesthStart]]&gt;tbl_Case_mins[[#This Row],[ThClosePm]]),tbl_Case_mins[[#This Row],[Into Recov]]-tbl_Case_mins[[#This Row],[AnaesthStart]],0)</f>
        <v>#REF!</v>
      </c>
      <c r="BP2" s="9" t="e">
        <f>IF(AND(tbl_Case_mins[[#This Row],[AnaesthStart]]&lt;tbl_Case_mins[[#This Row],[ThClosePm]],tbl_Case_mins[[#This Row],[Anaesth End]]&gt;tbl_Case_mins[[#This Row],[ThClosePm]]),tbl_Case_mins[[#This Row],[Anaesth End]]-tbl_Case_mins[[#This Row],[ThClosePm]],0)</f>
        <v>#REF!</v>
      </c>
      <c r="BQ2" s="9" t="e" cm="1">
        <f t="array" ref="BQ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 s="9" t="e" cm="1">
        <f t="array" ref="BR2">IF(tbl_Case_mins[[#This Row],[Rank_Adjust]]=SUMPRODUCT(-(tbl_Case_mins[Surgery Start Date]=tbl_Case_mins[[#This Row],[Surgery Start Date]]),-(tbl_Case_mins[Theatre]=tbl_Case_mins[[#This Row],[Theatre]])),INDEX(Poss_Time,MATCH(TEXT(tbl_Case_mins[[#This Row],[Surgery Start Date]],"ddd"),Day,0)),0)</f>
        <v>#REF!</v>
      </c>
      <c r="BS2" s="9" t="e">
        <f>tbl_Case_mins[[#This Row],[Core_Time]]*Util_Goal</f>
        <v>#REF!</v>
      </c>
      <c r="BT2" s="9" t="e" cm="1">
        <f t="array" ref="BT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 s="9" t="e" cm="1">
        <f t="array" ref="BU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 s="9" t="e">
        <f>IF(tbl_Case_mins[[#This Row],[Surgery End Date]]&gt;tbl_Case_mins[[#This Row],[Surgery Start Date]],tbl_Case_mins[[#This Row],[Anaesth End]]-1440,0)</f>
        <v>#REF!</v>
      </c>
      <c r="BY2" s="9" t="e">
        <f>tbl_Case_mins[[#This Row],[Total_NonCore]]-tbl_Case_mins[[#This Row],[NextDay_NonCore]]</f>
        <v>#REF!</v>
      </c>
      <c r="BZ2" s="10" t="e">
        <f>tbl_Case_mins[[#This Row],[InCoreUse]]/60</f>
        <v>#REF!</v>
      </c>
      <c r="CA2" s="10" t="e">
        <f>tbl_Case_mins[[#This Row],[Total_NonCore]]/60</f>
        <v>#REF!</v>
      </c>
      <c r="CB2" t="e" cm="1">
        <f t="array" ref="CB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 s="9" t="e" cm="1">
        <f t="array" ref="CC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 s="9" t="e" cm="1">
        <f t="array" ref="CD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 s="9" t="e" cm="1">
        <f t="array" ref="CE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 s="9" cm="1">
        <f t="array" ref="CF2">IFERROR(_xlfn.AGGREGATE(14,6,(tbl_Case_mins[Rank_AnaEnd])/((tbl_Case_mins[Surgery Start Date]=tbl_Case_mins[[#This Row],[Surgery Start Date]])*(tbl_Case_mins[Theatre]=tbl_Case_mins[[#This Row],[Theatre]])*(tbl_Case_mins[NoInCoreTime]=0)),1),-1)</f>
        <v>-1</v>
      </c>
      <c r="CG2" s="9" cm="1">
        <f t="array" ref="CG2">IFERROR(_xlfn.AGGREGATE(15,6,(tbl_Case_mins[Rank_AnaSt])/((tbl_Case_mins[Surgery Start Date]=tbl_Case_mins[[#This Row],[Surgery Start Date]])*(tbl_Case_mins[Theatre]=tbl_Case_mins[[#This Row],[Theatre]])*(tbl_Case_mins[NoInCoreTime]=0)),1),-1)</f>
        <v>-1</v>
      </c>
      <c r="CH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 t="e" cm="1">
        <f t="array" ref="CJ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 s="9" cm="1">
        <f t="array" ref="CO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 s="9" cm="1">
        <f t="array" ref="CP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 s="9" cm="1">
        <f t="array" ref="CQ2">IFERROR(IF(AND(tbl_Case_mins[[#This Row],[FirstAMCase]]=0,tbl_Case_mins[[#This Row],[Rank]]=_xlfn.AGGREGATE(14,6,(tbl_Case_mins[Rank])/((tbl_Case_mins[Surgery Start Date]=tbl_Case_mins[[#This Row],[Surgery Start Date]])*(tbl_Case_mins[Theatre]=tbl_Case_mins[[#This Row],[Theatre]])*(tbl_Case_mins[AmCase]=1)),1)),1,0),0)</f>
        <v>0</v>
      </c>
      <c r="CR2" s="9" cm="1">
        <f t="array" ref="CR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 s="9" t="e" cm="1">
        <f t="array" ref="CS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 s="9" cm="1">
        <f t="array" ref="CT2">IFERROR(IF(tbl_Case_mins[[#This Row],[Rank]]=_xlfn.AGGREGATE(15,6,(tbl_Case_mins[Rank])/((tbl_Case_mins[Surgery Start Date]=tbl_Case_mins[[#This Row],[Surgery Start Date]])*(tbl_Case_mins[Theatre]=tbl_Case_mins[[#This Row],[Theatre]])*(tbl_Case_mins[PmCase]=1)),1),1,0),0)</f>
        <v>0</v>
      </c>
      <c r="CU2">
        <f>IFERROR(#REF!,0)</f>
        <v>0</v>
      </c>
      <c r="CV2" s="9" t="e" cm="1">
        <f t="array" ref="CV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 s="9">
        <f>IFERROR(IF(ISBLANK(INDEX(Bay_AmClose,MATCH(1,INDEX((tbl_Case_mins[[#This Row],[Bay]]=BayNo)*(tbl_Case_mins[[#This Row],[Surgery Start Date]]=BDate),0,1),0))*1440),0,INDEX(Bay_AmClose,MATCH(1,INDEX((tbl_Case_mins[[#This Row],[Bay]]=BayNo)*(tbl_Case_mins[[#This Row],[Surgery Start Date]]=BDate),0,1),0))*1440),0)</f>
        <v>0</v>
      </c>
      <c r="CX2" s="9" cm="1">
        <f t="array" ref="CX2">IFERROR(IF(ISBLANK(INDEX(Bay_PmOpen,MATCH(1,INDEX((tbl_Case_mins[[#This Row],[Bay]]=BayNo)*(tbl_Case_mins[[#This Row],[Surgery Start Date]]=BDate),0,1),0))*1440),0,INDEX(Bay_PmOpen,MATCH(1,INDEX((tbl_Case_mins[[#This Row],[Bay]]=BayNo)*(tbl_Case_mins[[#This Row],[Surgery Start Date]]=BDate),0,1),0))*1440),0)</f>
        <v>0</v>
      </c>
      <c r="CY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 s="9"/>
    </row>
    <row r="3" spans="1:104" x14ac:dyDescent="0.2">
      <c r="A3">
        <v>2</v>
      </c>
      <c r="B3" t="e">
        <f>#REF!</f>
        <v>#REF!</v>
      </c>
      <c r="C3" t="e">
        <f>#REF!</f>
        <v>#REF!</v>
      </c>
      <c r="D3" t="e">
        <f>#REF!</f>
        <v>#REF!</v>
      </c>
      <c r="E3" t="e">
        <f>#REF!</f>
        <v>#REF!</v>
      </c>
      <c r="F3" t="e">
        <f>#REF!</f>
        <v>#REF!</v>
      </c>
      <c r="G3" t="e">
        <f>#REF!</f>
        <v>#REF!</v>
      </c>
      <c r="H3" t="e">
        <f>#REF!</f>
        <v>#REF!</v>
      </c>
      <c r="I3" t="e">
        <f>IF(#REF!="Case Cancelled",1,IF(#REF!="No Cases",2,0))</f>
        <v>#REF!</v>
      </c>
      <c r="J3" t="e">
        <f>#REF!</f>
        <v>#REF!</v>
      </c>
      <c r="K3" s="4" t="e">
        <f>#REF!</f>
        <v>#REF!</v>
      </c>
      <c r="L3" t="e">
        <f>"Wk "&amp;WEEKNUM(tbl_Case_mins[[#This Row],[Surgery Start Date]],21)</f>
        <v>#REF!</v>
      </c>
      <c r="M3" t="e">
        <f>TEXT(tbl_Case_mins[[#This Row],[Surgery Start Date]],"ddd")</f>
        <v>#REF!</v>
      </c>
      <c r="N3" s="9" t="e">
        <f>(#REF!-TIME(0,0,0))*1440</f>
        <v>#REF!</v>
      </c>
      <c r="O3" t="e">
        <f>IF(AND(ROUND((#REF!-TIME(0,0,0))*1440,0)&gt;0,ROUND((#REF!-TIME(0,0,0))*1440,0)&lt;tbl_Case_mins[[#This Row],[Patient Called]],tbl_Case_mins[[#This Row],[Surgery End Date]]&gt;tbl_Case_mins[[#This Row],[Surgery Start Date]]),ROUND((#REF!-TIME(0,0,0))*1440,0)+1440,ROUND((#REF!-TIME(0,0,0))*1440,0))</f>
        <v>#REF!</v>
      </c>
      <c r="P3" s="9" t="e">
        <f>IF(AND(ROUND((#REF!-TIME(0,0,0))*1440,0)&gt;0,ROUND((#REF!-TIME(0,0,0))*1440,0)&lt;tbl_Case_mins[[#This Row],[Arrival]],tbl_Case_mins[[#This Row],[Surgery End Date]]&gt;tbl_Case_mins[[#This Row],[Surgery Start Date]]),ROUND((#REF!-TIME(0,0,0))*1440,0)+1440,ROUND((#REF!-TIME(0,0,0))*1440,0))</f>
        <v>#REF!</v>
      </c>
      <c r="Q3" s="9" t="e">
        <f>IF(AND(ROUND((#REF!-TIME(0,0,0))*1440,0)&gt;0,ROUND((#REF!-TIME(0,0,0))*1440,0)&lt;tbl_Case_mins[[#This Row],[Into Th or AR]],tbl_Case_mins[[#This Row],[Surgery End Date]]&gt;tbl_Case_mins[[#This Row],[Surgery Start Date]]),ROUND((#REF!-TIME(0,0,0))*1440,0)+1440,ROUND((#REF!-TIME(0,0,0))*1440,0))</f>
        <v>#REF!</v>
      </c>
      <c r="R3" s="9" t="e">
        <f>IF(AND(ROUND((#REF!-TIME(0,0,0))*1440,0)&gt;0,ROUND((#REF!-TIME(0,0,0))*1440,0)&lt;tbl_Case_mins[[#This Row],[AnaesthStart]],tbl_Case_mins[[#This Row],[Surgery End Date]]&gt;tbl_Case_mins[[#This Row],[Surgery Start Date]]),ROUND((#REF!-TIME(0,0,0))*1440,0)+1440,ROUND((#REF!-TIME(0,0,0))*1440,0))</f>
        <v>#REF!</v>
      </c>
      <c r="S3" s="9" t="e">
        <f>IF(AND(ROUND((#REF!-TIME(0,0,0))*1440,0),ROUND((#REF!-TIME(0,0,0))*1440,0)&lt;tbl_Case_mins[[#This Row],[Surgery Start]],tbl_Case_mins[[#This Row],[Surgery End Date]]&gt;tbl_Case_mins[[#This Row],[Surgery Start Date]]),ROUND((#REF!-TIME(0,0,0))*1440,0)+1440,ROUND((#REF!-TIME(0,0,0))*1440,0))</f>
        <v>#REF!</v>
      </c>
      <c r="T3" s="9" t="e">
        <f>IF(AND(ROUND((#REF!-TIME(0,0,0))*1440,0)&gt;0,ROUND((#REF!-TIME(0,0,0))*1440,0)&lt;tbl_Case_mins[[#This Row],[Surgery Finish]],tbl_Case_mins[[#This Row],[Surgery End Date]]&gt;tbl_Case_mins[[#This Row],[Surgery Start Date]]),ROUND((#REF!-TIME(0,0,0))*1440,0)+1440,ROUND((#REF!-TIME(0,0,0))*1440,0))</f>
        <v>#REF!</v>
      </c>
      <c r="U3" s="9" t="e">
        <f>IF(AND(ROUND((#REF!-TIME(0,0,0))*1440,0)&gt;0,ROUND((#REF!-TIME(0,0,0))*1440,0)&lt;tbl_Case_mins[[#This Row],[Anaesth End]],tbl_Case_mins[[#This Row],[Surgery End Date]]&gt;tbl_Case_mins[[#This Row],[Surgery Start Date]]),ROUND((#REF!-TIME(0,0,0))*1440,0)+1440,ROUND((#REF!-TIME(0,0,0))*1440,0))</f>
        <v>#REF!</v>
      </c>
      <c r="V3" s="9" t="e">
        <f>IF(AND(ROUND((#REF!-TIME(0,0,0))*1440,0)&gt;0,ROUND((#REF!-TIME(0,0,0))*1440,0)&lt;tbl_Case_mins[[#This Row],[Into Recov]],tbl_Case_mins[[#This Row],[Surgery End Date]]&gt;tbl_Case_mins[[#This Row],[Surgery Start Date]]),ROUND((#REF!-TIME(0,0,0))*1440,0)+1440,ROUND((#REF!-TIME(0,0,0))*1440,0))</f>
        <v>#REF!</v>
      </c>
      <c r="W3" s="9" t="e">
        <f>IF(AND(ROUND((#REF!-TIME(0,0,0))*1440,0)&gt;0,ROUND((#REF!-TIME(0,0,0))*1440,0)&lt;tbl_Case_mins[[#This Row],[Ward Called]],tbl_Case_mins[[#This Row],[Surgery End Date]]&gt;tbl_Case_mins[[#This Row],[Surgery Start Date]]),ROUND((#REF!-TIME(0,0,0))*1440,0)+1440,ROUND((#REF!-TIME(0,0,0))*1440,0))</f>
        <v>#REF!</v>
      </c>
      <c r="X3" s="4" t="e">
        <f>IF(ISBLANK(#REF!),tbl_Case_mins[[#This Row],[Surgery Start Date]],#REF!)</f>
        <v>#REF!</v>
      </c>
      <c r="Y3">
        <f>IFERROR(IF(VLOOKUP(tbl_Case_mins[[#This Row],[Theatre]],'Mng Theatres'!$C$7:$G$12,3,FALSE)="Yes","Yes","No"),0)</f>
        <v>0</v>
      </c>
      <c r="Z3" s="9" t="e" cm="1">
        <f t="array" ref="Z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 s="9" t="e" cm="1">
        <f t="array" ref="AA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 s="9" t="e">
        <f>IF(tbl_Case_mins[[#This Row],[Case Type]]="Unsch",1,0)</f>
        <v>#REF!</v>
      </c>
      <c r="AD3" s="9" t="e">
        <f>IF(tbl_Case_mins[[#This Row],[Case Type]]="Sch",1,0)</f>
        <v>#REF!</v>
      </c>
      <c r="AE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 s="9">
        <f>IFERROR(IF(ISBLANK(INDEX(Am_Close,MATCH(1,INDEX((tbl_Case_mins[[#This Row],[Theatre]]=Theatre_No)*(tbl_Case_mins[[#This Row],[Surgery Start Date]]=Date),0,1),0))*1440),0,INDEX(Am_Close,MATCH(1,INDEX((tbl_Case_mins[[#This Row],[Theatre]]=Theatre_No)*(tbl_Case_mins[[#This Row],[Surgery Start Date]]=Date),0,1),0))*1440),0)</f>
        <v>0</v>
      </c>
      <c r="AG3" s="9">
        <f>IFERROR(IF(ISBLANK(INDEX(PM_Open,MATCH(1,INDEX((tbl_Case_mins[[#This Row],[Theatre]]=Theatre_No)*(tbl_Case_mins[[#This Row],[Surgery Start Date]]=Date),0,1),0))*1440),0,INDEX(PM_Open,MATCH(1,INDEX((tbl_Case_mins[[#This Row],[Theatre]]=Theatre_No)*(tbl_Case_mins[[#This Row],[Surgery Start Date]]=Date),0,1),0))*1440),0)</f>
        <v>0</v>
      </c>
      <c r="AH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 s="9" t="e">
        <f>IF(tbl_Case_mins[[#This Row],[ThOpenAm]]=0,tbl_Case_mins[[#This Row],[ThOpenPM]],tbl_Case_mins[[#This Row],[ThOpenAm]])</f>
        <v>#REF!</v>
      </c>
      <c r="AJ3" s="9" t="e">
        <f>IF(tbl_Case_mins[[#This Row],[ThCloseAm]]&gt;0,IF(tbl_Case_mins[[#This Row],[ThOpenPM]]&gt;0,tbl_Case_mins[[#This Row],[ThClosePm]],tbl_Case_mins[[#This Row],[ThCloseAm]]),tbl_Case_mins[[#This Row],[ThClosePm]])</f>
        <v>#REF!</v>
      </c>
      <c r="AK3" s="9" t="e">
        <f>IF(tbl_Case_mins[[#This Row],[TOT]]&gt;0,1,0)</f>
        <v>#REF!</v>
      </c>
      <c r="AL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 s="9" t="e">
        <f>IF(AND(tbl_Case_mins[[#This Row],[Surgery Status]]&lt;&gt;2,tbl_Case_mins[[#This Row],[InCoreCase]]=0,tbl_Case_mins[[#This Row],[CancelledCase]]=0),1,0)</f>
        <v>#REF!</v>
      </c>
      <c r="AN3" s="9" t="e">
        <f>IF(tbl_Case_mins[[#This Row],[Surgery Status]]=1,1,0)</f>
        <v>#REF!</v>
      </c>
      <c r="AO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 s="9" t="e">
        <f>IF(AND(tbl_Case_mins[[#This Row],[NonCoreCase]]=1,tbl_Case_mins[[#This Row],[NoInCoreTime]]=0),1,0)</f>
        <v>#REF!</v>
      </c>
      <c r="AQ3" s="9" t="e">
        <f>IF(tbl_Case_mins[[#This Row],[Rank_AnaEnd]]&lt;tbl_Case_mins[[#This Row],[Rank_AnaSt]],1,0)</f>
        <v>#REF!</v>
      </c>
      <c r="AR3" s="9" t="e">
        <f>IF(AND(tbl_Case_mins[[#This Row],[InCoreCase]]=1,tbl_Case_mins[[#This Row],[Sch]]=1),1,0)</f>
        <v>#REF!</v>
      </c>
      <c r="AS3" s="9" t="e">
        <f>IF(AND(tbl_Case_mins[[#This Row],[InCoreCase]]=1,tbl_Case_mins[[#This Row],[Unsch]]=1),1,0)</f>
        <v>#REF!</v>
      </c>
      <c r="AT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 s="9" t="e">
        <f>IF(tbl_Case_mins[[#This Row],[Surgery Status]]=0,(tbl_Case_mins[[#This Row],[Anaesth End]]-tbl_Case_mins[[#This Row],[AnaesthStart]]),0)</f>
        <v>#REF!</v>
      </c>
      <c r="AX3" s="9" t="e">
        <f>IF(tbl_Case_mins[[#This Row],[Surgery Status]]=0,(tbl_Case_mins[[#This Row],[Surgery Finish]]-tbl_Case_mins[[#This Row],[Surgery Start]]),0)</f>
        <v>#REF!</v>
      </c>
      <c r="AY3" s="9" t="e">
        <f>tbl_Case_mins[[#This Row],[Surgery Start]]-tbl_Case_mins[[#This Row],[AnaesthStart]]</f>
        <v>#REF!</v>
      </c>
      <c r="AZ3" s="9" t="e">
        <f>tbl_Case_mins[[#This Row],[Anaesth End]]-tbl_Case_mins[[#This Row],[Surgery Finish]]</f>
        <v>#REF!</v>
      </c>
      <c r="BA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 s="16" cm="1">
        <f t="array" ref="BC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 s="16" t="e">
        <f>IF(AND(tbl_Case_mins[[#This Row],[FirstAMCase]]=1,tbl_Case_mins[[#This Row],[CancelledCase]]=0,OR(tbl_Case_mins[[#This Row],[EarlyStartAM]]&gt;0,tbl_Case_mins[[#This Row],[AnaesthStart]]=tbl_Case_mins[[#This Row],[ThOpenAm]])),1,0)</f>
        <v>#REF!</v>
      </c>
      <c r="BE3" s="16" t="e">
        <f>IF(AND(tbl_Case_mins[[#This Row],[Rank_AnaSt]]=tbl_Case_mins[[#This Row],[Min_RankAnaSt]],tbl_Case_mins[[#This Row],[Anaesth End]]&gt;=tbl_Case_mins[[#This Row],[ThOpenAm]],tbl_Case_mins[[#This Row],[PmCase]]=0),1,0)</f>
        <v>#REF!</v>
      </c>
      <c r="BF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 s="9" t="e" cm="1">
        <f t="array" ref="BH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 s="9" t="e">
        <f>IF(AND(tbl_Case_mins[[#This Row],[ThOpenPM]]&gt;0,tbl_Case_mins[[#This Row],[AnaesthStart]]&gt;tbl_Case_mins[[#This Row],[ThOpenPM]],tbl_Case_mins[[#This Row],[First PM Case]]=1),tbl_Case_mins[[#This Row],[AnaesthStart]]-tbl_Case_mins[[#This Row],[ThOpenPM]],0)</f>
        <v>#REF!</v>
      </c>
      <c r="BL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 s="9" t="e" cm="1">
        <f t="array" ref="BN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 s="9" t="e">
        <f>IF(AND(tbl_Case_mins[[#This Row],[ThClosePm]]&gt;0,tbl_Case_mins[[#This Row],[Anaesth End]]&gt;tbl_Case_mins[[#This Row],[ThClosePm]],tbl_Case_mins[[#This Row],[AnaesthStart]]&gt;tbl_Case_mins[[#This Row],[ThClosePm]]),tbl_Case_mins[[#This Row],[Into Recov]]-tbl_Case_mins[[#This Row],[AnaesthStart]],0)</f>
        <v>#REF!</v>
      </c>
      <c r="BP3" s="9" t="e">
        <f>IF(AND(tbl_Case_mins[[#This Row],[AnaesthStart]]&lt;tbl_Case_mins[[#This Row],[ThClosePm]],tbl_Case_mins[[#This Row],[Anaesth End]]&gt;tbl_Case_mins[[#This Row],[ThClosePm]]),tbl_Case_mins[[#This Row],[Anaesth End]]-tbl_Case_mins[[#This Row],[ThClosePm]],0)</f>
        <v>#REF!</v>
      </c>
      <c r="BQ3" s="9" t="e" cm="1">
        <f t="array" ref="BQ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 s="9" t="e" cm="1">
        <f t="array" ref="BR3">IF(tbl_Case_mins[[#This Row],[Rank_Adjust]]=SUMPRODUCT(-(tbl_Case_mins[Surgery Start Date]=tbl_Case_mins[[#This Row],[Surgery Start Date]]),-(tbl_Case_mins[Theatre]=tbl_Case_mins[[#This Row],[Theatre]])),INDEX(Poss_Time,MATCH(TEXT(tbl_Case_mins[[#This Row],[Surgery Start Date]],"ddd"),Day,0)),0)</f>
        <v>#REF!</v>
      </c>
      <c r="BS3" s="9" t="e">
        <f>tbl_Case_mins[[#This Row],[Core_Time]]*Util_Goal</f>
        <v>#REF!</v>
      </c>
      <c r="BT3" s="9" t="e" cm="1">
        <f t="array" ref="BT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 s="9" t="e" cm="1">
        <f t="array" ref="BU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 s="9" t="e">
        <f>IF(tbl_Case_mins[[#This Row],[Surgery End Date]]&gt;tbl_Case_mins[[#This Row],[Surgery Start Date]],tbl_Case_mins[[#This Row],[Anaesth End]]-1440,0)</f>
        <v>#REF!</v>
      </c>
      <c r="BY3" s="9" t="e">
        <f>tbl_Case_mins[[#This Row],[Total_NonCore]]-tbl_Case_mins[[#This Row],[NextDay_NonCore]]</f>
        <v>#REF!</v>
      </c>
      <c r="BZ3" s="10" t="e">
        <f>tbl_Case_mins[[#This Row],[InCoreUse]]/60</f>
        <v>#REF!</v>
      </c>
      <c r="CA3" s="10" t="e">
        <f>tbl_Case_mins[[#This Row],[Total_NonCore]]/60</f>
        <v>#REF!</v>
      </c>
      <c r="CB3" t="e" cm="1">
        <f t="array" ref="CB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 s="9" t="e" cm="1">
        <f t="array" ref="CC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 s="9" t="e" cm="1">
        <f t="array" ref="CD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 s="9" t="e" cm="1">
        <f t="array" ref="CE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 s="9" cm="1">
        <f t="array" ref="CF3">IFERROR(_xlfn.AGGREGATE(14,6,(tbl_Case_mins[Rank_AnaEnd])/((tbl_Case_mins[Surgery Start Date]=tbl_Case_mins[[#This Row],[Surgery Start Date]])*(tbl_Case_mins[Theatre]=tbl_Case_mins[[#This Row],[Theatre]])*(tbl_Case_mins[NoInCoreTime]=0)),1),-1)</f>
        <v>-1</v>
      </c>
      <c r="CG3" s="9" cm="1">
        <f t="array" ref="CG3">IFERROR(_xlfn.AGGREGATE(15,6,(tbl_Case_mins[Rank_AnaSt])/((tbl_Case_mins[Surgery Start Date]=tbl_Case_mins[[#This Row],[Surgery Start Date]])*(tbl_Case_mins[Theatre]=tbl_Case_mins[[#This Row],[Theatre]])*(tbl_Case_mins[NoInCoreTime]=0)),1),-1)</f>
        <v>-1</v>
      </c>
      <c r="CH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 t="e" cm="1">
        <f t="array" ref="CJ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 s="9" cm="1">
        <f t="array" ref="CO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 s="9" cm="1">
        <f t="array" ref="CP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 s="9" cm="1">
        <f t="array" ref="CQ3">IFERROR(IF(AND(tbl_Case_mins[[#This Row],[FirstAMCase]]=0,tbl_Case_mins[[#This Row],[Rank]]=_xlfn.AGGREGATE(14,6,(tbl_Case_mins[Rank])/((tbl_Case_mins[Surgery Start Date]=tbl_Case_mins[[#This Row],[Surgery Start Date]])*(tbl_Case_mins[Theatre]=tbl_Case_mins[[#This Row],[Theatre]])*(tbl_Case_mins[AmCase]=1)),1)),1,0),0)</f>
        <v>0</v>
      </c>
      <c r="CR3" s="9" cm="1">
        <f t="array" ref="CR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 s="9" t="e" cm="1">
        <f t="array" ref="CS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 s="9" cm="1">
        <f t="array" ref="CT3">IFERROR(IF(tbl_Case_mins[[#This Row],[Rank]]=_xlfn.AGGREGATE(15,6,(tbl_Case_mins[Rank])/((tbl_Case_mins[Surgery Start Date]=tbl_Case_mins[[#This Row],[Surgery Start Date]])*(tbl_Case_mins[Theatre]=tbl_Case_mins[[#This Row],[Theatre]])*(tbl_Case_mins[PmCase]=1)),1),1,0),0)</f>
        <v>0</v>
      </c>
      <c r="CU3">
        <f>IFERROR(#REF!,0)</f>
        <v>0</v>
      </c>
      <c r="CV3" s="9" t="e" cm="1">
        <f t="array" ref="CV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 s="9">
        <f>IFERROR(IF(ISBLANK(INDEX(Bay_AmClose,MATCH(1,INDEX((tbl_Case_mins[[#This Row],[Bay]]=BayNo)*(tbl_Case_mins[[#This Row],[Surgery Start Date]]=BDate),0,1),0))*1440),0,INDEX(Bay_AmClose,MATCH(1,INDEX((tbl_Case_mins[[#This Row],[Bay]]=BayNo)*(tbl_Case_mins[[#This Row],[Surgery Start Date]]=BDate),0,1),0))*1440),0)</f>
        <v>0</v>
      </c>
      <c r="CX3" s="9" cm="1">
        <f t="array" ref="CX3">IFERROR(IF(ISBLANK(INDEX(Bay_PmOpen,MATCH(1,INDEX((tbl_Case_mins[[#This Row],[Bay]]=BayNo)*(tbl_Case_mins[[#This Row],[Surgery Start Date]]=BDate),0,1),0))*1440),0,INDEX(Bay_PmOpen,MATCH(1,INDEX((tbl_Case_mins[[#This Row],[Bay]]=BayNo)*(tbl_Case_mins[[#This Row],[Surgery Start Date]]=BDate),0,1),0))*1440),0)</f>
        <v>0</v>
      </c>
      <c r="CY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 s="9"/>
    </row>
    <row r="4" spans="1:104" x14ac:dyDescent="0.2">
      <c r="A4">
        <v>3</v>
      </c>
      <c r="B4" t="e">
        <f>#REF!</f>
        <v>#REF!</v>
      </c>
      <c r="C4" t="e">
        <f>#REF!</f>
        <v>#REF!</v>
      </c>
      <c r="D4" t="e">
        <f>#REF!</f>
        <v>#REF!</v>
      </c>
      <c r="E4" t="e">
        <f>#REF!</f>
        <v>#REF!</v>
      </c>
      <c r="F4" t="e">
        <f>#REF!</f>
        <v>#REF!</v>
      </c>
      <c r="G4" t="e">
        <f>#REF!</f>
        <v>#REF!</v>
      </c>
      <c r="H4" t="e">
        <f>#REF!</f>
        <v>#REF!</v>
      </c>
      <c r="I4" t="e">
        <f>IF(#REF!="Case Cancelled",1,IF(#REF!="No Cases",2,0))</f>
        <v>#REF!</v>
      </c>
      <c r="J4" t="e">
        <f>#REF!</f>
        <v>#REF!</v>
      </c>
      <c r="K4" s="4" t="e">
        <f>#REF!</f>
        <v>#REF!</v>
      </c>
      <c r="L4" t="e">
        <f>"Wk "&amp;WEEKNUM(tbl_Case_mins[[#This Row],[Surgery Start Date]],21)</f>
        <v>#REF!</v>
      </c>
      <c r="M4" t="e">
        <f>TEXT(tbl_Case_mins[[#This Row],[Surgery Start Date]],"ddd")</f>
        <v>#REF!</v>
      </c>
      <c r="N4" s="9" t="e">
        <f>(#REF!-TIME(0,0,0))*1440</f>
        <v>#REF!</v>
      </c>
      <c r="O4" t="e">
        <f>IF(AND(ROUND((#REF!-TIME(0,0,0))*1440,0)&gt;0,ROUND((#REF!-TIME(0,0,0))*1440,0)&lt;tbl_Case_mins[[#This Row],[Patient Called]],tbl_Case_mins[[#This Row],[Surgery End Date]]&gt;tbl_Case_mins[[#This Row],[Surgery Start Date]]),ROUND((#REF!-TIME(0,0,0))*1440,0)+1440,ROUND((#REF!-TIME(0,0,0))*1440,0))</f>
        <v>#REF!</v>
      </c>
      <c r="P4" s="9" t="e">
        <f>IF(AND(ROUND((#REF!-TIME(0,0,0))*1440,0)&gt;0,ROUND((#REF!-TIME(0,0,0))*1440,0)&lt;tbl_Case_mins[[#This Row],[Arrival]],tbl_Case_mins[[#This Row],[Surgery End Date]]&gt;tbl_Case_mins[[#This Row],[Surgery Start Date]]),ROUND((#REF!-TIME(0,0,0))*1440,0)+1440,ROUND((#REF!-TIME(0,0,0))*1440,0))</f>
        <v>#REF!</v>
      </c>
      <c r="Q4" s="9" t="e">
        <f>IF(AND(ROUND((#REF!-TIME(0,0,0))*1440,0)&gt;0,ROUND((#REF!-TIME(0,0,0))*1440,0)&lt;tbl_Case_mins[[#This Row],[Into Th or AR]],tbl_Case_mins[[#This Row],[Surgery End Date]]&gt;tbl_Case_mins[[#This Row],[Surgery Start Date]]),ROUND((#REF!-TIME(0,0,0))*1440,0)+1440,ROUND((#REF!-TIME(0,0,0))*1440,0))</f>
        <v>#REF!</v>
      </c>
      <c r="R4" s="9" t="e">
        <f>IF(AND(ROUND((#REF!-TIME(0,0,0))*1440,0)&gt;0,ROUND((#REF!-TIME(0,0,0))*1440,0)&lt;tbl_Case_mins[[#This Row],[AnaesthStart]],tbl_Case_mins[[#This Row],[Surgery End Date]]&gt;tbl_Case_mins[[#This Row],[Surgery Start Date]]),ROUND((#REF!-TIME(0,0,0))*1440,0)+1440,ROUND((#REF!-TIME(0,0,0))*1440,0))</f>
        <v>#REF!</v>
      </c>
      <c r="S4" s="9" t="e">
        <f>IF(AND(ROUND((#REF!-TIME(0,0,0))*1440,0),ROUND((#REF!-TIME(0,0,0))*1440,0)&lt;tbl_Case_mins[[#This Row],[Surgery Start]],tbl_Case_mins[[#This Row],[Surgery End Date]]&gt;tbl_Case_mins[[#This Row],[Surgery Start Date]]),ROUND((#REF!-TIME(0,0,0))*1440,0)+1440,ROUND((#REF!-TIME(0,0,0))*1440,0))</f>
        <v>#REF!</v>
      </c>
      <c r="T4" s="9" t="e">
        <f>IF(AND(ROUND((#REF!-TIME(0,0,0))*1440,0)&gt;0,ROUND((#REF!-TIME(0,0,0))*1440,0)&lt;tbl_Case_mins[[#This Row],[Surgery Finish]],tbl_Case_mins[[#This Row],[Surgery End Date]]&gt;tbl_Case_mins[[#This Row],[Surgery Start Date]]),ROUND((#REF!-TIME(0,0,0))*1440,0)+1440,ROUND((#REF!-TIME(0,0,0))*1440,0))</f>
        <v>#REF!</v>
      </c>
      <c r="U4" s="9" t="e">
        <f>IF(AND(ROUND((#REF!-TIME(0,0,0))*1440,0)&gt;0,ROUND((#REF!-TIME(0,0,0))*1440,0)&lt;tbl_Case_mins[[#This Row],[Anaesth End]],tbl_Case_mins[[#This Row],[Surgery End Date]]&gt;tbl_Case_mins[[#This Row],[Surgery Start Date]]),ROUND((#REF!-TIME(0,0,0))*1440,0)+1440,ROUND((#REF!-TIME(0,0,0))*1440,0))</f>
        <v>#REF!</v>
      </c>
      <c r="V4" s="9" t="e">
        <f>IF(AND(ROUND((#REF!-TIME(0,0,0))*1440,0)&gt;0,ROUND((#REF!-TIME(0,0,0))*1440,0)&lt;tbl_Case_mins[[#This Row],[Into Recov]],tbl_Case_mins[[#This Row],[Surgery End Date]]&gt;tbl_Case_mins[[#This Row],[Surgery Start Date]]),ROUND((#REF!-TIME(0,0,0))*1440,0)+1440,ROUND((#REF!-TIME(0,0,0))*1440,0))</f>
        <v>#REF!</v>
      </c>
      <c r="W4" s="9" t="e">
        <f>IF(AND(ROUND((#REF!-TIME(0,0,0))*1440,0)&gt;0,ROUND((#REF!-TIME(0,0,0))*1440,0)&lt;tbl_Case_mins[[#This Row],[Ward Called]],tbl_Case_mins[[#This Row],[Surgery End Date]]&gt;tbl_Case_mins[[#This Row],[Surgery Start Date]]),ROUND((#REF!-TIME(0,0,0))*1440,0)+1440,ROUND((#REF!-TIME(0,0,0))*1440,0))</f>
        <v>#REF!</v>
      </c>
      <c r="X4" s="4" t="e">
        <f>IF(ISBLANK(#REF!),tbl_Case_mins[[#This Row],[Surgery Start Date]],#REF!)</f>
        <v>#REF!</v>
      </c>
      <c r="Y4">
        <f>IFERROR(IF(VLOOKUP(tbl_Case_mins[[#This Row],[Theatre]],'Mng Theatres'!$C$7:$G$12,3,FALSE)="Yes","Yes","No"),0)</f>
        <v>0</v>
      </c>
      <c r="Z4" s="9" t="e" cm="1">
        <f t="array" ref="Z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 s="9" t="e" cm="1">
        <f t="array" ref="AA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 s="9" t="e">
        <f>IF(tbl_Case_mins[[#This Row],[Case Type]]="Unsch",1,0)</f>
        <v>#REF!</v>
      </c>
      <c r="AD4" s="9" t="e">
        <f>IF(tbl_Case_mins[[#This Row],[Case Type]]="Sch",1,0)</f>
        <v>#REF!</v>
      </c>
      <c r="AE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 s="9">
        <f>IFERROR(IF(ISBLANK(INDEX(Am_Close,MATCH(1,INDEX((tbl_Case_mins[[#This Row],[Theatre]]=Theatre_No)*(tbl_Case_mins[[#This Row],[Surgery Start Date]]=Date),0,1),0))*1440),0,INDEX(Am_Close,MATCH(1,INDEX((tbl_Case_mins[[#This Row],[Theatre]]=Theatre_No)*(tbl_Case_mins[[#This Row],[Surgery Start Date]]=Date),0,1),0))*1440),0)</f>
        <v>0</v>
      </c>
      <c r="AG4" s="9">
        <f>IFERROR(IF(ISBLANK(INDEX(PM_Open,MATCH(1,INDEX((tbl_Case_mins[[#This Row],[Theatre]]=Theatre_No)*(tbl_Case_mins[[#This Row],[Surgery Start Date]]=Date),0,1),0))*1440),0,INDEX(PM_Open,MATCH(1,INDEX((tbl_Case_mins[[#This Row],[Theatre]]=Theatre_No)*(tbl_Case_mins[[#This Row],[Surgery Start Date]]=Date),0,1),0))*1440),0)</f>
        <v>0</v>
      </c>
      <c r="AH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 s="9" t="e">
        <f>IF(tbl_Case_mins[[#This Row],[ThOpenAm]]=0,tbl_Case_mins[[#This Row],[ThOpenPM]],tbl_Case_mins[[#This Row],[ThOpenAm]])</f>
        <v>#REF!</v>
      </c>
      <c r="AJ4" s="9" t="e">
        <f>IF(tbl_Case_mins[[#This Row],[ThCloseAm]]&gt;0,IF(tbl_Case_mins[[#This Row],[ThOpenPM]]&gt;0,tbl_Case_mins[[#This Row],[ThClosePm]],tbl_Case_mins[[#This Row],[ThCloseAm]]),tbl_Case_mins[[#This Row],[ThClosePm]])</f>
        <v>#REF!</v>
      </c>
      <c r="AK4" s="9" t="e">
        <f>IF(tbl_Case_mins[[#This Row],[TOT]]&gt;0,1,0)</f>
        <v>#REF!</v>
      </c>
      <c r="AL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 s="9" t="e">
        <f>IF(AND(tbl_Case_mins[[#This Row],[Surgery Status]]&lt;&gt;2,tbl_Case_mins[[#This Row],[InCoreCase]]=0,tbl_Case_mins[[#This Row],[CancelledCase]]=0),1,0)</f>
        <v>#REF!</v>
      </c>
      <c r="AN4" s="9" t="e">
        <f>IF(tbl_Case_mins[[#This Row],[Surgery Status]]=1,1,0)</f>
        <v>#REF!</v>
      </c>
      <c r="AO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 s="9" t="e">
        <f>IF(AND(tbl_Case_mins[[#This Row],[NonCoreCase]]=1,tbl_Case_mins[[#This Row],[NoInCoreTime]]=0),1,0)</f>
        <v>#REF!</v>
      </c>
      <c r="AQ4" s="9" t="e">
        <f>IF(tbl_Case_mins[[#This Row],[Rank_AnaEnd]]&lt;tbl_Case_mins[[#This Row],[Rank_AnaSt]],1,0)</f>
        <v>#REF!</v>
      </c>
      <c r="AR4" s="9" t="e">
        <f>IF(AND(tbl_Case_mins[[#This Row],[InCoreCase]]=1,tbl_Case_mins[[#This Row],[Sch]]=1),1,0)</f>
        <v>#REF!</v>
      </c>
      <c r="AS4" s="9" t="e">
        <f>IF(AND(tbl_Case_mins[[#This Row],[InCoreCase]]=1,tbl_Case_mins[[#This Row],[Unsch]]=1),1,0)</f>
        <v>#REF!</v>
      </c>
      <c r="AT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 s="9" t="e">
        <f>IF(tbl_Case_mins[[#This Row],[Surgery Status]]=0,(tbl_Case_mins[[#This Row],[Anaesth End]]-tbl_Case_mins[[#This Row],[AnaesthStart]]),0)</f>
        <v>#REF!</v>
      </c>
      <c r="AX4" s="9" t="e">
        <f>IF(tbl_Case_mins[[#This Row],[Surgery Status]]=0,(tbl_Case_mins[[#This Row],[Surgery Finish]]-tbl_Case_mins[[#This Row],[Surgery Start]]),0)</f>
        <v>#REF!</v>
      </c>
      <c r="AY4" s="9" t="e">
        <f>tbl_Case_mins[[#This Row],[Surgery Start]]-tbl_Case_mins[[#This Row],[AnaesthStart]]</f>
        <v>#REF!</v>
      </c>
      <c r="AZ4" s="9" t="e">
        <f>tbl_Case_mins[[#This Row],[Anaesth End]]-tbl_Case_mins[[#This Row],[Surgery Finish]]</f>
        <v>#REF!</v>
      </c>
      <c r="BA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 s="16" cm="1">
        <f t="array" ref="BC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 s="16" t="e">
        <f>IF(AND(tbl_Case_mins[[#This Row],[FirstAMCase]]=1,tbl_Case_mins[[#This Row],[CancelledCase]]=0,OR(tbl_Case_mins[[#This Row],[EarlyStartAM]]&gt;0,tbl_Case_mins[[#This Row],[AnaesthStart]]=tbl_Case_mins[[#This Row],[ThOpenAm]])),1,0)</f>
        <v>#REF!</v>
      </c>
      <c r="BE4" s="16" t="e">
        <f>IF(AND(tbl_Case_mins[[#This Row],[Rank_AnaSt]]=tbl_Case_mins[[#This Row],[Min_RankAnaSt]],tbl_Case_mins[[#This Row],[Anaesth End]]&gt;=tbl_Case_mins[[#This Row],[ThOpenAm]],tbl_Case_mins[[#This Row],[PmCase]]=0),1,0)</f>
        <v>#REF!</v>
      </c>
      <c r="BF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 s="9" t="e" cm="1">
        <f t="array" ref="BH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 s="9" t="e">
        <f>IF(AND(tbl_Case_mins[[#This Row],[ThOpenPM]]&gt;0,tbl_Case_mins[[#This Row],[AnaesthStart]]&gt;tbl_Case_mins[[#This Row],[ThOpenPM]],tbl_Case_mins[[#This Row],[First PM Case]]=1),tbl_Case_mins[[#This Row],[AnaesthStart]]-tbl_Case_mins[[#This Row],[ThOpenPM]],0)</f>
        <v>#REF!</v>
      </c>
      <c r="BL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 s="9" t="e" cm="1">
        <f t="array" ref="BN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 s="9" t="e">
        <f>IF(AND(tbl_Case_mins[[#This Row],[ThClosePm]]&gt;0,tbl_Case_mins[[#This Row],[Anaesth End]]&gt;tbl_Case_mins[[#This Row],[ThClosePm]],tbl_Case_mins[[#This Row],[AnaesthStart]]&gt;tbl_Case_mins[[#This Row],[ThClosePm]]),tbl_Case_mins[[#This Row],[Into Recov]]-tbl_Case_mins[[#This Row],[AnaesthStart]],0)</f>
        <v>#REF!</v>
      </c>
      <c r="BP4" s="9" t="e">
        <f>IF(AND(tbl_Case_mins[[#This Row],[AnaesthStart]]&lt;tbl_Case_mins[[#This Row],[ThClosePm]],tbl_Case_mins[[#This Row],[Anaesth End]]&gt;tbl_Case_mins[[#This Row],[ThClosePm]]),tbl_Case_mins[[#This Row],[Anaesth End]]-tbl_Case_mins[[#This Row],[ThClosePm]],0)</f>
        <v>#REF!</v>
      </c>
      <c r="BQ4" s="9" t="e" cm="1">
        <f t="array" ref="BQ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 s="9" t="e" cm="1">
        <f t="array" ref="BR4">IF(tbl_Case_mins[[#This Row],[Rank_Adjust]]=SUMPRODUCT(-(tbl_Case_mins[Surgery Start Date]=tbl_Case_mins[[#This Row],[Surgery Start Date]]),-(tbl_Case_mins[Theatre]=tbl_Case_mins[[#This Row],[Theatre]])),INDEX(Poss_Time,MATCH(TEXT(tbl_Case_mins[[#This Row],[Surgery Start Date]],"ddd"),Day,0)),0)</f>
        <v>#REF!</v>
      </c>
      <c r="BS4" s="9" t="e">
        <f>tbl_Case_mins[[#This Row],[Core_Time]]*Util_Goal</f>
        <v>#REF!</v>
      </c>
      <c r="BT4" s="9" t="e" cm="1">
        <f t="array" ref="BT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 s="9" t="e" cm="1">
        <f t="array" ref="BU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 s="9" t="e">
        <f>IF(tbl_Case_mins[[#This Row],[Surgery End Date]]&gt;tbl_Case_mins[[#This Row],[Surgery Start Date]],tbl_Case_mins[[#This Row],[Anaesth End]]-1440,0)</f>
        <v>#REF!</v>
      </c>
      <c r="BY4" s="9" t="e">
        <f>tbl_Case_mins[[#This Row],[Total_NonCore]]-tbl_Case_mins[[#This Row],[NextDay_NonCore]]</f>
        <v>#REF!</v>
      </c>
      <c r="BZ4" s="10" t="e">
        <f>tbl_Case_mins[[#This Row],[InCoreUse]]/60</f>
        <v>#REF!</v>
      </c>
      <c r="CA4" s="10" t="e">
        <f>tbl_Case_mins[[#This Row],[Total_NonCore]]/60</f>
        <v>#REF!</v>
      </c>
      <c r="CB4" t="e" cm="1">
        <f t="array" ref="CB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 s="9" t="e" cm="1">
        <f t="array" ref="CC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 s="9" t="e" cm="1">
        <f t="array" ref="CD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 s="9" t="e" cm="1">
        <f t="array" ref="CE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 s="9" cm="1">
        <f t="array" ref="CF4">IFERROR(_xlfn.AGGREGATE(14,6,(tbl_Case_mins[Rank_AnaEnd])/((tbl_Case_mins[Surgery Start Date]=tbl_Case_mins[[#This Row],[Surgery Start Date]])*(tbl_Case_mins[Theatre]=tbl_Case_mins[[#This Row],[Theatre]])*(tbl_Case_mins[NoInCoreTime]=0)),1),-1)</f>
        <v>-1</v>
      </c>
      <c r="CG4" s="9" cm="1">
        <f t="array" ref="CG4">IFERROR(_xlfn.AGGREGATE(15,6,(tbl_Case_mins[Rank_AnaSt])/((tbl_Case_mins[Surgery Start Date]=tbl_Case_mins[[#This Row],[Surgery Start Date]])*(tbl_Case_mins[Theatre]=tbl_Case_mins[[#This Row],[Theatre]])*(tbl_Case_mins[NoInCoreTime]=0)),1),-1)</f>
        <v>-1</v>
      </c>
      <c r="CH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 t="e" cm="1">
        <f t="array" ref="CJ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 s="9" cm="1">
        <f t="array" ref="CO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 s="9" cm="1">
        <f t="array" ref="CP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 s="9" cm="1">
        <f t="array" ref="CQ4">IFERROR(IF(AND(tbl_Case_mins[[#This Row],[FirstAMCase]]=0,tbl_Case_mins[[#This Row],[Rank]]=_xlfn.AGGREGATE(14,6,(tbl_Case_mins[Rank])/((tbl_Case_mins[Surgery Start Date]=tbl_Case_mins[[#This Row],[Surgery Start Date]])*(tbl_Case_mins[Theatre]=tbl_Case_mins[[#This Row],[Theatre]])*(tbl_Case_mins[AmCase]=1)),1)),1,0),0)</f>
        <v>0</v>
      </c>
      <c r="CR4" s="9" cm="1">
        <f t="array" ref="CR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 s="9" t="e" cm="1">
        <f t="array" ref="CS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 s="9" cm="1">
        <f t="array" ref="CT4">IFERROR(IF(tbl_Case_mins[[#This Row],[Rank]]=_xlfn.AGGREGATE(15,6,(tbl_Case_mins[Rank])/((tbl_Case_mins[Surgery Start Date]=tbl_Case_mins[[#This Row],[Surgery Start Date]])*(tbl_Case_mins[Theatre]=tbl_Case_mins[[#This Row],[Theatre]])*(tbl_Case_mins[PmCase]=1)),1),1,0),0)</f>
        <v>0</v>
      </c>
      <c r="CU4">
        <f>IFERROR(#REF!,0)</f>
        <v>0</v>
      </c>
      <c r="CV4" s="9" t="e" cm="1">
        <f t="array" ref="CV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 s="9">
        <f>IFERROR(IF(ISBLANK(INDEX(Bay_AmClose,MATCH(1,INDEX((tbl_Case_mins[[#This Row],[Bay]]=BayNo)*(tbl_Case_mins[[#This Row],[Surgery Start Date]]=BDate),0,1),0))*1440),0,INDEX(Bay_AmClose,MATCH(1,INDEX((tbl_Case_mins[[#This Row],[Bay]]=BayNo)*(tbl_Case_mins[[#This Row],[Surgery Start Date]]=BDate),0,1),0))*1440),0)</f>
        <v>0</v>
      </c>
      <c r="CX4" s="9" cm="1">
        <f t="array" ref="CX4">IFERROR(IF(ISBLANK(INDEX(Bay_PmOpen,MATCH(1,INDEX((tbl_Case_mins[[#This Row],[Bay]]=BayNo)*(tbl_Case_mins[[#This Row],[Surgery Start Date]]=BDate),0,1),0))*1440),0,INDEX(Bay_PmOpen,MATCH(1,INDEX((tbl_Case_mins[[#This Row],[Bay]]=BayNo)*(tbl_Case_mins[[#This Row],[Surgery Start Date]]=BDate),0,1),0))*1440),0)</f>
        <v>0</v>
      </c>
      <c r="CY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 s="9"/>
    </row>
    <row r="5" spans="1:104" x14ac:dyDescent="0.2">
      <c r="A5">
        <v>4</v>
      </c>
      <c r="B5" t="e">
        <f>#REF!</f>
        <v>#REF!</v>
      </c>
      <c r="C5" t="e">
        <f>#REF!</f>
        <v>#REF!</v>
      </c>
      <c r="D5" t="e">
        <f>#REF!</f>
        <v>#REF!</v>
      </c>
      <c r="E5" t="e">
        <f>#REF!</f>
        <v>#REF!</v>
      </c>
      <c r="F5" t="e">
        <f>#REF!</f>
        <v>#REF!</v>
      </c>
      <c r="G5" t="e">
        <f>#REF!</f>
        <v>#REF!</v>
      </c>
      <c r="H5" t="e">
        <f>#REF!</f>
        <v>#REF!</v>
      </c>
      <c r="I5" t="e">
        <f>IF(#REF!="Case Cancelled",1,IF(#REF!="No Cases",2,0))</f>
        <v>#REF!</v>
      </c>
      <c r="J5" t="e">
        <f>#REF!</f>
        <v>#REF!</v>
      </c>
      <c r="K5" s="4" t="e">
        <f>#REF!</f>
        <v>#REF!</v>
      </c>
      <c r="L5" t="e">
        <f>"Wk "&amp;WEEKNUM(tbl_Case_mins[[#This Row],[Surgery Start Date]],21)</f>
        <v>#REF!</v>
      </c>
      <c r="M5" t="e">
        <f>TEXT(tbl_Case_mins[[#This Row],[Surgery Start Date]],"ddd")</f>
        <v>#REF!</v>
      </c>
      <c r="N5" s="9" t="e">
        <f>(#REF!-TIME(0,0,0))*1440</f>
        <v>#REF!</v>
      </c>
      <c r="O5" t="e">
        <f>IF(AND(ROUND((#REF!-TIME(0,0,0))*1440,0)&gt;0,ROUND((#REF!-TIME(0,0,0))*1440,0)&lt;tbl_Case_mins[[#This Row],[Patient Called]],tbl_Case_mins[[#This Row],[Surgery End Date]]&gt;tbl_Case_mins[[#This Row],[Surgery Start Date]]),ROUND((#REF!-TIME(0,0,0))*1440,0)+1440,ROUND((#REF!-TIME(0,0,0))*1440,0))</f>
        <v>#REF!</v>
      </c>
      <c r="P5" s="9" t="e">
        <f>IF(AND(ROUND((#REF!-TIME(0,0,0))*1440,0)&gt;0,ROUND((#REF!-TIME(0,0,0))*1440,0)&lt;tbl_Case_mins[[#This Row],[Arrival]],tbl_Case_mins[[#This Row],[Surgery End Date]]&gt;tbl_Case_mins[[#This Row],[Surgery Start Date]]),ROUND((#REF!-TIME(0,0,0))*1440,0)+1440,ROUND((#REF!-TIME(0,0,0))*1440,0))</f>
        <v>#REF!</v>
      </c>
      <c r="Q5" s="9" t="e">
        <f>IF(AND(ROUND((#REF!-TIME(0,0,0))*1440,0)&gt;0,ROUND((#REF!-TIME(0,0,0))*1440,0)&lt;tbl_Case_mins[[#This Row],[Into Th or AR]],tbl_Case_mins[[#This Row],[Surgery End Date]]&gt;tbl_Case_mins[[#This Row],[Surgery Start Date]]),ROUND((#REF!-TIME(0,0,0))*1440,0)+1440,ROUND((#REF!-TIME(0,0,0))*1440,0))</f>
        <v>#REF!</v>
      </c>
      <c r="R5" s="9" t="e">
        <f>IF(AND(ROUND((#REF!-TIME(0,0,0))*1440,0)&gt;0,ROUND((#REF!-TIME(0,0,0))*1440,0)&lt;tbl_Case_mins[[#This Row],[AnaesthStart]],tbl_Case_mins[[#This Row],[Surgery End Date]]&gt;tbl_Case_mins[[#This Row],[Surgery Start Date]]),ROUND((#REF!-TIME(0,0,0))*1440,0)+1440,ROUND((#REF!-TIME(0,0,0))*1440,0))</f>
        <v>#REF!</v>
      </c>
      <c r="S5" s="9" t="e">
        <f>IF(AND(ROUND((#REF!-TIME(0,0,0))*1440,0),ROUND((#REF!-TIME(0,0,0))*1440,0)&lt;tbl_Case_mins[[#This Row],[Surgery Start]],tbl_Case_mins[[#This Row],[Surgery End Date]]&gt;tbl_Case_mins[[#This Row],[Surgery Start Date]]),ROUND((#REF!-TIME(0,0,0))*1440,0)+1440,ROUND((#REF!-TIME(0,0,0))*1440,0))</f>
        <v>#REF!</v>
      </c>
      <c r="T5" s="9" t="e">
        <f>IF(AND(ROUND((#REF!-TIME(0,0,0))*1440,0)&gt;0,ROUND((#REF!-TIME(0,0,0))*1440,0)&lt;tbl_Case_mins[[#This Row],[Surgery Finish]],tbl_Case_mins[[#This Row],[Surgery End Date]]&gt;tbl_Case_mins[[#This Row],[Surgery Start Date]]),ROUND((#REF!-TIME(0,0,0))*1440,0)+1440,ROUND((#REF!-TIME(0,0,0))*1440,0))</f>
        <v>#REF!</v>
      </c>
      <c r="U5" s="9" t="e">
        <f>IF(AND(ROUND((#REF!-TIME(0,0,0))*1440,0)&gt;0,ROUND((#REF!-TIME(0,0,0))*1440,0)&lt;tbl_Case_mins[[#This Row],[Anaesth End]],tbl_Case_mins[[#This Row],[Surgery End Date]]&gt;tbl_Case_mins[[#This Row],[Surgery Start Date]]),ROUND((#REF!-TIME(0,0,0))*1440,0)+1440,ROUND((#REF!-TIME(0,0,0))*1440,0))</f>
        <v>#REF!</v>
      </c>
      <c r="V5" s="9" t="e">
        <f>IF(AND(ROUND((#REF!-TIME(0,0,0))*1440,0)&gt;0,ROUND((#REF!-TIME(0,0,0))*1440,0)&lt;tbl_Case_mins[[#This Row],[Into Recov]],tbl_Case_mins[[#This Row],[Surgery End Date]]&gt;tbl_Case_mins[[#This Row],[Surgery Start Date]]),ROUND((#REF!-TIME(0,0,0))*1440,0)+1440,ROUND((#REF!-TIME(0,0,0))*1440,0))</f>
        <v>#REF!</v>
      </c>
      <c r="W5" s="9" t="e">
        <f>IF(AND(ROUND((#REF!-TIME(0,0,0))*1440,0)&gt;0,ROUND((#REF!-TIME(0,0,0))*1440,0)&lt;tbl_Case_mins[[#This Row],[Ward Called]],tbl_Case_mins[[#This Row],[Surgery End Date]]&gt;tbl_Case_mins[[#This Row],[Surgery Start Date]]),ROUND((#REF!-TIME(0,0,0))*1440,0)+1440,ROUND((#REF!-TIME(0,0,0))*1440,0))</f>
        <v>#REF!</v>
      </c>
      <c r="X5" s="4" t="e">
        <f>IF(ISBLANK(#REF!),tbl_Case_mins[[#This Row],[Surgery Start Date]],#REF!)</f>
        <v>#REF!</v>
      </c>
      <c r="Y5">
        <f>IFERROR(IF(VLOOKUP(tbl_Case_mins[[#This Row],[Theatre]],'Mng Theatres'!$C$7:$G$12,3,FALSE)="Yes","Yes","No"),0)</f>
        <v>0</v>
      </c>
      <c r="Z5" s="9" t="e" cm="1">
        <f t="array" ref="Z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 s="9" t="e" cm="1">
        <f t="array" ref="AA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 s="9" t="e">
        <f>IF(tbl_Case_mins[[#This Row],[Case Type]]="Unsch",1,0)</f>
        <v>#REF!</v>
      </c>
      <c r="AD5" s="9" t="e">
        <f>IF(tbl_Case_mins[[#This Row],[Case Type]]="Sch",1,0)</f>
        <v>#REF!</v>
      </c>
      <c r="AE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 s="9">
        <f>IFERROR(IF(ISBLANK(INDEX(Am_Close,MATCH(1,INDEX((tbl_Case_mins[[#This Row],[Theatre]]=Theatre_No)*(tbl_Case_mins[[#This Row],[Surgery Start Date]]=Date),0,1),0))*1440),0,INDEX(Am_Close,MATCH(1,INDEX((tbl_Case_mins[[#This Row],[Theatre]]=Theatre_No)*(tbl_Case_mins[[#This Row],[Surgery Start Date]]=Date),0,1),0))*1440),0)</f>
        <v>0</v>
      </c>
      <c r="AG5" s="9">
        <f>IFERROR(IF(ISBLANK(INDEX(PM_Open,MATCH(1,INDEX((tbl_Case_mins[[#This Row],[Theatre]]=Theatre_No)*(tbl_Case_mins[[#This Row],[Surgery Start Date]]=Date),0,1),0))*1440),0,INDEX(PM_Open,MATCH(1,INDEX((tbl_Case_mins[[#This Row],[Theatre]]=Theatre_No)*(tbl_Case_mins[[#This Row],[Surgery Start Date]]=Date),0,1),0))*1440),0)</f>
        <v>0</v>
      </c>
      <c r="AH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 s="9" t="e">
        <f>IF(tbl_Case_mins[[#This Row],[ThOpenAm]]=0,tbl_Case_mins[[#This Row],[ThOpenPM]],tbl_Case_mins[[#This Row],[ThOpenAm]])</f>
        <v>#REF!</v>
      </c>
      <c r="AJ5" s="9" t="e">
        <f>IF(tbl_Case_mins[[#This Row],[ThCloseAm]]&gt;0,IF(tbl_Case_mins[[#This Row],[ThOpenPM]]&gt;0,tbl_Case_mins[[#This Row],[ThClosePm]],tbl_Case_mins[[#This Row],[ThCloseAm]]),tbl_Case_mins[[#This Row],[ThClosePm]])</f>
        <v>#REF!</v>
      </c>
      <c r="AK5" s="9" t="e">
        <f>IF(tbl_Case_mins[[#This Row],[TOT]]&gt;0,1,0)</f>
        <v>#REF!</v>
      </c>
      <c r="AL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 s="9" t="e">
        <f>IF(AND(tbl_Case_mins[[#This Row],[Surgery Status]]&lt;&gt;2,tbl_Case_mins[[#This Row],[InCoreCase]]=0,tbl_Case_mins[[#This Row],[CancelledCase]]=0),1,0)</f>
        <v>#REF!</v>
      </c>
      <c r="AN5" s="9" t="e">
        <f>IF(tbl_Case_mins[[#This Row],[Surgery Status]]=1,1,0)</f>
        <v>#REF!</v>
      </c>
      <c r="AO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 s="9" t="e">
        <f>IF(AND(tbl_Case_mins[[#This Row],[NonCoreCase]]=1,tbl_Case_mins[[#This Row],[NoInCoreTime]]=0),1,0)</f>
        <v>#REF!</v>
      </c>
      <c r="AQ5" s="9" t="e">
        <f>IF(tbl_Case_mins[[#This Row],[Rank_AnaEnd]]&lt;tbl_Case_mins[[#This Row],[Rank_AnaSt]],1,0)</f>
        <v>#REF!</v>
      </c>
      <c r="AR5" s="9" t="e">
        <f>IF(AND(tbl_Case_mins[[#This Row],[InCoreCase]]=1,tbl_Case_mins[[#This Row],[Sch]]=1),1,0)</f>
        <v>#REF!</v>
      </c>
      <c r="AS5" s="9" t="e">
        <f>IF(AND(tbl_Case_mins[[#This Row],[InCoreCase]]=1,tbl_Case_mins[[#This Row],[Unsch]]=1),1,0)</f>
        <v>#REF!</v>
      </c>
      <c r="AT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 s="9" t="e">
        <f>IF(tbl_Case_mins[[#This Row],[Surgery Status]]=0,(tbl_Case_mins[[#This Row],[Anaesth End]]-tbl_Case_mins[[#This Row],[AnaesthStart]]),0)</f>
        <v>#REF!</v>
      </c>
      <c r="AX5" s="9" t="e">
        <f>IF(tbl_Case_mins[[#This Row],[Surgery Status]]=0,(tbl_Case_mins[[#This Row],[Surgery Finish]]-tbl_Case_mins[[#This Row],[Surgery Start]]),0)</f>
        <v>#REF!</v>
      </c>
      <c r="AY5" s="9" t="e">
        <f>tbl_Case_mins[[#This Row],[Surgery Start]]-tbl_Case_mins[[#This Row],[AnaesthStart]]</f>
        <v>#REF!</v>
      </c>
      <c r="AZ5" s="9" t="e">
        <f>tbl_Case_mins[[#This Row],[Anaesth End]]-tbl_Case_mins[[#This Row],[Surgery Finish]]</f>
        <v>#REF!</v>
      </c>
      <c r="BA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 s="16" cm="1">
        <f t="array" ref="BC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 s="16" t="e">
        <f>IF(AND(tbl_Case_mins[[#This Row],[FirstAMCase]]=1,tbl_Case_mins[[#This Row],[CancelledCase]]=0,OR(tbl_Case_mins[[#This Row],[EarlyStartAM]]&gt;0,tbl_Case_mins[[#This Row],[AnaesthStart]]=tbl_Case_mins[[#This Row],[ThOpenAm]])),1,0)</f>
        <v>#REF!</v>
      </c>
      <c r="BE5" s="16" t="e">
        <f>IF(AND(tbl_Case_mins[[#This Row],[Rank_AnaSt]]=tbl_Case_mins[[#This Row],[Min_RankAnaSt]],tbl_Case_mins[[#This Row],[Anaesth End]]&gt;=tbl_Case_mins[[#This Row],[ThOpenAm]],tbl_Case_mins[[#This Row],[PmCase]]=0),1,0)</f>
        <v>#REF!</v>
      </c>
      <c r="BF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 s="9" t="e" cm="1">
        <f t="array" ref="BH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 s="9" t="e">
        <f>IF(AND(tbl_Case_mins[[#This Row],[ThOpenPM]]&gt;0,tbl_Case_mins[[#This Row],[AnaesthStart]]&gt;tbl_Case_mins[[#This Row],[ThOpenPM]],tbl_Case_mins[[#This Row],[First PM Case]]=1),tbl_Case_mins[[#This Row],[AnaesthStart]]-tbl_Case_mins[[#This Row],[ThOpenPM]],0)</f>
        <v>#REF!</v>
      </c>
      <c r="BL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 s="9" t="e" cm="1">
        <f t="array" ref="BN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 s="9" t="e">
        <f>IF(AND(tbl_Case_mins[[#This Row],[ThClosePm]]&gt;0,tbl_Case_mins[[#This Row],[Anaesth End]]&gt;tbl_Case_mins[[#This Row],[ThClosePm]],tbl_Case_mins[[#This Row],[AnaesthStart]]&gt;tbl_Case_mins[[#This Row],[ThClosePm]]),tbl_Case_mins[[#This Row],[Into Recov]]-tbl_Case_mins[[#This Row],[AnaesthStart]],0)</f>
        <v>#REF!</v>
      </c>
      <c r="BP5" s="9" t="e">
        <f>IF(AND(tbl_Case_mins[[#This Row],[AnaesthStart]]&lt;tbl_Case_mins[[#This Row],[ThClosePm]],tbl_Case_mins[[#This Row],[Anaesth End]]&gt;tbl_Case_mins[[#This Row],[ThClosePm]]),tbl_Case_mins[[#This Row],[Anaesth End]]-tbl_Case_mins[[#This Row],[ThClosePm]],0)</f>
        <v>#REF!</v>
      </c>
      <c r="BQ5" s="9" t="e" cm="1">
        <f t="array" ref="BQ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 s="9" t="e" cm="1">
        <f t="array" ref="BR5">IF(tbl_Case_mins[[#This Row],[Rank_Adjust]]=SUMPRODUCT(-(tbl_Case_mins[Surgery Start Date]=tbl_Case_mins[[#This Row],[Surgery Start Date]]),-(tbl_Case_mins[Theatre]=tbl_Case_mins[[#This Row],[Theatre]])),INDEX(Poss_Time,MATCH(TEXT(tbl_Case_mins[[#This Row],[Surgery Start Date]],"ddd"),Day,0)),0)</f>
        <v>#REF!</v>
      </c>
      <c r="BS5" s="9" t="e">
        <f>tbl_Case_mins[[#This Row],[Core_Time]]*Util_Goal</f>
        <v>#REF!</v>
      </c>
      <c r="BT5" s="9" t="e" cm="1">
        <f t="array" ref="BT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 s="9" t="e" cm="1">
        <f t="array" ref="BU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 s="9" t="e">
        <f>IF(tbl_Case_mins[[#This Row],[Surgery End Date]]&gt;tbl_Case_mins[[#This Row],[Surgery Start Date]],tbl_Case_mins[[#This Row],[Anaesth End]]-1440,0)</f>
        <v>#REF!</v>
      </c>
      <c r="BY5" s="9" t="e">
        <f>tbl_Case_mins[[#This Row],[Total_NonCore]]-tbl_Case_mins[[#This Row],[NextDay_NonCore]]</f>
        <v>#REF!</v>
      </c>
      <c r="BZ5" s="10" t="e">
        <f>tbl_Case_mins[[#This Row],[InCoreUse]]/60</f>
        <v>#REF!</v>
      </c>
      <c r="CA5" s="10" t="e">
        <f>tbl_Case_mins[[#This Row],[Total_NonCore]]/60</f>
        <v>#REF!</v>
      </c>
      <c r="CB5" t="e" cm="1">
        <f t="array" ref="CB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 s="9" t="e" cm="1">
        <f t="array" ref="CC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 s="9" t="e" cm="1">
        <f t="array" ref="CD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 s="9" t="e" cm="1">
        <f t="array" ref="CE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 s="9" cm="1">
        <f t="array" ref="CF5">IFERROR(_xlfn.AGGREGATE(14,6,(tbl_Case_mins[Rank_AnaEnd])/((tbl_Case_mins[Surgery Start Date]=tbl_Case_mins[[#This Row],[Surgery Start Date]])*(tbl_Case_mins[Theatre]=tbl_Case_mins[[#This Row],[Theatre]])*(tbl_Case_mins[NoInCoreTime]=0)),1),-1)</f>
        <v>-1</v>
      </c>
      <c r="CG5" s="9" cm="1">
        <f t="array" ref="CG5">IFERROR(_xlfn.AGGREGATE(15,6,(tbl_Case_mins[Rank_AnaSt])/((tbl_Case_mins[Surgery Start Date]=tbl_Case_mins[[#This Row],[Surgery Start Date]])*(tbl_Case_mins[Theatre]=tbl_Case_mins[[#This Row],[Theatre]])*(tbl_Case_mins[NoInCoreTime]=0)),1),-1)</f>
        <v>-1</v>
      </c>
      <c r="CH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 t="e" cm="1">
        <f t="array" ref="CJ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 s="9" cm="1">
        <f t="array" ref="CO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 s="9" cm="1">
        <f t="array" ref="CP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 s="9" cm="1">
        <f t="array" ref="CQ5">IFERROR(IF(AND(tbl_Case_mins[[#This Row],[FirstAMCase]]=0,tbl_Case_mins[[#This Row],[Rank]]=_xlfn.AGGREGATE(14,6,(tbl_Case_mins[Rank])/((tbl_Case_mins[Surgery Start Date]=tbl_Case_mins[[#This Row],[Surgery Start Date]])*(tbl_Case_mins[Theatre]=tbl_Case_mins[[#This Row],[Theatre]])*(tbl_Case_mins[AmCase]=1)),1)),1,0),0)</f>
        <v>0</v>
      </c>
      <c r="CR5" s="9" cm="1">
        <f t="array" ref="CR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 s="9" t="e" cm="1">
        <f t="array" ref="CS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 s="9" cm="1">
        <f t="array" ref="CT5">IFERROR(IF(tbl_Case_mins[[#This Row],[Rank]]=_xlfn.AGGREGATE(15,6,(tbl_Case_mins[Rank])/((tbl_Case_mins[Surgery Start Date]=tbl_Case_mins[[#This Row],[Surgery Start Date]])*(tbl_Case_mins[Theatre]=tbl_Case_mins[[#This Row],[Theatre]])*(tbl_Case_mins[PmCase]=1)),1),1,0),0)</f>
        <v>0</v>
      </c>
      <c r="CU5">
        <f>IFERROR(#REF!,0)</f>
        <v>0</v>
      </c>
      <c r="CV5" s="9" t="e" cm="1">
        <f t="array" ref="CV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 s="9">
        <f>IFERROR(IF(ISBLANK(INDEX(Bay_AmClose,MATCH(1,INDEX((tbl_Case_mins[[#This Row],[Bay]]=BayNo)*(tbl_Case_mins[[#This Row],[Surgery Start Date]]=BDate),0,1),0))*1440),0,INDEX(Bay_AmClose,MATCH(1,INDEX((tbl_Case_mins[[#This Row],[Bay]]=BayNo)*(tbl_Case_mins[[#This Row],[Surgery Start Date]]=BDate),0,1),0))*1440),0)</f>
        <v>0</v>
      </c>
      <c r="CX5" s="9" cm="1">
        <f t="array" ref="CX5">IFERROR(IF(ISBLANK(INDEX(Bay_PmOpen,MATCH(1,INDEX((tbl_Case_mins[[#This Row],[Bay]]=BayNo)*(tbl_Case_mins[[#This Row],[Surgery Start Date]]=BDate),0,1),0))*1440),0,INDEX(Bay_PmOpen,MATCH(1,INDEX((tbl_Case_mins[[#This Row],[Bay]]=BayNo)*(tbl_Case_mins[[#This Row],[Surgery Start Date]]=BDate),0,1),0))*1440),0)</f>
        <v>0</v>
      </c>
      <c r="CY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 s="9"/>
    </row>
    <row r="6" spans="1:104" x14ac:dyDescent="0.2">
      <c r="A6">
        <v>5</v>
      </c>
      <c r="B6" t="e">
        <f>#REF!</f>
        <v>#REF!</v>
      </c>
      <c r="C6" t="e">
        <f>#REF!</f>
        <v>#REF!</v>
      </c>
      <c r="D6" t="e">
        <f>#REF!</f>
        <v>#REF!</v>
      </c>
      <c r="E6" t="e">
        <f>#REF!</f>
        <v>#REF!</v>
      </c>
      <c r="F6" t="e">
        <f>#REF!</f>
        <v>#REF!</v>
      </c>
      <c r="G6" t="e">
        <f>#REF!</f>
        <v>#REF!</v>
      </c>
      <c r="H6" t="e">
        <f>#REF!</f>
        <v>#REF!</v>
      </c>
      <c r="I6" t="e">
        <f>IF(#REF!="Case Cancelled",1,IF(#REF!="No Cases",2,0))</f>
        <v>#REF!</v>
      </c>
      <c r="J6" t="e">
        <f>#REF!</f>
        <v>#REF!</v>
      </c>
      <c r="K6" s="4" t="e">
        <f>#REF!</f>
        <v>#REF!</v>
      </c>
      <c r="L6" t="e">
        <f>"Wk "&amp;WEEKNUM(tbl_Case_mins[[#This Row],[Surgery Start Date]],21)</f>
        <v>#REF!</v>
      </c>
      <c r="M6" t="e">
        <f>TEXT(tbl_Case_mins[[#This Row],[Surgery Start Date]],"ddd")</f>
        <v>#REF!</v>
      </c>
      <c r="N6" s="9" t="e">
        <f>(#REF!-TIME(0,0,0))*1440</f>
        <v>#REF!</v>
      </c>
      <c r="O6" t="e">
        <f>IF(AND(ROUND((#REF!-TIME(0,0,0))*1440,0)&gt;0,ROUND((#REF!-TIME(0,0,0))*1440,0)&lt;tbl_Case_mins[[#This Row],[Patient Called]],tbl_Case_mins[[#This Row],[Surgery End Date]]&gt;tbl_Case_mins[[#This Row],[Surgery Start Date]]),ROUND((#REF!-TIME(0,0,0))*1440,0)+1440,ROUND((#REF!-TIME(0,0,0))*1440,0))</f>
        <v>#REF!</v>
      </c>
      <c r="P6" s="9" t="e">
        <f>IF(AND(ROUND((#REF!-TIME(0,0,0))*1440,0)&gt;0,ROUND((#REF!-TIME(0,0,0))*1440,0)&lt;tbl_Case_mins[[#This Row],[Arrival]],tbl_Case_mins[[#This Row],[Surgery End Date]]&gt;tbl_Case_mins[[#This Row],[Surgery Start Date]]),ROUND((#REF!-TIME(0,0,0))*1440,0)+1440,ROUND((#REF!-TIME(0,0,0))*1440,0))</f>
        <v>#REF!</v>
      </c>
      <c r="Q6" s="9" t="e">
        <f>IF(AND(ROUND((#REF!-TIME(0,0,0))*1440,0)&gt;0,ROUND((#REF!-TIME(0,0,0))*1440,0)&lt;tbl_Case_mins[[#This Row],[Into Th or AR]],tbl_Case_mins[[#This Row],[Surgery End Date]]&gt;tbl_Case_mins[[#This Row],[Surgery Start Date]]),ROUND((#REF!-TIME(0,0,0))*1440,0)+1440,ROUND((#REF!-TIME(0,0,0))*1440,0))</f>
        <v>#REF!</v>
      </c>
      <c r="R6" s="9" t="e">
        <f>IF(AND(ROUND((#REF!-TIME(0,0,0))*1440,0)&gt;0,ROUND((#REF!-TIME(0,0,0))*1440,0)&lt;tbl_Case_mins[[#This Row],[AnaesthStart]],tbl_Case_mins[[#This Row],[Surgery End Date]]&gt;tbl_Case_mins[[#This Row],[Surgery Start Date]]),ROUND((#REF!-TIME(0,0,0))*1440,0)+1440,ROUND((#REF!-TIME(0,0,0))*1440,0))</f>
        <v>#REF!</v>
      </c>
      <c r="S6" s="9" t="e">
        <f>IF(AND(ROUND((#REF!-TIME(0,0,0))*1440,0),ROUND((#REF!-TIME(0,0,0))*1440,0)&lt;tbl_Case_mins[[#This Row],[Surgery Start]],tbl_Case_mins[[#This Row],[Surgery End Date]]&gt;tbl_Case_mins[[#This Row],[Surgery Start Date]]),ROUND((#REF!-TIME(0,0,0))*1440,0)+1440,ROUND((#REF!-TIME(0,0,0))*1440,0))</f>
        <v>#REF!</v>
      </c>
      <c r="T6" s="9" t="e">
        <f>IF(AND(ROUND((#REF!-TIME(0,0,0))*1440,0)&gt;0,ROUND((#REF!-TIME(0,0,0))*1440,0)&lt;tbl_Case_mins[[#This Row],[Surgery Finish]],tbl_Case_mins[[#This Row],[Surgery End Date]]&gt;tbl_Case_mins[[#This Row],[Surgery Start Date]]),ROUND((#REF!-TIME(0,0,0))*1440,0)+1440,ROUND((#REF!-TIME(0,0,0))*1440,0))</f>
        <v>#REF!</v>
      </c>
      <c r="U6" s="9" t="e">
        <f>IF(AND(ROUND((#REF!-TIME(0,0,0))*1440,0)&gt;0,ROUND((#REF!-TIME(0,0,0))*1440,0)&lt;tbl_Case_mins[[#This Row],[Anaesth End]],tbl_Case_mins[[#This Row],[Surgery End Date]]&gt;tbl_Case_mins[[#This Row],[Surgery Start Date]]),ROUND((#REF!-TIME(0,0,0))*1440,0)+1440,ROUND((#REF!-TIME(0,0,0))*1440,0))</f>
        <v>#REF!</v>
      </c>
      <c r="V6" s="9" t="e">
        <f>IF(AND(ROUND((#REF!-TIME(0,0,0))*1440,0)&gt;0,ROUND((#REF!-TIME(0,0,0))*1440,0)&lt;tbl_Case_mins[[#This Row],[Into Recov]],tbl_Case_mins[[#This Row],[Surgery End Date]]&gt;tbl_Case_mins[[#This Row],[Surgery Start Date]]),ROUND((#REF!-TIME(0,0,0))*1440,0)+1440,ROUND((#REF!-TIME(0,0,0))*1440,0))</f>
        <v>#REF!</v>
      </c>
      <c r="W6" s="9" t="e">
        <f>IF(AND(ROUND((#REF!-TIME(0,0,0))*1440,0)&gt;0,ROUND((#REF!-TIME(0,0,0))*1440,0)&lt;tbl_Case_mins[[#This Row],[Ward Called]],tbl_Case_mins[[#This Row],[Surgery End Date]]&gt;tbl_Case_mins[[#This Row],[Surgery Start Date]]),ROUND((#REF!-TIME(0,0,0))*1440,0)+1440,ROUND((#REF!-TIME(0,0,0))*1440,0))</f>
        <v>#REF!</v>
      </c>
      <c r="X6" s="4" t="e">
        <f>IF(ISBLANK(#REF!),tbl_Case_mins[[#This Row],[Surgery Start Date]],#REF!)</f>
        <v>#REF!</v>
      </c>
      <c r="Y6">
        <f>IFERROR(IF(VLOOKUP(tbl_Case_mins[[#This Row],[Theatre]],'Mng Theatres'!$C$7:$G$12,3,FALSE)="Yes","Yes","No"),0)</f>
        <v>0</v>
      </c>
      <c r="Z6" s="9" t="e" cm="1">
        <f t="array" ref="Z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 s="9" t="e" cm="1">
        <f t="array" ref="AA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 s="9" t="e">
        <f>IF(tbl_Case_mins[[#This Row],[Case Type]]="Unsch",1,0)</f>
        <v>#REF!</v>
      </c>
      <c r="AD6" s="9" t="e">
        <f>IF(tbl_Case_mins[[#This Row],[Case Type]]="Sch",1,0)</f>
        <v>#REF!</v>
      </c>
      <c r="AE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 s="9">
        <f>IFERROR(IF(ISBLANK(INDEX(Am_Close,MATCH(1,INDEX((tbl_Case_mins[[#This Row],[Theatre]]=Theatre_No)*(tbl_Case_mins[[#This Row],[Surgery Start Date]]=Date),0,1),0))*1440),0,INDEX(Am_Close,MATCH(1,INDEX((tbl_Case_mins[[#This Row],[Theatre]]=Theatre_No)*(tbl_Case_mins[[#This Row],[Surgery Start Date]]=Date),0,1),0))*1440),0)</f>
        <v>0</v>
      </c>
      <c r="AG6" s="9">
        <f>IFERROR(IF(ISBLANK(INDEX(PM_Open,MATCH(1,INDEX((tbl_Case_mins[[#This Row],[Theatre]]=Theatre_No)*(tbl_Case_mins[[#This Row],[Surgery Start Date]]=Date),0,1),0))*1440),0,INDEX(PM_Open,MATCH(1,INDEX((tbl_Case_mins[[#This Row],[Theatre]]=Theatre_No)*(tbl_Case_mins[[#This Row],[Surgery Start Date]]=Date),0,1),0))*1440),0)</f>
        <v>0</v>
      </c>
      <c r="AH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 s="9" t="e">
        <f>IF(tbl_Case_mins[[#This Row],[ThOpenAm]]=0,tbl_Case_mins[[#This Row],[ThOpenPM]],tbl_Case_mins[[#This Row],[ThOpenAm]])</f>
        <v>#REF!</v>
      </c>
      <c r="AJ6" s="9" t="e">
        <f>IF(tbl_Case_mins[[#This Row],[ThCloseAm]]&gt;0,IF(tbl_Case_mins[[#This Row],[ThOpenPM]]&gt;0,tbl_Case_mins[[#This Row],[ThClosePm]],tbl_Case_mins[[#This Row],[ThCloseAm]]),tbl_Case_mins[[#This Row],[ThClosePm]])</f>
        <v>#REF!</v>
      </c>
      <c r="AK6" s="9" t="e">
        <f>IF(tbl_Case_mins[[#This Row],[TOT]]&gt;0,1,0)</f>
        <v>#REF!</v>
      </c>
      <c r="AL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 s="9" t="e">
        <f>IF(AND(tbl_Case_mins[[#This Row],[Surgery Status]]&lt;&gt;2,tbl_Case_mins[[#This Row],[InCoreCase]]=0,tbl_Case_mins[[#This Row],[CancelledCase]]=0),1,0)</f>
        <v>#REF!</v>
      </c>
      <c r="AN6" s="9" t="e">
        <f>IF(tbl_Case_mins[[#This Row],[Surgery Status]]=1,1,0)</f>
        <v>#REF!</v>
      </c>
      <c r="AO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 s="9" t="e">
        <f>IF(AND(tbl_Case_mins[[#This Row],[NonCoreCase]]=1,tbl_Case_mins[[#This Row],[NoInCoreTime]]=0),1,0)</f>
        <v>#REF!</v>
      </c>
      <c r="AQ6" s="9" t="e">
        <f>IF(tbl_Case_mins[[#This Row],[Rank_AnaEnd]]&lt;tbl_Case_mins[[#This Row],[Rank_AnaSt]],1,0)</f>
        <v>#REF!</v>
      </c>
      <c r="AR6" s="9" t="e">
        <f>IF(AND(tbl_Case_mins[[#This Row],[InCoreCase]]=1,tbl_Case_mins[[#This Row],[Sch]]=1),1,0)</f>
        <v>#REF!</v>
      </c>
      <c r="AS6" s="9" t="e">
        <f>IF(AND(tbl_Case_mins[[#This Row],[InCoreCase]]=1,tbl_Case_mins[[#This Row],[Unsch]]=1),1,0)</f>
        <v>#REF!</v>
      </c>
      <c r="AT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 s="9" t="e">
        <f>IF(tbl_Case_mins[[#This Row],[Surgery Status]]=0,(tbl_Case_mins[[#This Row],[Anaesth End]]-tbl_Case_mins[[#This Row],[AnaesthStart]]),0)</f>
        <v>#REF!</v>
      </c>
      <c r="AX6" s="9" t="e">
        <f>IF(tbl_Case_mins[[#This Row],[Surgery Status]]=0,(tbl_Case_mins[[#This Row],[Surgery Finish]]-tbl_Case_mins[[#This Row],[Surgery Start]]),0)</f>
        <v>#REF!</v>
      </c>
      <c r="AY6" s="9" t="e">
        <f>tbl_Case_mins[[#This Row],[Surgery Start]]-tbl_Case_mins[[#This Row],[AnaesthStart]]</f>
        <v>#REF!</v>
      </c>
      <c r="AZ6" s="9" t="e">
        <f>tbl_Case_mins[[#This Row],[Anaesth End]]-tbl_Case_mins[[#This Row],[Surgery Finish]]</f>
        <v>#REF!</v>
      </c>
      <c r="BA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 s="16" cm="1">
        <f t="array" ref="BC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 s="16" t="e">
        <f>IF(AND(tbl_Case_mins[[#This Row],[FirstAMCase]]=1,tbl_Case_mins[[#This Row],[CancelledCase]]=0,OR(tbl_Case_mins[[#This Row],[EarlyStartAM]]&gt;0,tbl_Case_mins[[#This Row],[AnaesthStart]]=tbl_Case_mins[[#This Row],[ThOpenAm]])),1,0)</f>
        <v>#REF!</v>
      </c>
      <c r="BE6" s="16" t="e">
        <f>IF(AND(tbl_Case_mins[[#This Row],[Rank_AnaSt]]=tbl_Case_mins[[#This Row],[Min_RankAnaSt]],tbl_Case_mins[[#This Row],[Anaesth End]]&gt;=tbl_Case_mins[[#This Row],[ThOpenAm]],tbl_Case_mins[[#This Row],[PmCase]]=0),1,0)</f>
        <v>#REF!</v>
      </c>
      <c r="BF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 s="9" t="e" cm="1">
        <f t="array" ref="BH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 s="9" t="e">
        <f>IF(AND(tbl_Case_mins[[#This Row],[ThOpenPM]]&gt;0,tbl_Case_mins[[#This Row],[AnaesthStart]]&gt;tbl_Case_mins[[#This Row],[ThOpenPM]],tbl_Case_mins[[#This Row],[First PM Case]]=1),tbl_Case_mins[[#This Row],[AnaesthStart]]-tbl_Case_mins[[#This Row],[ThOpenPM]],0)</f>
        <v>#REF!</v>
      </c>
      <c r="BL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 s="9" t="e" cm="1">
        <f t="array" ref="BN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 s="9" t="e">
        <f>IF(AND(tbl_Case_mins[[#This Row],[ThClosePm]]&gt;0,tbl_Case_mins[[#This Row],[Anaesth End]]&gt;tbl_Case_mins[[#This Row],[ThClosePm]],tbl_Case_mins[[#This Row],[AnaesthStart]]&gt;tbl_Case_mins[[#This Row],[ThClosePm]]),tbl_Case_mins[[#This Row],[Into Recov]]-tbl_Case_mins[[#This Row],[AnaesthStart]],0)</f>
        <v>#REF!</v>
      </c>
      <c r="BP6" s="9" t="e">
        <f>IF(AND(tbl_Case_mins[[#This Row],[AnaesthStart]]&lt;tbl_Case_mins[[#This Row],[ThClosePm]],tbl_Case_mins[[#This Row],[Anaesth End]]&gt;tbl_Case_mins[[#This Row],[ThClosePm]]),tbl_Case_mins[[#This Row],[Anaesth End]]-tbl_Case_mins[[#This Row],[ThClosePm]],0)</f>
        <v>#REF!</v>
      </c>
      <c r="BQ6" s="9" t="e" cm="1">
        <f t="array" ref="BQ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 s="9" t="e" cm="1">
        <f t="array" ref="BR6">IF(tbl_Case_mins[[#This Row],[Rank_Adjust]]=SUMPRODUCT(-(tbl_Case_mins[Surgery Start Date]=tbl_Case_mins[[#This Row],[Surgery Start Date]]),-(tbl_Case_mins[Theatre]=tbl_Case_mins[[#This Row],[Theatre]])),INDEX(Poss_Time,MATCH(TEXT(tbl_Case_mins[[#This Row],[Surgery Start Date]],"ddd"),Day,0)),0)</f>
        <v>#REF!</v>
      </c>
      <c r="BS6" s="9" t="e">
        <f>tbl_Case_mins[[#This Row],[Core_Time]]*Util_Goal</f>
        <v>#REF!</v>
      </c>
      <c r="BT6" s="9" t="e" cm="1">
        <f t="array" ref="BT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 s="9" t="e" cm="1">
        <f t="array" ref="BU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 s="9" t="e">
        <f>IF(tbl_Case_mins[[#This Row],[Surgery End Date]]&gt;tbl_Case_mins[[#This Row],[Surgery Start Date]],tbl_Case_mins[[#This Row],[Anaesth End]]-1440,0)</f>
        <v>#REF!</v>
      </c>
      <c r="BY6" s="9" t="e">
        <f>tbl_Case_mins[[#This Row],[Total_NonCore]]-tbl_Case_mins[[#This Row],[NextDay_NonCore]]</f>
        <v>#REF!</v>
      </c>
      <c r="BZ6" s="10" t="e">
        <f>tbl_Case_mins[[#This Row],[InCoreUse]]/60</f>
        <v>#REF!</v>
      </c>
      <c r="CA6" s="10" t="e">
        <f>tbl_Case_mins[[#This Row],[Total_NonCore]]/60</f>
        <v>#REF!</v>
      </c>
      <c r="CB6" t="e" cm="1">
        <f t="array" ref="CB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 s="9" t="e" cm="1">
        <f t="array" ref="CC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 s="9" t="e" cm="1">
        <f t="array" ref="CD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 s="9" t="e" cm="1">
        <f t="array" ref="CE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 s="9" cm="1">
        <f t="array" ref="CF6">IFERROR(_xlfn.AGGREGATE(14,6,(tbl_Case_mins[Rank_AnaEnd])/((tbl_Case_mins[Surgery Start Date]=tbl_Case_mins[[#This Row],[Surgery Start Date]])*(tbl_Case_mins[Theatre]=tbl_Case_mins[[#This Row],[Theatre]])*(tbl_Case_mins[NoInCoreTime]=0)),1),-1)</f>
        <v>-1</v>
      </c>
      <c r="CG6" s="9" cm="1">
        <f t="array" ref="CG6">IFERROR(_xlfn.AGGREGATE(15,6,(tbl_Case_mins[Rank_AnaSt])/((tbl_Case_mins[Surgery Start Date]=tbl_Case_mins[[#This Row],[Surgery Start Date]])*(tbl_Case_mins[Theatre]=tbl_Case_mins[[#This Row],[Theatre]])*(tbl_Case_mins[NoInCoreTime]=0)),1),-1)</f>
        <v>-1</v>
      </c>
      <c r="CH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 t="e" cm="1">
        <f t="array" ref="CJ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 s="9" cm="1">
        <f t="array" ref="CO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 s="9" cm="1">
        <f t="array" ref="CP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 s="9" cm="1">
        <f t="array" ref="CQ6">IFERROR(IF(AND(tbl_Case_mins[[#This Row],[FirstAMCase]]=0,tbl_Case_mins[[#This Row],[Rank]]=_xlfn.AGGREGATE(14,6,(tbl_Case_mins[Rank])/((tbl_Case_mins[Surgery Start Date]=tbl_Case_mins[[#This Row],[Surgery Start Date]])*(tbl_Case_mins[Theatre]=tbl_Case_mins[[#This Row],[Theatre]])*(tbl_Case_mins[AmCase]=1)),1)),1,0),0)</f>
        <v>0</v>
      </c>
      <c r="CR6" s="9" cm="1">
        <f t="array" ref="CR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 s="9" t="e" cm="1">
        <f t="array" ref="CS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 s="9" cm="1">
        <f t="array" ref="CT6">IFERROR(IF(tbl_Case_mins[[#This Row],[Rank]]=_xlfn.AGGREGATE(15,6,(tbl_Case_mins[Rank])/((tbl_Case_mins[Surgery Start Date]=tbl_Case_mins[[#This Row],[Surgery Start Date]])*(tbl_Case_mins[Theatre]=tbl_Case_mins[[#This Row],[Theatre]])*(tbl_Case_mins[PmCase]=1)),1),1,0),0)</f>
        <v>0</v>
      </c>
      <c r="CU6">
        <f>IFERROR(#REF!,0)</f>
        <v>0</v>
      </c>
      <c r="CV6" s="9" t="e" cm="1">
        <f t="array" ref="CV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 s="9">
        <f>IFERROR(IF(ISBLANK(INDEX(Bay_AmClose,MATCH(1,INDEX((tbl_Case_mins[[#This Row],[Bay]]=BayNo)*(tbl_Case_mins[[#This Row],[Surgery Start Date]]=BDate),0,1),0))*1440),0,INDEX(Bay_AmClose,MATCH(1,INDEX((tbl_Case_mins[[#This Row],[Bay]]=BayNo)*(tbl_Case_mins[[#This Row],[Surgery Start Date]]=BDate),0,1),0))*1440),0)</f>
        <v>0</v>
      </c>
      <c r="CX6" s="9" cm="1">
        <f t="array" ref="CX6">IFERROR(IF(ISBLANK(INDEX(Bay_PmOpen,MATCH(1,INDEX((tbl_Case_mins[[#This Row],[Bay]]=BayNo)*(tbl_Case_mins[[#This Row],[Surgery Start Date]]=BDate),0,1),0))*1440),0,INDEX(Bay_PmOpen,MATCH(1,INDEX((tbl_Case_mins[[#This Row],[Bay]]=BayNo)*(tbl_Case_mins[[#This Row],[Surgery Start Date]]=BDate),0,1),0))*1440),0)</f>
        <v>0</v>
      </c>
      <c r="CY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 s="9"/>
    </row>
    <row r="7" spans="1:104" x14ac:dyDescent="0.2">
      <c r="A7">
        <v>6</v>
      </c>
      <c r="B7" t="e">
        <f>#REF!</f>
        <v>#REF!</v>
      </c>
      <c r="C7" t="e">
        <f>#REF!</f>
        <v>#REF!</v>
      </c>
      <c r="D7" t="e">
        <f>#REF!</f>
        <v>#REF!</v>
      </c>
      <c r="E7" t="e">
        <f>#REF!</f>
        <v>#REF!</v>
      </c>
      <c r="F7" t="e">
        <f>#REF!</f>
        <v>#REF!</v>
      </c>
      <c r="G7" t="e">
        <f>#REF!</f>
        <v>#REF!</v>
      </c>
      <c r="H7" t="e">
        <f>#REF!</f>
        <v>#REF!</v>
      </c>
      <c r="I7" t="e">
        <f>IF(#REF!="Case Cancelled",1,IF(#REF!="No Cases",2,0))</f>
        <v>#REF!</v>
      </c>
      <c r="J7" t="e">
        <f>#REF!</f>
        <v>#REF!</v>
      </c>
      <c r="K7" s="4" t="e">
        <f>#REF!</f>
        <v>#REF!</v>
      </c>
      <c r="L7" t="e">
        <f>"Wk "&amp;WEEKNUM(tbl_Case_mins[[#This Row],[Surgery Start Date]],21)</f>
        <v>#REF!</v>
      </c>
      <c r="M7" t="e">
        <f>TEXT(tbl_Case_mins[[#This Row],[Surgery Start Date]],"ddd")</f>
        <v>#REF!</v>
      </c>
      <c r="N7" s="9" t="e">
        <f>(#REF!-TIME(0,0,0))*1440</f>
        <v>#REF!</v>
      </c>
      <c r="O7" t="e">
        <f>IF(AND(ROUND((#REF!-TIME(0,0,0))*1440,0)&gt;0,ROUND((#REF!-TIME(0,0,0))*1440,0)&lt;tbl_Case_mins[[#This Row],[Patient Called]],tbl_Case_mins[[#This Row],[Surgery End Date]]&gt;tbl_Case_mins[[#This Row],[Surgery Start Date]]),ROUND((#REF!-TIME(0,0,0))*1440,0)+1440,ROUND((#REF!-TIME(0,0,0))*1440,0))</f>
        <v>#REF!</v>
      </c>
      <c r="P7" s="9" t="e">
        <f>IF(AND(ROUND((#REF!-TIME(0,0,0))*1440,0)&gt;0,ROUND((#REF!-TIME(0,0,0))*1440,0)&lt;tbl_Case_mins[[#This Row],[Arrival]],tbl_Case_mins[[#This Row],[Surgery End Date]]&gt;tbl_Case_mins[[#This Row],[Surgery Start Date]]),ROUND((#REF!-TIME(0,0,0))*1440,0)+1440,ROUND((#REF!-TIME(0,0,0))*1440,0))</f>
        <v>#REF!</v>
      </c>
      <c r="Q7" s="9" t="e">
        <f>IF(AND(ROUND((#REF!-TIME(0,0,0))*1440,0)&gt;0,ROUND((#REF!-TIME(0,0,0))*1440,0)&lt;tbl_Case_mins[[#This Row],[Into Th or AR]],tbl_Case_mins[[#This Row],[Surgery End Date]]&gt;tbl_Case_mins[[#This Row],[Surgery Start Date]]),ROUND((#REF!-TIME(0,0,0))*1440,0)+1440,ROUND((#REF!-TIME(0,0,0))*1440,0))</f>
        <v>#REF!</v>
      </c>
      <c r="R7" s="9" t="e">
        <f>IF(AND(ROUND((#REF!-TIME(0,0,0))*1440,0)&gt;0,ROUND((#REF!-TIME(0,0,0))*1440,0)&lt;tbl_Case_mins[[#This Row],[AnaesthStart]],tbl_Case_mins[[#This Row],[Surgery End Date]]&gt;tbl_Case_mins[[#This Row],[Surgery Start Date]]),ROUND((#REF!-TIME(0,0,0))*1440,0)+1440,ROUND((#REF!-TIME(0,0,0))*1440,0))</f>
        <v>#REF!</v>
      </c>
      <c r="S7" s="9" t="e">
        <f>IF(AND(ROUND((#REF!-TIME(0,0,0))*1440,0),ROUND((#REF!-TIME(0,0,0))*1440,0)&lt;tbl_Case_mins[[#This Row],[Surgery Start]],tbl_Case_mins[[#This Row],[Surgery End Date]]&gt;tbl_Case_mins[[#This Row],[Surgery Start Date]]),ROUND((#REF!-TIME(0,0,0))*1440,0)+1440,ROUND((#REF!-TIME(0,0,0))*1440,0))</f>
        <v>#REF!</v>
      </c>
      <c r="T7" s="9" t="e">
        <f>IF(AND(ROUND((#REF!-TIME(0,0,0))*1440,0)&gt;0,ROUND((#REF!-TIME(0,0,0))*1440,0)&lt;tbl_Case_mins[[#This Row],[Surgery Finish]],tbl_Case_mins[[#This Row],[Surgery End Date]]&gt;tbl_Case_mins[[#This Row],[Surgery Start Date]]),ROUND((#REF!-TIME(0,0,0))*1440,0)+1440,ROUND((#REF!-TIME(0,0,0))*1440,0))</f>
        <v>#REF!</v>
      </c>
      <c r="U7" s="9" t="e">
        <f>IF(AND(ROUND((#REF!-TIME(0,0,0))*1440,0)&gt;0,ROUND((#REF!-TIME(0,0,0))*1440,0)&lt;tbl_Case_mins[[#This Row],[Anaesth End]],tbl_Case_mins[[#This Row],[Surgery End Date]]&gt;tbl_Case_mins[[#This Row],[Surgery Start Date]]),ROUND((#REF!-TIME(0,0,0))*1440,0)+1440,ROUND((#REF!-TIME(0,0,0))*1440,0))</f>
        <v>#REF!</v>
      </c>
      <c r="V7" s="9" t="e">
        <f>IF(AND(ROUND((#REF!-TIME(0,0,0))*1440,0)&gt;0,ROUND((#REF!-TIME(0,0,0))*1440,0)&lt;tbl_Case_mins[[#This Row],[Into Recov]],tbl_Case_mins[[#This Row],[Surgery End Date]]&gt;tbl_Case_mins[[#This Row],[Surgery Start Date]]),ROUND((#REF!-TIME(0,0,0))*1440,0)+1440,ROUND((#REF!-TIME(0,0,0))*1440,0))</f>
        <v>#REF!</v>
      </c>
      <c r="W7" s="9" t="e">
        <f>IF(AND(ROUND((#REF!-TIME(0,0,0))*1440,0)&gt;0,ROUND((#REF!-TIME(0,0,0))*1440,0)&lt;tbl_Case_mins[[#This Row],[Ward Called]],tbl_Case_mins[[#This Row],[Surgery End Date]]&gt;tbl_Case_mins[[#This Row],[Surgery Start Date]]),ROUND((#REF!-TIME(0,0,0))*1440,0)+1440,ROUND((#REF!-TIME(0,0,0))*1440,0))</f>
        <v>#REF!</v>
      </c>
      <c r="X7" s="4" t="e">
        <f>IF(ISBLANK(#REF!),tbl_Case_mins[[#This Row],[Surgery Start Date]],#REF!)</f>
        <v>#REF!</v>
      </c>
      <c r="Y7">
        <f>IFERROR(IF(VLOOKUP(tbl_Case_mins[[#This Row],[Theatre]],'Mng Theatres'!$C$7:$G$12,3,FALSE)="Yes","Yes","No"),0)</f>
        <v>0</v>
      </c>
      <c r="Z7" s="9" t="e" cm="1">
        <f t="array" ref="Z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 s="9" t="e" cm="1">
        <f t="array" ref="AA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 s="9" t="e">
        <f>IF(tbl_Case_mins[[#This Row],[Case Type]]="Unsch",1,0)</f>
        <v>#REF!</v>
      </c>
      <c r="AD7" s="9" t="e">
        <f>IF(tbl_Case_mins[[#This Row],[Case Type]]="Sch",1,0)</f>
        <v>#REF!</v>
      </c>
      <c r="AE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 s="9">
        <f>IFERROR(IF(ISBLANK(INDEX(Am_Close,MATCH(1,INDEX((tbl_Case_mins[[#This Row],[Theatre]]=Theatre_No)*(tbl_Case_mins[[#This Row],[Surgery Start Date]]=Date),0,1),0))*1440),0,INDEX(Am_Close,MATCH(1,INDEX((tbl_Case_mins[[#This Row],[Theatre]]=Theatre_No)*(tbl_Case_mins[[#This Row],[Surgery Start Date]]=Date),0,1),0))*1440),0)</f>
        <v>0</v>
      </c>
      <c r="AG7" s="9">
        <f>IFERROR(IF(ISBLANK(INDEX(PM_Open,MATCH(1,INDEX((tbl_Case_mins[[#This Row],[Theatre]]=Theatre_No)*(tbl_Case_mins[[#This Row],[Surgery Start Date]]=Date),0,1),0))*1440),0,INDEX(PM_Open,MATCH(1,INDEX((tbl_Case_mins[[#This Row],[Theatre]]=Theatre_No)*(tbl_Case_mins[[#This Row],[Surgery Start Date]]=Date),0,1),0))*1440),0)</f>
        <v>0</v>
      </c>
      <c r="AH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 s="9" t="e">
        <f>IF(tbl_Case_mins[[#This Row],[ThOpenAm]]=0,tbl_Case_mins[[#This Row],[ThOpenPM]],tbl_Case_mins[[#This Row],[ThOpenAm]])</f>
        <v>#REF!</v>
      </c>
      <c r="AJ7" s="9" t="e">
        <f>IF(tbl_Case_mins[[#This Row],[ThCloseAm]]&gt;0,IF(tbl_Case_mins[[#This Row],[ThOpenPM]]&gt;0,tbl_Case_mins[[#This Row],[ThClosePm]],tbl_Case_mins[[#This Row],[ThCloseAm]]),tbl_Case_mins[[#This Row],[ThClosePm]])</f>
        <v>#REF!</v>
      </c>
      <c r="AK7" s="9" t="e">
        <f>IF(tbl_Case_mins[[#This Row],[TOT]]&gt;0,1,0)</f>
        <v>#REF!</v>
      </c>
      <c r="AL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 s="9" t="e">
        <f>IF(AND(tbl_Case_mins[[#This Row],[Surgery Status]]&lt;&gt;2,tbl_Case_mins[[#This Row],[InCoreCase]]=0,tbl_Case_mins[[#This Row],[CancelledCase]]=0),1,0)</f>
        <v>#REF!</v>
      </c>
      <c r="AN7" s="9" t="e">
        <f>IF(tbl_Case_mins[[#This Row],[Surgery Status]]=1,1,0)</f>
        <v>#REF!</v>
      </c>
      <c r="AO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 s="9" t="e">
        <f>IF(AND(tbl_Case_mins[[#This Row],[NonCoreCase]]=1,tbl_Case_mins[[#This Row],[NoInCoreTime]]=0),1,0)</f>
        <v>#REF!</v>
      </c>
      <c r="AQ7" s="9" t="e">
        <f>IF(tbl_Case_mins[[#This Row],[Rank_AnaEnd]]&lt;tbl_Case_mins[[#This Row],[Rank_AnaSt]],1,0)</f>
        <v>#REF!</v>
      </c>
      <c r="AR7" s="9" t="e">
        <f>IF(AND(tbl_Case_mins[[#This Row],[InCoreCase]]=1,tbl_Case_mins[[#This Row],[Sch]]=1),1,0)</f>
        <v>#REF!</v>
      </c>
      <c r="AS7" s="9" t="e">
        <f>IF(AND(tbl_Case_mins[[#This Row],[InCoreCase]]=1,tbl_Case_mins[[#This Row],[Unsch]]=1),1,0)</f>
        <v>#REF!</v>
      </c>
      <c r="AT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 s="9" t="e">
        <f>IF(tbl_Case_mins[[#This Row],[Surgery Status]]=0,(tbl_Case_mins[[#This Row],[Anaesth End]]-tbl_Case_mins[[#This Row],[AnaesthStart]]),0)</f>
        <v>#REF!</v>
      </c>
      <c r="AX7" s="9" t="e">
        <f>IF(tbl_Case_mins[[#This Row],[Surgery Status]]=0,(tbl_Case_mins[[#This Row],[Surgery Finish]]-tbl_Case_mins[[#This Row],[Surgery Start]]),0)</f>
        <v>#REF!</v>
      </c>
      <c r="AY7" s="9" t="e">
        <f>tbl_Case_mins[[#This Row],[Surgery Start]]-tbl_Case_mins[[#This Row],[AnaesthStart]]</f>
        <v>#REF!</v>
      </c>
      <c r="AZ7" s="9" t="e">
        <f>tbl_Case_mins[[#This Row],[Anaesth End]]-tbl_Case_mins[[#This Row],[Surgery Finish]]</f>
        <v>#REF!</v>
      </c>
      <c r="BA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 s="16" cm="1">
        <f t="array" ref="BC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 s="16" t="e">
        <f>IF(AND(tbl_Case_mins[[#This Row],[FirstAMCase]]=1,tbl_Case_mins[[#This Row],[CancelledCase]]=0,OR(tbl_Case_mins[[#This Row],[EarlyStartAM]]&gt;0,tbl_Case_mins[[#This Row],[AnaesthStart]]=tbl_Case_mins[[#This Row],[ThOpenAm]])),1,0)</f>
        <v>#REF!</v>
      </c>
      <c r="BE7" s="16" t="e">
        <f>IF(AND(tbl_Case_mins[[#This Row],[Rank_AnaSt]]=tbl_Case_mins[[#This Row],[Min_RankAnaSt]],tbl_Case_mins[[#This Row],[Anaesth End]]&gt;=tbl_Case_mins[[#This Row],[ThOpenAm]],tbl_Case_mins[[#This Row],[PmCase]]=0),1,0)</f>
        <v>#REF!</v>
      </c>
      <c r="BF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 s="9" t="e" cm="1">
        <f t="array" ref="BH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 s="9" t="e">
        <f>IF(AND(tbl_Case_mins[[#This Row],[ThOpenPM]]&gt;0,tbl_Case_mins[[#This Row],[AnaesthStart]]&gt;tbl_Case_mins[[#This Row],[ThOpenPM]],tbl_Case_mins[[#This Row],[First PM Case]]=1),tbl_Case_mins[[#This Row],[AnaesthStart]]-tbl_Case_mins[[#This Row],[ThOpenPM]],0)</f>
        <v>#REF!</v>
      </c>
      <c r="BL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 s="9" t="e" cm="1">
        <f t="array" ref="BN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 s="9" t="e">
        <f>IF(AND(tbl_Case_mins[[#This Row],[ThClosePm]]&gt;0,tbl_Case_mins[[#This Row],[Anaesth End]]&gt;tbl_Case_mins[[#This Row],[ThClosePm]],tbl_Case_mins[[#This Row],[AnaesthStart]]&gt;tbl_Case_mins[[#This Row],[ThClosePm]]),tbl_Case_mins[[#This Row],[Into Recov]]-tbl_Case_mins[[#This Row],[AnaesthStart]],0)</f>
        <v>#REF!</v>
      </c>
      <c r="BP7" s="9" t="e">
        <f>IF(AND(tbl_Case_mins[[#This Row],[AnaesthStart]]&lt;tbl_Case_mins[[#This Row],[ThClosePm]],tbl_Case_mins[[#This Row],[Anaesth End]]&gt;tbl_Case_mins[[#This Row],[ThClosePm]]),tbl_Case_mins[[#This Row],[Anaesth End]]-tbl_Case_mins[[#This Row],[ThClosePm]],0)</f>
        <v>#REF!</v>
      </c>
      <c r="BQ7" s="9" t="e" cm="1">
        <f t="array" ref="BQ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 s="9" t="e" cm="1">
        <f t="array" ref="BR7">IF(tbl_Case_mins[[#This Row],[Rank_Adjust]]=SUMPRODUCT(-(tbl_Case_mins[Surgery Start Date]=tbl_Case_mins[[#This Row],[Surgery Start Date]]),-(tbl_Case_mins[Theatre]=tbl_Case_mins[[#This Row],[Theatre]])),INDEX(Poss_Time,MATCH(TEXT(tbl_Case_mins[[#This Row],[Surgery Start Date]],"ddd"),Day,0)),0)</f>
        <v>#REF!</v>
      </c>
      <c r="BS7" s="9" t="e">
        <f>tbl_Case_mins[[#This Row],[Core_Time]]*Util_Goal</f>
        <v>#REF!</v>
      </c>
      <c r="BT7" s="9" t="e" cm="1">
        <f t="array" ref="BT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 s="9" t="e" cm="1">
        <f t="array" ref="BU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 s="9" t="e">
        <f>IF(tbl_Case_mins[[#This Row],[Surgery End Date]]&gt;tbl_Case_mins[[#This Row],[Surgery Start Date]],tbl_Case_mins[[#This Row],[Anaesth End]]-1440,0)</f>
        <v>#REF!</v>
      </c>
      <c r="BY7" s="9" t="e">
        <f>tbl_Case_mins[[#This Row],[Total_NonCore]]-tbl_Case_mins[[#This Row],[NextDay_NonCore]]</f>
        <v>#REF!</v>
      </c>
      <c r="BZ7" s="10" t="e">
        <f>tbl_Case_mins[[#This Row],[InCoreUse]]/60</f>
        <v>#REF!</v>
      </c>
      <c r="CA7" s="10" t="e">
        <f>tbl_Case_mins[[#This Row],[Total_NonCore]]/60</f>
        <v>#REF!</v>
      </c>
      <c r="CB7" t="e" cm="1">
        <f t="array" ref="CB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 s="9" t="e" cm="1">
        <f t="array" ref="CC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 s="9" t="e" cm="1">
        <f t="array" ref="CD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 s="9" t="e" cm="1">
        <f t="array" ref="CE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 s="9" cm="1">
        <f t="array" ref="CF7">IFERROR(_xlfn.AGGREGATE(14,6,(tbl_Case_mins[Rank_AnaEnd])/((tbl_Case_mins[Surgery Start Date]=tbl_Case_mins[[#This Row],[Surgery Start Date]])*(tbl_Case_mins[Theatre]=tbl_Case_mins[[#This Row],[Theatre]])*(tbl_Case_mins[NoInCoreTime]=0)),1),-1)</f>
        <v>-1</v>
      </c>
      <c r="CG7" s="9" cm="1">
        <f t="array" ref="CG7">IFERROR(_xlfn.AGGREGATE(15,6,(tbl_Case_mins[Rank_AnaSt])/((tbl_Case_mins[Surgery Start Date]=tbl_Case_mins[[#This Row],[Surgery Start Date]])*(tbl_Case_mins[Theatre]=tbl_Case_mins[[#This Row],[Theatre]])*(tbl_Case_mins[NoInCoreTime]=0)),1),-1)</f>
        <v>-1</v>
      </c>
      <c r="CH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 t="e" cm="1">
        <f t="array" ref="CJ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 s="9" cm="1">
        <f t="array" ref="CO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 s="9" cm="1">
        <f t="array" ref="CP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 s="9" cm="1">
        <f t="array" ref="CQ7">IFERROR(IF(AND(tbl_Case_mins[[#This Row],[FirstAMCase]]=0,tbl_Case_mins[[#This Row],[Rank]]=_xlfn.AGGREGATE(14,6,(tbl_Case_mins[Rank])/((tbl_Case_mins[Surgery Start Date]=tbl_Case_mins[[#This Row],[Surgery Start Date]])*(tbl_Case_mins[Theatre]=tbl_Case_mins[[#This Row],[Theatre]])*(tbl_Case_mins[AmCase]=1)),1)),1,0),0)</f>
        <v>0</v>
      </c>
      <c r="CR7" s="9" cm="1">
        <f t="array" ref="CR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 s="9" t="e" cm="1">
        <f t="array" ref="CS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 s="9" cm="1">
        <f t="array" ref="CT7">IFERROR(IF(tbl_Case_mins[[#This Row],[Rank]]=_xlfn.AGGREGATE(15,6,(tbl_Case_mins[Rank])/((tbl_Case_mins[Surgery Start Date]=tbl_Case_mins[[#This Row],[Surgery Start Date]])*(tbl_Case_mins[Theatre]=tbl_Case_mins[[#This Row],[Theatre]])*(tbl_Case_mins[PmCase]=1)),1),1,0),0)</f>
        <v>0</v>
      </c>
      <c r="CU7">
        <f>IFERROR(#REF!,0)</f>
        <v>0</v>
      </c>
      <c r="CV7" s="9" t="e" cm="1">
        <f t="array" ref="CV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 s="9">
        <f>IFERROR(IF(ISBLANK(INDEX(Bay_AmClose,MATCH(1,INDEX((tbl_Case_mins[[#This Row],[Bay]]=BayNo)*(tbl_Case_mins[[#This Row],[Surgery Start Date]]=BDate),0,1),0))*1440),0,INDEX(Bay_AmClose,MATCH(1,INDEX((tbl_Case_mins[[#This Row],[Bay]]=BayNo)*(tbl_Case_mins[[#This Row],[Surgery Start Date]]=BDate),0,1),0))*1440),0)</f>
        <v>0</v>
      </c>
      <c r="CX7" s="9" cm="1">
        <f t="array" ref="CX7">IFERROR(IF(ISBLANK(INDEX(Bay_PmOpen,MATCH(1,INDEX((tbl_Case_mins[[#This Row],[Bay]]=BayNo)*(tbl_Case_mins[[#This Row],[Surgery Start Date]]=BDate),0,1),0))*1440),0,INDEX(Bay_PmOpen,MATCH(1,INDEX((tbl_Case_mins[[#This Row],[Bay]]=BayNo)*(tbl_Case_mins[[#This Row],[Surgery Start Date]]=BDate),0,1),0))*1440),0)</f>
        <v>0</v>
      </c>
      <c r="CY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 s="9"/>
    </row>
    <row r="8" spans="1:104" x14ac:dyDescent="0.2">
      <c r="A8">
        <v>7</v>
      </c>
      <c r="B8" t="e">
        <f>#REF!</f>
        <v>#REF!</v>
      </c>
      <c r="C8" t="e">
        <f>#REF!</f>
        <v>#REF!</v>
      </c>
      <c r="D8" t="e">
        <f>#REF!</f>
        <v>#REF!</v>
      </c>
      <c r="E8" t="e">
        <f>#REF!</f>
        <v>#REF!</v>
      </c>
      <c r="F8" t="e">
        <f>#REF!</f>
        <v>#REF!</v>
      </c>
      <c r="G8" t="e">
        <f>#REF!</f>
        <v>#REF!</v>
      </c>
      <c r="H8" t="e">
        <f>#REF!</f>
        <v>#REF!</v>
      </c>
      <c r="I8" t="e">
        <f>IF(#REF!="Case Cancelled",1,IF(#REF!="No Cases",2,0))</f>
        <v>#REF!</v>
      </c>
      <c r="J8" t="e">
        <f>#REF!</f>
        <v>#REF!</v>
      </c>
      <c r="K8" s="4" t="e">
        <f>#REF!</f>
        <v>#REF!</v>
      </c>
      <c r="L8" t="e">
        <f>"Wk "&amp;WEEKNUM(tbl_Case_mins[[#This Row],[Surgery Start Date]],21)</f>
        <v>#REF!</v>
      </c>
      <c r="M8" t="e">
        <f>TEXT(tbl_Case_mins[[#This Row],[Surgery Start Date]],"ddd")</f>
        <v>#REF!</v>
      </c>
      <c r="N8" s="9" t="e">
        <f>(#REF!-TIME(0,0,0))*1440</f>
        <v>#REF!</v>
      </c>
      <c r="O8" t="e">
        <f>IF(AND(ROUND((#REF!-TIME(0,0,0))*1440,0)&gt;0,ROUND((#REF!-TIME(0,0,0))*1440,0)&lt;tbl_Case_mins[[#This Row],[Patient Called]],tbl_Case_mins[[#This Row],[Surgery End Date]]&gt;tbl_Case_mins[[#This Row],[Surgery Start Date]]),ROUND((#REF!-TIME(0,0,0))*1440,0)+1440,ROUND((#REF!-TIME(0,0,0))*1440,0))</f>
        <v>#REF!</v>
      </c>
      <c r="P8" s="9" t="e">
        <f>IF(AND(ROUND((#REF!-TIME(0,0,0))*1440,0)&gt;0,ROUND((#REF!-TIME(0,0,0))*1440,0)&lt;tbl_Case_mins[[#This Row],[Arrival]],tbl_Case_mins[[#This Row],[Surgery End Date]]&gt;tbl_Case_mins[[#This Row],[Surgery Start Date]]),ROUND((#REF!-TIME(0,0,0))*1440,0)+1440,ROUND((#REF!-TIME(0,0,0))*1440,0))</f>
        <v>#REF!</v>
      </c>
      <c r="Q8" s="9" t="e">
        <f>IF(AND(ROUND((#REF!-TIME(0,0,0))*1440,0)&gt;0,ROUND((#REF!-TIME(0,0,0))*1440,0)&lt;tbl_Case_mins[[#This Row],[Into Th or AR]],tbl_Case_mins[[#This Row],[Surgery End Date]]&gt;tbl_Case_mins[[#This Row],[Surgery Start Date]]),ROUND((#REF!-TIME(0,0,0))*1440,0)+1440,ROUND((#REF!-TIME(0,0,0))*1440,0))</f>
        <v>#REF!</v>
      </c>
      <c r="R8" s="9" t="e">
        <f>IF(AND(ROUND((#REF!-TIME(0,0,0))*1440,0)&gt;0,ROUND((#REF!-TIME(0,0,0))*1440,0)&lt;tbl_Case_mins[[#This Row],[AnaesthStart]],tbl_Case_mins[[#This Row],[Surgery End Date]]&gt;tbl_Case_mins[[#This Row],[Surgery Start Date]]),ROUND((#REF!-TIME(0,0,0))*1440,0)+1440,ROUND((#REF!-TIME(0,0,0))*1440,0))</f>
        <v>#REF!</v>
      </c>
      <c r="S8" s="9" t="e">
        <f>IF(AND(ROUND((#REF!-TIME(0,0,0))*1440,0),ROUND((#REF!-TIME(0,0,0))*1440,0)&lt;tbl_Case_mins[[#This Row],[Surgery Start]],tbl_Case_mins[[#This Row],[Surgery End Date]]&gt;tbl_Case_mins[[#This Row],[Surgery Start Date]]),ROUND((#REF!-TIME(0,0,0))*1440,0)+1440,ROUND((#REF!-TIME(0,0,0))*1440,0))</f>
        <v>#REF!</v>
      </c>
      <c r="T8" s="9" t="e">
        <f>IF(AND(ROUND((#REF!-TIME(0,0,0))*1440,0)&gt;0,ROUND((#REF!-TIME(0,0,0))*1440,0)&lt;tbl_Case_mins[[#This Row],[Surgery Finish]],tbl_Case_mins[[#This Row],[Surgery End Date]]&gt;tbl_Case_mins[[#This Row],[Surgery Start Date]]),ROUND((#REF!-TIME(0,0,0))*1440,0)+1440,ROUND((#REF!-TIME(0,0,0))*1440,0))</f>
        <v>#REF!</v>
      </c>
      <c r="U8" s="9" t="e">
        <f>IF(AND(ROUND((#REF!-TIME(0,0,0))*1440,0)&gt;0,ROUND((#REF!-TIME(0,0,0))*1440,0)&lt;tbl_Case_mins[[#This Row],[Anaesth End]],tbl_Case_mins[[#This Row],[Surgery End Date]]&gt;tbl_Case_mins[[#This Row],[Surgery Start Date]]),ROUND((#REF!-TIME(0,0,0))*1440,0)+1440,ROUND((#REF!-TIME(0,0,0))*1440,0))</f>
        <v>#REF!</v>
      </c>
      <c r="V8" s="9" t="e">
        <f>IF(AND(ROUND((#REF!-TIME(0,0,0))*1440,0)&gt;0,ROUND((#REF!-TIME(0,0,0))*1440,0)&lt;tbl_Case_mins[[#This Row],[Into Recov]],tbl_Case_mins[[#This Row],[Surgery End Date]]&gt;tbl_Case_mins[[#This Row],[Surgery Start Date]]),ROUND((#REF!-TIME(0,0,0))*1440,0)+1440,ROUND((#REF!-TIME(0,0,0))*1440,0))</f>
        <v>#REF!</v>
      </c>
      <c r="W8" s="9" t="e">
        <f>IF(AND(ROUND((#REF!-TIME(0,0,0))*1440,0)&gt;0,ROUND((#REF!-TIME(0,0,0))*1440,0)&lt;tbl_Case_mins[[#This Row],[Ward Called]],tbl_Case_mins[[#This Row],[Surgery End Date]]&gt;tbl_Case_mins[[#This Row],[Surgery Start Date]]),ROUND((#REF!-TIME(0,0,0))*1440,0)+1440,ROUND((#REF!-TIME(0,0,0))*1440,0))</f>
        <v>#REF!</v>
      </c>
      <c r="X8" s="4" t="e">
        <f>IF(ISBLANK(#REF!),tbl_Case_mins[[#This Row],[Surgery Start Date]],#REF!)</f>
        <v>#REF!</v>
      </c>
      <c r="Y8">
        <f>IFERROR(IF(VLOOKUP(tbl_Case_mins[[#This Row],[Theatre]],'Mng Theatres'!$C$7:$G$12,3,FALSE)="Yes","Yes","No"),0)</f>
        <v>0</v>
      </c>
      <c r="Z8" s="9" t="e" cm="1">
        <f t="array" ref="Z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 s="9" t="e" cm="1">
        <f t="array" ref="AA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 s="9" t="e">
        <f>IF(tbl_Case_mins[[#This Row],[Case Type]]="Unsch",1,0)</f>
        <v>#REF!</v>
      </c>
      <c r="AD8" s="9" t="e">
        <f>IF(tbl_Case_mins[[#This Row],[Case Type]]="Sch",1,0)</f>
        <v>#REF!</v>
      </c>
      <c r="AE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 s="9">
        <f>IFERROR(IF(ISBLANK(INDEX(Am_Close,MATCH(1,INDEX((tbl_Case_mins[[#This Row],[Theatre]]=Theatre_No)*(tbl_Case_mins[[#This Row],[Surgery Start Date]]=Date),0,1),0))*1440),0,INDEX(Am_Close,MATCH(1,INDEX((tbl_Case_mins[[#This Row],[Theatre]]=Theatre_No)*(tbl_Case_mins[[#This Row],[Surgery Start Date]]=Date),0,1),0))*1440),0)</f>
        <v>0</v>
      </c>
      <c r="AG8" s="9">
        <f>IFERROR(IF(ISBLANK(INDEX(PM_Open,MATCH(1,INDEX((tbl_Case_mins[[#This Row],[Theatre]]=Theatre_No)*(tbl_Case_mins[[#This Row],[Surgery Start Date]]=Date),0,1),0))*1440),0,INDEX(PM_Open,MATCH(1,INDEX((tbl_Case_mins[[#This Row],[Theatre]]=Theatre_No)*(tbl_Case_mins[[#This Row],[Surgery Start Date]]=Date),0,1),0))*1440),0)</f>
        <v>0</v>
      </c>
      <c r="AH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 s="9" t="e">
        <f>IF(tbl_Case_mins[[#This Row],[ThOpenAm]]=0,tbl_Case_mins[[#This Row],[ThOpenPM]],tbl_Case_mins[[#This Row],[ThOpenAm]])</f>
        <v>#REF!</v>
      </c>
      <c r="AJ8" s="9" t="e">
        <f>IF(tbl_Case_mins[[#This Row],[ThCloseAm]]&gt;0,IF(tbl_Case_mins[[#This Row],[ThOpenPM]]&gt;0,tbl_Case_mins[[#This Row],[ThClosePm]],tbl_Case_mins[[#This Row],[ThCloseAm]]),tbl_Case_mins[[#This Row],[ThClosePm]])</f>
        <v>#REF!</v>
      </c>
      <c r="AK8" s="9" t="e">
        <f>IF(tbl_Case_mins[[#This Row],[TOT]]&gt;0,1,0)</f>
        <v>#REF!</v>
      </c>
      <c r="AL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 s="9" t="e">
        <f>IF(AND(tbl_Case_mins[[#This Row],[Surgery Status]]&lt;&gt;2,tbl_Case_mins[[#This Row],[InCoreCase]]=0,tbl_Case_mins[[#This Row],[CancelledCase]]=0),1,0)</f>
        <v>#REF!</v>
      </c>
      <c r="AN8" s="9" t="e">
        <f>IF(tbl_Case_mins[[#This Row],[Surgery Status]]=1,1,0)</f>
        <v>#REF!</v>
      </c>
      <c r="AO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 s="9" t="e">
        <f>IF(AND(tbl_Case_mins[[#This Row],[NonCoreCase]]=1,tbl_Case_mins[[#This Row],[NoInCoreTime]]=0),1,0)</f>
        <v>#REF!</v>
      </c>
      <c r="AQ8" s="9" t="e">
        <f>IF(tbl_Case_mins[[#This Row],[Rank_AnaEnd]]&lt;tbl_Case_mins[[#This Row],[Rank_AnaSt]],1,0)</f>
        <v>#REF!</v>
      </c>
      <c r="AR8" s="9" t="e">
        <f>IF(AND(tbl_Case_mins[[#This Row],[InCoreCase]]=1,tbl_Case_mins[[#This Row],[Sch]]=1),1,0)</f>
        <v>#REF!</v>
      </c>
      <c r="AS8" s="9" t="e">
        <f>IF(AND(tbl_Case_mins[[#This Row],[InCoreCase]]=1,tbl_Case_mins[[#This Row],[Unsch]]=1),1,0)</f>
        <v>#REF!</v>
      </c>
      <c r="AT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 s="9" t="e">
        <f>IF(tbl_Case_mins[[#This Row],[Surgery Status]]=0,(tbl_Case_mins[[#This Row],[Anaesth End]]-tbl_Case_mins[[#This Row],[AnaesthStart]]),0)</f>
        <v>#REF!</v>
      </c>
      <c r="AX8" s="9" t="e">
        <f>IF(tbl_Case_mins[[#This Row],[Surgery Status]]=0,(tbl_Case_mins[[#This Row],[Surgery Finish]]-tbl_Case_mins[[#This Row],[Surgery Start]]),0)</f>
        <v>#REF!</v>
      </c>
      <c r="AY8" s="9" t="e">
        <f>tbl_Case_mins[[#This Row],[Surgery Start]]-tbl_Case_mins[[#This Row],[AnaesthStart]]</f>
        <v>#REF!</v>
      </c>
      <c r="AZ8" s="9" t="e">
        <f>tbl_Case_mins[[#This Row],[Anaesth End]]-tbl_Case_mins[[#This Row],[Surgery Finish]]</f>
        <v>#REF!</v>
      </c>
      <c r="BA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 s="16" cm="1">
        <f t="array" ref="BC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 s="16" t="e">
        <f>IF(AND(tbl_Case_mins[[#This Row],[FirstAMCase]]=1,tbl_Case_mins[[#This Row],[CancelledCase]]=0,OR(tbl_Case_mins[[#This Row],[EarlyStartAM]]&gt;0,tbl_Case_mins[[#This Row],[AnaesthStart]]=tbl_Case_mins[[#This Row],[ThOpenAm]])),1,0)</f>
        <v>#REF!</v>
      </c>
      <c r="BE8" s="16" t="e">
        <f>IF(AND(tbl_Case_mins[[#This Row],[Rank_AnaSt]]=tbl_Case_mins[[#This Row],[Min_RankAnaSt]],tbl_Case_mins[[#This Row],[Anaesth End]]&gt;=tbl_Case_mins[[#This Row],[ThOpenAm]],tbl_Case_mins[[#This Row],[PmCase]]=0),1,0)</f>
        <v>#REF!</v>
      </c>
      <c r="BF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 s="9" t="e" cm="1">
        <f t="array" ref="BH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 s="9" t="e">
        <f>IF(AND(tbl_Case_mins[[#This Row],[ThOpenPM]]&gt;0,tbl_Case_mins[[#This Row],[AnaesthStart]]&gt;tbl_Case_mins[[#This Row],[ThOpenPM]],tbl_Case_mins[[#This Row],[First PM Case]]=1),tbl_Case_mins[[#This Row],[AnaesthStart]]-tbl_Case_mins[[#This Row],[ThOpenPM]],0)</f>
        <v>#REF!</v>
      </c>
      <c r="BL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 s="9" t="e" cm="1">
        <f t="array" ref="BN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 s="9" t="e">
        <f>IF(AND(tbl_Case_mins[[#This Row],[ThClosePm]]&gt;0,tbl_Case_mins[[#This Row],[Anaesth End]]&gt;tbl_Case_mins[[#This Row],[ThClosePm]],tbl_Case_mins[[#This Row],[AnaesthStart]]&gt;tbl_Case_mins[[#This Row],[ThClosePm]]),tbl_Case_mins[[#This Row],[Into Recov]]-tbl_Case_mins[[#This Row],[AnaesthStart]],0)</f>
        <v>#REF!</v>
      </c>
      <c r="BP8" s="9" t="e">
        <f>IF(AND(tbl_Case_mins[[#This Row],[AnaesthStart]]&lt;tbl_Case_mins[[#This Row],[ThClosePm]],tbl_Case_mins[[#This Row],[Anaesth End]]&gt;tbl_Case_mins[[#This Row],[ThClosePm]]),tbl_Case_mins[[#This Row],[Anaesth End]]-tbl_Case_mins[[#This Row],[ThClosePm]],0)</f>
        <v>#REF!</v>
      </c>
      <c r="BQ8" s="9" t="e" cm="1">
        <f t="array" ref="BQ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 s="9" t="e" cm="1">
        <f t="array" ref="BR8">IF(tbl_Case_mins[[#This Row],[Rank_Adjust]]=SUMPRODUCT(-(tbl_Case_mins[Surgery Start Date]=tbl_Case_mins[[#This Row],[Surgery Start Date]]),-(tbl_Case_mins[Theatre]=tbl_Case_mins[[#This Row],[Theatre]])),INDEX(Poss_Time,MATCH(TEXT(tbl_Case_mins[[#This Row],[Surgery Start Date]],"ddd"),Day,0)),0)</f>
        <v>#REF!</v>
      </c>
      <c r="BS8" s="9" t="e">
        <f>tbl_Case_mins[[#This Row],[Core_Time]]*Util_Goal</f>
        <v>#REF!</v>
      </c>
      <c r="BT8" s="9" t="e" cm="1">
        <f t="array" ref="BT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 s="9" t="e" cm="1">
        <f t="array" ref="BU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 s="9" t="e">
        <f>IF(tbl_Case_mins[[#This Row],[Surgery End Date]]&gt;tbl_Case_mins[[#This Row],[Surgery Start Date]],tbl_Case_mins[[#This Row],[Anaesth End]]-1440,0)</f>
        <v>#REF!</v>
      </c>
      <c r="BY8" s="9" t="e">
        <f>tbl_Case_mins[[#This Row],[Total_NonCore]]-tbl_Case_mins[[#This Row],[NextDay_NonCore]]</f>
        <v>#REF!</v>
      </c>
      <c r="BZ8" s="10" t="e">
        <f>tbl_Case_mins[[#This Row],[InCoreUse]]/60</f>
        <v>#REF!</v>
      </c>
      <c r="CA8" s="10" t="e">
        <f>tbl_Case_mins[[#This Row],[Total_NonCore]]/60</f>
        <v>#REF!</v>
      </c>
      <c r="CB8" t="e" cm="1">
        <f t="array" ref="CB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 s="9" t="e" cm="1">
        <f t="array" ref="CC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 s="9" t="e" cm="1">
        <f t="array" ref="CD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 s="9" t="e" cm="1">
        <f t="array" ref="CE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 s="9" cm="1">
        <f t="array" ref="CF8">IFERROR(_xlfn.AGGREGATE(14,6,(tbl_Case_mins[Rank_AnaEnd])/((tbl_Case_mins[Surgery Start Date]=tbl_Case_mins[[#This Row],[Surgery Start Date]])*(tbl_Case_mins[Theatre]=tbl_Case_mins[[#This Row],[Theatre]])*(tbl_Case_mins[NoInCoreTime]=0)),1),-1)</f>
        <v>-1</v>
      </c>
      <c r="CG8" s="9" cm="1">
        <f t="array" ref="CG8">IFERROR(_xlfn.AGGREGATE(15,6,(tbl_Case_mins[Rank_AnaSt])/((tbl_Case_mins[Surgery Start Date]=tbl_Case_mins[[#This Row],[Surgery Start Date]])*(tbl_Case_mins[Theatre]=tbl_Case_mins[[#This Row],[Theatre]])*(tbl_Case_mins[NoInCoreTime]=0)),1),-1)</f>
        <v>-1</v>
      </c>
      <c r="CH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 t="e" cm="1">
        <f t="array" ref="CJ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 s="9" cm="1">
        <f t="array" ref="CO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 s="9" cm="1">
        <f t="array" ref="CP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 s="9" cm="1">
        <f t="array" ref="CQ8">IFERROR(IF(AND(tbl_Case_mins[[#This Row],[FirstAMCase]]=0,tbl_Case_mins[[#This Row],[Rank]]=_xlfn.AGGREGATE(14,6,(tbl_Case_mins[Rank])/((tbl_Case_mins[Surgery Start Date]=tbl_Case_mins[[#This Row],[Surgery Start Date]])*(tbl_Case_mins[Theatre]=tbl_Case_mins[[#This Row],[Theatre]])*(tbl_Case_mins[AmCase]=1)),1)),1,0),0)</f>
        <v>0</v>
      </c>
      <c r="CR8" s="9" cm="1">
        <f t="array" ref="CR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 s="9" t="e" cm="1">
        <f t="array" ref="CS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 s="9" cm="1">
        <f t="array" ref="CT8">IFERROR(IF(tbl_Case_mins[[#This Row],[Rank]]=_xlfn.AGGREGATE(15,6,(tbl_Case_mins[Rank])/((tbl_Case_mins[Surgery Start Date]=tbl_Case_mins[[#This Row],[Surgery Start Date]])*(tbl_Case_mins[Theatre]=tbl_Case_mins[[#This Row],[Theatre]])*(tbl_Case_mins[PmCase]=1)),1),1,0),0)</f>
        <v>0</v>
      </c>
      <c r="CU8">
        <f>IFERROR(#REF!,0)</f>
        <v>0</v>
      </c>
      <c r="CV8" s="9" t="e" cm="1">
        <f t="array" ref="CV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 s="9">
        <f>IFERROR(IF(ISBLANK(INDEX(Bay_AmClose,MATCH(1,INDEX((tbl_Case_mins[[#This Row],[Bay]]=BayNo)*(tbl_Case_mins[[#This Row],[Surgery Start Date]]=BDate),0,1),0))*1440),0,INDEX(Bay_AmClose,MATCH(1,INDEX((tbl_Case_mins[[#This Row],[Bay]]=BayNo)*(tbl_Case_mins[[#This Row],[Surgery Start Date]]=BDate),0,1),0))*1440),0)</f>
        <v>0</v>
      </c>
      <c r="CX8" s="9" cm="1">
        <f t="array" ref="CX8">IFERROR(IF(ISBLANK(INDEX(Bay_PmOpen,MATCH(1,INDEX((tbl_Case_mins[[#This Row],[Bay]]=BayNo)*(tbl_Case_mins[[#This Row],[Surgery Start Date]]=BDate),0,1),0))*1440),0,INDEX(Bay_PmOpen,MATCH(1,INDEX((tbl_Case_mins[[#This Row],[Bay]]=BayNo)*(tbl_Case_mins[[#This Row],[Surgery Start Date]]=BDate),0,1),0))*1440),0)</f>
        <v>0</v>
      </c>
      <c r="CY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 s="9"/>
    </row>
    <row r="9" spans="1:104" x14ac:dyDescent="0.2">
      <c r="A9">
        <v>8</v>
      </c>
      <c r="B9" t="e">
        <f>#REF!</f>
        <v>#REF!</v>
      </c>
      <c r="C9" t="e">
        <f>#REF!</f>
        <v>#REF!</v>
      </c>
      <c r="D9" t="e">
        <f>#REF!</f>
        <v>#REF!</v>
      </c>
      <c r="E9" t="e">
        <f>#REF!</f>
        <v>#REF!</v>
      </c>
      <c r="F9" t="e">
        <f>#REF!</f>
        <v>#REF!</v>
      </c>
      <c r="G9" t="e">
        <f>#REF!</f>
        <v>#REF!</v>
      </c>
      <c r="H9" t="e">
        <f>#REF!</f>
        <v>#REF!</v>
      </c>
      <c r="I9" t="e">
        <f>IF(#REF!="Case Cancelled",1,IF(#REF!="No Cases",2,0))</f>
        <v>#REF!</v>
      </c>
      <c r="J9" t="e">
        <f>#REF!</f>
        <v>#REF!</v>
      </c>
      <c r="K9" s="4" t="e">
        <f>#REF!</f>
        <v>#REF!</v>
      </c>
      <c r="L9" t="e">
        <f>"Wk "&amp;WEEKNUM(tbl_Case_mins[[#This Row],[Surgery Start Date]],21)</f>
        <v>#REF!</v>
      </c>
      <c r="M9" t="e">
        <f>TEXT(tbl_Case_mins[[#This Row],[Surgery Start Date]],"ddd")</f>
        <v>#REF!</v>
      </c>
      <c r="N9" s="9" t="e">
        <f>(#REF!-TIME(0,0,0))*1440</f>
        <v>#REF!</v>
      </c>
      <c r="O9" t="e">
        <f>IF(AND(ROUND((#REF!-TIME(0,0,0))*1440,0)&gt;0,ROUND((#REF!-TIME(0,0,0))*1440,0)&lt;tbl_Case_mins[[#This Row],[Patient Called]],tbl_Case_mins[[#This Row],[Surgery End Date]]&gt;tbl_Case_mins[[#This Row],[Surgery Start Date]]),ROUND((#REF!-TIME(0,0,0))*1440,0)+1440,ROUND((#REF!-TIME(0,0,0))*1440,0))</f>
        <v>#REF!</v>
      </c>
      <c r="P9" s="9" t="e">
        <f>IF(AND(ROUND((#REF!-TIME(0,0,0))*1440,0)&gt;0,ROUND((#REF!-TIME(0,0,0))*1440,0)&lt;tbl_Case_mins[[#This Row],[Arrival]],tbl_Case_mins[[#This Row],[Surgery End Date]]&gt;tbl_Case_mins[[#This Row],[Surgery Start Date]]),ROUND((#REF!-TIME(0,0,0))*1440,0)+1440,ROUND((#REF!-TIME(0,0,0))*1440,0))</f>
        <v>#REF!</v>
      </c>
      <c r="Q9" s="9" t="e">
        <f>IF(AND(ROUND((#REF!-TIME(0,0,0))*1440,0)&gt;0,ROUND((#REF!-TIME(0,0,0))*1440,0)&lt;tbl_Case_mins[[#This Row],[Into Th or AR]],tbl_Case_mins[[#This Row],[Surgery End Date]]&gt;tbl_Case_mins[[#This Row],[Surgery Start Date]]),ROUND((#REF!-TIME(0,0,0))*1440,0)+1440,ROUND((#REF!-TIME(0,0,0))*1440,0))</f>
        <v>#REF!</v>
      </c>
      <c r="R9" s="9" t="e">
        <f>IF(AND(ROUND((#REF!-TIME(0,0,0))*1440,0)&gt;0,ROUND((#REF!-TIME(0,0,0))*1440,0)&lt;tbl_Case_mins[[#This Row],[AnaesthStart]],tbl_Case_mins[[#This Row],[Surgery End Date]]&gt;tbl_Case_mins[[#This Row],[Surgery Start Date]]),ROUND((#REF!-TIME(0,0,0))*1440,0)+1440,ROUND((#REF!-TIME(0,0,0))*1440,0))</f>
        <v>#REF!</v>
      </c>
      <c r="S9" s="9" t="e">
        <f>IF(AND(ROUND((#REF!-TIME(0,0,0))*1440,0),ROUND((#REF!-TIME(0,0,0))*1440,0)&lt;tbl_Case_mins[[#This Row],[Surgery Start]],tbl_Case_mins[[#This Row],[Surgery End Date]]&gt;tbl_Case_mins[[#This Row],[Surgery Start Date]]),ROUND((#REF!-TIME(0,0,0))*1440,0)+1440,ROUND((#REF!-TIME(0,0,0))*1440,0))</f>
        <v>#REF!</v>
      </c>
      <c r="T9" s="9" t="e">
        <f>IF(AND(ROUND((#REF!-TIME(0,0,0))*1440,0)&gt;0,ROUND((#REF!-TIME(0,0,0))*1440,0)&lt;tbl_Case_mins[[#This Row],[Surgery Finish]],tbl_Case_mins[[#This Row],[Surgery End Date]]&gt;tbl_Case_mins[[#This Row],[Surgery Start Date]]),ROUND((#REF!-TIME(0,0,0))*1440,0)+1440,ROUND((#REF!-TIME(0,0,0))*1440,0))</f>
        <v>#REF!</v>
      </c>
      <c r="U9" s="9" t="e">
        <f>IF(AND(ROUND((#REF!-TIME(0,0,0))*1440,0)&gt;0,ROUND((#REF!-TIME(0,0,0))*1440,0)&lt;tbl_Case_mins[[#This Row],[Anaesth End]],tbl_Case_mins[[#This Row],[Surgery End Date]]&gt;tbl_Case_mins[[#This Row],[Surgery Start Date]]),ROUND((#REF!-TIME(0,0,0))*1440,0)+1440,ROUND((#REF!-TIME(0,0,0))*1440,0))</f>
        <v>#REF!</v>
      </c>
      <c r="V9" s="9" t="e">
        <f>IF(AND(ROUND((#REF!-TIME(0,0,0))*1440,0)&gt;0,ROUND((#REF!-TIME(0,0,0))*1440,0)&lt;tbl_Case_mins[[#This Row],[Into Recov]],tbl_Case_mins[[#This Row],[Surgery End Date]]&gt;tbl_Case_mins[[#This Row],[Surgery Start Date]]),ROUND((#REF!-TIME(0,0,0))*1440,0)+1440,ROUND((#REF!-TIME(0,0,0))*1440,0))</f>
        <v>#REF!</v>
      </c>
      <c r="W9" s="9" t="e">
        <f>IF(AND(ROUND((#REF!-TIME(0,0,0))*1440,0)&gt;0,ROUND((#REF!-TIME(0,0,0))*1440,0)&lt;tbl_Case_mins[[#This Row],[Ward Called]],tbl_Case_mins[[#This Row],[Surgery End Date]]&gt;tbl_Case_mins[[#This Row],[Surgery Start Date]]),ROUND((#REF!-TIME(0,0,0))*1440,0)+1440,ROUND((#REF!-TIME(0,0,0))*1440,0))</f>
        <v>#REF!</v>
      </c>
      <c r="X9" s="4" t="e">
        <f>IF(ISBLANK(#REF!),tbl_Case_mins[[#This Row],[Surgery Start Date]],#REF!)</f>
        <v>#REF!</v>
      </c>
      <c r="Y9">
        <f>IFERROR(IF(VLOOKUP(tbl_Case_mins[[#This Row],[Theatre]],'Mng Theatres'!$C$7:$G$12,3,FALSE)="Yes","Yes","No"),0)</f>
        <v>0</v>
      </c>
      <c r="Z9" s="9" t="e" cm="1">
        <f t="array" ref="Z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 s="9" t="e" cm="1">
        <f t="array" ref="AA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 s="9" t="e">
        <f>IF(tbl_Case_mins[[#This Row],[Case Type]]="Unsch",1,0)</f>
        <v>#REF!</v>
      </c>
      <c r="AD9" s="9" t="e">
        <f>IF(tbl_Case_mins[[#This Row],[Case Type]]="Sch",1,0)</f>
        <v>#REF!</v>
      </c>
      <c r="AE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 s="9">
        <f>IFERROR(IF(ISBLANK(INDEX(Am_Close,MATCH(1,INDEX((tbl_Case_mins[[#This Row],[Theatre]]=Theatre_No)*(tbl_Case_mins[[#This Row],[Surgery Start Date]]=Date),0,1),0))*1440),0,INDEX(Am_Close,MATCH(1,INDEX((tbl_Case_mins[[#This Row],[Theatre]]=Theatre_No)*(tbl_Case_mins[[#This Row],[Surgery Start Date]]=Date),0,1),0))*1440),0)</f>
        <v>0</v>
      </c>
      <c r="AG9" s="9">
        <f>IFERROR(IF(ISBLANK(INDEX(PM_Open,MATCH(1,INDEX((tbl_Case_mins[[#This Row],[Theatre]]=Theatre_No)*(tbl_Case_mins[[#This Row],[Surgery Start Date]]=Date),0,1),0))*1440),0,INDEX(PM_Open,MATCH(1,INDEX((tbl_Case_mins[[#This Row],[Theatre]]=Theatre_No)*(tbl_Case_mins[[#This Row],[Surgery Start Date]]=Date),0,1),0))*1440),0)</f>
        <v>0</v>
      </c>
      <c r="AH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 s="9" t="e">
        <f>IF(tbl_Case_mins[[#This Row],[ThOpenAm]]=0,tbl_Case_mins[[#This Row],[ThOpenPM]],tbl_Case_mins[[#This Row],[ThOpenAm]])</f>
        <v>#REF!</v>
      </c>
      <c r="AJ9" s="9" t="e">
        <f>IF(tbl_Case_mins[[#This Row],[ThCloseAm]]&gt;0,IF(tbl_Case_mins[[#This Row],[ThOpenPM]]&gt;0,tbl_Case_mins[[#This Row],[ThClosePm]],tbl_Case_mins[[#This Row],[ThCloseAm]]),tbl_Case_mins[[#This Row],[ThClosePm]])</f>
        <v>#REF!</v>
      </c>
      <c r="AK9" s="9" t="e">
        <f>IF(tbl_Case_mins[[#This Row],[TOT]]&gt;0,1,0)</f>
        <v>#REF!</v>
      </c>
      <c r="AL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 s="9" t="e">
        <f>IF(AND(tbl_Case_mins[[#This Row],[Surgery Status]]&lt;&gt;2,tbl_Case_mins[[#This Row],[InCoreCase]]=0,tbl_Case_mins[[#This Row],[CancelledCase]]=0),1,0)</f>
        <v>#REF!</v>
      </c>
      <c r="AN9" s="9" t="e">
        <f>IF(tbl_Case_mins[[#This Row],[Surgery Status]]=1,1,0)</f>
        <v>#REF!</v>
      </c>
      <c r="AO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 s="9" t="e">
        <f>IF(AND(tbl_Case_mins[[#This Row],[NonCoreCase]]=1,tbl_Case_mins[[#This Row],[NoInCoreTime]]=0),1,0)</f>
        <v>#REF!</v>
      </c>
      <c r="AQ9" s="9" t="e">
        <f>IF(tbl_Case_mins[[#This Row],[Rank_AnaEnd]]&lt;tbl_Case_mins[[#This Row],[Rank_AnaSt]],1,0)</f>
        <v>#REF!</v>
      </c>
      <c r="AR9" s="9" t="e">
        <f>IF(AND(tbl_Case_mins[[#This Row],[InCoreCase]]=1,tbl_Case_mins[[#This Row],[Sch]]=1),1,0)</f>
        <v>#REF!</v>
      </c>
      <c r="AS9" s="9" t="e">
        <f>IF(AND(tbl_Case_mins[[#This Row],[InCoreCase]]=1,tbl_Case_mins[[#This Row],[Unsch]]=1),1,0)</f>
        <v>#REF!</v>
      </c>
      <c r="AT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 s="9" t="e">
        <f>IF(tbl_Case_mins[[#This Row],[Surgery Status]]=0,(tbl_Case_mins[[#This Row],[Anaesth End]]-tbl_Case_mins[[#This Row],[AnaesthStart]]),0)</f>
        <v>#REF!</v>
      </c>
      <c r="AX9" s="9" t="e">
        <f>IF(tbl_Case_mins[[#This Row],[Surgery Status]]=0,(tbl_Case_mins[[#This Row],[Surgery Finish]]-tbl_Case_mins[[#This Row],[Surgery Start]]),0)</f>
        <v>#REF!</v>
      </c>
      <c r="AY9" s="9" t="e">
        <f>tbl_Case_mins[[#This Row],[Surgery Start]]-tbl_Case_mins[[#This Row],[AnaesthStart]]</f>
        <v>#REF!</v>
      </c>
      <c r="AZ9" s="9" t="e">
        <f>tbl_Case_mins[[#This Row],[Anaesth End]]-tbl_Case_mins[[#This Row],[Surgery Finish]]</f>
        <v>#REF!</v>
      </c>
      <c r="BA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 s="16" cm="1">
        <f t="array" ref="BC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 s="16" t="e">
        <f>IF(AND(tbl_Case_mins[[#This Row],[FirstAMCase]]=1,tbl_Case_mins[[#This Row],[CancelledCase]]=0,OR(tbl_Case_mins[[#This Row],[EarlyStartAM]]&gt;0,tbl_Case_mins[[#This Row],[AnaesthStart]]=tbl_Case_mins[[#This Row],[ThOpenAm]])),1,0)</f>
        <v>#REF!</v>
      </c>
      <c r="BE9" s="16" t="e">
        <f>IF(AND(tbl_Case_mins[[#This Row],[Rank_AnaSt]]=tbl_Case_mins[[#This Row],[Min_RankAnaSt]],tbl_Case_mins[[#This Row],[Anaesth End]]&gt;=tbl_Case_mins[[#This Row],[ThOpenAm]],tbl_Case_mins[[#This Row],[PmCase]]=0),1,0)</f>
        <v>#REF!</v>
      </c>
      <c r="BF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 s="9" t="e" cm="1">
        <f t="array" ref="BH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 s="9" t="e">
        <f>IF(AND(tbl_Case_mins[[#This Row],[ThOpenPM]]&gt;0,tbl_Case_mins[[#This Row],[AnaesthStart]]&gt;tbl_Case_mins[[#This Row],[ThOpenPM]],tbl_Case_mins[[#This Row],[First PM Case]]=1),tbl_Case_mins[[#This Row],[AnaesthStart]]-tbl_Case_mins[[#This Row],[ThOpenPM]],0)</f>
        <v>#REF!</v>
      </c>
      <c r="BL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 s="9" t="e" cm="1">
        <f t="array" ref="BN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 s="9" t="e">
        <f>IF(AND(tbl_Case_mins[[#This Row],[ThClosePm]]&gt;0,tbl_Case_mins[[#This Row],[Anaesth End]]&gt;tbl_Case_mins[[#This Row],[ThClosePm]],tbl_Case_mins[[#This Row],[AnaesthStart]]&gt;tbl_Case_mins[[#This Row],[ThClosePm]]),tbl_Case_mins[[#This Row],[Into Recov]]-tbl_Case_mins[[#This Row],[AnaesthStart]],0)</f>
        <v>#REF!</v>
      </c>
      <c r="BP9" s="9" t="e">
        <f>IF(AND(tbl_Case_mins[[#This Row],[AnaesthStart]]&lt;tbl_Case_mins[[#This Row],[ThClosePm]],tbl_Case_mins[[#This Row],[Anaesth End]]&gt;tbl_Case_mins[[#This Row],[ThClosePm]]),tbl_Case_mins[[#This Row],[Anaesth End]]-tbl_Case_mins[[#This Row],[ThClosePm]],0)</f>
        <v>#REF!</v>
      </c>
      <c r="BQ9" s="9" t="e" cm="1">
        <f t="array" ref="BQ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 s="9" t="e" cm="1">
        <f t="array" ref="BR9">IF(tbl_Case_mins[[#This Row],[Rank_Adjust]]=SUMPRODUCT(-(tbl_Case_mins[Surgery Start Date]=tbl_Case_mins[[#This Row],[Surgery Start Date]]),-(tbl_Case_mins[Theatre]=tbl_Case_mins[[#This Row],[Theatre]])),INDEX(Poss_Time,MATCH(TEXT(tbl_Case_mins[[#This Row],[Surgery Start Date]],"ddd"),Day,0)),0)</f>
        <v>#REF!</v>
      </c>
      <c r="BS9" s="9" t="e">
        <f>tbl_Case_mins[[#This Row],[Core_Time]]*Util_Goal</f>
        <v>#REF!</v>
      </c>
      <c r="BT9" s="9" t="e" cm="1">
        <f t="array" ref="BT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 s="9" t="e" cm="1">
        <f t="array" ref="BU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 s="9" t="e">
        <f>IF(tbl_Case_mins[[#This Row],[Surgery End Date]]&gt;tbl_Case_mins[[#This Row],[Surgery Start Date]],tbl_Case_mins[[#This Row],[Anaesth End]]-1440,0)</f>
        <v>#REF!</v>
      </c>
      <c r="BY9" s="9" t="e">
        <f>tbl_Case_mins[[#This Row],[Total_NonCore]]-tbl_Case_mins[[#This Row],[NextDay_NonCore]]</f>
        <v>#REF!</v>
      </c>
      <c r="BZ9" s="10" t="e">
        <f>tbl_Case_mins[[#This Row],[InCoreUse]]/60</f>
        <v>#REF!</v>
      </c>
      <c r="CA9" s="10" t="e">
        <f>tbl_Case_mins[[#This Row],[Total_NonCore]]/60</f>
        <v>#REF!</v>
      </c>
      <c r="CB9" t="e" cm="1">
        <f t="array" ref="CB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 s="9" t="e" cm="1">
        <f t="array" ref="CC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 s="9" t="e" cm="1">
        <f t="array" ref="CD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 s="9" t="e" cm="1">
        <f t="array" ref="CE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 s="9" cm="1">
        <f t="array" ref="CF9">IFERROR(_xlfn.AGGREGATE(14,6,(tbl_Case_mins[Rank_AnaEnd])/((tbl_Case_mins[Surgery Start Date]=tbl_Case_mins[[#This Row],[Surgery Start Date]])*(tbl_Case_mins[Theatre]=tbl_Case_mins[[#This Row],[Theatre]])*(tbl_Case_mins[NoInCoreTime]=0)),1),-1)</f>
        <v>-1</v>
      </c>
      <c r="CG9" s="9" cm="1">
        <f t="array" ref="CG9">IFERROR(_xlfn.AGGREGATE(15,6,(tbl_Case_mins[Rank_AnaSt])/((tbl_Case_mins[Surgery Start Date]=tbl_Case_mins[[#This Row],[Surgery Start Date]])*(tbl_Case_mins[Theatre]=tbl_Case_mins[[#This Row],[Theatre]])*(tbl_Case_mins[NoInCoreTime]=0)),1),-1)</f>
        <v>-1</v>
      </c>
      <c r="CH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 t="e" cm="1">
        <f t="array" ref="CJ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 s="9" cm="1">
        <f t="array" ref="CO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 s="9" cm="1">
        <f t="array" ref="CP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 s="9" cm="1">
        <f t="array" ref="CQ9">IFERROR(IF(AND(tbl_Case_mins[[#This Row],[FirstAMCase]]=0,tbl_Case_mins[[#This Row],[Rank]]=_xlfn.AGGREGATE(14,6,(tbl_Case_mins[Rank])/((tbl_Case_mins[Surgery Start Date]=tbl_Case_mins[[#This Row],[Surgery Start Date]])*(tbl_Case_mins[Theatre]=tbl_Case_mins[[#This Row],[Theatre]])*(tbl_Case_mins[AmCase]=1)),1)),1,0),0)</f>
        <v>0</v>
      </c>
      <c r="CR9" s="9" cm="1">
        <f t="array" ref="CR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 s="9" t="e" cm="1">
        <f t="array" ref="CS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 s="9" cm="1">
        <f t="array" ref="CT9">IFERROR(IF(tbl_Case_mins[[#This Row],[Rank]]=_xlfn.AGGREGATE(15,6,(tbl_Case_mins[Rank])/((tbl_Case_mins[Surgery Start Date]=tbl_Case_mins[[#This Row],[Surgery Start Date]])*(tbl_Case_mins[Theatre]=tbl_Case_mins[[#This Row],[Theatre]])*(tbl_Case_mins[PmCase]=1)),1),1,0),0)</f>
        <v>0</v>
      </c>
      <c r="CU9">
        <f>IFERROR(#REF!,0)</f>
        <v>0</v>
      </c>
      <c r="CV9" s="9" t="e" cm="1">
        <f t="array" ref="CV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 s="9">
        <f>IFERROR(IF(ISBLANK(INDEX(Bay_AmClose,MATCH(1,INDEX((tbl_Case_mins[[#This Row],[Bay]]=BayNo)*(tbl_Case_mins[[#This Row],[Surgery Start Date]]=BDate),0,1),0))*1440),0,INDEX(Bay_AmClose,MATCH(1,INDEX((tbl_Case_mins[[#This Row],[Bay]]=BayNo)*(tbl_Case_mins[[#This Row],[Surgery Start Date]]=BDate),0,1),0))*1440),0)</f>
        <v>0</v>
      </c>
      <c r="CX9" s="9" cm="1">
        <f t="array" ref="CX9">IFERROR(IF(ISBLANK(INDEX(Bay_PmOpen,MATCH(1,INDEX((tbl_Case_mins[[#This Row],[Bay]]=BayNo)*(tbl_Case_mins[[#This Row],[Surgery Start Date]]=BDate),0,1),0))*1440),0,INDEX(Bay_PmOpen,MATCH(1,INDEX((tbl_Case_mins[[#This Row],[Bay]]=BayNo)*(tbl_Case_mins[[#This Row],[Surgery Start Date]]=BDate),0,1),0))*1440),0)</f>
        <v>0</v>
      </c>
      <c r="CY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 s="9"/>
    </row>
    <row r="10" spans="1:104" x14ac:dyDescent="0.2">
      <c r="A10">
        <v>9</v>
      </c>
      <c r="B10" t="e">
        <f>#REF!</f>
        <v>#REF!</v>
      </c>
      <c r="C10" t="e">
        <f>#REF!</f>
        <v>#REF!</v>
      </c>
      <c r="D10" t="e">
        <f>#REF!</f>
        <v>#REF!</v>
      </c>
      <c r="E10" t="e">
        <f>#REF!</f>
        <v>#REF!</v>
      </c>
      <c r="F10" t="e">
        <f>#REF!</f>
        <v>#REF!</v>
      </c>
      <c r="G10" t="e">
        <f>#REF!</f>
        <v>#REF!</v>
      </c>
      <c r="H10" t="e">
        <f>#REF!</f>
        <v>#REF!</v>
      </c>
      <c r="I10" t="e">
        <f>IF(#REF!="Case Cancelled",1,IF(#REF!="No Cases",2,0))</f>
        <v>#REF!</v>
      </c>
      <c r="J10" t="e">
        <f>#REF!</f>
        <v>#REF!</v>
      </c>
      <c r="K10" s="4" t="e">
        <f>#REF!</f>
        <v>#REF!</v>
      </c>
      <c r="L10" t="e">
        <f>"Wk "&amp;WEEKNUM(tbl_Case_mins[[#This Row],[Surgery Start Date]],21)</f>
        <v>#REF!</v>
      </c>
      <c r="M10" t="e">
        <f>TEXT(tbl_Case_mins[[#This Row],[Surgery Start Date]],"ddd")</f>
        <v>#REF!</v>
      </c>
      <c r="N10" s="9" t="e">
        <f>(#REF!-TIME(0,0,0))*1440</f>
        <v>#REF!</v>
      </c>
      <c r="O10" t="e">
        <f>IF(AND(ROUND((#REF!-TIME(0,0,0))*1440,0)&gt;0,ROUND((#REF!-TIME(0,0,0))*1440,0)&lt;tbl_Case_mins[[#This Row],[Patient Called]],tbl_Case_mins[[#This Row],[Surgery End Date]]&gt;tbl_Case_mins[[#This Row],[Surgery Start Date]]),ROUND((#REF!-TIME(0,0,0))*1440,0)+1440,ROUND((#REF!-TIME(0,0,0))*1440,0))</f>
        <v>#REF!</v>
      </c>
      <c r="P10" s="9" t="e">
        <f>IF(AND(ROUND((#REF!-TIME(0,0,0))*1440,0)&gt;0,ROUND((#REF!-TIME(0,0,0))*1440,0)&lt;tbl_Case_mins[[#This Row],[Arrival]],tbl_Case_mins[[#This Row],[Surgery End Date]]&gt;tbl_Case_mins[[#This Row],[Surgery Start Date]]),ROUND((#REF!-TIME(0,0,0))*1440,0)+1440,ROUND((#REF!-TIME(0,0,0))*1440,0))</f>
        <v>#REF!</v>
      </c>
      <c r="Q10" s="9" t="e">
        <f>IF(AND(ROUND((#REF!-TIME(0,0,0))*1440,0)&gt;0,ROUND((#REF!-TIME(0,0,0))*1440,0)&lt;tbl_Case_mins[[#This Row],[Into Th or AR]],tbl_Case_mins[[#This Row],[Surgery End Date]]&gt;tbl_Case_mins[[#This Row],[Surgery Start Date]]),ROUND((#REF!-TIME(0,0,0))*1440,0)+1440,ROUND((#REF!-TIME(0,0,0))*1440,0))</f>
        <v>#REF!</v>
      </c>
      <c r="R10" s="9" t="e">
        <f>IF(AND(ROUND((#REF!-TIME(0,0,0))*1440,0)&gt;0,ROUND((#REF!-TIME(0,0,0))*1440,0)&lt;tbl_Case_mins[[#This Row],[AnaesthStart]],tbl_Case_mins[[#This Row],[Surgery End Date]]&gt;tbl_Case_mins[[#This Row],[Surgery Start Date]]),ROUND((#REF!-TIME(0,0,0))*1440,0)+1440,ROUND((#REF!-TIME(0,0,0))*1440,0))</f>
        <v>#REF!</v>
      </c>
      <c r="S10" s="9" t="e">
        <f>IF(AND(ROUND((#REF!-TIME(0,0,0))*1440,0),ROUND((#REF!-TIME(0,0,0))*1440,0)&lt;tbl_Case_mins[[#This Row],[Surgery Start]],tbl_Case_mins[[#This Row],[Surgery End Date]]&gt;tbl_Case_mins[[#This Row],[Surgery Start Date]]),ROUND((#REF!-TIME(0,0,0))*1440,0)+1440,ROUND((#REF!-TIME(0,0,0))*1440,0))</f>
        <v>#REF!</v>
      </c>
      <c r="T10" s="9" t="e">
        <f>IF(AND(ROUND((#REF!-TIME(0,0,0))*1440,0)&gt;0,ROUND((#REF!-TIME(0,0,0))*1440,0)&lt;tbl_Case_mins[[#This Row],[Surgery Finish]],tbl_Case_mins[[#This Row],[Surgery End Date]]&gt;tbl_Case_mins[[#This Row],[Surgery Start Date]]),ROUND((#REF!-TIME(0,0,0))*1440,0)+1440,ROUND((#REF!-TIME(0,0,0))*1440,0))</f>
        <v>#REF!</v>
      </c>
      <c r="U10" s="9" t="e">
        <f>IF(AND(ROUND((#REF!-TIME(0,0,0))*1440,0)&gt;0,ROUND((#REF!-TIME(0,0,0))*1440,0)&lt;tbl_Case_mins[[#This Row],[Anaesth End]],tbl_Case_mins[[#This Row],[Surgery End Date]]&gt;tbl_Case_mins[[#This Row],[Surgery Start Date]]),ROUND((#REF!-TIME(0,0,0))*1440,0)+1440,ROUND((#REF!-TIME(0,0,0))*1440,0))</f>
        <v>#REF!</v>
      </c>
      <c r="V10" s="9" t="e">
        <f>IF(AND(ROUND((#REF!-TIME(0,0,0))*1440,0)&gt;0,ROUND((#REF!-TIME(0,0,0))*1440,0)&lt;tbl_Case_mins[[#This Row],[Into Recov]],tbl_Case_mins[[#This Row],[Surgery End Date]]&gt;tbl_Case_mins[[#This Row],[Surgery Start Date]]),ROUND((#REF!-TIME(0,0,0))*1440,0)+1440,ROUND((#REF!-TIME(0,0,0))*1440,0))</f>
        <v>#REF!</v>
      </c>
      <c r="W10" s="9" t="e">
        <f>IF(AND(ROUND((#REF!-TIME(0,0,0))*1440,0)&gt;0,ROUND((#REF!-TIME(0,0,0))*1440,0)&lt;tbl_Case_mins[[#This Row],[Ward Called]],tbl_Case_mins[[#This Row],[Surgery End Date]]&gt;tbl_Case_mins[[#This Row],[Surgery Start Date]]),ROUND((#REF!-TIME(0,0,0))*1440,0)+1440,ROUND((#REF!-TIME(0,0,0))*1440,0))</f>
        <v>#REF!</v>
      </c>
      <c r="X10" s="4" t="e">
        <f>IF(ISBLANK(#REF!),tbl_Case_mins[[#This Row],[Surgery Start Date]],#REF!)</f>
        <v>#REF!</v>
      </c>
      <c r="Y10">
        <f>IFERROR(IF(VLOOKUP(tbl_Case_mins[[#This Row],[Theatre]],'Mng Theatres'!$C$7:$G$12,3,FALSE)="Yes","Yes","No"),0)</f>
        <v>0</v>
      </c>
      <c r="Z10" s="9" t="e" cm="1">
        <f t="array" ref="Z1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 s="9" t="e" cm="1">
        <f t="array" ref="AA1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 s="9" t="e">
        <f>IF(tbl_Case_mins[[#This Row],[Case Type]]="Unsch",1,0)</f>
        <v>#REF!</v>
      </c>
      <c r="AD10" s="9" t="e">
        <f>IF(tbl_Case_mins[[#This Row],[Case Type]]="Sch",1,0)</f>
        <v>#REF!</v>
      </c>
      <c r="AE1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 s="9">
        <f>IFERROR(IF(ISBLANK(INDEX(Am_Close,MATCH(1,INDEX((tbl_Case_mins[[#This Row],[Theatre]]=Theatre_No)*(tbl_Case_mins[[#This Row],[Surgery Start Date]]=Date),0,1),0))*1440),0,INDEX(Am_Close,MATCH(1,INDEX((tbl_Case_mins[[#This Row],[Theatre]]=Theatre_No)*(tbl_Case_mins[[#This Row],[Surgery Start Date]]=Date),0,1),0))*1440),0)</f>
        <v>0</v>
      </c>
      <c r="AG10" s="9">
        <f>IFERROR(IF(ISBLANK(INDEX(PM_Open,MATCH(1,INDEX((tbl_Case_mins[[#This Row],[Theatre]]=Theatre_No)*(tbl_Case_mins[[#This Row],[Surgery Start Date]]=Date),0,1),0))*1440),0,INDEX(PM_Open,MATCH(1,INDEX((tbl_Case_mins[[#This Row],[Theatre]]=Theatre_No)*(tbl_Case_mins[[#This Row],[Surgery Start Date]]=Date),0,1),0))*1440),0)</f>
        <v>0</v>
      </c>
      <c r="AH1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 s="9" t="e">
        <f>IF(tbl_Case_mins[[#This Row],[ThOpenAm]]=0,tbl_Case_mins[[#This Row],[ThOpenPM]],tbl_Case_mins[[#This Row],[ThOpenAm]])</f>
        <v>#REF!</v>
      </c>
      <c r="AJ10" s="9" t="e">
        <f>IF(tbl_Case_mins[[#This Row],[ThCloseAm]]&gt;0,IF(tbl_Case_mins[[#This Row],[ThOpenPM]]&gt;0,tbl_Case_mins[[#This Row],[ThClosePm]],tbl_Case_mins[[#This Row],[ThCloseAm]]),tbl_Case_mins[[#This Row],[ThClosePm]])</f>
        <v>#REF!</v>
      </c>
      <c r="AK10" s="9" t="e">
        <f>IF(tbl_Case_mins[[#This Row],[TOT]]&gt;0,1,0)</f>
        <v>#REF!</v>
      </c>
      <c r="AL1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 s="9" t="e">
        <f>IF(AND(tbl_Case_mins[[#This Row],[Surgery Status]]&lt;&gt;2,tbl_Case_mins[[#This Row],[InCoreCase]]=0,tbl_Case_mins[[#This Row],[CancelledCase]]=0),1,0)</f>
        <v>#REF!</v>
      </c>
      <c r="AN10" s="9" t="e">
        <f>IF(tbl_Case_mins[[#This Row],[Surgery Status]]=1,1,0)</f>
        <v>#REF!</v>
      </c>
      <c r="AO1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 s="9" t="e">
        <f>IF(AND(tbl_Case_mins[[#This Row],[NonCoreCase]]=1,tbl_Case_mins[[#This Row],[NoInCoreTime]]=0),1,0)</f>
        <v>#REF!</v>
      </c>
      <c r="AQ10" s="9" t="e">
        <f>IF(tbl_Case_mins[[#This Row],[Rank_AnaEnd]]&lt;tbl_Case_mins[[#This Row],[Rank_AnaSt]],1,0)</f>
        <v>#REF!</v>
      </c>
      <c r="AR10" s="9" t="e">
        <f>IF(AND(tbl_Case_mins[[#This Row],[InCoreCase]]=1,tbl_Case_mins[[#This Row],[Sch]]=1),1,0)</f>
        <v>#REF!</v>
      </c>
      <c r="AS10" s="9" t="e">
        <f>IF(AND(tbl_Case_mins[[#This Row],[InCoreCase]]=1,tbl_Case_mins[[#This Row],[Unsch]]=1),1,0)</f>
        <v>#REF!</v>
      </c>
      <c r="AT1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 s="9" t="e">
        <f>IF(tbl_Case_mins[[#This Row],[Surgery Status]]=0,(tbl_Case_mins[[#This Row],[Anaesth End]]-tbl_Case_mins[[#This Row],[AnaesthStart]]),0)</f>
        <v>#REF!</v>
      </c>
      <c r="AX10" s="9" t="e">
        <f>IF(tbl_Case_mins[[#This Row],[Surgery Status]]=0,(tbl_Case_mins[[#This Row],[Surgery Finish]]-tbl_Case_mins[[#This Row],[Surgery Start]]),0)</f>
        <v>#REF!</v>
      </c>
      <c r="AY10" s="9" t="e">
        <f>tbl_Case_mins[[#This Row],[Surgery Start]]-tbl_Case_mins[[#This Row],[AnaesthStart]]</f>
        <v>#REF!</v>
      </c>
      <c r="AZ10" s="9" t="e">
        <f>tbl_Case_mins[[#This Row],[Anaesth End]]-tbl_Case_mins[[#This Row],[Surgery Finish]]</f>
        <v>#REF!</v>
      </c>
      <c r="BA1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 s="16" cm="1">
        <f t="array" ref="BC1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 s="16" t="e">
        <f>IF(AND(tbl_Case_mins[[#This Row],[FirstAMCase]]=1,tbl_Case_mins[[#This Row],[CancelledCase]]=0,OR(tbl_Case_mins[[#This Row],[EarlyStartAM]]&gt;0,tbl_Case_mins[[#This Row],[AnaesthStart]]=tbl_Case_mins[[#This Row],[ThOpenAm]])),1,0)</f>
        <v>#REF!</v>
      </c>
      <c r="BE10" s="16" t="e">
        <f>IF(AND(tbl_Case_mins[[#This Row],[Rank_AnaSt]]=tbl_Case_mins[[#This Row],[Min_RankAnaSt]],tbl_Case_mins[[#This Row],[Anaesth End]]&gt;=tbl_Case_mins[[#This Row],[ThOpenAm]],tbl_Case_mins[[#This Row],[PmCase]]=0),1,0)</f>
        <v>#REF!</v>
      </c>
      <c r="BF1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 s="9" t="e" cm="1">
        <f t="array" ref="BH1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 s="9" t="e">
        <f>IF(AND(tbl_Case_mins[[#This Row],[ThOpenPM]]&gt;0,tbl_Case_mins[[#This Row],[AnaesthStart]]&gt;tbl_Case_mins[[#This Row],[ThOpenPM]],tbl_Case_mins[[#This Row],[First PM Case]]=1),tbl_Case_mins[[#This Row],[AnaesthStart]]-tbl_Case_mins[[#This Row],[ThOpenPM]],0)</f>
        <v>#REF!</v>
      </c>
      <c r="BL1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 s="9" t="e" cm="1">
        <f t="array" ref="BN1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 s="9" t="e">
        <f>IF(AND(tbl_Case_mins[[#This Row],[ThClosePm]]&gt;0,tbl_Case_mins[[#This Row],[Anaesth End]]&gt;tbl_Case_mins[[#This Row],[ThClosePm]],tbl_Case_mins[[#This Row],[AnaesthStart]]&gt;tbl_Case_mins[[#This Row],[ThClosePm]]),tbl_Case_mins[[#This Row],[Into Recov]]-tbl_Case_mins[[#This Row],[AnaesthStart]],0)</f>
        <v>#REF!</v>
      </c>
      <c r="BP10" s="9" t="e">
        <f>IF(AND(tbl_Case_mins[[#This Row],[AnaesthStart]]&lt;tbl_Case_mins[[#This Row],[ThClosePm]],tbl_Case_mins[[#This Row],[Anaesth End]]&gt;tbl_Case_mins[[#This Row],[ThClosePm]]),tbl_Case_mins[[#This Row],[Anaesth End]]-tbl_Case_mins[[#This Row],[ThClosePm]],0)</f>
        <v>#REF!</v>
      </c>
      <c r="BQ10" s="9" t="e" cm="1">
        <f t="array" ref="BQ1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 s="9" t="e" cm="1">
        <f t="array" ref="BR10">IF(tbl_Case_mins[[#This Row],[Rank_Adjust]]=SUMPRODUCT(-(tbl_Case_mins[Surgery Start Date]=tbl_Case_mins[[#This Row],[Surgery Start Date]]),-(tbl_Case_mins[Theatre]=tbl_Case_mins[[#This Row],[Theatre]])),INDEX(Poss_Time,MATCH(TEXT(tbl_Case_mins[[#This Row],[Surgery Start Date]],"ddd"),Day,0)),0)</f>
        <v>#REF!</v>
      </c>
      <c r="BS10" s="9" t="e">
        <f>tbl_Case_mins[[#This Row],[Core_Time]]*Util_Goal</f>
        <v>#REF!</v>
      </c>
      <c r="BT10" s="9" t="e" cm="1">
        <f t="array" ref="BT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 s="9" t="e" cm="1">
        <f t="array" ref="BU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 s="9" t="e">
        <f>IF(tbl_Case_mins[[#This Row],[Surgery End Date]]&gt;tbl_Case_mins[[#This Row],[Surgery Start Date]],tbl_Case_mins[[#This Row],[Anaesth End]]-1440,0)</f>
        <v>#REF!</v>
      </c>
      <c r="BY10" s="9" t="e">
        <f>tbl_Case_mins[[#This Row],[Total_NonCore]]-tbl_Case_mins[[#This Row],[NextDay_NonCore]]</f>
        <v>#REF!</v>
      </c>
      <c r="BZ10" s="10" t="e">
        <f>tbl_Case_mins[[#This Row],[InCoreUse]]/60</f>
        <v>#REF!</v>
      </c>
      <c r="CA10" s="10" t="e">
        <f>tbl_Case_mins[[#This Row],[Total_NonCore]]/60</f>
        <v>#REF!</v>
      </c>
      <c r="CB10" t="e" cm="1">
        <f t="array" ref="CB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 s="9" t="e" cm="1">
        <f t="array" ref="CC1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 s="9" t="e" cm="1">
        <f t="array" ref="CD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 s="9" t="e" cm="1">
        <f t="array" ref="CE1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 s="9" cm="1">
        <f t="array" ref="CF10">IFERROR(_xlfn.AGGREGATE(14,6,(tbl_Case_mins[Rank_AnaEnd])/((tbl_Case_mins[Surgery Start Date]=tbl_Case_mins[[#This Row],[Surgery Start Date]])*(tbl_Case_mins[Theatre]=tbl_Case_mins[[#This Row],[Theatre]])*(tbl_Case_mins[NoInCoreTime]=0)),1),-1)</f>
        <v>-1</v>
      </c>
      <c r="CG10" s="9" cm="1">
        <f t="array" ref="CG10">IFERROR(_xlfn.AGGREGATE(15,6,(tbl_Case_mins[Rank_AnaSt])/((tbl_Case_mins[Surgery Start Date]=tbl_Case_mins[[#This Row],[Surgery Start Date]])*(tbl_Case_mins[Theatre]=tbl_Case_mins[[#This Row],[Theatre]])*(tbl_Case_mins[NoInCoreTime]=0)),1),-1)</f>
        <v>-1</v>
      </c>
      <c r="CH1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 t="e" cm="1">
        <f t="array" ref="CJ1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 s="9" cm="1">
        <f t="array" ref="CO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 s="9" cm="1">
        <f t="array" ref="CP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 s="9" cm="1">
        <f t="array" ref="CQ10">IFERROR(IF(AND(tbl_Case_mins[[#This Row],[FirstAMCase]]=0,tbl_Case_mins[[#This Row],[Rank]]=_xlfn.AGGREGATE(14,6,(tbl_Case_mins[Rank])/((tbl_Case_mins[Surgery Start Date]=tbl_Case_mins[[#This Row],[Surgery Start Date]])*(tbl_Case_mins[Theatre]=tbl_Case_mins[[#This Row],[Theatre]])*(tbl_Case_mins[AmCase]=1)),1)),1,0),0)</f>
        <v>0</v>
      </c>
      <c r="CR10" s="9" cm="1">
        <f t="array" ref="CR1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 s="9" t="e" cm="1">
        <f t="array" ref="CS1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 s="9" cm="1">
        <f t="array" ref="CT10">IFERROR(IF(tbl_Case_mins[[#This Row],[Rank]]=_xlfn.AGGREGATE(15,6,(tbl_Case_mins[Rank])/((tbl_Case_mins[Surgery Start Date]=tbl_Case_mins[[#This Row],[Surgery Start Date]])*(tbl_Case_mins[Theatre]=tbl_Case_mins[[#This Row],[Theatre]])*(tbl_Case_mins[PmCase]=1)),1),1,0),0)</f>
        <v>0</v>
      </c>
      <c r="CU10">
        <f>IFERROR(#REF!,0)</f>
        <v>0</v>
      </c>
      <c r="CV10" s="9" t="e" cm="1">
        <f t="array" ref="CV1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 s="9">
        <f>IFERROR(IF(ISBLANK(INDEX(Bay_AmClose,MATCH(1,INDEX((tbl_Case_mins[[#This Row],[Bay]]=BayNo)*(tbl_Case_mins[[#This Row],[Surgery Start Date]]=BDate),0,1),0))*1440),0,INDEX(Bay_AmClose,MATCH(1,INDEX((tbl_Case_mins[[#This Row],[Bay]]=BayNo)*(tbl_Case_mins[[#This Row],[Surgery Start Date]]=BDate),0,1),0))*1440),0)</f>
        <v>0</v>
      </c>
      <c r="CX10" s="9" cm="1">
        <f t="array" ref="CX10">IFERROR(IF(ISBLANK(INDEX(Bay_PmOpen,MATCH(1,INDEX((tbl_Case_mins[[#This Row],[Bay]]=BayNo)*(tbl_Case_mins[[#This Row],[Surgery Start Date]]=BDate),0,1),0))*1440),0,INDEX(Bay_PmOpen,MATCH(1,INDEX((tbl_Case_mins[[#This Row],[Bay]]=BayNo)*(tbl_Case_mins[[#This Row],[Surgery Start Date]]=BDate),0,1),0))*1440),0)</f>
        <v>0</v>
      </c>
      <c r="CY1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 s="9"/>
    </row>
    <row r="11" spans="1:104" x14ac:dyDescent="0.2">
      <c r="A11">
        <v>10</v>
      </c>
      <c r="B11" t="e">
        <f>#REF!</f>
        <v>#REF!</v>
      </c>
      <c r="C11" t="e">
        <f>#REF!</f>
        <v>#REF!</v>
      </c>
      <c r="D11" t="e">
        <f>#REF!</f>
        <v>#REF!</v>
      </c>
      <c r="E11" t="e">
        <f>#REF!</f>
        <v>#REF!</v>
      </c>
      <c r="F11" t="e">
        <f>#REF!</f>
        <v>#REF!</v>
      </c>
      <c r="G11" t="e">
        <f>#REF!</f>
        <v>#REF!</v>
      </c>
      <c r="H11" t="e">
        <f>#REF!</f>
        <v>#REF!</v>
      </c>
      <c r="I11" t="e">
        <f>IF(#REF!="Case Cancelled",1,IF(#REF!="No Cases",2,0))</f>
        <v>#REF!</v>
      </c>
      <c r="J11" t="e">
        <f>#REF!</f>
        <v>#REF!</v>
      </c>
      <c r="K11" s="4" t="e">
        <f>#REF!</f>
        <v>#REF!</v>
      </c>
      <c r="L11" t="e">
        <f>"Wk "&amp;WEEKNUM(tbl_Case_mins[[#This Row],[Surgery Start Date]],21)</f>
        <v>#REF!</v>
      </c>
      <c r="M11" t="e">
        <f>TEXT(tbl_Case_mins[[#This Row],[Surgery Start Date]],"ddd")</f>
        <v>#REF!</v>
      </c>
      <c r="N11" s="9" t="e">
        <f>(#REF!-TIME(0,0,0))*1440</f>
        <v>#REF!</v>
      </c>
      <c r="O11" t="e">
        <f>IF(AND(ROUND((#REF!-TIME(0,0,0))*1440,0)&gt;0,ROUND((#REF!-TIME(0,0,0))*1440,0)&lt;tbl_Case_mins[[#This Row],[Patient Called]],tbl_Case_mins[[#This Row],[Surgery End Date]]&gt;tbl_Case_mins[[#This Row],[Surgery Start Date]]),ROUND((#REF!-TIME(0,0,0))*1440,0)+1440,ROUND((#REF!-TIME(0,0,0))*1440,0))</f>
        <v>#REF!</v>
      </c>
      <c r="P11" s="9" t="e">
        <f>IF(AND(ROUND((#REF!-TIME(0,0,0))*1440,0)&gt;0,ROUND((#REF!-TIME(0,0,0))*1440,0)&lt;tbl_Case_mins[[#This Row],[Arrival]],tbl_Case_mins[[#This Row],[Surgery End Date]]&gt;tbl_Case_mins[[#This Row],[Surgery Start Date]]),ROUND((#REF!-TIME(0,0,0))*1440,0)+1440,ROUND((#REF!-TIME(0,0,0))*1440,0))</f>
        <v>#REF!</v>
      </c>
      <c r="Q11" s="9" t="e">
        <f>IF(AND(ROUND((#REF!-TIME(0,0,0))*1440,0)&gt;0,ROUND((#REF!-TIME(0,0,0))*1440,0)&lt;tbl_Case_mins[[#This Row],[Into Th or AR]],tbl_Case_mins[[#This Row],[Surgery End Date]]&gt;tbl_Case_mins[[#This Row],[Surgery Start Date]]),ROUND((#REF!-TIME(0,0,0))*1440,0)+1440,ROUND((#REF!-TIME(0,0,0))*1440,0))</f>
        <v>#REF!</v>
      </c>
      <c r="R11" s="9" t="e">
        <f>IF(AND(ROUND((#REF!-TIME(0,0,0))*1440,0)&gt;0,ROUND((#REF!-TIME(0,0,0))*1440,0)&lt;tbl_Case_mins[[#This Row],[AnaesthStart]],tbl_Case_mins[[#This Row],[Surgery End Date]]&gt;tbl_Case_mins[[#This Row],[Surgery Start Date]]),ROUND((#REF!-TIME(0,0,0))*1440,0)+1440,ROUND((#REF!-TIME(0,0,0))*1440,0))</f>
        <v>#REF!</v>
      </c>
      <c r="S11" s="9" t="e">
        <f>IF(AND(ROUND((#REF!-TIME(0,0,0))*1440,0),ROUND((#REF!-TIME(0,0,0))*1440,0)&lt;tbl_Case_mins[[#This Row],[Surgery Start]],tbl_Case_mins[[#This Row],[Surgery End Date]]&gt;tbl_Case_mins[[#This Row],[Surgery Start Date]]),ROUND((#REF!-TIME(0,0,0))*1440,0)+1440,ROUND((#REF!-TIME(0,0,0))*1440,0))</f>
        <v>#REF!</v>
      </c>
      <c r="T11" s="9" t="e">
        <f>IF(AND(ROUND((#REF!-TIME(0,0,0))*1440,0)&gt;0,ROUND((#REF!-TIME(0,0,0))*1440,0)&lt;tbl_Case_mins[[#This Row],[Surgery Finish]],tbl_Case_mins[[#This Row],[Surgery End Date]]&gt;tbl_Case_mins[[#This Row],[Surgery Start Date]]),ROUND((#REF!-TIME(0,0,0))*1440,0)+1440,ROUND((#REF!-TIME(0,0,0))*1440,0))</f>
        <v>#REF!</v>
      </c>
      <c r="U11" s="9" t="e">
        <f>IF(AND(ROUND((#REF!-TIME(0,0,0))*1440,0)&gt;0,ROUND((#REF!-TIME(0,0,0))*1440,0)&lt;tbl_Case_mins[[#This Row],[Anaesth End]],tbl_Case_mins[[#This Row],[Surgery End Date]]&gt;tbl_Case_mins[[#This Row],[Surgery Start Date]]),ROUND((#REF!-TIME(0,0,0))*1440,0)+1440,ROUND((#REF!-TIME(0,0,0))*1440,0))</f>
        <v>#REF!</v>
      </c>
      <c r="V11" s="9" t="e">
        <f>IF(AND(ROUND((#REF!-TIME(0,0,0))*1440,0)&gt;0,ROUND((#REF!-TIME(0,0,0))*1440,0)&lt;tbl_Case_mins[[#This Row],[Into Recov]],tbl_Case_mins[[#This Row],[Surgery End Date]]&gt;tbl_Case_mins[[#This Row],[Surgery Start Date]]),ROUND((#REF!-TIME(0,0,0))*1440,0)+1440,ROUND((#REF!-TIME(0,0,0))*1440,0))</f>
        <v>#REF!</v>
      </c>
      <c r="W11" s="9" t="e">
        <f>IF(AND(ROUND((#REF!-TIME(0,0,0))*1440,0)&gt;0,ROUND((#REF!-TIME(0,0,0))*1440,0)&lt;tbl_Case_mins[[#This Row],[Ward Called]],tbl_Case_mins[[#This Row],[Surgery End Date]]&gt;tbl_Case_mins[[#This Row],[Surgery Start Date]]),ROUND((#REF!-TIME(0,0,0))*1440,0)+1440,ROUND((#REF!-TIME(0,0,0))*1440,0))</f>
        <v>#REF!</v>
      </c>
      <c r="X11" s="4" t="e">
        <f>IF(ISBLANK(#REF!),tbl_Case_mins[[#This Row],[Surgery Start Date]],#REF!)</f>
        <v>#REF!</v>
      </c>
      <c r="Y11">
        <f>IFERROR(IF(VLOOKUP(tbl_Case_mins[[#This Row],[Theatre]],'Mng Theatres'!$C$7:$G$12,3,FALSE)="Yes","Yes","No"),0)</f>
        <v>0</v>
      </c>
      <c r="Z11" s="9" t="e" cm="1">
        <f t="array" ref="Z1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 s="9" t="e" cm="1">
        <f t="array" ref="AA1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 s="9" t="e">
        <f>IF(tbl_Case_mins[[#This Row],[Case Type]]="Unsch",1,0)</f>
        <v>#REF!</v>
      </c>
      <c r="AD11" s="9" t="e">
        <f>IF(tbl_Case_mins[[#This Row],[Case Type]]="Sch",1,0)</f>
        <v>#REF!</v>
      </c>
      <c r="AE1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 s="9">
        <f>IFERROR(IF(ISBLANK(INDEX(Am_Close,MATCH(1,INDEX((tbl_Case_mins[[#This Row],[Theatre]]=Theatre_No)*(tbl_Case_mins[[#This Row],[Surgery Start Date]]=Date),0,1),0))*1440),0,INDEX(Am_Close,MATCH(1,INDEX((tbl_Case_mins[[#This Row],[Theatre]]=Theatre_No)*(tbl_Case_mins[[#This Row],[Surgery Start Date]]=Date),0,1),0))*1440),0)</f>
        <v>0</v>
      </c>
      <c r="AG11" s="9">
        <f>IFERROR(IF(ISBLANK(INDEX(PM_Open,MATCH(1,INDEX((tbl_Case_mins[[#This Row],[Theatre]]=Theatre_No)*(tbl_Case_mins[[#This Row],[Surgery Start Date]]=Date),0,1),0))*1440),0,INDEX(PM_Open,MATCH(1,INDEX((tbl_Case_mins[[#This Row],[Theatre]]=Theatre_No)*(tbl_Case_mins[[#This Row],[Surgery Start Date]]=Date),0,1),0))*1440),0)</f>
        <v>0</v>
      </c>
      <c r="AH1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 s="9" t="e">
        <f>IF(tbl_Case_mins[[#This Row],[ThOpenAm]]=0,tbl_Case_mins[[#This Row],[ThOpenPM]],tbl_Case_mins[[#This Row],[ThOpenAm]])</f>
        <v>#REF!</v>
      </c>
      <c r="AJ11" s="9" t="e">
        <f>IF(tbl_Case_mins[[#This Row],[ThCloseAm]]&gt;0,IF(tbl_Case_mins[[#This Row],[ThOpenPM]]&gt;0,tbl_Case_mins[[#This Row],[ThClosePm]],tbl_Case_mins[[#This Row],[ThCloseAm]]),tbl_Case_mins[[#This Row],[ThClosePm]])</f>
        <v>#REF!</v>
      </c>
      <c r="AK11" s="9" t="e">
        <f>IF(tbl_Case_mins[[#This Row],[TOT]]&gt;0,1,0)</f>
        <v>#REF!</v>
      </c>
      <c r="AL1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 s="9" t="e">
        <f>IF(AND(tbl_Case_mins[[#This Row],[Surgery Status]]&lt;&gt;2,tbl_Case_mins[[#This Row],[InCoreCase]]=0,tbl_Case_mins[[#This Row],[CancelledCase]]=0),1,0)</f>
        <v>#REF!</v>
      </c>
      <c r="AN11" s="9" t="e">
        <f>IF(tbl_Case_mins[[#This Row],[Surgery Status]]=1,1,0)</f>
        <v>#REF!</v>
      </c>
      <c r="AO1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 s="9" t="e">
        <f>IF(AND(tbl_Case_mins[[#This Row],[NonCoreCase]]=1,tbl_Case_mins[[#This Row],[NoInCoreTime]]=0),1,0)</f>
        <v>#REF!</v>
      </c>
      <c r="AQ11" s="9" t="e">
        <f>IF(tbl_Case_mins[[#This Row],[Rank_AnaEnd]]&lt;tbl_Case_mins[[#This Row],[Rank_AnaSt]],1,0)</f>
        <v>#REF!</v>
      </c>
      <c r="AR11" s="9" t="e">
        <f>IF(AND(tbl_Case_mins[[#This Row],[InCoreCase]]=1,tbl_Case_mins[[#This Row],[Sch]]=1),1,0)</f>
        <v>#REF!</v>
      </c>
      <c r="AS11" s="9" t="e">
        <f>IF(AND(tbl_Case_mins[[#This Row],[InCoreCase]]=1,tbl_Case_mins[[#This Row],[Unsch]]=1),1,0)</f>
        <v>#REF!</v>
      </c>
      <c r="AT1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 s="9" t="e">
        <f>IF(tbl_Case_mins[[#This Row],[Surgery Status]]=0,(tbl_Case_mins[[#This Row],[Anaesth End]]-tbl_Case_mins[[#This Row],[AnaesthStart]]),0)</f>
        <v>#REF!</v>
      </c>
      <c r="AX11" s="9" t="e">
        <f>IF(tbl_Case_mins[[#This Row],[Surgery Status]]=0,(tbl_Case_mins[[#This Row],[Surgery Finish]]-tbl_Case_mins[[#This Row],[Surgery Start]]),0)</f>
        <v>#REF!</v>
      </c>
      <c r="AY11" s="9" t="e">
        <f>tbl_Case_mins[[#This Row],[Surgery Start]]-tbl_Case_mins[[#This Row],[AnaesthStart]]</f>
        <v>#REF!</v>
      </c>
      <c r="AZ11" s="9" t="e">
        <f>tbl_Case_mins[[#This Row],[Anaesth End]]-tbl_Case_mins[[#This Row],[Surgery Finish]]</f>
        <v>#REF!</v>
      </c>
      <c r="BA1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 s="16" cm="1">
        <f t="array" ref="BC1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 s="16" t="e">
        <f>IF(AND(tbl_Case_mins[[#This Row],[FirstAMCase]]=1,tbl_Case_mins[[#This Row],[CancelledCase]]=0,OR(tbl_Case_mins[[#This Row],[EarlyStartAM]]&gt;0,tbl_Case_mins[[#This Row],[AnaesthStart]]=tbl_Case_mins[[#This Row],[ThOpenAm]])),1,0)</f>
        <v>#REF!</v>
      </c>
      <c r="BE11" s="16" t="e">
        <f>IF(AND(tbl_Case_mins[[#This Row],[Rank_AnaSt]]=tbl_Case_mins[[#This Row],[Min_RankAnaSt]],tbl_Case_mins[[#This Row],[Anaesth End]]&gt;=tbl_Case_mins[[#This Row],[ThOpenAm]],tbl_Case_mins[[#This Row],[PmCase]]=0),1,0)</f>
        <v>#REF!</v>
      </c>
      <c r="BF1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 s="9" t="e" cm="1">
        <f t="array" ref="BH1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 s="9" t="e">
        <f>IF(AND(tbl_Case_mins[[#This Row],[ThOpenPM]]&gt;0,tbl_Case_mins[[#This Row],[AnaesthStart]]&gt;tbl_Case_mins[[#This Row],[ThOpenPM]],tbl_Case_mins[[#This Row],[First PM Case]]=1),tbl_Case_mins[[#This Row],[AnaesthStart]]-tbl_Case_mins[[#This Row],[ThOpenPM]],0)</f>
        <v>#REF!</v>
      </c>
      <c r="BL1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 s="9" t="e" cm="1">
        <f t="array" ref="BN1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 s="9" t="e">
        <f>IF(AND(tbl_Case_mins[[#This Row],[ThClosePm]]&gt;0,tbl_Case_mins[[#This Row],[Anaesth End]]&gt;tbl_Case_mins[[#This Row],[ThClosePm]],tbl_Case_mins[[#This Row],[AnaesthStart]]&gt;tbl_Case_mins[[#This Row],[ThClosePm]]),tbl_Case_mins[[#This Row],[Into Recov]]-tbl_Case_mins[[#This Row],[AnaesthStart]],0)</f>
        <v>#REF!</v>
      </c>
      <c r="BP11" s="9" t="e">
        <f>IF(AND(tbl_Case_mins[[#This Row],[AnaesthStart]]&lt;tbl_Case_mins[[#This Row],[ThClosePm]],tbl_Case_mins[[#This Row],[Anaesth End]]&gt;tbl_Case_mins[[#This Row],[ThClosePm]]),tbl_Case_mins[[#This Row],[Anaesth End]]-tbl_Case_mins[[#This Row],[ThClosePm]],0)</f>
        <v>#REF!</v>
      </c>
      <c r="BQ11" s="9" t="e" cm="1">
        <f t="array" ref="BQ1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 s="9" t="e" cm="1">
        <f t="array" ref="BR11">IF(tbl_Case_mins[[#This Row],[Rank_Adjust]]=SUMPRODUCT(-(tbl_Case_mins[Surgery Start Date]=tbl_Case_mins[[#This Row],[Surgery Start Date]]),-(tbl_Case_mins[Theatre]=tbl_Case_mins[[#This Row],[Theatre]])),INDEX(Poss_Time,MATCH(TEXT(tbl_Case_mins[[#This Row],[Surgery Start Date]],"ddd"),Day,0)),0)</f>
        <v>#REF!</v>
      </c>
      <c r="BS11" s="9" t="e">
        <f>tbl_Case_mins[[#This Row],[Core_Time]]*Util_Goal</f>
        <v>#REF!</v>
      </c>
      <c r="BT11" s="9" t="e" cm="1">
        <f t="array" ref="BT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 s="9" t="e" cm="1">
        <f t="array" ref="BU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 s="9" t="e">
        <f>IF(tbl_Case_mins[[#This Row],[Surgery End Date]]&gt;tbl_Case_mins[[#This Row],[Surgery Start Date]],tbl_Case_mins[[#This Row],[Anaesth End]]-1440,0)</f>
        <v>#REF!</v>
      </c>
      <c r="BY11" s="9" t="e">
        <f>tbl_Case_mins[[#This Row],[Total_NonCore]]-tbl_Case_mins[[#This Row],[NextDay_NonCore]]</f>
        <v>#REF!</v>
      </c>
      <c r="BZ11" s="10" t="e">
        <f>tbl_Case_mins[[#This Row],[InCoreUse]]/60</f>
        <v>#REF!</v>
      </c>
      <c r="CA11" s="10" t="e">
        <f>tbl_Case_mins[[#This Row],[Total_NonCore]]/60</f>
        <v>#REF!</v>
      </c>
      <c r="CB11" t="e" cm="1">
        <f t="array" ref="CB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 s="9" t="e" cm="1">
        <f t="array" ref="CC1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 s="9" t="e" cm="1">
        <f t="array" ref="CD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 s="9" t="e" cm="1">
        <f t="array" ref="CE1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 s="9" cm="1">
        <f t="array" ref="CF11">IFERROR(_xlfn.AGGREGATE(14,6,(tbl_Case_mins[Rank_AnaEnd])/((tbl_Case_mins[Surgery Start Date]=tbl_Case_mins[[#This Row],[Surgery Start Date]])*(tbl_Case_mins[Theatre]=tbl_Case_mins[[#This Row],[Theatre]])*(tbl_Case_mins[NoInCoreTime]=0)),1),-1)</f>
        <v>-1</v>
      </c>
      <c r="CG11" s="9" cm="1">
        <f t="array" ref="CG11">IFERROR(_xlfn.AGGREGATE(15,6,(tbl_Case_mins[Rank_AnaSt])/((tbl_Case_mins[Surgery Start Date]=tbl_Case_mins[[#This Row],[Surgery Start Date]])*(tbl_Case_mins[Theatre]=tbl_Case_mins[[#This Row],[Theatre]])*(tbl_Case_mins[NoInCoreTime]=0)),1),-1)</f>
        <v>-1</v>
      </c>
      <c r="CH1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 t="e" cm="1">
        <f t="array" ref="CJ1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 s="9" cm="1">
        <f t="array" ref="CO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 s="9" cm="1">
        <f t="array" ref="CP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 s="9" cm="1">
        <f t="array" ref="CQ11">IFERROR(IF(AND(tbl_Case_mins[[#This Row],[FirstAMCase]]=0,tbl_Case_mins[[#This Row],[Rank]]=_xlfn.AGGREGATE(14,6,(tbl_Case_mins[Rank])/((tbl_Case_mins[Surgery Start Date]=tbl_Case_mins[[#This Row],[Surgery Start Date]])*(tbl_Case_mins[Theatre]=tbl_Case_mins[[#This Row],[Theatre]])*(tbl_Case_mins[AmCase]=1)),1)),1,0),0)</f>
        <v>0</v>
      </c>
      <c r="CR11" s="9" cm="1">
        <f t="array" ref="CR1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 s="9" t="e" cm="1">
        <f t="array" ref="CS1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 s="9" cm="1">
        <f t="array" ref="CT11">IFERROR(IF(tbl_Case_mins[[#This Row],[Rank]]=_xlfn.AGGREGATE(15,6,(tbl_Case_mins[Rank])/((tbl_Case_mins[Surgery Start Date]=tbl_Case_mins[[#This Row],[Surgery Start Date]])*(tbl_Case_mins[Theatre]=tbl_Case_mins[[#This Row],[Theatre]])*(tbl_Case_mins[PmCase]=1)),1),1,0),0)</f>
        <v>0</v>
      </c>
      <c r="CU11">
        <f>IFERROR(#REF!,0)</f>
        <v>0</v>
      </c>
      <c r="CV11" s="9" t="e" cm="1">
        <f t="array" ref="CV1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 s="9">
        <f>IFERROR(IF(ISBLANK(INDEX(Bay_AmClose,MATCH(1,INDEX((tbl_Case_mins[[#This Row],[Bay]]=BayNo)*(tbl_Case_mins[[#This Row],[Surgery Start Date]]=BDate),0,1),0))*1440),0,INDEX(Bay_AmClose,MATCH(1,INDEX((tbl_Case_mins[[#This Row],[Bay]]=BayNo)*(tbl_Case_mins[[#This Row],[Surgery Start Date]]=BDate),0,1),0))*1440),0)</f>
        <v>0</v>
      </c>
      <c r="CX11" s="9" cm="1">
        <f t="array" ref="CX11">IFERROR(IF(ISBLANK(INDEX(Bay_PmOpen,MATCH(1,INDEX((tbl_Case_mins[[#This Row],[Bay]]=BayNo)*(tbl_Case_mins[[#This Row],[Surgery Start Date]]=BDate),0,1),0))*1440),0,INDEX(Bay_PmOpen,MATCH(1,INDEX((tbl_Case_mins[[#This Row],[Bay]]=BayNo)*(tbl_Case_mins[[#This Row],[Surgery Start Date]]=BDate),0,1),0))*1440),0)</f>
        <v>0</v>
      </c>
      <c r="CY1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 s="9"/>
    </row>
    <row r="12" spans="1:104" x14ac:dyDescent="0.2">
      <c r="A12">
        <v>11</v>
      </c>
      <c r="B12" t="e">
        <f>#REF!</f>
        <v>#REF!</v>
      </c>
      <c r="C12" t="e">
        <f>#REF!</f>
        <v>#REF!</v>
      </c>
      <c r="D12" t="e">
        <f>#REF!</f>
        <v>#REF!</v>
      </c>
      <c r="E12" t="e">
        <f>#REF!</f>
        <v>#REF!</v>
      </c>
      <c r="F12" t="e">
        <f>#REF!</f>
        <v>#REF!</v>
      </c>
      <c r="G12" t="e">
        <f>#REF!</f>
        <v>#REF!</v>
      </c>
      <c r="H12" t="e">
        <f>#REF!</f>
        <v>#REF!</v>
      </c>
      <c r="I12" t="e">
        <f>IF(#REF!="Case Cancelled",1,IF(#REF!="No Cases",2,0))</f>
        <v>#REF!</v>
      </c>
      <c r="J12" t="e">
        <f>#REF!</f>
        <v>#REF!</v>
      </c>
      <c r="K12" s="4" t="e">
        <f>#REF!</f>
        <v>#REF!</v>
      </c>
      <c r="L12" t="e">
        <f>"Wk "&amp;WEEKNUM(tbl_Case_mins[[#This Row],[Surgery Start Date]],21)</f>
        <v>#REF!</v>
      </c>
      <c r="M12" t="e">
        <f>TEXT(tbl_Case_mins[[#This Row],[Surgery Start Date]],"ddd")</f>
        <v>#REF!</v>
      </c>
      <c r="N12" s="9" t="e">
        <f>(#REF!-TIME(0,0,0))*1440</f>
        <v>#REF!</v>
      </c>
      <c r="O12" t="e">
        <f>IF(AND(ROUND((#REF!-TIME(0,0,0))*1440,0)&gt;0,ROUND((#REF!-TIME(0,0,0))*1440,0)&lt;tbl_Case_mins[[#This Row],[Patient Called]],tbl_Case_mins[[#This Row],[Surgery End Date]]&gt;tbl_Case_mins[[#This Row],[Surgery Start Date]]),ROUND((#REF!-TIME(0,0,0))*1440,0)+1440,ROUND((#REF!-TIME(0,0,0))*1440,0))</f>
        <v>#REF!</v>
      </c>
      <c r="P12" s="9" t="e">
        <f>IF(AND(ROUND((#REF!-TIME(0,0,0))*1440,0)&gt;0,ROUND((#REF!-TIME(0,0,0))*1440,0)&lt;tbl_Case_mins[[#This Row],[Arrival]],tbl_Case_mins[[#This Row],[Surgery End Date]]&gt;tbl_Case_mins[[#This Row],[Surgery Start Date]]),ROUND((#REF!-TIME(0,0,0))*1440,0)+1440,ROUND((#REF!-TIME(0,0,0))*1440,0))</f>
        <v>#REF!</v>
      </c>
      <c r="Q12" s="9" t="e">
        <f>IF(AND(ROUND((#REF!-TIME(0,0,0))*1440,0)&gt;0,ROUND((#REF!-TIME(0,0,0))*1440,0)&lt;tbl_Case_mins[[#This Row],[Into Th or AR]],tbl_Case_mins[[#This Row],[Surgery End Date]]&gt;tbl_Case_mins[[#This Row],[Surgery Start Date]]),ROUND((#REF!-TIME(0,0,0))*1440,0)+1440,ROUND((#REF!-TIME(0,0,0))*1440,0))</f>
        <v>#REF!</v>
      </c>
      <c r="R12" s="9" t="e">
        <f>IF(AND(ROUND((#REF!-TIME(0,0,0))*1440,0)&gt;0,ROUND((#REF!-TIME(0,0,0))*1440,0)&lt;tbl_Case_mins[[#This Row],[AnaesthStart]],tbl_Case_mins[[#This Row],[Surgery End Date]]&gt;tbl_Case_mins[[#This Row],[Surgery Start Date]]),ROUND((#REF!-TIME(0,0,0))*1440,0)+1440,ROUND((#REF!-TIME(0,0,0))*1440,0))</f>
        <v>#REF!</v>
      </c>
      <c r="S12" s="9" t="e">
        <f>IF(AND(ROUND((#REF!-TIME(0,0,0))*1440,0),ROUND((#REF!-TIME(0,0,0))*1440,0)&lt;tbl_Case_mins[[#This Row],[Surgery Start]],tbl_Case_mins[[#This Row],[Surgery End Date]]&gt;tbl_Case_mins[[#This Row],[Surgery Start Date]]),ROUND((#REF!-TIME(0,0,0))*1440,0)+1440,ROUND((#REF!-TIME(0,0,0))*1440,0))</f>
        <v>#REF!</v>
      </c>
      <c r="T12" s="9" t="e">
        <f>IF(AND(ROUND((#REF!-TIME(0,0,0))*1440,0)&gt;0,ROUND((#REF!-TIME(0,0,0))*1440,0)&lt;tbl_Case_mins[[#This Row],[Surgery Finish]],tbl_Case_mins[[#This Row],[Surgery End Date]]&gt;tbl_Case_mins[[#This Row],[Surgery Start Date]]),ROUND((#REF!-TIME(0,0,0))*1440,0)+1440,ROUND((#REF!-TIME(0,0,0))*1440,0))</f>
        <v>#REF!</v>
      </c>
      <c r="U12" s="9" t="e">
        <f>IF(AND(ROUND((#REF!-TIME(0,0,0))*1440,0)&gt;0,ROUND((#REF!-TIME(0,0,0))*1440,0)&lt;tbl_Case_mins[[#This Row],[Anaesth End]],tbl_Case_mins[[#This Row],[Surgery End Date]]&gt;tbl_Case_mins[[#This Row],[Surgery Start Date]]),ROUND((#REF!-TIME(0,0,0))*1440,0)+1440,ROUND((#REF!-TIME(0,0,0))*1440,0))</f>
        <v>#REF!</v>
      </c>
      <c r="V12" s="9" t="e">
        <f>IF(AND(ROUND((#REF!-TIME(0,0,0))*1440,0)&gt;0,ROUND((#REF!-TIME(0,0,0))*1440,0)&lt;tbl_Case_mins[[#This Row],[Into Recov]],tbl_Case_mins[[#This Row],[Surgery End Date]]&gt;tbl_Case_mins[[#This Row],[Surgery Start Date]]),ROUND((#REF!-TIME(0,0,0))*1440,0)+1440,ROUND((#REF!-TIME(0,0,0))*1440,0))</f>
        <v>#REF!</v>
      </c>
      <c r="W12" s="9" t="e">
        <f>IF(AND(ROUND((#REF!-TIME(0,0,0))*1440,0)&gt;0,ROUND((#REF!-TIME(0,0,0))*1440,0)&lt;tbl_Case_mins[[#This Row],[Ward Called]],tbl_Case_mins[[#This Row],[Surgery End Date]]&gt;tbl_Case_mins[[#This Row],[Surgery Start Date]]),ROUND((#REF!-TIME(0,0,0))*1440,0)+1440,ROUND((#REF!-TIME(0,0,0))*1440,0))</f>
        <v>#REF!</v>
      </c>
      <c r="X12" s="4" t="e">
        <f>IF(ISBLANK(#REF!),tbl_Case_mins[[#This Row],[Surgery Start Date]],#REF!)</f>
        <v>#REF!</v>
      </c>
      <c r="Y12">
        <f>IFERROR(IF(VLOOKUP(tbl_Case_mins[[#This Row],[Theatre]],'Mng Theatres'!$C$7:$G$12,3,FALSE)="Yes","Yes","No"),0)</f>
        <v>0</v>
      </c>
      <c r="Z12" s="9" t="e" cm="1">
        <f t="array" ref="Z1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 s="9" t="e" cm="1">
        <f t="array" ref="AA1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 s="9" t="e">
        <f>IF(tbl_Case_mins[[#This Row],[Case Type]]="Unsch",1,0)</f>
        <v>#REF!</v>
      </c>
      <c r="AD12" s="9" t="e">
        <f>IF(tbl_Case_mins[[#This Row],[Case Type]]="Sch",1,0)</f>
        <v>#REF!</v>
      </c>
      <c r="AE1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 s="9">
        <f>IFERROR(IF(ISBLANK(INDEX(Am_Close,MATCH(1,INDEX((tbl_Case_mins[[#This Row],[Theatre]]=Theatre_No)*(tbl_Case_mins[[#This Row],[Surgery Start Date]]=Date),0,1),0))*1440),0,INDEX(Am_Close,MATCH(1,INDEX((tbl_Case_mins[[#This Row],[Theatre]]=Theatre_No)*(tbl_Case_mins[[#This Row],[Surgery Start Date]]=Date),0,1),0))*1440),0)</f>
        <v>0</v>
      </c>
      <c r="AG12" s="9">
        <f>IFERROR(IF(ISBLANK(INDEX(PM_Open,MATCH(1,INDEX((tbl_Case_mins[[#This Row],[Theatre]]=Theatre_No)*(tbl_Case_mins[[#This Row],[Surgery Start Date]]=Date),0,1),0))*1440),0,INDEX(PM_Open,MATCH(1,INDEX((tbl_Case_mins[[#This Row],[Theatre]]=Theatre_No)*(tbl_Case_mins[[#This Row],[Surgery Start Date]]=Date),0,1),0))*1440),0)</f>
        <v>0</v>
      </c>
      <c r="AH1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 s="9" t="e">
        <f>IF(tbl_Case_mins[[#This Row],[ThOpenAm]]=0,tbl_Case_mins[[#This Row],[ThOpenPM]],tbl_Case_mins[[#This Row],[ThOpenAm]])</f>
        <v>#REF!</v>
      </c>
      <c r="AJ12" s="9" t="e">
        <f>IF(tbl_Case_mins[[#This Row],[ThCloseAm]]&gt;0,IF(tbl_Case_mins[[#This Row],[ThOpenPM]]&gt;0,tbl_Case_mins[[#This Row],[ThClosePm]],tbl_Case_mins[[#This Row],[ThCloseAm]]),tbl_Case_mins[[#This Row],[ThClosePm]])</f>
        <v>#REF!</v>
      </c>
      <c r="AK12" s="9" t="e">
        <f>IF(tbl_Case_mins[[#This Row],[TOT]]&gt;0,1,0)</f>
        <v>#REF!</v>
      </c>
      <c r="AL1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 s="9" t="e">
        <f>IF(AND(tbl_Case_mins[[#This Row],[Surgery Status]]&lt;&gt;2,tbl_Case_mins[[#This Row],[InCoreCase]]=0,tbl_Case_mins[[#This Row],[CancelledCase]]=0),1,0)</f>
        <v>#REF!</v>
      </c>
      <c r="AN12" s="9" t="e">
        <f>IF(tbl_Case_mins[[#This Row],[Surgery Status]]=1,1,0)</f>
        <v>#REF!</v>
      </c>
      <c r="AO1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 s="9" t="e">
        <f>IF(AND(tbl_Case_mins[[#This Row],[NonCoreCase]]=1,tbl_Case_mins[[#This Row],[NoInCoreTime]]=0),1,0)</f>
        <v>#REF!</v>
      </c>
      <c r="AQ12" s="9" t="e">
        <f>IF(tbl_Case_mins[[#This Row],[Rank_AnaEnd]]&lt;tbl_Case_mins[[#This Row],[Rank_AnaSt]],1,0)</f>
        <v>#REF!</v>
      </c>
      <c r="AR12" s="9" t="e">
        <f>IF(AND(tbl_Case_mins[[#This Row],[InCoreCase]]=1,tbl_Case_mins[[#This Row],[Sch]]=1),1,0)</f>
        <v>#REF!</v>
      </c>
      <c r="AS12" s="9" t="e">
        <f>IF(AND(tbl_Case_mins[[#This Row],[InCoreCase]]=1,tbl_Case_mins[[#This Row],[Unsch]]=1),1,0)</f>
        <v>#REF!</v>
      </c>
      <c r="AT1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 s="9" t="e">
        <f>IF(tbl_Case_mins[[#This Row],[Surgery Status]]=0,(tbl_Case_mins[[#This Row],[Anaesth End]]-tbl_Case_mins[[#This Row],[AnaesthStart]]),0)</f>
        <v>#REF!</v>
      </c>
      <c r="AX12" s="9" t="e">
        <f>IF(tbl_Case_mins[[#This Row],[Surgery Status]]=0,(tbl_Case_mins[[#This Row],[Surgery Finish]]-tbl_Case_mins[[#This Row],[Surgery Start]]),0)</f>
        <v>#REF!</v>
      </c>
      <c r="AY12" s="9" t="e">
        <f>tbl_Case_mins[[#This Row],[Surgery Start]]-tbl_Case_mins[[#This Row],[AnaesthStart]]</f>
        <v>#REF!</v>
      </c>
      <c r="AZ12" s="9" t="e">
        <f>tbl_Case_mins[[#This Row],[Anaesth End]]-tbl_Case_mins[[#This Row],[Surgery Finish]]</f>
        <v>#REF!</v>
      </c>
      <c r="BA1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 s="16" cm="1">
        <f t="array" ref="BC1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 s="16" t="e">
        <f>IF(AND(tbl_Case_mins[[#This Row],[FirstAMCase]]=1,tbl_Case_mins[[#This Row],[CancelledCase]]=0,OR(tbl_Case_mins[[#This Row],[EarlyStartAM]]&gt;0,tbl_Case_mins[[#This Row],[AnaesthStart]]=tbl_Case_mins[[#This Row],[ThOpenAm]])),1,0)</f>
        <v>#REF!</v>
      </c>
      <c r="BE12" s="16" t="e">
        <f>IF(AND(tbl_Case_mins[[#This Row],[Rank_AnaSt]]=tbl_Case_mins[[#This Row],[Min_RankAnaSt]],tbl_Case_mins[[#This Row],[Anaesth End]]&gt;=tbl_Case_mins[[#This Row],[ThOpenAm]],tbl_Case_mins[[#This Row],[PmCase]]=0),1,0)</f>
        <v>#REF!</v>
      </c>
      <c r="BF1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 s="9" t="e" cm="1">
        <f t="array" ref="BH1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 s="9" t="e">
        <f>IF(AND(tbl_Case_mins[[#This Row],[ThOpenPM]]&gt;0,tbl_Case_mins[[#This Row],[AnaesthStart]]&gt;tbl_Case_mins[[#This Row],[ThOpenPM]],tbl_Case_mins[[#This Row],[First PM Case]]=1),tbl_Case_mins[[#This Row],[AnaesthStart]]-tbl_Case_mins[[#This Row],[ThOpenPM]],0)</f>
        <v>#REF!</v>
      </c>
      <c r="BL1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 s="9" t="e" cm="1">
        <f t="array" ref="BN1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 s="9" t="e">
        <f>IF(AND(tbl_Case_mins[[#This Row],[ThClosePm]]&gt;0,tbl_Case_mins[[#This Row],[Anaesth End]]&gt;tbl_Case_mins[[#This Row],[ThClosePm]],tbl_Case_mins[[#This Row],[AnaesthStart]]&gt;tbl_Case_mins[[#This Row],[ThClosePm]]),tbl_Case_mins[[#This Row],[Into Recov]]-tbl_Case_mins[[#This Row],[AnaesthStart]],0)</f>
        <v>#REF!</v>
      </c>
      <c r="BP12" s="9" t="e">
        <f>IF(AND(tbl_Case_mins[[#This Row],[AnaesthStart]]&lt;tbl_Case_mins[[#This Row],[ThClosePm]],tbl_Case_mins[[#This Row],[Anaesth End]]&gt;tbl_Case_mins[[#This Row],[ThClosePm]]),tbl_Case_mins[[#This Row],[Anaesth End]]-tbl_Case_mins[[#This Row],[ThClosePm]],0)</f>
        <v>#REF!</v>
      </c>
      <c r="BQ12" s="9" t="e" cm="1">
        <f t="array" ref="BQ1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 s="9" t="e" cm="1">
        <f t="array" ref="BR12">IF(tbl_Case_mins[[#This Row],[Rank_Adjust]]=SUMPRODUCT(-(tbl_Case_mins[Surgery Start Date]=tbl_Case_mins[[#This Row],[Surgery Start Date]]),-(tbl_Case_mins[Theatre]=tbl_Case_mins[[#This Row],[Theatre]])),INDEX(Poss_Time,MATCH(TEXT(tbl_Case_mins[[#This Row],[Surgery Start Date]],"ddd"),Day,0)),0)</f>
        <v>#REF!</v>
      </c>
      <c r="BS12" s="9" t="e">
        <f>tbl_Case_mins[[#This Row],[Core_Time]]*Util_Goal</f>
        <v>#REF!</v>
      </c>
      <c r="BT12" s="9" t="e" cm="1">
        <f t="array" ref="BT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 s="9" t="e" cm="1">
        <f t="array" ref="BU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 s="9" t="e">
        <f>IF(tbl_Case_mins[[#This Row],[Surgery End Date]]&gt;tbl_Case_mins[[#This Row],[Surgery Start Date]],tbl_Case_mins[[#This Row],[Anaesth End]]-1440,0)</f>
        <v>#REF!</v>
      </c>
      <c r="BY12" s="9" t="e">
        <f>tbl_Case_mins[[#This Row],[Total_NonCore]]-tbl_Case_mins[[#This Row],[NextDay_NonCore]]</f>
        <v>#REF!</v>
      </c>
      <c r="BZ12" s="10" t="e">
        <f>tbl_Case_mins[[#This Row],[InCoreUse]]/60</f>
        <v>#REF!</v>
      </c>
      <c r="CA12" s="10" t="e">
        <f>tbl_Case_mins[[#This Row],[Total_NonCore]]/60</f>
        <v>#REF!</v>
      </c>
      <c r="CB12" t="e" cm="1">
        <f t="array" ref="CB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 s="9" t="e" cm="1">
        <f t="array" ref="CC1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 s="9" t="e" cm="1">
        <f t="array" ref="CD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 s="9" t="e" cm="1">
        <f t="array" ref="CE1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 s="9" cm="1">
        <f t="array" ref="CF12">IFERROR(_xlfn.AGGREGATE(14,6,(tbl_Case_mins[Rank_AnaEnd])/((tbl_Case_mins[Surgery Start Date]=tbl_Case_mins[[#This Row],[Surgery Start Date]])*(tbl_Case_mins[Theatre]=tbl_Case_mins[[#This Row],[Theatre]])*(tbl_Case_mins[NoInCoreTime]=0)),1),-1)</f>
        <v>-1</v>
      </c>
      <c r="CG12" s="9" cm="1">
        <f t="array" ref="CG12">IFERROR(_xlfn.AGGREGATE(15,6,(tbl_Case_mins[Rank_AnaSt])/((tbl_Case_mins[Surgery Start Date]=tbl_Case_mins[[#This Row],[Surgery Start Date]])*(tbl_Case_mins[Theatre]=tbl_Case_mins[[#This Row],[Theatre]])*(tbl_Case_mins[NoInCoreTime]=0)),1),-1)</f>
        <v>-1</v>
      </c>
      <c r="CH1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 t="e" cm="1">
        <f t="array" ref="CJ1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 s="9" cm="1">
        <f t="array" ref="CO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 s="9" cm="1">
        <f t="array" ref="CP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 s="9" cm="1">
        <f t="array" ref="CQ12">IFERROR(IF(AND(tbl_Case_mins[[#This Row],[FirstAMCase]]=0,tbl_Case_mins[[#This Row],[Rank]]=_xlfn.AGGREGATE(14,6,(tbl_Case_mins[Rank])/((tbl_Case_mins[Surgery Start Date]=tbl_Case_mins[[#This Row],[Surgery Start Date]])*(tbl_Case_mins[Theatre]=tbl_Case_mins[[#This Row],[Theatre]])*(tbl_Case_mins[AmCase]=1)),1)),1,0),0)</f>
        <v>0</v>
      </c>
      <c r="CR12" s="9" cm="1">
        <f t="array" ref="CR1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 s="9" t="e" cm="1">
        <f t="array" ref="CS1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 s="9" cm="1">
        <f t="array" ref="CT12">IFERROR(IF(tbl_Case_mins[[#This Row],[Rank]]=_xlfn.AGGREGATE(15,6,(tbl_Case_mins[Rank])/((tbl_Case_mins[Surgery Start Date]=tbl_Case_mins[[#This Row],[Surgery Start Date]])*(tbl_Case_mins[Theatre]=tbl_Case_mins[[#This Row],[Theatre]])*(tbl_Case_mins[PmCase]=1)),1),1,0),0)</f>
        <v>0</v>
      </c>
      <c r="CU12">
        <f>IFERROR(#REF!,0)</f>
        <v>0</v>
      </c>
      <c r="CV12" s="9" t="e" cm="1">
        <f t="array" ref="CV1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 s="9">
        <f>IFERROR(IF(ISBLANK(INDEX(Bay_AmClose,MATCH(1,INDEX((tbl_Case_mins[[#This Row],[Bay]]=BayNo)*(tbl_Case_mins[[#This Row],[Surgery Start Date]]=BDate),0,1),0))*1440),0,INDEX(Bay_AmClose,MATCH(1,INDEX((tbl_Case_mins[[#This Row],[Bay]]=BayNo)*(tbl_Case_mins[[#This Row],[Surgery Start Date]]=BDate),0,1),0))*1440),0)</f>
        <v>0</v>
      </c>
      <c r="CX12" s="9" cm="1">
        <f t="array" ref="CX12">IFERROR(IF(ISBLANK(INDEX(Bay_PmOpen,MATCH(1,INDEX((tbl_Case_mins[[#This Row],[Bay]]=BayNo)*(tbl_Case_mins[[#This Row],[Surgery Start Date]]=BDate),0,1),0))*1440),0,INDEX(Bay_PmOpen,MATCH(1,INDEX((tbl_Case_mins[[#This Row],[Bay]]=BayNo)*(tbl_Case_mins[[#This Row],[Surgery Start Date]]=BDate),0,1),0))*1440),0)</f>
        <v>0</v>
      </c>
      <c r="CY1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 s="9"/>
    </row>
    <row r="13" spans="1:104" x14ac:dyDescent="0.2">
      <c r="A13">
        <v>12</v>
      </c>
      <c r="B13" t="e">
        <f>#REF!</f>
        <v>#REF!</v>
      </c>
      <c r="C13" t="e">
        <f>#REF!</f>
        <v>#REF!</v>
      </c>
      <c r="D13" t="e">
        <f>#REF!</f>
        <v>#REF!</v>
      </c>
      <c r="E13" t="e">
        <f>#REF!</f>
        <v>#REF!</v>
      </c>
      <c r="F13" t="e">
        <f>#REF!</f>
        <v>#REF!</v>
      </c>
      <c r="G13" t="e">
        <f>#REF!</f>
        <v>#REF!</v>
      </c>
      <c r="H13" t="e">
        <f>#REF!</f>
        <v>#REF!</v>
      </c>
      <c r="I13" t="e">
        <f>IF(#REF!="Case Cancelled",1,IF(#REF!="No Cases",2,0))</f>
        <v>#REF!</v>
      </c>
      <c r="J13" t="e">
        <f>#REF!</f>
        <v>#REF!</v>
      </c>
      <c r="K13" s="4" t="e">
        <f>#REF!</f>
        <v>#REF!</v>
      </c>
      <c r="L13" t="e">
        <f>"Wk "&amp;WEEKNUM(tbl_Case_mins[[#This Row],[Surgery Start Date]],21)</f>
        <v>#REF!</v>
      </c>
      <c r="M13" t="e">
        <f>TEXT(tbl_Case_mins[[#This Row],[Surgery Start Date]],"ddd")</f>
        <v>#REF!</v>
      </c>
      <c r="N13" s="9" t="e">
        <f>(#REF!-TIME(0,0,0))*1440</f>
        <v>#REF!</v>
      </c>
      <c r="O13" t="e">
        <f>IF(AND(ROUND((#REF!-TIME(0,0,0))*1440,0)&gt;0,ROUND((#REF!-TIME(0,0,0))*1440,0)&lt;tbl_Case_mins[[#This Row],[Patient Called]],tbl_Case_mins[[#This Row],[Surgery End Date]]&gt;tbl_Case_mins[[#This Row],[Surgery Start Date]]),ROUND((#REF!-TIME(0,0,0))*1440,0)+1440,ROUND((#REF!-TIME(0,0,0))*1440,0))</f>
        <v>#REF!</v>
      </c>
      <c r="P13" s="9" t="e">
        <f>IF(AND(ROUND((#REF!-TIME(0,0,0))*1440,0)&gt;0,ROUND((#REF!-TIME(0,0,0))*1440,0)&lt;tbl_Case_mins[[#This Row],[Arrival]],tbl_Case_mins[[#This Row],[Surgery End Date]]&gt;tbl_Case_mins[[#This Row],[Surgery Start Date]]),ROUND((#REF!-TIME(0,0,0))*1440,0)+1440,ROUND((#REF!-TIME(0,0,0))*1440,0))</f>
        <v>#REF!</v>
      </c>
      <c r="Q13" s="9" t="e">
        <f>IF(AND(ROUND((#REF!-TIME(0,0,0))*1440,0)&gt;0,ROUND((#REF!-TIME(0,0,0))*1440,0)&lt;tbl_Case_mins[[#This Row],[Into Th or AR]],tbl_Case_mins[[#This Row],[Surgery End Date]]&gt;tbl_Case_mins[[#This Row],[Surgery Start Date]]),ROUND((#REF!-TIME(0,0,0))*1440,0)+1440,ROUND((#REF!-TIME(0,0,0))*1440,0))</f>
        <v>#REF!</v>
      </c>
      <c r="R13" s="9" t="e">
        <f>IF(AND(ROUND((#REF!-TIME(0,0,0))*1440,0)&gt;0,ROUND((#REF!-TIME(0,0,0))*1440,0)&lt;tbl_Case_mins[[#This Row],[AnaesthStart]],tbl_Case_mins[[#This Row],[Surgery End Date]]&gt;tbl_Case_mins[[#This Row],[Surgery Start Date]]),ROUND((#REF!-TIME(0,0,0))*1440,0)+1440,ROUND((#REF!-TIME(0,0,0))*1440,0))</f>
        <v>#REF!</v>
      </c>
      <c r="S13" s="9" t="e">
        <f>IF(AND(ROUND((#REF!-TIME(0,0,0))*1440,0),ROUND((#REF!-TIME(0,0,0))*1440,0)&lt;tbl_Case_mins[[#This Row],[Surgery Start]],tbl_Case_mins[[#This Row],[Surgery End Date]]&gt;tbl_Case_mins[[#This Row],[Surgery Start Date]]),ROUND((#REF!-TIME(0,0,0))*1440,0)+1440,ROUND((#REF!-TIME(0,0,0))*1440,0))</f>
        <v>#REF!</v>
      </c>
      <c r="T13" s="9" t="e">
        <f>IF(AND(ROUND((#REF!-TIME(0,0,0))*1440,0)&gt;0,ROUND((#REF!-TIME(0,0,0))*1440,0)&lt;tbl_Case_mins[[#This Row],[Surgery Finish]],tbl_Case_mins[[#This Row],[Surgery End Date]]&gt;tbl_Case_mins[[#This Row],[Surgery Start Date]]),ROUND((#REF!-TIME(0,0,0))*1440,0)+1440,ROUND((#REF!-TIME(0,0,0))*1440,0))</f>
        <v>#REF!</v>
      </c>
      <c r="U13" s="9" t="e">
        <f>IF(AND(ROUND((#REF!-TIME(0,0,0))*1440,0)&gt;0,ROUND((#REF!-TIME(0,0,0))*1440,0)&lt;tbl_Case_mins[[#This Row],[Anaesth End]],tbl_Case_mins[[#This Row],[Surgery End Date]]&gt;tbl_Case_mins[[#This Row],[Surgery Start Date]]),ROUND((#REF!-TIME(0,0,0))*1440,0)+1440,ROUND((#REF!-TIME(0,0,0))*1440,0))</f>
        <v>#REF!</v>
      </c>
      <c r="V13" s="9" t="e">
        <f>IF(AND(ROUND((#REF!-TIME(0,0,0))*1440,0)&gt;0,ROUND((#REF!-TIME(0,0,0))*1440,0)&lt;tbl_Case_mins[[#This Row],[Into Recov]],tbl_Case_mins[[#This Row],[Surgery End Date]]&gt;tbl_Case_mins[[#This Row],[Surgery Start Date]]),ROUND((#REF!-TIME(0,0,0))*1440,0)+1440,ROUND((#REF!-TIME(0,0,0))*1440,0))</f>
        <v>#REF!</v>
      </c>
      <c r="W13" s="9" t="e">
        <f>IF(AND(ROUND((#REF!-TIME(0,0,0))*1440,0)&gt;0,ROUND((#REF!-TIME(0,0,0))*1440,0)&lt;tbl_Case_mins[[#This Row],[Ward Called]],tbl_Case_mins[[#This Row],[Surgery End Date]]&gt;tbl_Case_mins[[#This Row],[Surgery Start Date]]),ROUND((#REF!-TIME(0,0,0))*1440,0)+1440,ROUND((#REF!-TIME(0,0,0))*1440,0))</f>
        <v>#REF!</v>
      </c>
      <c r="X13" s="4" t="e">
        <f>IF(ISBLANK(#REF!),tbl_Case_mins[[#This Row],[Surgery Start Date]],#REF!)</f>
        <v>#REF!</v>
      </c>
      <c r="Y13">
        <f>IFERROR(IF(VLOOKUP(tbl_Case_mins[[#This Row],[Theatre]],'Mng Theatres'!$C$7:$G$12,3,FALSE)="Yes","Yes","No"),0)</f>
        <v>0</v>
      </c>
      <c r="Z13" s="9" t="e" cm="1">
        <f t="array" ref="Z1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 s="9" t="e" cm="1">
        <f t="array" ref="AA1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 s="9" t="e">
        <f>IF(tbl_Case_mins[[#This Row],[Case Type]]="Unsch",1,0)</f>
        <v>#REF!</v>
      </c>
      <c r="AD13" s="9" t="e">
        <f>IF(tbl_Case_mins[[#This Row],[Case Type]]="Sch",1,0)</f>
        <v>#REF!</v>
      </c>
      <c r="AE1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 s="9">
        <f>IFERROR(IF(ISBLANK(INDEX(Am_Close,MATCH(1,INDEX((tbl_Case_mins[[#This Row],[Theatre]]=Theatre_No)*(tbl_Case_mins[[#This Row],[Surgery Start Date]]=Date),0,1),0))*1440),0,INDEX(Am_Close,MATCH(1,INDEX((tbl_Case_mins[[#This Row],[Theatre]]=Theatre_No)*(tbl_Case_mins[[#This Row],[Surgery Start Date]]=Date),0,1),0))*1440),0)</f>
        <v>0</v>
      </c>
      <c r="AG13" s="9">
        <f>IFERROR(IF(ISBLANK(INDEX(PM_Open,MATCH(1,INDEX((tbl_Case_mins[[#This Row],[Theatre]]=Theatre_No)*(tbl_Case_mins[[#This Row],[Surgery Start Date]]=Date),0,1),0))*1440),0,INDEX(PM_Open,MATCH(1,INDEX((tbl_Case_mins[[#This Row],[Theatre]]=Theatre_No)*(tbl_Case_mins[[#This Row],[Surgery Start Date]]=Date),0,1),0))*1440),0)</f>
        <v>0</v>
      </c>
      <c r="AH1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 s="9" t="e">
        <f>IF(tbl_Case_mins[[#This Row],[ThOpenAm]]=0,tbl_Case_mins[[#This Row],[ThOpenPM]],tbl_Case_mins[[#This Row],[ThOpenAm]])</f>
        <v>#REF!</v>
      </c>
      <c r="AJ13" s="9" t="e">
        <f>IF(tbl_Case_mins[[#This Row],[ThCloseAm]]&gt;0,IF(tbl_Case_mins[[#This Row],[ThOpenPM]]&gt;0,tbl_Case_mins[[#This Row],[ThClosePm]],tbl_Case_mins[[#This Row],[ThCloseAm]]),tbl_Case_mins[[#This Row],[ThClosePm]])</f>
        <v>#REF!</v>
      </c>
      <c r="AK13" s="9" t="e">
        <f>IF(tbl_Case_mins[[#This Row],[TOT]]&gt;0,1,0)</f>
        <v>#REF!</v>
      </c>
      <c r="AL1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 s="9" t="e">
        <f>IF(AND(tbl_Case_mins[[#This Row],[Surgery Status]]&lt;&gt;2,tbl_Case_mins[[#This Row],[InCoreCase]]=0,tbl_Case_mins[[#This Row],[CancelledCase]]=0),1,0)</f>
        <v>#REF!</v>
      </c>
      <c r="AN13" s="9" t="e">
        <f>IF(tbl_Case_mins[[#This Row],[Surgery Status]]=1,1,0)</f>
        <v>#REF!</v>
      </c>
      <c r="AO1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 s="9" t="e">
        <f>IF(AND(tbl_Case_mins[[#This Row],[NonCoreCase]]=1,tbl_Case_mins[[#This Row],[NoInCoreTime]]=0),1,0)</f>
        <v>#REF!</v>
      </c>
      <c r="AQ13" s="9" t="e">
        <f>IF(tbl_Case_mins[[#This Row],[Rank_AnaEnd]]&lt;tbl_Case_mins[[#This Row],[Rank_AnaSt]],1,0)</f>
        <v>#REF!</v>
      </c>
      <c r="AR13" s="9" t="e">
        <f>IF(AND(tbl_Case_mins[[#This Row],[InCoreCase]]=1,tbl_Case_mins[[#This Row],[Sch]]=1),1,0)</f>
        <v>#REF!</v>
      </c>
      <c r="AS13" s="9" t="e">
        <f>IF(AND(tbl_Case_mins[[#This Row],[InCoreCase]]=1,tbl_Case_mins[[#This Row],[Unsch]]=1),1,0)</f>
        <v>#REF!</v>
      </c>
      <c r="AT1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 s="9" t="e">
        <f>IF(tbl_Case_mins[[#This Row],[Surgery Status]]=0,(tbl_Case_mins[[#This Row],[Anaesth End]]-tbl_Case_mins[[#This Row],[AnaesthStart]]),0)</f>
        <v>#REF!</v>
      </c>
      <c r="AX13" s="9" t="e">
        <f>IF(tbl_Case_mins[[#This Row],[Surgery Status]]=0,(tbl_Case_mins[[#This Row],[Surgery Finish]]-tbl_Case_mins[[#This Row],[Surgery Start]]),0)</f>
        <v>#REF!</v>
      </c>
      <c r="AY13" s="9" t="e">
        <f>tbl_Case_mins[[#This Row],[Surgery Start]]-tbl_Case_mins[[#This Row],[AnaesthStart]]</f>
        <v>#REF!</v>
      </c>
      <c r="AZ13" s="9" t="e">
        <f>tbl_Case_mins[[#This Row],[Anaesth End]]-tbl_Case_mins[[#This Row],[Surgery Finish]]</f>
        <v>#REF!</v>
      </c>
      <c r="BA1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 s="16" cm="1">
        <f t="array" ref="BC1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 s="16" t="e">
        <f>IF(AND(tbl_Case_mins[[#This Row],[FirstAMCase]]=1,tbl_Case_mins[[#This Row],[CancelledCase]]=0,OR(tbl_Case_mins[[#This Row],[EarlyStartAM]]&gt;0,tbl_Case_mins[[#This Row],[AnaesthStart]]=tbl_Case_mins[[#This Row],[ThOpenAm]])),1,0)</f>
        <v>#REF!</v>
      </c>
      <c r="BE13" s="16" t="e">
        <f>IF(AND(tbl_Case_mins[[#This Row],[Rank_AnaSt]]=tbl_Case_mins[[#This Row],[Min_RankAnaSt]],tbl_Case_mins[[#This Row],[Anaesth End]]&gt;=tbl_Case_mins[[#This Row],[ThOpenAm]],tbl_Case_mins[[#This Row],[PmCase]]=0),1,0)</f>
        <v>#REF!</v>
      </c>
      <c r="BF1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 s="9" t="e" cm="1">
        <f t="array" ref="BH1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 s="9" t="e">
        <f>IF(AND(tbl_Case_mins[[#This Row],[ThOpenPM]]&gt;0,tbl_Case_mins[[#This Row],[AnaesthStart]]&gt;tbl_Case_mins[[#This Row],[ThOpenPM]],tbl_Case_mins[[#This Row],[First PM Case]]=1),tbl_Case_mins[[#This Row],[AnaesthStart]]-tbl_Case_mins[[#This Row],[ThOpenPM]],0)</f>
        <v>#REF!</v>
      </c>
      <c r="BL1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 s="9" t="e" cm="1">
        <f t="array" ref="BN1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 s="9" t="e">
        <f>IF(AND(tbl_Case_mins[[#This Row],[ThClosePm]]&gt;0,tbl_Case_mins[[#This Row],[Anaesth End]]&gt;tbl_Case_mins[[#This Row],[ThClosePm]],tbl_Case_mins[[#This Row],[AnaesthStart]]&gt;tbl_Case_mins[[#This Row],[ThClosePm]]),tbl_Case_mins[[#This Row],[Into Recov]]-tbl_Case_mins[[#This Row],[AnaesthStart]],0)</f>
        <v>#REF!</v>
      </c>
      <c r="BP13" s="9" t="e">
        <f>IF(AND(tbl_Case_mins[[#This Row],[AnaesthStart]]&lt;tbl_Case_mins[[#This Row],[ThClosePm]],tbl_Case_mins[[#This Row],[Anaesth End]]&gt;tbl_Case_mins[[#This Row],[ThClosePm]]),tbl_Case_mins[[#This Row],[Anaesth End]]-tbl_Case_mins[[#This Row],[ThClosePm]],0)</f>
        <v>#REF!</v>
      </c>
      <c r="BQ13" s="9" t="e" cm="1">
        <f t="array" ref="BQ1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 s="9" t="e" cm="1">
        <f t="array" ref="BR13">IF(tbl_Case_mins[[#This Row],[Rank_Adjust]]=SUMPRODUCT(-(tbl_Case_mins[Surgery Start Date]=tbl_Case_mins[[#This Row],[Surgery Start Date]]),-(tbl_Case_mins[Theatre]=tbl_Case_mins[[#This Row],[Theatre]])),INDEX(Poss_Time,MATCH(TEXT(tbl_Case_mins[[#This Row],[Surgery Start Date]],"ddd"),Day,0)),0)</f>
        <v>#REF!</v>
      </c>
      <c r="BS13" s="9" t="e">
        <f>tbl_Case_mins[[#This Row],[Core_Time]]*Util_Goal</f>
        <v>#REF!</v>
      </c>
      <c r="BT13" s="9" t="e" cm="1">
        <f t="array" ref="BT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 s="9" t="e" cm="1">
        <f t="array" ref="BU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 s="9" t="e">
        <f>IF(tbl_Case_mins[[#This Row],[Surgery End Date]]&gt;tbl_Case_mins[[#This Row],[Surgery Start Date]],tbl_Case_mins[[#This Row],[Anaesth End]]-1440,0)</f>
        <v>#REF!</v>
      </c>
      <c r="BY13" s="9" t="e">
        <f>tbl_Case_mins[[#This Row],[Total_NonCore]]-tbl_Case_mins[[#This Row],[NextDay_NonCore]]</f>
        <v>#REF!</v>
      </c>
      <c r="BZ13" s="10" t="e">
        <f>tbl_Case_mins[[#This Row],[InCoreUse]]/60</f>
        <v>#REF!</v>
      </c>
      <c r="CA13" s="10" t="e">
        <f>tbl_Case_mins[[#This Row],[Total_NonCore]]/60</f>
        <v>#REF!</v>
      </c>
      <c r="CB13" t="e" cm="1">
        <f t="array" ref="CB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 s="9" t="e" cm="1">
        <f t="array" ref="CC1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 s="9" t="e" cm="1">
        <f t="array" ref="CD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 s="9" t="e" cm="1">
        <f t="array" ref="CE1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 s="9" cm="1">
        <f t="array" ref="CF13">IFERROR(_xlfn.AGGREGATE(14,6,(tbl_Case_mins[Rank_AnaEnd])/((tbl_Case_mins[Surgery Start Date]=tbl_Case_mins[[#This Row],[Surgery Start Date]])*(tbl_Case_mins[Theatre]=tbl_Case_mins[[#This Row],[Theatre]])*(tbl_Case_mins[NoInCoreTime]=0)),1),-1)</f>
        <v>-1</v>
      </c>
      <c r="CG13" s="9" cm="1">
        <f t="array" ref="CG13">IFERROR(_xlfn.AGGREGATE(15,6,(tbl_Case_mins[Rank_AnaSt])/((tbl_Case_mins[Surgery Start Date]=tbl_Case_mins[[#This Row],[Surgery Start Date]])*(tbl_Case_mins[Theatre]=tbl_Case_mins[[#This Row],[Theatre]])*(tbl_Case_mins[NoInCoreTime]=0)),1),-1)</f>
        <v>-1</v>
      </c>
      <c r="CH1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 t="e" cm="1">
        <f t="array" ref="CJ1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 s="9" cm="1">
        <f t="array" ref="CO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 s="9" cm="1">
        <f t="array" ref="CP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 s="9" cm="1">
        <f t="array" ref="CQ13">IFERROR(IF(AND(tbl_Case_mins[[#This Row],[FirstAMCase]]=0,tbl_Case_mins[[#This Row],[Rank]]=_xlfn.AGGREGATE(14,6,(tbl_Case_mins[Rank])/((tbl_Case_mins[Surgery Start Date]=tbl_Case_mins[[#This Row],[Surgery Start Date]])*(tbl_Case_mins[Theatre]=tbl_Case_mins[[#This Row],[Theatre]])*(tbl_Case_mins[AmCase]=1)),1)),1,0),0)</f>
        <v>0</v>
      </c>
      <c r="CR13" s="9" cm="1">
        <f t="array" ref="CR1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 s="9" t="e" cm="1">
        <f t="array" ref="CS1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 s="9" cm="1">
        <f t="array" ref="CT13">IFERROR(IF(tbl_Case_mins[[#This Row],[Rank]]=_xlfn.AGGREGATE(15,6,(tbl_Case_mins[Rank])/((tbl_Case_mins[Surgery Start Date]=tbl_Case_mins[[#This Row],[Surgery Start Date]])*(tbl_Case_mins[Theatre]=tbl_Case_mins[[#This Row],[Theatre]])*(tbl_Case_mins[PmCase]=1)),1),1,0),0)</f>
        <v>0</v>
      </c>
      <c r="CU13">
        <f>IFERROR(#REF!,0)</f>
        <v>0</v>
      </c>
      <c r="CV13" s="9" t="e" cm="1">
        <f t="array" ref="CV1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 s="9">
        <f>IFERROR(IF(ISBLANK(INDEX(Bay_AmClose,MATCH(1,INDEX((tbl_Case_mins[[#This Row],[Bay]]=BayNo)*(tbl_Case_mins[[#This Row],[Surgery Start Date]]=BDate),0,1),0))*1440),0,INDEX(Bay_AmClose,MATCH(1,INDEX((tbl_Case_mins[[#This Row],[Bay]]=BayNo)*(tbl_Case_mins[[#This Row],[Surgery Start Date]]=BDate),0,1),0))*1440),0)</f>
        <v>0</v>
      </c>
      <c r="CX13" s="9" cm="1">
        <f t="array" ref="CX13">IFERROR(IF(ISBLANK(INDEX(Bay_PmOpen,MATCH(1,INDEX((tbl_Case_mins[[#This Row],[Bay]]=BayNo)*(tbl_Case_mins[[#This Row],[Surgery Start Date]]=BDate),0,1),0))*1440),0,INDEX(Bay_PmOpen,MATCH(1,INDEX((tbl_Case_mins[[#This Row],[Bay]]=BayNo)*(tbl_Case_mins[[#This Row],[Surgery Start Date]]=BDate),0,1),0))*1440),0)</f>
        <v>0</v>
      </c>
      <c r="CY1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 s="9"/>
    </row>
    <row r="14" spans="1:104" x14ac:dyDescent="0.2">
      <c r="A14">
        <v>13</v>
      </c>
      <c r="B14" t="e">
        <f>#REF!</f>
        <v>#REF!</v>
      </c>
      <c r="C14" t="e">
        <f>#REF!</f>
        <v>#REF!</v>
      </c>
      <c r="D14" t="e">
        <f>#REF!</f>
        <v>#REF!</v>
      </c>
      <c r="E14" t="e">
        <f>#REF!</f>
        <v>#REF!</v>
      </c>
      <c r="F14" t="e">
        <f>#REF!</f>
        <v>#REF!</v>
      </c>
      <c r="G14" t="e">
        <f>#REF!</f>
        <v>#REF!</v>
      </c>
      <c r="H14" t="e">
        <f>#REF!</f>
        <v>#REF!</v>
      </c>
      <c r="I14" t="e">
        <f>IF(#REF!="Case Cancelled",1,IF(#REF!="No Cases",2,0))</f>
        <v>#REF!</v>
      </c>
      <c r="J14" t="e">
        <f>#REF!</f>
        <v>#REF!</v>
      </c>
      <c r="K14" s="4" t="e">
        <f>#REF!</f>
        <v>#REF!</v>
      </c>
      <c r="L14" t="e">
        <f>"Wk "&amp;WEEKNUM(tbl_Case_mins[[#This Row],[Surgery Start Date]],21)</f>
        <v>#REF!</v>
      </c>
      <c r="M14" t="e">
        <f>TEXT(tbl_Case_mins[[#This Row],[Surgery Start Date]],"ddd")</f>
        <v>#REF!</v>
      </c>
      <c r="N14" s="9" t="e">
        <f>(#REF!-TIME(0,0,0))*1440</f>
        <v>#REF!</v>
      </c>
      <c r="O14" t="e">
        <f>IF(AND(ROUND((#REF!-TIME(0,0,0))*1440,0)&gt;0,ROUND((#REF!-TIME(0,0,0))*1440,0)&lt;tbl_Case_mins[[#This Row],[Patient Called]],tbl_Case_mins[[#This Row],[Surgery End Date]]&gt;tbl_Case_mins[[#This Row],[Surgery Start Date]]),ROUND((#REF!-TIME(0,0,0))*1440,0)+1440,ROUND((#REF!-TIME(0,0,0))*1440,0))</f>
        <v>#REF!</v>
      </c>
      <c r="P14" s="9" t="e">
        <f>IF(AND(ROUND((#REF!-TIME(0,0,0))*1440,0)&gt;0,ROUND((#REF!-TIME(0,0,0))*1440,0)&lt;tbl_Case_mins[[#This Row],[Arrival]],tbl_Case_mins[[#This Row],[Surgery End Date]]&gt;tbl_Case_mins[[#This Row],[Surgery Start Date]]),ROUND((#REF!-TIME(0,0,0))*1440,0)+1440,ROUND((#REF!-TIME(0,0,0))*1440,0))</f>
        <v>#REF!</v>
      </c>
      <c r="Q14" s="9" t="e">
        <f>IF(AND(ROUND((#REF!-TIME(0,0,0))*1440,0)&gt;0,ROUND((#REF!-TIME(0,0,0))*1440,0)&lt;tbl_Case_mins[[#This Row],[Into Th or AR]],tbl_Case_mins[[#This Row],[Surgery End Date]]&gt;tbl_Case_mins[[#This Row],[Surgery Start Date]]),ROUND((#REF!-TIME(0,0,0))*1440,0)+1440,ROUND((#REF!-TIME(0,0,0))*1440,0))</f>
        <v>#REF!</v>
      </c>
      <c r="R14" s="9" t="e">
        <f>IF(AND(ROUND((#REF!-TIME(0,0,0))*1440,0)&gt;0,ROUND((#REF!-TIME(0,0,0))*1440,0)&lt;tbl_Case_mins[[#This Row],[AnaesthStart]],tbl_Case_mins[[#This Row],[Surgery End Date]]&gt;tbl_Case_mins[[#This Row],[Surgery Start Date]]),ROUND((#REF!-TIME(0,0,0))*1440,0)+1440,ROUND((#REF!-TIME(0,0,0))*1440,0))</f>
        <v>#REF!</v>
      </c>
      <c r="S14" s="9" t="e">
        <f>IF(AND(ROUND((#REF!-TIME(0,0,0))*1440,0),ROUND((#REF!-TIME(0,0,0))*1440,0)&lt;tbl_Case_mins[[#This Row],[Surgery Start]],tbl_Case_mins[[#This Row],[Surgery End Date]]&gt;tbl_Case_mins[[#This Row],[Surgery Start Date]]),ROUND((#REF!-TIME(0,0,0))*1440,0)+1440,ROUND((#REF!-TIME(0,0,0))*1440,0))</f>
        <v>#REF!</v>
      </c>
      <c r="T14" s="9" t="e">
        <f>IF(AND(ROUND((#REF!-TIME(0,0,0))*1440,0)&gt;0,ROUND((#REF!-TIME(0,0,0))*1440,0)&lt;tbl_Case_mins[[#This Row],[Surgery Finish]],tbl_Case_mins[[#This Row],[Surgery End Date]]&gt;tbl_Case_mins[[#This Row],[Surgery Start Date]]),ROUND((#REF!-TIME(0,0,0))*1440,0)+1440,ROUND((#REF!-TIME(0,0,0))*1440,0))</f>
        <v>#REF!</v>
      </c>
      <c r="U14" s="9" t="e">
        <f>IF(AND(ROUND((#REF!-TIME(0,0,0))*1440,0)&gt;0,ROUND((#REF!-TIME(0,0,0))*1440,0)&lt;tbl_Case_mins[[#This Row],[Anaesth End]],tbl_Case_mins[[#This Row],[Surgery End Date]]&gt;tbl_Case_mins[[#This Row],[Surgery Start Date]]),ROUND((#REF!-TIME(0,0,0))*1440,0)+1440,ROUND((#REF!-TIME(0,0,0))*1440,0))</f>
        <v>#REF!</v>
      </c>
      <c r="V14" s="9" t="e">
        <f>IF(AND(ROUND((#REF!-TIME(0,0,0))*1440,0)&gt;0,ROUND((#REF!-TIME(0,0,0))*1440,0)&lt;tbl_Case_mins[[#This Row],[Into Recov]],tbl_Case_mins[[#This Row],[Surgery End Date]]&gt;tbl_Case_mins[[#This Row],[Surgery Start Date]]),ROUND((#REF!-TIME(0,0,0))*1440,0)+1440,ROUND((#REF!-TIME(0,0,0))*1440,0))</f>
        <v>#REF!</v>
      </c>
      <c r="W14" s="9" t="e">
        <f>IF(AND(ROUND((#REF!-TIME(0,0,0))*1440,0)&gt;0,ROUND((#REF!-TIME(0,0,0))*1440,0)&lt;tbl_Case_mins[[#This Row],[Ward Called]],tbl_Case_mins[[#This Row],[Surgery End Date]]&gt;tbl_Case_mins[[#This Row],[Surgery Start Date]]),ROUND((#REF!-TIME(0,0,0))*1440,0)+1440,ROUND((#REF!-TIME(0,0,0))*1440,0))</f>
        <v>#REF!</v>
      </c>
      <c r="X14" s="4" t="e">
        <f>IF(ISBLANK(#REF!),tbl_Case_mins[[#This Row],[Surgery Start Date]],#REF!)</f>
        <v>#REF!</v>
      </c>
      <c r="Y14">
        <f>IFERROR(IF(VLOOKUP(tbl_Case_mins[[#This Row],[Theatre]],'Mng Theatres'!$C$7:$G$12,3,FALSE)="Yes","Yes","No"),0)</f>
        <v>0</v>
      </c>
      <c r="Z14" s="9" t="e" cm="1">
        <f t="array" ref="Z1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 s="9" t="e" cm="1">
        <f t="array" ref="AA1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 s="9" t="e">
        <f>IF(tbl_Case_mins[[#This Row],[Case Type]]="Unsch",1,0)</f>
        <v>#REF!</v>
      </c>
      <c r="AD14" s="9" t="e">
        <f>IF(tbl_Case_mins[[#This Row],[Case Type]]="Sch",1,0)</f>
        <v>#REF!</v>
      </c>
      <c r="AE1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 s="9">
        <f>IFERROR(IF(ISBLANK(INDEX(Am_Close,MATCH(1,INDEX((tbl_Case_mins[[#This Row],[Theatre]]=Theatre_No)*(tbl_Case_mins[[#This Row],[Surgery Start Date]]=Date),0,1),0))*1440),0,INDEX(Am_Close,MATCH(1,INDEX((tbl_Case_mins[[#This Row],[Theatre]]=Theatre_No)*(tbl_Case_mins[[#This Row],[Surgery Start Date]]=Date),0,1),0))*1440),0)</f>
        <v>0</v>
      </c>
      <c r="AG14" s="9">
        <f>IFERROR(IF(ISBLANK(INDEX(PM_Open,MATCH(1,INDEX((tbl_Case_mins[[#This Row],[Theatre]]=Theatre_No)*(tbl_Case_mins[[#This Row],[Surgery Start Date]]=Date),0,1),0))*1440),0,INDEX(PM_Open,MATCH(1,INDEX((tbl_Case_mins[[#This Row],[Theatre]]=Theatre_No)*(tbl_Case_mins[[#This Row],[Surgery Start Date]]=Date),0,1),0))*1440),0)</f>
        <v>0</v>
      </c>
      <c r="AH1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 s="9" t="e">
        <f>IF(tbl_Case_mins[[#This Row],[ThOpenAm]]=0,tbl_Case_mins[[#This Row],[ThOpenPM]],tbl_Case_mins[[#This Row],[ThOpenAm]])</f>
        <v>#REF!</v>
      </c>
      <c r="AJ14" s="9" t="e">
        <f>IF(tbl_Case_mins[[#This Row],[ThCloseAm]]&gt;0,IF(tbl_Case_mins[[#This Row],[ThOpenPM]]&gt;0,tbl_Case_mins[[#This Row],[ThClosePm]],tbl_Case_mins[[#This Row],[ThCloseAm]]),tbl_Case_mins[[#This Row],[ThClosePm]])</f>
        <v>#REF!</v>
      </c>
      <c r="AK14" s="9" t="e">
        <f>IF(tbl_Case_mins[[#This Row],[TOT]]&gt;0,1,0)</f>
        <v>#REF!</v>
      </c>
      <c r="AL1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 s="9" t="e">
        <f>IF(AND(tbl_Case_mins[[#This Row],[Surgery Status]]&lt;&gt;2,tbl_Case_mins[[#This Row],[InCoreCase]]=0,tbl_Case_mins[[#This Row],[CancelledCase]]=0),1,0)</f>
        <v>#REF!</v>
      </c>
      <c r="AN14" s="9" t="e">
        <f>IF(tbl_Case_mins[[#This Row],[Surgery Status]]=1,1,0)</f>
        <v>#REF!</v>
      </c>
      <c r="AO1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 s="9" t="e">
        <f>IF(AND(tbl_Case_mins[[#This Row],[NonCoreCase]]=1,tbl_Case_mins[[#This Row],[NoInCoreTime]]=0),1,0)</f>
        <v>#REF!</v>
      </c>
      <c r="AQ14" s="9" t="e">
        <f>IF(tbl_Case_mins[[#This Row],[Rank_AnaEnd]]&lt;tbl_Case_mins[[#This Row],[Rank_AnaSt]],1,0)</f>
        <v>#REF!</v>
      </c>
      <c r="AR14" s="9" t="e">
        <f>IF(AND(tbl_Case_mins[[#This Row],[InCoreCase]]=1,tbl_Case_mins[[#This Row],[Sch]]=1),1,0)</f>
        <v>#REF!</v>
      </c>
      <c r="AS14" s="9" t="e">
        <f>IF(AND(tbl_Case_mins[[#This Row],[InCoreCase]]=1,tbl_Case_mins[[#This Row],[Unsch]]=1),1,0)</f>
        <v>#REF!</v>
      </c>
      <c r="AT1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 s="9" t="e">
        <f>IF(tbl_Case_mins[[#This Row],[Surgery Status]]=0,(tbl_Case_mins[[#This Row],[Anaesth End]]-tbl_Case_mins[[#This Row],[AnaesthStart]]),0)</f>
        <v>#REF!</v>
      </c>
      <c r="AX14" s="9" t="e">
        <f>IF(tbl_Case_mins[[#This Row],[Surgery Status]]=0,(tbl_Case_mins[[#This Row],[Surgery Finish]]-tbl_Case_mins[[#This Row],[Surgery Start]]),0)</f>
        <v>#REF!</v>
      </c>
      <c r="AY14" s="9" t="e">
        <f>tbl_Case_mins[[#This Row],[Surgery Start]]-tbl_Case_mins[[#This Row],[AnaesthStart]]</f>
        <v>#REF!</v>
      </c>
      <c r="AZ14" s="9" t="e">
        <f>tbl_Case_mins[[#This Row],[Anaesth End]]-tbl_Case_mins[[#This Row],[Surgery Finish]]</f>
        <v>#REF!</v>
      </c>
      <c r="BA1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 s="16" cm="1">
        <f t="array" ref="BC1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 s="16" t="e">
        <f>IF(AND(tbl_Case_mins[[#This Row],[FirstAMCase]]=1,tbl_Case_mins[[#This Row],[CancelledCase]]=0,OR(tbl_Case_mins[[#This Row],[EarlyStartAM]]&gt;0,tbl_Case_mins[[#This Row],[AnaesthStart]]=tbl_Case_mins[[#This Row],[ThOpenAm]])),1,0)</f>
        <v>#REF!</v>
      </c>
      <c r="BE14" s="16" t="e">
        <f>IF(AND(tbl_Case_mins[[#This Row],[Rank_AnaSt]]=tbl_Case_mins[[#This Row],[Min_RankAnaSt]],tbl_Case_mins[[#This Row],[Anaesth End]]&gt;=tbl_Case_mins[[#This Row],[ThOpenAm]],tbl_Case_mins[[#This Row],[PmCase]]=0),1,0)</f>
        <v>#REF!</v>
      </c>
      <c r="BF1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 s="9" t="e" cm="1">
        <f t="array" ref="BH1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 s="9" t="e">
        <f>IF(AND(tbl_Case_mins[[#This Row],[ThOpenPM]]&gt;0,tbl_Case_mins[[#This Row],[AnaesthStart]]&gt;tbl_Case_mins[[#This Row],[ThOpenPM]],tbl_Case_mins[[#This Row],[First PM Case]]=1),tbl_Case_mins[[#This Row],[AnaesthStart]]-tbl_Case_mins[[#This Row],[ThOpenPM]],0)</f>
        <v>#REF!</v>
      </c>
      <c r="BL1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 s="9" t="e" cm="1">
        <f t="array" ref="BN1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 s="9" t="e">
        <f>IF(AND(tbl_Case_mins[[#This Row],[ThClosePm]]&gt;0,tbl_Case_mins[[#This Row],[Anaesth End]]&gt;tbl_Case_mins[[#This Row],[ThClosePm]],tbl_Case_mins[[#This Row],[AnaesthStart]]&gt;tbl_Case_mins[[#This Row],[ThClosePm]]),tbl_Case_mins[[#This Row],[Into Recov]]-tbl_Case_mins[[#This Row],[AnaesthStart]],0)</f>
        <v>#REF!</v>
      </c>
      <c r="BP14" s="9" t="e">
        <f>IF(AND(tbl_Case_mins[[#This Row],[AnaesthStart]]&lt;tbl_Case_mins[[#This Row],[ThClosePm]],tbl_Case_mins[[#This Row],[Anaesth End]]&gt;tbl_Case_mins[[#This Row],[ThClosePm]]),tbl_Case_mins[[#This Row],[Anaesth End]]-tbl_Case_mins[[#This Row],[ThClosePm]],0)</f>
        <v>#REF!</v>
      </c>
      <c r="BQ14" s="9" t="e" cm="1">
        <f t="array" ref="BQ1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 s="9" t="e" cm="1">
        <f t="array" ref="BR14">IF(tbl_Case_mins[[#This Row],[Rank_Adjust]]=SUMPRODUCT(-(tbl_Case_mins[Surgery Start Date]=tbl_Case_mins[[#This Row],[Surgery Start Date]]),-(tbl_Case_mins[Theatre]=tbl_Case_mins[[#This Row],[Theatre]])),INDEX(Poss_Time,MATCH(TEXT(tbl_Case_mins[[#This Row],[Surgery Start Date]],"ddd"),Day,0)),0)</f>
        <v>#REF!</v>
      </c>
      <c r="BS14" s="9" t="e">
        <f>tbl_Case_mins[[#This Row],[Core_Time]]*Util_Goal</f>
        <v>#REF!</v>
      </c>
      <c r="BT14" s="9" t="e" cm="1">
        <f t="array" ref="BT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 s="9" t="e" cm="1">
        <f t="array" ref="BU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 s="9" t="e">
        <f>IF(tbl_Case_mins[[#This Row],[Surgery End Date]]&gt;tbl_Case_mins[[#This Row],[Surgery Start Date]],tbl_Case_mins[[#This Row],[Anaesth End]]-1440,0)</f>
        <v>#REF!</v>
      </c>
      <c r="BY14" s="9" t="e">
        <f>tbl_Case_mins[[#This Row],[Total_NonCore]]-tbl_Case_mins[[#This Row],[NextDay_NonCore]]</f>
        <v>#REF!</v>
      </c>
      <c r="BZ14" s="10" t="e">
        <f>tbl_Case_mins[[#This Row],[InCoreUse]]/60</f>
        <v>#REF!</v>
      </c>
      <c r="CA14" s="10" t="e">
        <f>tbl_Case_mins[[#This Row],[Total_NonCore]]/60</f>
        <v>#REF!</v>
      </c>
      <c r="CB14" t="e" cm="1">
        <f t="array" ref="CB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 s="9" t="e" cm="1">
        <f t="array" ref="CC1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 s="9" t="e" cm="1">
        <f t="array" ref="CD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 s="9" t="e" cm="1">
        <f t="array" ref="CE1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 s="9" cm="1">
        <f t="array" ref="CF14">IFERROR(_xlfn.AGGREGATE(14,6,(tbl_Case_mins[Rank_AnaEnd])/((tbl_Case_mins[Surgery Start Date]=tbl_Case_mins[[#This Row],[Surgery Start Date]])*(tbl_Case_mins[Theatre]=tbl_Case_mins[[#This Row],[Theatre]])*(tbl_Case_mins[NoInCoreTime]=0)),1),-1)</f>
        <v>-1</v>
      </c>
      <c r="CG14" s="9" cm="1">
        <f t="array" ref="CG14">IFERROR(_xlfn.AGGREGATE(15,6,(tbl_Case_mins[Rank_AnaSt])/((tbl_Case_mins[Surgery Start Date]=tbl_Case_mins[[#This Row],[Surgery Start Date]])*(tbl_Case_mins[Theatre]=tbl_Case_mins[[#This Row],[Theatre]])*(tbl_Case_mins[NoInCoreTime]=0)),1),-1)</f>
        <v>-1</v>
      </c>
      <c r="CH1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 t="e" cm="1">
        <f t="array" ref="CJ1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 s="9" cm="1">
        <f t="array" ref="CO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 s="9" cm="1">
        <f t="array" ref="CP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 s="9" cm="1">
        <f t="array" ref="CQ14">IFERROR(IF(AND(tbl_Case_mins[[#This Row],[FirstAMCase]]=0,tbl_Case_mins[[#This Row],[Rank]]=_xlfn.AGGREGATE(14,6,(tbl_Case_mins[Rank])/((tbl_Case_mins[Surgery Start Date]=tbl_Case_mins[[#This Row],[Surgery Start Date]])*(tbl_Case_mins[Theatre]=tbl_Case_mins[[#This Row],[Theatre]])*(tbl_Case_mins[AmCase]=1)),1)),1,0),0)</f>
        <v>0</v>
      </c>
      <c r="CR14" s="9" cm="1">
        <f t="array" ref="CR1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 s="9" t="e" cm="1">
        <f t="array" ref="CS1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 s="9" cm="1">
        <f t="array" ref="CT14">IFERROR(IF(tbl_Case_mins[[#This Row],[Rank]]=_xlfn.AGGREGATE(15,6,(tbl_Case_mins[Rank])/((tbl_Case_mins[Surgery Start Date]=tbl_Case_mins[[#This Row],[Surgery Start Date]])*(tbl_Case_mins[Theatre]=tbl_Case_mins[[#This Row],[Theatre]])*(tbl_Case_mins[PmCase]=1)),1),1,0),0)</f>
        <v>0</v>
      </c>
      <c r="CU14">
        <f>IFERROR(#REF!,0)</f>
        <v>0</v>
      </c>
      <c r="CV14" s="9" t="e" cm="1">
        <f t="array" ref="CV1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 s="9">
        <f>IFERROR(IF(ISBLANK(INDEX(Bay_AmClose,MATCH(1,INDEX((tbl_Case_mins[[#This Row],[Bay]]=BayNo)*(tbl_Case_mins[[#This Row],[Surgery Start Date]]=BDate),0,1),0))*1440),0,INDEX(Bay_AmClose,MATCH(1,INDEX((tbl_Case_mins[[#This Row],[Bay]]=BayNo)*(tbl_Case_mins[[#This Row],[Surgery Start Date]]=BDate),0,1),0))*1440),0)</f>
        <v>0</v>
      </c>
      <c r="CX14" s="9" cm="1">
        <f t="array" ref="CX14">IFERROR(IF(ISBLANK(INDEX(Bay_PmOpen,MATCH(1,INDEX((tbl_Case_mins[[#This Row],[Bay]]=BayNo)*(tbl_Case_mins[[#This Row],[Surgery Start Date]]=BDate),0,1),0))*1440),0,INDEX(Bay_PmOpen,MATCH(1,INDEX((tbl_Case_mins[[#This Row],[Bay]]=BayNo)*(tbl_Case_mins[[#This Row],[Surgery Start Date]]=BDate),0,1),0))*1440),0)</f>
        <v>0</v>
      </c>
      <c r="CY1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 s="9"/>
    </row>
    <row r="15" spans="1:104" x14ac:dyDescent="0.2">
      <c r="A15">
        <v>14</v>
      </c>
      <c r="B15" t="e">
        <f>#REF!</f>
        <v>#REF!</v>
      </c>
      <c r="C15" t="e">
        <f>#REF!</f>
        <v>#REF!</v>
      </c>
      <c r="D15" t="e">
        <f>#REF!</f>
        <v>#REF!</v>
      </c>
      <c r="E15" t="e">
        <f>#REF!</f>
        <v>#REF!</v>
      </c>
      <c r="F15" t="e">
        <f>#REF!</f>
        <v>#REF!</v>
      </c>
      <c r="G15" t="e">
        <f>#REF!</f>
        <v>#REF!</v>
      </c>
      <c r="H15" t="e">
        <f>#REF!</f>
        <v>#REF!</v>
      </c>
      <c r="I15" t="e">
        <f>IF(#REF!="Case Cancelled",1,IF(#REF!="No Cases",2,0))</f>
        <v>#REF!</v>
      </c>
      <c r="J15" t="e">
        <f>#REF!</f>
        <v>#REF!</v>
      </c>
      <c r="K15" s="4" t="e">
        <f>#REF!</f>
        <v>#REF!</v>
      </c>
      <c r="L15" t="e">
        <f>"Wk "&amp;WEEKNUM(tbl_Case_mins[[#This Row],[Surgery Start Date]],21)</f>
        <v>#REF!</v>
      </c>
      <c r="M15" t="e">
        <f>TEXT(tbl_Case_mins[[#This Row],[Surgery Start Date]],"ddd")</f>
        <v>#REF!</v>
      </c>
      <c r="N15" s="9" t="e">
        <f>(#REF!-TIME(0,0,0))*1440</f>
        <v>#REF!</v>
      </c>
      <c r="O15" t="e">
        <f>IF(AND(ROUND((#REF!-TIME(0,0,0))*1440,0)&gt;0,ROUND((#REF!-TIME(0,0,0))*1440,0)&lt;tbl_Case_mins[[#This Row],[Patient Called]],tbl_Case_mins[[#This Row],[Surgery End Date]]&gt;tbl_Case_mins[[#This Row],[Surgery Start Date]]),ROUND((#REF!-TIME(0,0,0))*1440,0)+1440,ROUND((#REF!-TIME(0,0,0))*1440,0))</f>
        <v>#REF!</v>
      </c>
      <c r="P15" s="9" t="e">
        <f>IF(AND(ROUND((#REF!-TIME(0,0,0))*1440,0)&gt;0,ROUND((#REF!-TIME(0,0,0))*1440,0)&lt;tbl_Case_mins[[#This Row],[Arrival]],tbl_Case_mins[[#This Row],[Surgery End Date]]&gt;tbl_Case_mins[[#This Row],[Surgery Start Date]]),ROUND((#REF!-TIME(0,0,0))*1440,0)+1440,ROUND((#REF!-TIME(0,0,0))*1440,0))</f>
        <v>#REF!</v>
      </c>
      <c r="Q15" s="9" t="e">
        <f>IF(AND(ROUND((#REF!-TIME(0,0,0))*1440,0)&gt;0,ROUND((#REF!-TIME(0,0,0))*1440,0)&lt;tbl_Case_mins[[#This Row],[Into Th or AR]],tbl_Case_mins[[#This Row],[Surgery End Date]]&gt;tbl_Case_mins[[#This Row],[Surgery Start Date]]),ROUND((#REF!-TIME(0,0,0))*1440,0)+1440,ROUND((#REF!-TIME(0,0,0))*1440,0))</f>
        <v>#REF!</v>
      </c>
      <c r="R15" s="9" t="e">
        <f>IF(AND(ROUND((#REF!-TIME(0,0,0))*1440,0)&gt;0,ROUND((#REF!-TIME(0,0,0))*1440,0)&lt;tbl_Case_mins[[#This Row],[AnaesthStart]],tbl_Case_mins[[#This Row],[Surgery End Date]]&gt;tbl_Case_mins[[#This Row],[Surgery Start Date]]),ROUND((#REF!-TIME(0,0,0))*1440,0)+1440,ROUND((#REF!-TIME(0,0,0))*1440,0))</f>
        <v>#REF!</v>
      </c>
      <c r="S15" s="9" t="e">
        <f>IF(AND(ROUND((#REF!-TIME(0,0,0))*1440,0),ROUND((#REF!-TIME(0,0,0))*1440,0)&lt;tbl_Case_mins[[#This Row],[Surgery Start]],tbl_Case_mins[[#This Row],[Surgery End Date]]&gt;tbl_Case_mins[[#This Row],[Surgery Start Date]]),ROUND((#REF!-TIME(0,0,0))*1440,0)+1440,ROUND((#REF!-TIME(0,0,0))*1440,0))</f>
        <v>#REF!</v>
      </c>
      <c r="T15" s="9" t="e">
        <f>IF(AND(ROUND((#REF!-TIME(0,0,0))*1440,0)&gt;0,ROUND((#REF!-TIME(0,0,0))*1440,0)&lt;tbl_Case_mins[[#This Row],[Surgery Finish]],tbl_Case_mins[[#This Row],[Surgery End Date]]&gt;tbl_Case_mins[[#This Row],[Surgery Start Date]]),ROUND((#REF!-TIME(0,0,0))*1440,0)+1440,ROUND((#REF!-TIME(0,0,0))*1440,0))</f>
        <v>#REF!</v>
      </c>
      <c r="U15" s="9" t="e">
        <f>IF(AND(ROUND((#REF!-TIME(0,0,0))*1440,0)&gt;0,ROUND((#REF!-TIME(0,0,0))*1440,0)&lt;tbl_Case_mins[[#This Row],[Anaesth End]],tbl_Case_mins[[#This Row],[Surgery End Date]]&gt;tbl_Case_mins[[#This Row],[Surgery Start Date]]),ROUND((#REF!-TIME(0,0,0))*1440,0)+1440,ROUND((#REF!-TIME(0,0,0))*1440,0))</f>
        <v>#REF!</v>
      </c>
      <c r="V15" s="9" t="e">
        <f>IF(AND(ROUND((#REF!-TIME(0,0,0))*1440,0)&gt;0,ROUND((#REF!-TIME(0,0,0))*1440,0)&lt;tbl_Case_mins[[#This Row],[Into Recov]],tbl_Case_mins[[#This Row],[Surgery End Date]]&gt;tbl_Case_mins[[#This Row],[Surgery Start Date]]),ROUND((#REF!-TIME(0,0,0))*1440,0)+1440,ROUND((#REF!-TIME(0,0,0))*1440,0))</f>
        <v>#REF!</v>
      </c>
      <c r="W15" s="9" t="e">
        <f>IF(AND(ROUND((#REF!-TIME(0,0,0))*1440,0)&gt;0,ROUND((#REF!-TIME(0,0,0))*1440,0)&lt;tbl_Case_mins[[#This Row],[Ward Called]],tbl_Case_mins[[#This Row],[Surgery End Date]]&gt;tbl_Case_mins[[#This Row],[Surgery Start Date]]),ROUND((#REF!-TIME(0,0,0))*1440,0)+1440,ROUND((#REF!-TIME(0,0,0))*1440,0))</f>
        <v>#REF!</v>
      </c>
      <c r="X15" s="4" t="e">
        <f>IF(ISBLANK(#REF!),tbl_Case_mins[[#This Row],[Surgery Start Date]],#REF!)</f>
        <v>#REF!</v>
      </c>
      <c r="Y15">
        <f>IFERROR(IF(VLOOKUP(tbl_Case_mins[[#This Row],[Theatre]],'Mng Theatres'!$C$7:$G$12,3,FALSE)="Yes","Yes","No"),0)</f>
        <v>0</v>
      </c>
      <c r="Z15" s="9" t="e" cm="1">
        <f t="array" ref="Z1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 s="9" t="e" cm="1">
        <f t="array" ref="AA1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 s="9" t="e">
        <f>IF(tbl_Case_mins[[#This Row],[Case Type]]="Unsch",1,0)</f>
        <v>#REF!</v>
      </c>
      <c r="AD15" s="9" t="e">
        <f>IF(tbl_Case_mins[[#This Row],[Case Type]]="Sch",1,0)</f>
        <v>#REF!</v>
      </c>
      <c r="AE1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 s="9">
        <f>IFERROR(IF(ISBLANK(INDEX(Am_Close,MATCH(1,INDEX((tbl_Case_mins[[#This Row],[Theatre]]=Theatre_No)*(tbl_Case_mins[[#This Row],[Surgery Start Date]]=Date),0,1),0))*1440),0,INDEX(Am_Close,MATCH(1,INDEX((tbl_Case_mins[[#This Row],[Theatre]]=Theatre_No)*(tbl_Case_mins[[#This Row],[Surgery Start Date]]=Date),0,1),0))*1440),0)</f>
        <v>0</v>
      </c>
      <c r="AG15" s="9">
        <f>IFERROR(IF(ISBLANK(INDEX(PM_Open,MATCH(1,INDEX((tbl_Case_mins[[#This Row],[Theatre]]=Theatre_No)*(tbl_Case_mins[[#This Row],[Surgery Start Date]]=Date),0,1),0))*1440),0,INDEX(PM_Open,MATCH(1,INDEX((tbl_Case_mins[[#This Row],[Theatre]]=Theatre_No)*(tbl_Case_mins[[#This Row],[Surgery Start Date]]=Date),0,1),0))*1440),0)</f>
        <v>0</v>
      </c>
      <c r="AH1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 s="9" t="e">
        <f>IF(tbl_Case_mins[[#This Row],[ThOpenAm]]=0,tbl_Case_mins[[#This Row],[ThOpenPM]],tbl_Case_mins[[#This Row],[ThOpenAm]])</f>
        <v>#REF!</v>
      </c>
      <c r="AJ15" s="9" t="e">
        <f>IF(tbl_Case_mins[[#This Row],[ThCloseAm]]&gt;0,IF(tbl_Case_mins[[#This Row],[ThOpenPM]]&gt;0,tbl_Case_mins[[#This Row],[ThClosePm]],tbl_Case_mins[[#This Row],[ThCloseAm]]),tbl_Case_mins[[#This Row],[ThClosePm]])</f>
        <v>#REF!</v>
      </c>
      <c r="AK15" s="9" t="e">
        <f>IF(tbl_Case_mins[[#This Row],[TOT]]&gt;0,1,0)</f>
        <v>#REF!</v>
      </c>
      <c r="AL1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 s="9" t="e">
        <f>IF(AND(tbl_Case_mins[[#This Row],[Surgery Status]]&lt;&gt;2,tbl_Case_mins[[#This Row],[InCoreCase]]=0,tbl_Case_mins[[#This Row],[CancelledCase]]=0),1,0)</f>
        <v>#REF!</v>
      </c>
      <c r="AN15" s="9" t="e">
        <f>IF(tbl_Case_mins[[#This Row],[Surgery Status]]=1,1,0)</f>
        <v>#REF!</v>
      </c>
      <c r="AO1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 s="9" t="e">
        <f>IF(AND(tbl_Case_mins[[#This Row],[NonCoreCase]]=1,tbl_Case_mins[[#This Row],[NoInCoreTime]]=0),1,0)</f>
        <v>#REF!</v>
      </c>
      <c r="AQ15" s="9" t="e">
        <f>IF(tbl_Case_mins[[#This Row],[Rank_AnaEnd]]&lt;tbl_Case_mins[[#This Row],[Rank_AnaSt]],1,0)</f>
        <v>#REF!</v>
      </c>
      <c r="AR15" s="9" t="e">
        <f>IF(AND(tbl_Case_mins[[#This Row],[InCoreCase]]=1,tbl_Case_mins[[#This Row],[Sch]]=1),1,0)</f>
        <v>#REF!</v>
      </c>
      <c r="AS15" s="9" t="e">
        <f>IF(AND(tbl_Case_mins[[#This Row],[InCoreCase]]=1,tbl_Case_mins[[#This Row],[Unsch]]=1),1,0)</f>
        <v>#REF!</v>
      </c>
      <c r="AT1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 s="9" t="e">
        <f>IF(tbl_Case_mins[[#This Row],[Surgery Status]]=0,(tbl_Case_mins[[#This Row],[Anaesth End]]-tbl_Case_mins[[#This Row],[AnaesthStart]]),0)</f>
        <v>#REF!</v>
      </c>
      <c r="AX15" s="9" t="e">
        <f>IF(tbl_Case_mins[[#This Row],[Surgery Status]]=0,(tbl_Case_mins[[#This Row],[Surgery Finish]]-tbl_Case_mins[[#This Row],[Surgery Start]]),0)</f>
        <v>#REF!</v>
      </c>
      <c r="AY15" s="9" t="e">
        <f>tbl_Case_mins[[#This Row],[Surgery Start]]-tbl_Case_mins[[#This Row],[AnaesthStart]]</f>
        <v>#REF!</v>
      </c>
      <c r="AZ15" s="9" t="e">
        <f>tbl_Case_mins[[#This Row],[Anaesth End]]-tbl_Case_mins[[#This Row],[Surgery Finish]]</f>
        <v>#REF!</v>
      </c>
      <c r="BA1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 s="16" cm="1">
        <f t="array" ref="BC1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 s="16" t="e">
        <f>IF(AND(tbl_Case_mins[[#This Row],[FirstAMCase]]=1,tbl_Case_mins[[#This Row],[CancelledCase]]=0,OR(tbl_Case_mins[[#This Row],[EarlyStartAM]]&gt;0,tbl_Case_mins[[#This Row],[AnaesthStart]]=tbl_Case_mins[[#This Row],[ThOpenAm]])),1,0)</f>
        <v>#REF!</v>
      </c>
      <c r="BE15" s="16" t="e">
        <f>IF(AND(tbl_Case_mins[[#This Row],[Rank_AnaSt]]=tbl_Case_mins[[#This Row],[Min_RankAnaSt]],tbl_Case_mins[[#This Row],[Anaesth End]]&gt;=tbl_Case_mins[[#This Row],[ThOpenAm]],tbl_Case_mins[[#This Row],[PmCase]]=0),1,0)</f>
        <v>#REF!</v>
      </c>
      <c r="BF1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 s="9" t="e" cm="1">
        <f t="array" ref="BH1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 s="9" t="e">
        <f>IF(AND(tbl_Case_mins[[#This Row],[ThOpenPM]]&gt;0,tbl_Case_mins[[#This Row],[AnaesthStart]]&gt;tbl_Case_mins[[#This Row],[ThOpenPM]],tbl_Case_mins[[#This Row],[First PM Case]]=1),tbl_Case_mins[[#This Row],[AnaesthStart]]-tbl_Case_mins[[#This Row],[ThOpenPM]],0)</f>
        <v>#REF!</v>
      </c>
      <c r="BL1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 s="9" t="e" cm="1">
        <f t="array" ref="BN1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 s="9" t="e">
        <f>IF(AND(tbl_Case_mins[[#This Row],[ThClosePm]]&gt;0,tbl_Case_mins[[#This Row],[Anaesth End]]&gt;tbl_Case_mins[[#This Row],[ThClosePm]],tbl_Case_mins[[#This Row],[AnaesthStart]]&gt;tbl_Case_mins[[#This Row],[ThClosePm]]),tbl_Case_mins[[#This Row],[Into Recov]]-tbl_Case_mins[[#This Row],[AnaesthStart]],0)</f>
        <v>#REF!</v>
      </c>
      <c r="BP15" s="9" t="e">
        <f>IF(AND(tbl_Case_mins[[#This Row],[AnaesthStart]]&lt;tbl_Case_mins[[#This Row],[ThClosePm]],tbl_Case_mins[[#This Row],[Anaesth End]]&gt;tbl_Case_mins[[#This Row],[ThClosePm]]),tbl_Case_mins[[#This Row],[Anaesth End]]-tbl_Case_mins[[#This Row],[ThClosePm]],0)</f>
        <v>#REF!</v>
      </c>
      <c r="BQ15" s="9" t="e" cm="1">
        <f t="array" ref="BQ1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 s="9" t="e" cm="1">
        <f t="array" ref="BR15">IF(tbl_Case_mins[[#This Row],[Rank_Adjust]]=SUMPRODUCT(-(tbl_Case_mins[Surgery Start Date]=tbl_Case_mins[[#This Row],[Surgery Start Date]]),-(tbl_Case_mins[Theatre]=tbl_Case_mins[[#This Row],[Theatre]])),INDEX(Poss_Time,MATCH(TEXT(tbl_Case_mins[[#This Row],[Surgery Start Date]],"ddd"),Day,0)),0)</f>
        <v>#REF!</v>
      </c>
      <c r="BS15" s="9" t="e">
        <f>tbl_Case_mins[[#This Row],[Core_Time]]*Util_Goal</f>
        <v>#REF!</v>
      </c>
      <c r="BT15" s="9" t="e" cm="1">
        <f t="array" ref="BT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 s="9" t="e" cm="1">
        <f t="array" ref="BU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 s="9" t="e">
        <f>IF(tbl_Case_mins[[#This Row],[Surgery End Date]]&gt;tbl_Case_mins[[#This Row],[Surgery Start Date]],tbl_Case_mins[[#This Row],[Anaesth End]]-1440,0)</f>
        <v>#REF!</v>
      </c>
      <c r="BY15" s="9" t="e">
        <f>tbl_Case_mins[[#This Row],[Total_NonCore]]-tbl_Case_mins[[#This Row],[NextDay_NonCore]]</f>
        <v>#REF!</v>
      </c>
      <c r="BZ15" s="10" t="e">
        <f>tbl_Case_mins[[#This Row],[InCoreUse]]/60</f>
        <v>#REF!</v>
      </c>
      <c r="CA15" s="10" t="e">
        <f>tbl_Case_mins[[#This Row],[Total_NonCore]]/60</f>
        <v>#REF!</v>
      </c>
      <c r="CB15" t="e" cm="1">
        <f t="array" ref="CB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 s="9" t="e" cm="1">
        <f t="array" ref="CC1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 s="9" t="e" cm="1">
        <f t="array" ref="CD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 s="9" t="e" cm="1">
        <f t="array" ref="CE1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 s="9" cm="1">
        <f t="array" ref="CF15">IFERROR(_xlfn.AGGREGATE(14,6,(tbl_Case_mins[Rank_AnaEnd])/((tbl_Case_mins[Surgery Start Date]=tbl_Case_mins[[#This Row],[Surgery Start Date]])*(tbl_Case_mins[Theatre]=tbl_Case_mins[[#This Row],[Theatre]])*(tbl_Case_mins[NoInCoreTime]=0)),1),-1)</f>
        <v>-1</v>
      </c>
      <c r="CG15" s="9" cm="1">
        <f t="array" ref="CG15">IFERROR(_xlfn.AGGREGATE(15,6,(tbl_Case_mins[Rank_AnaSt])/((tbl_Case_mins[Surgery Start Date]=tbl_Case_mins[[#This Row],[Surgery Start Date]])*(tbl_Case_mins[Theatre]=tbl_Case_mins[[#This Row],[Theatre]])*(tbl_Case_mins[NoInCoreTime]=0)),1),-1)</f>
        <v>-1</v>
      </c>
      <c r="CH1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 t="e" cm="1">
        <f t="array" ref="CJ1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 s="9" cm="1">
        <f t="array" ref="CO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 s="9" cm="1">
        <f t="array" ref="CP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 s="9" cm="1">
        <f t="array" ref="CQ15">IFERROR(IF(AND(tbl_Case_mins[[#This Row],[FirstAMCase]]=0,tbl_Case_mins[[#This Row],[Rank]]=_xlfn.AGGREGATE(14,6,(tbl_Case_mins[Rank])/((tbl_Case_mins[Surgery Start Date]=tbl_Case_mins[[#This Row],[Surgery Start Date]])*(tbl_Case_mins[Theatre]=tbl_Case_mins[[#This Row],[Theatre]])*(tbl_Case_mins[AmCase]=1)),1)),1,0),0)</f>
        <v>0</v>
      </c>
      <c r="CR15" s="9" cm="1">
        <f t="array" ref="CR1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 s="9" t="e" cm="1">
        <f t="array" ref="CS1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 s="9" cm="1">
        <f t="array" ref="CT15">IFERROR(IF(tbl_Case_mins[[#This Row],[Rank]]=_xlfn.AGGREGATE(15,6,(tbl_Case_mins[Rank])/((tbl_Case_mins[Surgery Start Date]=tbl_Case_mins[[#This Row],[Surgery Start Date]])*(tbl_Case_mins[Theatre]=tbl_Case_mins[[#This Row],[Theatre]])*(tbl_Case_mins[PmCase]=1)),1),1,0),0)</f>
        <v>0</v>
      </c>
      <c r="CU15">
        <f>IFERROR(#REF!,0)</f>
        <v>0</v>
      </c>
      <c r="CV15" s="9" t="e" cm="1">
        <f t="array" ref="CV1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 s="9">
        <f>IFERROR(IF(ISBLANK(INDEX(Bay_AmClose,MATCH(1,INDEX((tbl_Case_mins[[#This Row],[Bay]]=BayNo)*(tbl_Case_mins[[#This Row],[Surgery Start Date]]=BDate),0,1),0))*1440),0,INDEX(Bay_AmClose,MATCH(1,INDEX((tbl_Case_mins[[#This Row],[Bay]]=BayNo)*(tbl_Case_mins[[#This Row],[Surgery Start Date]]=BDate),0,1),0))*1440),0)</f>
        <v>0</v>
      </c>
      <c r="CX15" s="9" cm="1">
        <f t="array" ref="CX15">IFERROR(IF(ISBLANK(INDEX(Bay_PmOpen,MATCH(1,INDEX((tbl_Case_mins[[#This Row],[Bay]]=BayNo)*(tbl_Case_mins[[#This Row],[Surgery Start Date]]=BDate),0,1),0))*1440),0,INDEX(Bay_PmOpen,MATCH(1,INDEX((tbl_Case_mins[[#This Row],[Bay]]=BayNo)*(tbl_Case_mins[[#This Row],[Surgery Start Date]]=BDate),0,1),0))*1440),0)</f>
        <v>0</v>
      </c>
      <c r="CY1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 s="9"/>
    </row>
    <row r="16" spans="1:104" x14ac:dyDescent="0.2">
      <c r="A16">
        <v>15</v>
      </c>
      <c r="B16" t="e">
        <f>#REF!</f>
        <v>#REF!</v>
      </c>
      <c r="C16" t="e">
        <f>#REF!</f>
        <v>#REF!</v>
      </c>
      <c r="D16" t="e">
        <f>#REF!</f>
        <v>#REF!</v>
      </c>
      <c r="E16" t="e">
        <f>#REF!</f>
        <v>#REF!</v>
      </c>
      <c r="F16" t="e">
        <f>#REF!</f>
        <v>#REF!</v>
      </c>
      <c r="G16" t="e">
        <f>#REF!</f>
        <v>#REF!</v>
      </c>
      <c r="H16" t="e">
        <f>#REF!</f>
        <v>#REF!</v>
      </c>
      <c r="I16" t="e">
        <f>IF(#REF!="Case Cancelled",1,IF(#REF!="No Cases",2,0))</f>
        <v>#REF!</v>
      </c>
      <c r="J16" t="e">
        <f>#REF!</f>
        <v>#REF!</v>
      </c>
      <c r="K16" s="4" t="e">
        <f>#REF!</f>
        <v>#REF!</v>
      </c>
      <c r="L16" t="e">
        <f>"Wk "&amp;WEEKNUM(tbl_Case_mins[[#This Row],[Surgery Start Date]],21)</f>
        <v>#REF!</v>
      </c>
      <c r="M16" t="e">
        <f>TEXT(tbl_Case_mins[[#This Row],[Surgery Start Date]],"ddd")</f>
        <v>#REF!</v>
      </c>
      <c r="N16" s="9" t="e">
        <f>(#REF!-TIME(0,0,0))*1440</f>
        <v>#REF!</v>
      </c>
      <c r="O16" t="e">
        <f>IF(AND(ROUND((#REF!-TIME(0,0,0))*1440,0)&gt;0,ROUND((#REF!-TIME(0,0,0))*1440,0)&lt;tbl_Case_mins[[#This Row],[Patient Called]],tbl_Case_mins[[#This Row],[Surgery End Date]]&gt;tbl_Case_mins[[#This Row],[Surgery Start Date]]),ROUND((#REF!-TIME(0,0,0))*1440,0)+1440,ROUND((#REF!-TIME(0,0,0))*1440,0))</f>
        <v>#REF!</v>
      </c>
      <c r="P16" s="9" t="e">
        <f>IF(AND(ROUND((#REF!-TIME(0,0,0))*1440,0)&gt;0,ROUND((#REF!-TIME(0,0,0))*1440,0)&lt;tbl_Case_mins[[#This Row],[Arrival]],tbl_Case_mins[[#This Row],[Surgery End Date]]&gt;tbl_Case_mins[[#This Row],[Surgery Start Date]]),ROUND((#REF!-TIME(0,0,0))*1440,0)+1440,ROUND((#REF!-TIME(0,0,0))*1440,0))</f>
        <v>#REF!</v>
      </c>
      <c r="Q16" s="9" t="e">
        <f>IF(AND(ROUND((#REF!-TIME(0,0,0))*1440,0)&gt;0,ROUND((#REF!-TIME(0,0,0))*1440,0)&lt;tbl_Case_mins[[#This Row],[Into Th or AR]],tbl_Case_mins[[#This Row],[Surgery End Date]]&gt;tbl_Case_mins[[#This Row],[Surgery Start Date]]),ROUND((#REF!-TIME(0,0,0))*1440,0)+1440,ROUND((#REF!-TIME(0,0,0))*1440,0))</f>
        <v>#REF!</v>
      </c>
      <c r="R16" s="9" t="e">
        <f>IF(AND(ROUND((#REF!-TIME(0,0,0))*1440,0)&gt;0,ROUND((#REF!-TIME(0,0,0))*1440,0)&lt;tbl_Case_mins[[#This Row],[AnaesthStart]],tbl_Case_mins[[#This Row],[Surgery End Date]]&gt;tbl_Case_mins[[#This Row],[Surgery Start Date]]),ROUND((#REF!-TIME(0,0,0))*1440,0)+1440,ROUND((#REF!-TIME(0,0,0))*1440,0))</f>
        <v>#REF!</v>
      </c>
      <c r="S16" s="9" t="e">
        <f>IF(AND(ROUND((#REF!-TIME(0,0,0))*1440,0),ROUND((#REF!-TIME(0,0,0))*1440,0)&lt;tbl_Case_mins[[#This Row],[Surgery Start]],tbl_Case_mins[[#This Row],[Surgery End Date]]&gt;tbl_Case_mins[[#This Row],[Surgery Start Date]]),ROUND((#REF!-TIME(0,0,0))*1440,0)+1440,ROUND((#REF!-TIME(0,0,0))*1440,0))</f>
        <v>#REF!</v>
      </c>
      <c r="T16" s="9" t="e">
        <f>IF(AND(ROUND((#REF!-TIME(0,0,0))*1440,0)&gt;0,ROUND((#REF!-TIME(0,0,0))*1440,0)&lt;tbl_Case_mins[[#This Row],[Surgery Finish]],tbl_Case_mins[[#This Row],[Surgery End Date]]&gt;tbl_Case_mins[[#This Row],[Surgery Start Date]]),ROUND((#REF!-TIME(0,0,0))*1440,0)+1440,ROUND((#REF!-TIME(0,0,0))*1440,0))</f>
        <v>#REF!</v>
      </c>
      <c r="U16" s="9" t="e">
        <f>IF(AND(ROUND((#REF!-TIME(0,0,0))*1440,0)&gt;0,ROUND((#REF!-TIME(0,0,0))*1440,0)&lt;tbl_Case_mins[[#This Row],[Anaesth End]],tbl_Case_mins[[#This Row],[Surgery End Date]]&gt;tbl_Case_mins[[#This Row],[Surgery Start Date]]),ROUND((#REF!-TIME(0,0,0))*1440,0)+1440,ROUND((#REF!-TIME(0,0,0))*1440,0))</f>
        <v>#REF!</v>
      </c>
      <c r="V16" s="9" t="e">
        <f>IF(AND(ROUND((#REF!-TIME(0,0,0))*1440,0)&gt;0,ROUND((#REF!-TIME(0,0,0))*1440,0)&lt;tbl_Case_mins[[#This Row],[Into Recov]],tbl_Case_mins[[#This Row],[Surgery End Date]]&gt;tbl_Case_mins[[#This Row],[Surgery Start Date]]),ROUND((#REF!-TIME(0,0,0))*1440,0)+1440,ROUND((#REF!-TIME(0,0,0))*1440,0))</f>
        <v>#REF!</v>
      </c>
      <c r="W16" s="9" t="e">
        <f>IF(AND(ROUND((#REF!-TIME(0,0,0))*1440,0)&gt;0,ROUND((#REF!-TIME(0,0,0))*1440,0)&lt;tbl_Case_mins[[#This Row],[Ward Called]],tbl_Case_mins[[#This Row],[Surgery End Date]]&gt;tbl_Case_mins[[#This Row],[Surgery Start Date]]),ROUND((#REF!-TIME(0,0,0))*1440,0)+1440,ROUND((#REF!-TIME(0,0,0))*1440,0))</f>
        <v>#REF!</v>
      </c>
      <c r="X16" s="4" t="e">
        <f>IF(ISBLANK(#REF!),tbl_Case_mins[[#This Row],[Surgery Start Date]],#REF!)</f>
        <v>#REF!</v>
      </c>
      <c r="Y16">
        <f>IFERROR(IF(VLOOKUP(tbl_Case_mins[[#This Row],[Theatre]],'Mng Theatres'!$C$7:$G$12,3,FALSE)="Yes","Yes","No"),0)</f>
        <v>0</v>
      </c>
      <c r="Z16" s="9" t="e" cm="1">
        <f t="array" ref="Z1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 s="9" t="e" cm="1">
        <f t="array" ref="AA1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 s="9" t="e">
        <f>IF(tbl_Case_mins[[#This Row],[Case Type]]="Unsch",1,0)</f>
        <v>#REF!</v>
      </c>
      <c r="AD16" s="9" t="e">
        <f>IF(tbl_Case_mins[[#This Row],[Case Type]]="Sch",1,0)</f>
        <v>#REF!</v>
      </c>
      <c r="AE1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 s="9">
        <f>IFERROR(IF(ISBLANK(INDEX(Am_Close,MATCH(1,INDEX((tbl_Case_mins[[#This Row],[Theatre]]=Theatre_No)*(tbl_Case_mins[[#This Row],[Surgery Start Date]]=Date),0,1),0))*1440),0,INDEX(Am_Close,MATCH(1,INDEX((tbl_Case_mins[[#This Row],[Theatre]]=Theatre_No)*(tbl_Case_mins[[#This Row],[Surgery Start Date]]=Date),0,1),0))*1440),0)</f>
        <v>0</v>
      </c>
      <c r="AG16" s="9">
        <f>IFERROR(IF(ISBLANK(INDEX(PM_Open,MATCH(1,INDEX((tbl_Case_mins[[#This Row],[Theatre]]=Theatre_No)*(tbl_Case_mins[[#This Row],[Surgery Start Date]]=Date),0,1),0))*1440),0,INDEX(PM_Open,MATCH(1,INDEX((tbl_Case_mins[[#This Row],[Theatre]]=Theatre_No)*(tbl_Case_mins[[#This Row],[Surgery Start Date]]=Date),0,1),0))*1440),0)</f>
        <v>0</v>
      </c>
      <c r="AH1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 s="9" t="e">
        <f>IF(tbl_Case_mins[[#This Row],[ThOpenAm]]=0,tbl_Case_mins[[#This Row],[ThOpenPM]],tbl_Case_mins[[#This Row],[ThOpenAm]])</f>
        <v>#REF!</v>
      </c>
      <c r="AJ16" s="9" t="e">
        <f>IF(tbl_Case_mins[[#This Row],[ThCloseAm]]&gt;0,IF(tbl_Case_mins[[#This Row],[ThOpenPM]]&gt;0,tbl_Case_mins[[#This Row],[ThClosePm]],tbl_Case_mins[[#This Row],[ThCloseAm]]),tbl_Case_mins[[#This Row],[ThClosePm]])</f>
        <v>#REF!</v>
      </c>
      <c r="AK16" s="9" t="e">
        <f>IF(tbl_Case_mins[[#This Row],[TOT]]&gt;0,1,0)</f>
        <v>#REF!</v>
      </c>
      <c r="AL1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 s="9" t="e">
        <f>IF(AND(tbl_Case_mins[[#This Row],[Surgery Status]]&lt;&gt;2,tbl_Case_mins[[#This Row],[InCoreCase]]=0,tbl_Case_mins[[#This Row],[CancelledCase]]=0),1,0)</f>
        <v>#REF!</v>
      </c>
      <c r="AN16" s="9" t="e">
        <f>IF(tbl_Case_mins[[#This Row],[Surgery Status]]=1,1,0)</f>
        <v>#REF!</v>
      </c>
      <c r="AO1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 s="9" t="e">
        <f>IF(AND(tbl_Case_mins[[#This Row],[NonCoreCase]]=1,tbl_Case_mins[[#This Row],[NoInCoreTime]]=0),1,0)</f>
        <v>#REF!</v>
      </c>
      <c r="AQ16" s="9" t="e">
        <f>IF(tbl_Case_mins[[#This Row],[Rank_AnaEnd]]&lt;tbl_Case_mins[[#This Row],[Rank_AnaSt]],1,0)</f>
        <v>#REF!</v>
      </c>
      <c r="AR16" s="9" t="e">
        <f>IF(AND(tbl_Case_mins[[#This Row],[InCoreCase]]=1,tbl_Case_mins[[#This Row],[Sch]]=1),1,0)</f>
        <v>#REF!</v>
      </c>
      <c r="AS16" s="9" t="e">
        <f>IF(AND(tbl_Case_mins[[#This Row],[InCoreCase]]=1,tbl_Case_mins[[#This Row],[Unsch]]=1),1,0)</f>
        <v>#REF!</v>
      </c>
      <c r="AT1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 s="9" t="e">
        <f>IF(tbl_Case_mins[[#This Row],[Surgery Status]]=0,(tbl_Case_mins[[#This Row],[Anaesth End]]-tbl_Case_mins[[#This Row],[AnaesthStart]]),0)</f>
        <v>#REF!</v>
      </c>
      <c r="AX16" s="9" t="e">
        <f>IF(tbl_Case_mins[[#This Row],[Surgery Status]]=0,(tbl_Case_mins[[#This Row],[Surgery Finish]]-tbl_Case_mins[[#This Row],[Surgery Start]]),0)</f>
        <v>#REF!</v>
      </c>
      <c r="AY16" s="9" t="e">
        <f>tbl_Case_mins[[#This Row],[Surgery Start]]-tbl_Case_mins[[#This Row],[AnaesthStart]]</f>
        <v>#REF!</v>
      </c>
      <c r="AZ16" s="9" t="e">
        <f>tbl_Case_mins[[#This Row],[Anaesth End]]-tbl_Case_mins[[#This Row],[Surgery Finish]]</f>
        <v>#REF!</v>
      </c>
      <c r="BA1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 s="16" cm="1">
        <f t="array" ref="BC1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 s="16" t="e">
        <f>IF(AND(tbl_Case_mins[[#This Row],[FirstAMCase]]=1,tbl_Case_mins[[#This Row],[CancelledCase]]=0,OR(tbl_Case_mins[[#This Row],[EarlyStartAM]]&gt;0,tbl_Case_mins[[#This Row],[AnaesthStart]]=tbl_Case_mins[[#This Row],[ThOpenAm]])),1,0)</f>
        <v>#REF!</v>
      </c>
      <c r="BE16" s="16" t="e">
        <f>IF(AND(tbl_Case_mins[[#This Row],[Rank_AnaSt]]=tbl_Case_mins[[#This Row],[Min_RankAnaSt]],tbl_Case_mins[[#This Row],[Anaesth End]]&gt;=tbl_Case_mins[[#This Row],[ThOpenAm]],tbl_Case_mins[[#This Row],[PmCase]]=0),1,0)</f>
        <v>#REF!</v>
      </c>
      <c r="BF1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 s="9" t="e" cm="1">
        <f t="array" ref="BH1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 s="9" t="e">
        <f>IF(AND(tbl_Case_mins[[#This Row],[ThOpenPM]]&gt;0,tbl_Case_mins[[#This Row],[AnaesthStart]]&gt;tbl_Case_mins[[#This Row],[ThOpenPM]],tbl_Case_mins[[#This Row],[First PM Case]]=1),tbl_Case_mins[[#This Row],[AnaesthStart]]-tbl_Case_mins[[#This Row],[ThOpenPM]],0)</f>
        <v>#REF!</v>
      </c>
      <c r="BL1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 s="9" t="e" cm="1">
        <f t="array" ref="BN1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 s="9" t="e">
        <f>IF(AND(tbl_Case_mins[[#This Row],[ThClosePm]]&gt;0,tbl_Case_mins[[#This Row],[Anaesth End]]&gt;tbl_Case_mins[[#This Row],[ThClosePm]],tbl_Case_mins[[#This Row],[AnaesthStart]]&gt;tbl_Case_mins[[#This Row],[ThClosePm]]),tbl_Case_mins[[#This Row],[Into Recov]]-tbl_Case_mins[[#This Row],[AnaesthStart]],0)</f>
        <v>#REF!</v>
      </c>
      <c r="BP16" s="9" t="e">
        <f>IF(AND(tbl_Case_mins[[#This Row],[AnaesthStart]]&lt;tbl_Case_mins[[#This Row],[ThClosePm]],tbl_Case_mins[[#This Row],[Anaesth End]]&gt;tbl_Case_mins[[#This Row],[ThClosePm]]),tbl_Case_mins[[#This Row],[Anaesth End]]-tbl_Case_mins[[#This Row],[ThClosePm]],0)</f>
        <v>#REF!</v>
      </c>
      <c r="BQ16" s="9" t="e" cm="1">
        <f t="array" ref="BQ1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 s="9" t="e" cm="1">
        <f t="array" ref="BR16">IF(tbl_Case_mins[[#This Row],[Rank_Adjust]]=SUMPRODUCT(-(tbl_Case_mins[Surgery Start Date]=tbl_Case_mins[[#This Row],[Surgery Start Date]]),-(tbl_Case_mins[Theatre]=tbl_Case_mins[[#This Row],[Theatre]])),INDEX(Poss_Time,MATCH(TEXT(tbl_Case_mins[[#This Row],[Surgery Start Date]],"ddd"),Day,0)),0)</f>
        <v>#REF!</v>
      </c>
      <c r="BS16" s="9" t="e">
        <f>tbl_Case_mins[[#This Row],[Core_Time]]*Util_Goal</f>
        <v>#REF!</v>
      </c>
      <c r="BT16" s="9" t="e" cm="1">
        <f t="array" ref="BT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 s="9" t="e" cm="1">
        <f t="array" ref="BU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 s="9" t="e">
        <f>IF(tbl_Case_mins[[#This Row],[Surgery End Date]]&gt;tbl_Case_mins[[#This Row],[Surgery Start Date]],tbl_Case_mins[[#This Row],[Anaesth End]]-1440,0)</f>
        <v>#REF!</v>
      </c>
      <c r="BY16" s="9" t="e">
        <f>tbl_Case_mins[[#This Row],[Total_NonCore]]-tbl_Case_mins[[#This Row],[NextDay_NonCore]]</f>
        <v>#REF!</v>
      </c>
      <c r="BZ16" s="10" t="e">
        <f>tbl_Case_mins[[#This Row],[InCoreUse]]/60</f>
        <v>#REF!</v>
      </c>
      <c r="CA16" s="10" t="e">
        <f>tbl_Case_mins[[#This Row],[Total_NonCore]]/60</f>
        <v>#REF!</v>
      </c>
      <c r="CB16" t="e" cm="1">
        <f t="array" ref="CB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 s="9" t="e" cm="1">
        <f t="array" ref="CC1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 s="9" t="e" cm="1">
        <f t="array" ref="CD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 s="9" t="e" cm="1">
        <f t="array" ref="CE1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 s="9" cm="1">
        <f t="array" ref="CF16">IFERROR(_xlfn.AGGREGATE(14,6,(tbl_Case_mins[Rank_AnaEnd])/((tbl_Case_mins[Surgery Start Date]=tbl_Case_mins[[#This Row],[Surgery Start Date]])*(tbl_Case_mins[Theatre]=tbl_Case_mins[[#This Row],[Theatre]])*(tbl_Case_mins[NoInCoreTime]=0)),1),-1)</f>
        <v>-1</v>
      </c>
      <c r="CG16" s="9" cm="1">
        <f t="array" ref="CG16">IFERROR(_xlfn.AGGREGATE(15,6,(tbl_Case_mins[Rank_AnaSt])/((tbl_Case_mins[Surgery Start Date]=tbl_Case_mins[[#This Row],[Surgery Start Date]])*(tbl_Case_mins[Theatre]=tbl_Case_mins[[#This Row],[Theatre]])*(tbl_Case_mins[NoInCoreTime]=0)),1),-1)</f>
        <v>-1</v>
      </c>
      <c r="CH1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 t="e" cm="1">
        <f t="array" ref="CJ1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 s="9" cm="1">
        <f t="array" ref="CO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 s="9" cm="1">
        <f t="array" ref="CP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 s="9" cm="1">
        <f t="array" ref="CQ16">IFERROR(IF(AND(tbl_Case_mins[[#This Row],[FirstAMCase]]=0,tbl_Case_mins[[#This Row],[Rank]]=_xlfn.AGGREGATE(14,6,(tbl_Case_mins[Rank])/((tbl_Case_mins[Surgery Start Date]=tbl_Case_mins[[#This Row],[Surgery Start Date]])*(tbl_Case_mins[Theatre]=tbl_Case_mins[[#This Row],[Theatre]])*(tbl_Case_mins[AmCase]=1)),1)),1,0),0)</f>
        <v>0</v>
      </c>
      <c r="CR16" s="9" cm="1">
        <f t="array" ref="CR1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 s="9" t="e" cm="1">
        <f t="array" ref="CS1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 s="9" cm="1">
        <f t="array" ref="CT16">IFERROR(IF(tbl_Case_mins[[#This Row],[Rank]]=_xlfn.AGGREGATE(15,6,(tbl_Case_mins[Rank])/((tbl_Case_mins[Surgery Start Date]=tbl_Case_mins[[#This Row],[Surgery Start Date]])*(tbl_Case_mins[Theatre]=tbl_Case_mins[[#This Row],[Theatre]])*(tbl_Case_mins[PmCase]=1)),1),1,0),0)</f>
        <v>0</v>
      </c>
      <c r="CU16">
        <f>IFERROR(#REF!,0)</f>
        <v>0</v>
      </c>
      <c r="CV16" s="9" t="e" cm="1">
        <f t="array" ref="CV1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 s="9">
        <f>IFERROR(IF(ISBLANK(INDEX(Bay_AmClose,MATCH(1,INDEX((tbl_Case_mins[[#This Row],[Bay]]=BayNo)*(tbl_Case_mins[[#This Row],[Surgery Start Date]]=BDate),0,1),0))*1440),0,INDEX(Bay_AmClose,MATCH(1,INDEX((tbl_Case_mins[[#This Row],[Bay]]=BayNo)*(tbl_Case_mins[[#This Row],[Surgery Start Date]]=BDate),0,1),0))*1440),0)</f>
        <v>0</v>
      </c>
      <c r="CX16" s="9" cm="1">
        <f t="array" ref="CX16">IFERROR(IF(ISBLANK(INDEX(Bay_PmOpen,MATCH(1,INDEX((tbl_Case_mins[[#This Row],[Bay]]=BayNo)*(tbl_Case_mins[[#This Row],[Surgery Start Date]]=BDate),0,1),0))*1440),0,INDEX(Bay_PmOpen,MATCH(1,INDEX((tbl_Case_mins[[#This Row],[Bay]]=BayNo)*(tbl_Case_mins[[#This Row],[Surgery Start Date]]=BDate),0,1),0))*1440),0)</f>
        <v>0</v>
      </c>
      <c r="CY1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 s="9"/>
    </row>
    <row r="17" spans="1:104" x14ac:dyDescent="0.2">
      <c r="A17">
        <v>16</v>
      </c>
      <c r="B17" t="e">
        <f>#REF!</f>
        <v>#REF!</v>
      </c>
      <c r="C17" t="e">
        <f>#REF!</f>
        <v>#REF!</v>
      </c>
      <c r="D17" t="e">
        <f>#REF!</f>
        <v>#REF!</v>
      </c>
      <c r="E17" t="e">
        <f>#REF!</f>
        <v>#REF!</v>
      </c>
      <c r="F17" t="e">
        <f>#REF!</f>
        <v>#REF!</v>
      </c>
      <c r="G17" t="e">
        <f>#REF!</f>
        <v>#REF!</v>
      </c>
      <c r="H17" t="e">
        <f>#REF!</f>
        <v>#REF!</v>
      </c>
      <c r="I17" t="e">
        <f>IF(#REF!="Case Cancelled",1,IF(#REF!="No Cases",2,0))</f>
        <v>#REF!</v>
      </c>
      <c r="J17" t="e">
        <f>#REF!</f>
        <v>#REF!</v>
      </c>
      <c r="K17" s="4" t="e">
        <f>#REF!</f>
        <v>#REF!</v>
      </c>
      <c r="L17" t="e">
        <f>"Wk "&amp;WEEKNUM(tbl_Case_mins[[#This Row],[Surgery Start Date]],21)</f>
        <v>#REF!</v>
      </c>
      <c r="M17" t="e">
        <f>TEXT(tbl_Case_mins[[#This Row],[Surgery Start Date]],"ddd")</f>
        <v>#REF!</v>
      </c>
      <c r="N17" s="9" t="e">
        <f>(#REF!-TIME(0,0,0))*1440</f>
        <v>#REF!</v>
      </c>
      <c r="O17" t="e">
        <f>IF(AND(ROUND((#REF!-TIME(0,0,0))*1440,0)&gt;0,ROUND((#REF!-TIME(0,0,0))*1440,0)&lt;tbl_Case_mins[[#This Row],[Patient Called]],tbl_Case_mins[[#This Row],[Surgery End Date]]&gt;tbl_Case_mins[[#This Row],[Surgery Start Date]]),ROUND((#REF!-TIME(0,0,0))*1440,0)+1440,ROUND((#REF!-TIME(0,0,0))*1440,0))</f>
        <v>#REF!</v>
      </c>
      <c r="P17" s="9" t="e">
        <f>IF(AND(ROUND((#REF!-TIME(0,0,0))*1440,0)&gt;0,ROUND((#REF!-TIME(0,0,0))*1440,0)&lt;tbl_Case_mins[[#This Row],[Arrival]],tbl_Case_mins[[#This Row],[Surgery End Date]]&gt;tbl_Case_mins[[#This Row],[Surgery Start Date]]),ROUND((#REF!-TIME(0,0,0))*1440,0)+1440,ROUND((#REF!-TIME(0,0,0))*1440,0))</f>
        <v>#REF!</v>
      </c>
      <c r="Q17" s="9" t="e">
        <f>IF(AND(ROUND((#REF!-TIME(0,0,0))*1440,0)&gt;0,ROUND((#REF!-TIME(0,0,0))*1440,0)&lt;tbl_Case_mins[[#This Row],[Into Th or AR]],tbl_Case_mins[[#This Row],[Surgery End Date]]&gt;tbl_Case_mins[[#This Row],[Surgery Start Date]]),ROUND((#REF!-TIME(0,0,0))*1440,0)+1440,ROUND((#REF!-TIME(0,0,0))*1440,0))</f>
        <v>#REF!</v>
      </c>
      <c r="R17" s="9" t="e">
        <f>IF(AND(ROUND((#REF!-TIME(0,0,0))*1440,0)&gt;0,ROUND((#REF!-TIME(0,0,0))*1440,0)&lt;tbl_Case_mins[[#This Row],[AnaesthStart]],tbl_Case_mins[[#This Row],[Surgery End Date]]&gt;tbl_Case_mins[[#This Row],[Surgery Start Date]]),ROUND((#REF!-TIME(0,0,0))*1440,0)+1440,ROUND((#REF!-TIME(0,0,0))*1440,0))</f>
        <v>#REF!</v>
      </c>
      <c r="S17" s="9" t="e">
        <f>IF(AND(ROUND((#REF!-TIME(0,0,0))*1440,0),ROUND((#REF!-TIME(0,0,0))*1440,0)&lt;tbl_Case_mins[[#This Row],[Surgery Start]],tbl_Case_mins[[#This Row],[Surgery End Date]]&gt;tbl_Case_mins[[#This Row],[Surgery Start Date]]),ROUND((#REF!-TIME(0,0,0))*1440,0)+1440,ROUND((#REF!-TIME(0,0,0))*1440,0))</f>
        <v>#REF!</v>
      </c>
      <c r="T17" s="9" t="e">
        <f>IF(AND(ROUND((#REF!-TIME(0,0,0))*1440,0)&gt;0,ROUND((#REF!-TIME(0,0,0))*1440,0)&lt;tbl_Case_mins[[#This Row],[Surgery Finish]],tbl_Case_mins[[#This Row],[Surgery End Date]]&gt;tbl_Case_mins[[#This Row],[Surgery Start Date]]),ROUND((#REF!-TIME(0,0,0))*1440,0)+1440,ROUND((#REF!-TIME(0,0,0))*1440,0))</f>
        <v>#REF!</v>
      </c>
      <c r="U17" s="9" t="e">
        <f>IF(AND(ROUND((#REF!-TIME(0,0,0))*1440,0)&gt;0,ROUND((#REF!-TIME(0,0,0))*1440,0)&lt;tbl_Case_mins[[#This Row],[Anaesth End]],tbl_Case_mins[[#This Row],[Surgery End Date]]&gt;tbl_Case_mins[[#This Row],[Surgery Start Date]]),ROUND((#REF!-TIME(0,0,0))*1440,0)+1440,ROUND((#REF!-TIME(0,0,0))*1440,0))</f>
        <v>#REF!</v>
      </c>
      <c r="V17" s="9" t="e">
        <f>IF(AND(ROUND((#REF!-TIME(0,0,0))*1440,0)&gt;0,ROUND((#REF!-TIME(0,0,0))*1440,0)&lt;tbl_Case_mins[[#This Row],[Into Recov]],tbl_Case_mins[[#This Row],[Surgery End Date]]&gt;tbl_Case_mins[[#This Row],[Surgery Start Date]]),ROUND((#REF!-TIME(0,0,0))*1440,0)+1440,ROUND((#REF!-TIME(0,0,0))*1440,0))</f>
        <v>#REF!</v>
      </c>
      <c r="W17" s="9" t="e">
        <f>IF(AND(ROUND((#REF!-TIME(0,0,0))*1440,0)&gt;0,ROUND((#REF!-TIME(0,0,0))*1440,0)&lt;tbl_Case_mins[[#This Row],[Ward Called]],tbl_Case_mins[[#This Row],[Surgery End Date]]&gt;tbl_Case_mins[[#This Row],[Surgery Start Date]]),ROUND((#REF!-TIME(0,0,0))*1440,0)+1440,ROUND((#REF!-TIME(0,0,0))*1440,0))</f>
        <v>#REF!</v>
      </c>
      <c r="X17" s="4" t="e">
        <f>IF(ISBLANK(#REF!),tbl_Case_mins[[#This Row],[Surgery Start Date]],#REF!)</f>
        <v>#REF!</v>
      </c>
      <c r="Y17">
        <f>IFERROR(IF(VLOOKUP(tbl_Case_mins[[#This Row],[Theatre]],'Mng Theatres'!$C$7:$G$12,3,FALSE)="Yes","Yes","No"),0)</f>
        <v>0</v>
      </c>
      <c r="Z17" s="9" t="e" cm="1">
        <f t="array" ref="Z1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 s="9" t="e" cm="1">
        <f t="array" ref="AA1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 s="9" t="e">
        <f>IF(tbl_Case_mins[[#This Row],[Case Type]]="Unsch",1,0)</f>
        <v>#REF!</v>
      </c>
      <c r="AD17" s="9" t="e">
        <f>IF(tbl_Case_mins[[#This Row],[Case Type]]="Sch",1,0)</f>
        <v>#REF!</v>
      </c>
      <c r="AE1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 s="9">
        <f>IFERROR(IF(ISBLANK(INDEX(Am_Close,MATCH(1,INDEX((tbl_Case_mins[[#This Row],[Theatre]]=Theatre_No)*(tbl_Case_mins[[#This Row],[Surgery Start Date]]=Date),0,1),0))*1440),0,INDEX(Am_Close,MATCH(1,INDEX((tbl_Case_mins[[#This Row],[Theatre]]=Theatre_No)*(tbl_Case_mins[[#This Row],[Surgery Start Date]]=Date),0,1),0))*1440),0)</f>
        <v>0</v>
      </c>
      <c r="AG17" s="9">
        <f>IFERROR(IF(ISBLANK(INDEX(PM_Open,MATCH(1,INDEX((tbl_Case_mins[[#This Row],[Theatre]]=Theatre_No)*(tbl_Case_mins[[#This Row],[Surgery Start Date]]=Date),0,1),0))*1440),0,INDEX(PM_Open,MATCH(1,INDEX((tbl_Case_mins[[#This Row],[Theatre]]=Theatre_No)*(tbl_Case_mins[[#This Row],[Surgery Start Date]]=Date),0,1),0))*1440),0)</f>
        <v>0</v>
      </c>
      <c r="AH1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 s="9" t="e">
        <f>IF(tbl_Case_mins[[#This Row],[ThOpenAm]]=0,tbl_Case_mins[[#This Row],[ThOpenPM]],tbl_Case_mins[[#This Row],[ThOpenAm]])</f>
        <v>#REF!</v>
      </c>
      <c r="AJ17" s="9" t="e">
        <f>IF(tbl_Case_mins[[#This Row],[ThCloseAm]]&gt;0,IF(tbl_Case_mins[[#This Row],[ThOpenPM]]&gt;0,tbl_Case_mins[[#This Row],[ThClosePm]],tbl_Case_mins[[#This Row],[ThCloseAm]]),tbl_Case_mins[[#This Row],[ThClosePm]])</f>
        <v>#REF!</v>
      </c>
      <c r="AK17" s="9" t="e">
        <f>IF(tbl_Case_mins[[#This Row],[TOT]]&gt;0,1,0)</f>
        <v>#REF!</v>
      </c>
      <c r="AL1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 s="9" t="e">
        <f>IF(AND(tbl_Case_mins[[#This Row],[Surgery Status]]&lt;&gt;2,tbl_Case_mins[[#This Row],[InCoreCase]]=0,tbl_Case_mins[[#This Row],[CancelledCase]]=0),1,0)</f>
        <v>#REF!</v>
      </c>
      <c r="AN17" s="9" t="e">
        <f>IF(tbl_Case_mins[[#This Row],[Surgery Status]]=1,1,0)</f>
        <v>#REF!</v>
      </c>
      <c r="AO1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 s="9" t="e">
        <f>IF(AND(tbl_Case_mins[[#This Row],[NonCoreCase]]=1,tbl_Case_mins[[#This Row],[NoInCoreTime]]=0),1,0)</f>
        <v>#REF!</v>
      </c>
      <c r="AQ17" s="9" t="e">
        <f>IF(tbl_Case_mins[[#This Row],[Rank_AnaEnd]]&lt;tbl_Case_mins[[#This Row],[Rank_AnaSt]],1,0)</f>
        <v>#REF!</v>
      </c>
      <c r="AR17" s="9" t="e">
        <f>IF(AND(tbl_Case_mins[[#This Row],[InCoreCase]]=1,tbl_Case_mins[[#This Row],[Sch]]=1),1,0)</f>
        <v>#REF!</v>
      </c>
      <c r="AS17" s="9" t="e">
        <f>IF(AND(tbl_Case_mins[[#This Row],[InCoreCase]]=1,tbl_Case_mins[[#This Row],[Unsch]]=1),1,0)</f>
        <v>#REF!</v>
      </c>
      <c r="AT1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 s="9" t="e">
        <f>IF(tbl_Case_mins[[#This Row],[Surgery Status]]=0,(tbl_Case_mins[[#This Row],[Anaesth End]]-tbl_Case_mins[[#This Row],[AnaesthStart]]),0)</f>
        <v>#REF!</v>
      </c>
      <c r="AX17" s="9" t="e">
        <f>IF(tbl_Case_mins[[#This Row],[Surgery Status]]=0,(tbl_Case_mins[[#This Row],[Surgery Finish]]-tbl_Case_mins[[#This Row],[Surgery Start]]),0)</f>
        <v>#REF!</v>
      </c>
      <c r="AY17" s="9" t="e">
        <f>tbl_Case_mins[[#This Row],[Surgery Start]]-tbl_Case_mins[[#This Row],[AnaesthStart]]</f>
        <v>#REF!</v>
      </c>
      <c r="AZ17" s="9" t="e">
        <f>tbl_Case_mins[[#This Row],[Anaesth End]]-tbl_Case_mins[[#This Row],[Surgery Finish]]</f>
        <v>#REF!</v>
      </c>
      <c r="BA1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 s="16" cm="1">
        <f t="array" ref="BC1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 s="16" t="e">
        <f>IF(AND(tbl_Case_mins[[#This Row],[FirstAMCase]]=1,tbl_Case_mins[[#This Row],[CancelledCase]]=0,OR(tbl_Case_mins[[#This Row],[EarlyStartAM]]&gt;0,tbl_Case_mins[[#This Row],[AnaesthStart]]=tbl_Case_mins[[#This Row],[ThOpenAm]])),1,0)</f>
        <v>#REF!</v>
      </c>
      <c r="BE17" s="16" t="e">
        <f>IF(AND(tbl_Case_mins[[#This Row],[Rank_AnaSt]]=tbl_Case_mins[[#This Row],[Min_RankAnaSt]],tbl_Case_mins[[#This Row],[Anaesth End]]&gt;=tbl_Case_mins[[#This Row],[ThOpenAm]],tbl_Case_mins[[#This Row],[PmCase]]=0),1,0)</f>
        <v>#REF!</v>
      </c>
      <c r="BF1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 s="9" t="e" cm="1">
        <f t="array" ref="BH1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 s="9" t="e">
        <f>IF(AND(tbl_Case_mins[[#This Row],[ThOpenPM]]&gt;0,tbl_Case_mins[[#This Row],[AnaesthStart]]&gt;tbl_Case_mins[[#This Row],[ThOpenPM]],tbl_Case_mins[[#This Row],[First PM Case]]=1),tbl_Case_mins[[#This Row],[AnaesthStart]]-tbl_Case_mins[[#This Row],[ThOpenPM]],0)</f>
        <v>#REF!</v>
      </c>
      <c r="BL1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 s="9" t="e" cm="1">
        <f t="array" ref="BN1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 s="9" t="e">
        <f>IF(AND(tbl_Case_mins[[#This Row],[ThClosePm]]&gt;0,tbl_Case_mins[[#This Row],[Anaesth End]]&gt;tbl_Case_mins[[#This Row],[ThClosePm]],tbl_Case_mins[[#This Row],[AnaesthStart]]&gt;tbl_Case_mins[[#This Row],[ThClosePm]]),tbl_Case_mins[[#This Row],[Into Recov]]-tbl_Case_mins[[#This Row],[AnaesthStart]],0)</f>
        <v>#REF!</v>
      </c>
      <c r="BP17" s="9" t="e">
        <f>IF(AND(tbl_Case_mins[[#This Row],[AnaesthStart]]&lt;tbl_Case_mins[[#This Row],[ThClosePm]],tbl_Case_mins[[#This Row],[Anaesth End]]&gt;tbl_Case_mins[[#This Row],[ThClosePm]]),tbl_Case_mins[[#This Row],[Anaesth End]]-tbl_Case_mins[[#This Row],[ThClosePm]],0)</f>
        <v>#REF!</v>
      </c>
      <c r="BQ17" s="9" t="e" cm="1">
        <f t="array" ref="BQ1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 s="9" t="e" cm="1">
        <f t="array" ref="BR17">IF(tbl_Case_mins[[#This Row],[Rank_Adjust]]=SUMPRODUCT(-(tbl_Case_mins[Surgery Start Date]=tbl_Case_mins[[#This Row],[Surgery Start Date]]),-(tbl_Case_mins[Theatre]=tbl_Case_mins[[#This Row],[Theatre]])),INDEX(Poss_Time,MATCH(TEXT(tbl_Case_mins[[#This Row],[Surgery Start Date]],"ddd"),Day,0)),0)</f>
        <v>#REF!</v>
      </c>
      <c r="BS17" s="9" t="e">
        <f>tbl_Case_mins[[#This Row],[Core_Time]]*Util_Goal</f>
        <v>#REF!</v>
      </c>
      <c r="BT17" s="9" t="e" cm="1">
        <f t="array" ref="BT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 s="9" t="e" cm="1">
        <f t="array" ref="BU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 s="9" t="e">
        <f>IF(tbl_Case_mins[[#This Row],[Surgery End Date]]&gt;tbl_Case_mins[[#This Row],[Surgery Start Date]],tbl_Case_mins[[#This Row],[Anaesth End]]-1440,0)</f>
        <v>#REF!</v>
      </c>
      <c r="BY17" s="9" t="e">
        <f>tbl_Case_mins[[#This Row],[Total_NonCore]]-tbl_Case_mins[[#This Row],[NextDay_NonCore]]</f>
        <v>#REF!</v>
      </c>
      <c r="BZ17" s="10" t="e">
        <f>tbl_Case_mins[[#This Row],[InCoreUse]]/60</f>
        <v>#REF!</v>
      </c>
      <c r="CA17" s="10" t="e">
        <f>tbl_Case_mins[[#This Row],[Total_NonCore]]/60</f>
        <v>#REF!</v>
      </c>
      <c r="CB17" t="e" cm="1">
        <f t="array" ref="CB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 s="9" t="e" cm="1">
        <f t="array" ref="CC1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 s="9" t="e" cm="1">
        <f t="array" ref="CD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 s="9" t="e" cm="1">
        <f t="array" ref="CE1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 s="9" cm="1">
        <f t="array" ref="CF17">IFERROR(_xlfn.AGGREGATE(14,6,(tbl_Case_mins[Rank_AnaEnd])/((tbl_Case_mins[Surgery Start Date]=tbl_Case_mins[[#This Row],[Surgery Start Date]])*(tbl_Case_mins[Theatre]=tbl_Case_mins[[#This Row],[Theatre]])*(tbl_Case_mins[NoInCoreTime]=0)),1),-1)</f>
        <v>-1</v>
      </c>
      <c r="CG17" s="9" cm="1">
        <f t="array" ref="CG17">IFERROR(_xlfn.AGGREGATE(15,6,(tbl_Case_mins[Rank_AnaSt])/((tbl_Case_mins[Surgery Start Date]=tbl_Case_mins[[#This Row],[Surgery Start Date]])*(tbl_Case_mins[Theatre]=tbl_Case_mins[[#This Row],[Theatre]])*(tbl_Case_mins[NoInCoreTime]=0)),1),-1)</f>
        <v>-1</v>
      </c>
      <c r="CH1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 t="e" cm="1">
        <f t="array" ref="CJ1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 s="9" cm="1">
        <f t="array" ref="CO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 s="9" cm="1">
        <f t="array" ref="CP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 s="9" cm="1">
        <f t="array" ref="CQ17">IFERROR(IF(AND(tbl_Case_mins[[#This Row],[FirstAMCase]]=0,tbl_Case_mins[[#This Row],[Rank]]=_xlfn.AGGREGATE(14,6,(tbl_Case_mins[Rank])/((tbl_Case_mins[Surgery Start Date]=tbl_Case_mins[[#This Row],[Surgery Start Date]])*(tbl_Case_mins[Theatre]=tbl_Case_mins[[#This Row],[Theatre]])*(tbl_Case_mins[AmCase]=1)),1)),1,0),0)</f>
        <v>0</v>
      </c>
      <c r="CR17" s="9" cm="1">
        <f t="array" ref="CR1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 s="9" t="e" cm="1">
        <f t="array" ref="CS1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 s="9" cm="1">
        <f t="array" ref="CT17">IFERROR(IF(tbl_Case_mins[[#This Row],[Rank]]=_xlfn.AGGREGATE(15,6,(tbl_Case_mins[Rank])/((tbl_Case_mins[Surgery Start Date]=tbl_Case_mins[[#This Row],[Surgery Start Date]])*(tbl_Case_mins[Theatre]=tbl_Case_mins[[#This Row],[Theatre]])*(tbl_Case_mins[PmCase]=1)),1),1,0),0)</f>
        <v>0</v>
      </c>
      <c r="CU17">
        <f>IFERROR(#REF!,0)</f>
        <v>0</v>
      </c>
      <c r="CV17" s="9" t="e" cm="1">
        <f t="array" ref="CV1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 s="9">
        <f>IFERROR(IF(ISBLANK(INDEX(Bay_AmClose,MATCH(1,INDEX((tbl_Case_mins[[#This Row],[Bay]]=BayNo)*(tbl_Case_mins[[#This Row],[Surgery Start Date]]=BDate),0,1),0))*1440),0,INDEX(Bay_AmClose,MATCH(1,INDEX((tbl_Case_mins[[#This Row],[Bay]]=BayNo)*(tbl_Case_mins[[#This Row],[Surgery Start Date]]=BDate),0,1),0))*1440),0)</f>
        <v>0</v>
      </c>
      <c r="CX17" s="9" cm="1">
        <f t="array" ref="CX17">IFERROR(IF(ISBLANK(INDEX(Bay_PmOpen,MATCH(1,INDEX((tbl_Case_mins[[#This Row],[Bay]]=BayNo)*(tbl_Case_mins[[#This Row],[Surgery Start Date]]=BDate),0,1),0))*1440),0,INDEX(Bay_PmOpen,MATCH(1,INDEX((tbl_Case_mins[[#This Row],[Bay]]=BayNo)*(tbl_Case_mins[[#This Row],[Surgery Start Date]]=BDate),0,1),0))*1440),0)</f>
        <v>0</v>
      </c>
      <c r="CY1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 s="9"/>
    </row>
    <row r="18" spans="1:104" x14ac:dyDescent="0.2">
      <c r="A18">
        <v>17</v>
      </c>
      <c r="B18" t="e">
        <f>#REF!</f>
        <v>#REF!</v>
      </c>
      <c r="C18" t="e">
        <f>#REF!</f>
        <v>#REF!</v>
      </c>
      <c r="D18" t="e">
        <f>#REF!</f>
        <v>#REF!</v>
      </c>
      <c r="E18" t="e">
        <f>#REF!</f>
        <v>#REF!</v>
      </c>
      <c r="F18" t="e">
        <f>#REF!</f>
        <v>#REF!</v>
      </c>
      <c r="G18" t="e">
        <f>#REF!</f>
        <v>#REF!</v>
      </c>
      <c r="H18" t="e">
        <f>#REF!</f>
        <v>#REF!</v>
      </c>
      <c r="I18" t="e">
        <f>IF(#REF!="Case Cancelled",1,IF(#REF!="No Cases",2,0))</f>
        <v>#REF!</v>
      </c>
      <c r="J18" t="e">
        <f>#REF!</f>
        <v>#REF!</v>
      </c>
      <c r="K18" s="4" t="e">
        <f>#REF!</f>
        <v>#REF!</v>
      </c>
      <c r="L18" t="e">
        <f>"Wk "&amp;WEEKNUM(tbl_Case_mins[[#This Row],[Surgery Start Date]],21)</f>
        <v>#REF!</v>
      </c>
      <c r="M18" t="e">
        <f>TEXT(tbl_Case_mins[[#This Row],[Surgery Start Date]],"ddd")</f>
        <v>#REF!</v>
      </c>
      <c r="N18" s="9" t="e">
        <f>(#REF!-TIME(0,0,0))*1440</f>
        <v>#REF!</v>
      </c>
      <c r="O18" t="e">
        <f>IF(AND(ROUND((#REF!-TIME(0,0,0))*1440,0)&gt;0,ROUND((#REF!-TIME(0,0,0))*1440,0)&lt;tbl_Case_mins[[#This Row],[Patient Called]],tbl_Case_mins[[#This Row],[Surgery End Date]]&gt;tbl_Case_mins[[#This Row],[Surgery Start Date]]),ROUND((#REF!-TIME(0,0,0))*1440,0)+1440,ROUND((#REF!-TIME(0,0,0))*1440,0))</f>
        <v>#REF!</v>
      </c>
      <c r="P18" s="9" t="e">
        <f>IF(AND(ROUND((#REF!-TIME(0,0,0))*1440,0)&gt;0,ROUND((#REF!-TIME(0,0,0))*1440,0)&lt;tbl_Case_mins[[#This Row],[Arrival]],tbl_Case_mins[[#This Row],[Surgery End Date]]&gt;tbl_Case_mins[[#This Row],[Surgery Start Date]]),ROUND((#REF!-TIME(0,0,0))*1440,0)+1440,ROUND((#REF!-TIME(0,0,0))*1440,0))</f>
        <v>#REF!</v>
      </c>
      <c r="Q18" s="9" t="e">
        <f>IF(AND(ROUND((#REF!-TIME(0,0,0))*1440,0)&gt;0,ROUND((#REF!-TIME(0,0,0))*1440,0)&lt;tbl_Case_mins[[#This Row],[Into Th or AR]],tbl_Case_mins[[#This Row],[Surgery End Date]]&gt;tbl_Case_mins[[#This Row],[Surgery Start Date]]),ROUND((#REF!-TIME(0,0,0))*1440,0)+1440,ROUND((#REF!-TIME(0,0,0))*1440,0))</f>
        <v>#REF!</v>
      </c>
      <c r="R18" s="9" t="e">
        <f>IF(AND(ROUND((#REF!-TIME(0,0,0))*1440,0)&gt;0,ROUND((#REF!-TIME(0,0,0))*1440,0)&lt;tbl_Case_mins[[#This Row],[AnaesthStart]],tbl_Case_mins[[#This Row],[Surgery End Date]]&gt;tbl_Case_mins[[#This Row],[Surgery Start Date]]),ROUND((#REF!-TIME(0,0,0))*1440,0)+1440,ROUND((#REF!-TIME(0,0,0))*1440,0))</f>
        <v>#REF!</v>
      </c>
      <c r="S18" s="9" t="e">
        <f>IF(AND(ROUND((#REF!-TIME(0,0,0))*1440,0),ROUND((#REF!-TIME(0,0,0))*1440,0)&lt;tbl_Case_mins[[#This Row],[Surgery Start]],tbl_Case_mins[[#This Row],[Surgery End Date]]&gt;tbl_Case_mins[[#This Row],[Surgery Start Date]]),ROUND((#REF!-TIME(0,0,0))*1440,0)+1440,ROUND((#REF!-TIME(0,0,0))*1440,0))</f>
        <v>#REF!</v>
      </c>
      <c r="T18" s="9" t="e">
        <f>IF(AND(ROUND((#REF!-TIME(0,0,0))*1440,0)&gt;0,ROUND((#REF!-TIME(0,0,0))*1440,0)&lt;tbl_Case_mins[[#This Row],[Surgery Finish]],tbl_Case_mins[[#This Row],[Surgery End Date]]&gt;tbl_Case_mins[[#This Row],[Surgery Start Date]]),ROUND((#REF!-TIME(0,0,0))*1440,0)+1440,ROUND((#REF!-TIME(0,0,0))*1440,0))</f>
        <v>#REF!</v>
      </c>
      <c r="U18" s="9" t="e">
        <f>IF(AND(ROUND((#REF!-TIME(0,0,0))*1440,0)&gt;0,ROUND((#REF!-TIME(0,0,0))*1440,0)&lt;tbl_Case_mins[[#This Row],[Anaesth End]],tbl_Case_mins[[#This Row],[Surgery End Date]]&gt;tbl_Case_mins[[#This Row],[Surgery Start Date]]),ROUND((#REF!-TIME(0,0,0))*1440,0)+1440,ROUND((#REF!-TIME(0,0,0))*1440,0))</f>
        <v>#REF!</v>
      </c>
      <c r="V18" s="9" t="e">
        <f>IF(AND(ROUND((#REF!-TIME(0,0,0))*1440,0)&gt;0,ROUND((#REF!-TIME(0,0,0))*1440,0)&lt;tbl_Case_mins[[#This Row],[Into Recov]],tbl_Case_mins[[#This Row],[Surgery End Date]]&gt;tbl_Case_mins[[#This Row],[Surgery Start Date]]),ROUND((#REF!-TIME(0,0,0))*1440,0)+1440,ROUND((#REF!-TIME(0,0,0))*1440,0))</f>
        <v>#REF!</v>
      </c>
      <c r="W18" s="9" t="e">
        <f>IF(AND(ROUND((#REF!-TIME(0,0,0))*1440,0)&gt;0,ROUND((#REF!-TIME(0,0,0))*1440,0)&lt;tbl_Case_mins[[#This Row],[Ward Called]],tbl_Case_mins[[#This Row],[Surgery End Date]]&gt;tbl_Case_mins[[#This Row],[Surgery Start Date]]),ROUND((#REF!-TIME(0,0,0))*1440,0)+1440,ROUND((#REF!-TIME(0,0,0))*1440,0))</f>
        <v>#REF!</v>
      </c>
      <c r="X18" s="4" t="e">
        <f>IF(ISBLANK(#REF!),tbl_Case_mins[[#This Row],[Surgery Start Date]],#REF!)</f>
        <v>#REF!</v>
      </c>
      <c r="Y18">
        <f>IFERROR(IF(VLOOKUP(tbl_Case_mins[[#This Row],[Theatre]],'Mng Theatres'!$C$7:$G$12,3,FALSE)="Yes","Yes","No"),0)</f>
        <v>0</v>
      </c>
      <c r="Z18" s="9" t="e" cm="1">
        <f t="array" ref="Z1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 s="9" t="e" cm="1">
        <f t="array" ref="AA1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 s="9" t="e">
        <f>IF(tbl_Case_mins[[#This Row],[Case Type]]="Unsch",1,0)</f>
        <v>#REF!</v>
      </c>
      <c r="AD18" s="9" t="e">
        <f>IF(tbl_Case_mins[[#This Row],[Case Type]]="Sch",1,0)</f>
        <v>#REF!</v>
      </c>
      <c r="AE1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 s="9">
        <f>IFERROR(IF(ISBLANK(INDEX(Am_Close,MATCH(1,INDEX((tbl_Case_mins[[#This Row],[Theatre]]=Theatre_No)*(tbl_Case_mins[[#This Row],[Surgery Start Date]]=Date),0,1),0))*1440),0,INDEX(Am_Close,MATCH(1,INDEX((tbl_Case_mins[[#This Row],[Theatre]]=Theatre_No)*(tbl_Case_mins[[#This Row],[Surgery Start Date]]=Date),0,1),0))*1440),0)</f>
        <v>0</v>
      </c>
      <c r="AG18" s="9">
        <f>IFERROR(IF(ISBLANK(INDEX(PM_Open,MATCH(1,INDEX((tbl_Case_mins[[#This Row],[Theatre]]=Theatre_No)*(tbl_Case_mins[[#This Row],[Surgery Start Date]]=Date),0,1),0))*1440),0,INDEX(PM_Open,MATCH(1,INDEX((tbl_Case_mins[[#This Row],[Theatre]]=Theatre_No)*(tbl_Case_mins[[#This Row],[Surgery Start Date]]=Date),0,1),0))*1440),0)</f>
        <v>0</v>
      </c>
      <c r="AH1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 s="9" t="e">
        <f>IF(tbl_Case_mins[[#This Row],[ThOpenAm]]=0,tbl_Case_mins[[#This Row],[ThOpenPM]],tbl_Case_mins[[#This Row],[ThOpenAm]])</f>
        <v>#REF!</v>
      </c>
      <c r="AJ18" s="9" t="e">
        <f>IF(tbl_Case_mins[[#This Row],[ThCloseAm]]&gt;0,IF(tbl_Case_mins[[#This Row],[ThOpenPM]]&gt;0,tbl_Case_mins[[#This Row],[ThClosePm]],tbl_Case_mins[[#This Row],[ThCloseAm]]),tbl_Case_mins[[#This Row],[ThClosePm]])</f>
        <v>#REF!</v>
      </c>
      <c r="AK18" s="9" t="e">
        <f>IF(tbl_Case_mins[[#This Row],[TOT]]&gt;0,1,0)</f>
        <v>#REF!</v>
      </c>
      <c r="AL1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 s="9" t="e">
        <f>IF(AND(tbl_Case_mins[[#This Row],[Surgery Status]]&lt;&gt;2,tbl_Case_mins[[#This Row],[InCoreCase]]=0,tbl_Case_mins[[#This Row],[CancelledCase]]=0),1,0)</f>
        <v>#REF!</v>
      </c>
      <c r="AN18" s="9" t="e">
        <f>IF(tbl_Case_mins[[#This Row],[Surgery Status]]=1,1,0)</f>
        <v>#REF!</v>
      </c>
      <c r="AO1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 s="9" t="e">
        <f>IF(AND(tbl_Case_mins[[#This Row],[NonCoreCase]]=1,tbl_Case_mins[[#This Row],[NoInCoreTime]]=0),1,0)</f>
        <v>#REF!</v>
      </c>
      <c r="AQ18" s="9" t="e">
        <f>IF(tbl_Case_mins[[#This Row],[Rank_AnaEnd]]&lt;tbl_Case_mins[[#This Row],[Rank_AnaSt]],1,0)</f>
        <v>#REF!</v>
      </c>
      <c r="AR18" s="9" t="e">
        <f>IF(AND(tbl_Case_mins[[#This Row],[InCoreCase]]=1,tbl_Case_mins[[#This Row],[Sch]]=1),1,0)</f>
        <v>#REF!</v>
      </c>
      <c r="AS18" s="9" t="e">
        <f>IF(AND(tbl_Case_mins[[#This Row],[InCoreCase]]=1,tbl_Case_mins[[#This Row],[Unsch]]=1),1,0)</f>
        <v>#REF!</v>
      </c>
      <c r="AT1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 s="9" t="e">
        <f>IF(tbl_Case_mins[[#This Row],[Surgery Status]]=0,(tbl_Case_mins[[#This Row],[Anaesth End]]-tbl_Case_mins[[#This Row],[AnaesthStart]]),0)</f>
        <v>#REF!</v>
      </c>
      <c r="AX18" s="9" t="e">
        <f>IF(tbl_Case_mins[[#This Row],[Surgery Status]]=0,(tbl_Case_mins[[#This Row],[Surgery Finish]]-tbl_Case_mins[[#This Row],[Surgery Start]]),0)</f>
        <v>#REF!</v>
      </c>
      <c r="AY18" s="9" t="e">
        <f>tbl_Case_mins[[#This Row],[Surgery Start]]-tbl_Case_mins[[#This Row],[AnaesthStart]]</f>
        <v>#REF!</v>
      </c>
      <c r="AZ18" s="9" t="e">
        <f>tbl_Case_mins[[#This Row],[Anaesth End]]-tbl_Case_mins[[#This Row],[Surgery Finish]]</f>
        <v>#REF!</v>
      </c>
      <c r="BA1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 s="16" cm="1">
        <f t="array" ref="BC1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 s="16" t="e">
        <f>IF(AND(tbl_Case_mins[[#This Row],[FirstAMCase]]=1,tbl_Case_mins[[#This Row],[CancelledCase]]=0,OR(tbl_Case_mins[[#This Row],[EarlyStartAM]]&gt;0,tbl_Case_mins[[#This Row],[AnaesthStart]]=tbl_Case_mins[[#This Row],[ThOpenAm]])),1,0)</f>
        <v>#REF!</v>
      </c>
      <c r="BE18" s="16" t="e">
        <f>IF(AND(tbl_Case_mins[[#This Row],[Rank_AnaSt]]=tbl_Case_mins[[#This Row],[Min_RankAnaSt]],tbl_Case_mins[[#This Row],[Anaesth End]]&gt;=tbl_Case_mins[[#This Row],[ThOpenAm]],tbl_Case_mins[[#This Row],[PmCase]]=0),1,0)</f>
        <v>#REF!</v>
      </c>
      <c r="BF1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 s="9" t="e" cm="1">
        <f t="array" ref="BH1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 s="9" t="e">
        <f>IF(AND(tbl_Case_mins[[#This Row],[ThOpenPM]]&gt;0,tbl_Case_mins[[#This Row],[AnaesthStart]]&gt;tbl_Case_mins[[#This Row],[ThOpenPM]],tbl_Case_mins[[#This Row],[First PM Case]]=1),tbl_Case_mins[[#This Row],[AnaesthStart]]-tbl_Case_mins[[#This Row],[ThOpenPM]],0)</f>
        <v>#REF!</v>
      </c>
      <c r="BL1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 s="9" t="e" cm="1">
        <f t="array" ref="BN1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 s="9" t="e">
        <f>IF(AND(tbl_Case_mins[[#This Row],[ThClosePm]]&gt;0,tbl_Case_mins[[#This Row],[Anaesth End]]&gt;tbl_Case_mins[[#This Row],[ThClosePm]],tbl_Case_mins[[#This Row],[AnaesthStart]]&gt;tbl_Case_mins[[#This Row],[ThClosePm]]),tbl_Case_mins[[#This Row],[Into Recov]]-tbl_Case_mins[[#This Row],[AnaesthStart]],0)</f>
        <v>#REF!</v>
      </c>
      <c r="BP18" s="9" t="e">
        <f>IF(AND(tbl_Case_mins[[#This Row],[AnaesthStart]]&lt;tbl_Case_mins[[#This Row],[ThClosePm]],tbl_Case_mins[[#This Row],[Anaesth End]]&gt;tbl_Case_mins[[#This Row],[ThClosePm]]),tbl_Case_mins[[#This Row],[Anaesth End]]-tbl_Case_mins[[#This Row],[ThClosePm]],0)</f>
        <v>#REF!</v>
      </c>
      <c r="BQ18" s="9" t="e" cm="1">
        <f t="array" ref="BQ1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 s="9" t="e" cm="1">
        <f t="array" ref="BR18">IF(tbl_Case_mins[[#This Row],[Rank_Adjust]]=SUMPRODUCT(-(tbl_Case_mins[Surgery Start Date]=tbl_Case_mins[[#This Row],[Surgery Start Date]]),-(tbl_Case_mins[Theatre]=tbl_Case_mins[[#This Row],[Theatre]])),INDEX(Poss_Time,MATCH(TEXT(tbl_Case_mins[[#This Row],[Surgery Start Date]],"ddd"),Day,0)),0)</f>
        <v>#REF!</v>
      </c>
      <c r="BS18" s="9" t="e">
        <f>tbl_Case_mins[[#This Row],[Core_Time]]*Util_Goal</f>
        <v>#REF!</v>
      </c>
      <c r="BT18" s="9" t="e" cm="1">
        <f t="array" ref="BT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 s="9" t="e" cm="1">
        <f t="array" ref="BU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 s="9" t="e">
        <f>IF(tbl_Case_mins[[#This Row],[Surgery End Date]]&gt;tbl_Case_mins[[#This Row],[Surgery Start Date]],tbl_Case_mins[[#This Row],[Anaesth End]]-1440,0)</f>
        <v>#REF!</v>
      </c>
      <c r="BY18" s="9" t="e">
        <f>tbl_Case_mins[[#This Row],[Total_NonCore]]-tbl_Case_mins[[#This Row],[NextDay_NonCore]]</f>
        <v>#REF!</v>
      </c>
      <c r="BZ18" s="10" t="e">
        <f>tbl_Case_mins[[#This Row],[InCoreUse]]/60</f>
        <v>#REF!</v>
      </c>
      <c r="CA18" s="10" t="e">
        <f>tbl_Case_mins[[#This Row],[Total_NonCore]]/60</f>
        <v>#REF!</v>
      </c>
      <c r="CB18" t="e" cm="1">
        <f t="array" ref="CB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 s="9" t="e" cm="1">
        <f t="array" ref="CC1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 s="9" t="e" cm="1">
        <f t="array" ref="CD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 s="9" t="e" cm="1">
        <f t="array" ref="CE1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 s="9" cm="1">
        <f t="array" ref="CF18">IFERROR(_xlfn.AGGREGATE(14,6,(tbl_Case_mins[Rank_AnaEnd])/((tbl_Case_mins[Surgery Start Date]=tbl_Case_mins[[#This Row],[Surgery Start Date]])*(tbl_Case_mins[Theatre]=tbl_Case_mins[[#This Row],[Theatre]])*(tbl_Case_mins[NoInCoreTime]=0)),1),-1)</f>
        <v>-1</v>
      </c>
      <c r="CG18" s="9" cm="1">
        <f t="array" ref="CG18">IFERROR(_xlfn.AGGREGATE(15,6,(tbl_Case_mins[Rank_AnaSt])/((tbl_Case_mins[Surgery Start Date]=tbl_Case_mins[[#This Row],[Surgery Start Date]])*(tbl_Case_mins[Theatre]=tbl_Case_mins[[#This Row],[Theatre]])*(tbl_Case_mins[NoInCoreTime]=0)),1),-1)</f>
        <v>-1</v>
      </c>
      <c r="CH1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 t="e" cm="1">
        <f t="array" ref="CJ1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 s="9" cm="1">
        <f t="array" ref="CO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 s="9" cm="1">
        <f t="array" ref="CP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 s="9" cm="1">
        <f t="array" ref="CQ18">IFERROR(IF(AND(tbl_Case_mins[[#This Row],[FirstAMCase]]=0,tbl_Case_mins[[#This Row],[Rank]]=_xlfn.AGGREGATE(14,6,(tbl_Case_mins[Rank])/((tbl_Case_mins[Surgery Start Date]=tbl_Case_mins[[#This Row],[Surgery Start Date]])*(tbl_Case_mins[Theatre]=tbl_Case_mins[[#This Row],[Theatre]])*(tbl_Case_mins[AmCase]=1)),1)),1,0),0)</f>
        <v>0</v>
      </c>
      <c r="CR18" s="9" cm="1">
        <f t="array" ref="CR1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 s="9" t="e" cm="1">
        <f t="array" ref="CS1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 s="9" cm="1">
        <f t="array" ref="CT18">IFERROR(IF(tbl_Case_mins[[#This Row],[Rank]]=_xlfn.AGGREGATE(15,6,(tbl_Case_mins[Rank])/((tbl_Case_mins[Surgery Start Date]=tbl_Case_mins[[#This Row],[Surgery Start Date]])*(tbl_Case_mins[Theatre]=tbl_Case_mins[[#This Row],[Theatre]])*(tbl_Case_mins[PmCase]=1)),1),1,0),0)</f>
        <v>0</v>
      </c>
      <c r="CU18">
        <f>IFERROR(#REF!,0)</f>
        <v>0</v>
      </c>
      <c r="CV18" s="9" t="e" cm="1">
        <f t="array" ref="CV1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 s="9">
        <f>IFERROR(IF(ISBLANK(INDEX(Bay_AmClose,MATCH(1,INDEX((tbl_Case_mins[[#This Row],[Bay]]=BayNo)*(tbl_Case_mins[[#This Row],[Surgery Start Date]]=BDate),0,1),0))*1440),0,INDEX(Bay_AmClose,MATCH(1,INDEX((tbl_Case_mins[[#This Row],[Bay]]=BayNo)*(tbl_Case_mins[[#This Row],[Surgery Start Date]]=BDate),0,1),0))*1440),0)</f>
        <v>0</v>
      </c>
      <c r="CX18" s="9" cm="1">
        <f t="array" ref="CX18">IFERROR(IF(ISBLANK(INDEX(Bay_PmOpen,MATCH(1,INDEX((tbl_Case_mins[[#This Row],[Bay]]=BayNo)*(tbl_Case_mins[[#This Row],[Surgery Start Date]]=BDate),0,1),0))*1440),0,INDEX(Bay_PmOpen,MATCH(1,INDEX((tbl_Case_mins[[#This Row],[Bay]]=BayNo)*(tbl_Case_mins[[#This Row],[Surgery Start Date]]=BDate),0,1),0))*1440),0)</f>
        <v>0</v>
      </c>
      <c r="CY1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 s="9"/>
    </row>
    <row r="19" spans="1:104" x14ac:dyDescent="0.2">
      <c r="A19">
        <v>18</v>
      </c>
      <c r="B19" t="e">
        <f>#REF!</f>
        <v>#REF!</v>
      </c>
      <c r="C19" t="e">
        <f>#REF!</f>
        <v>#REF!</v>
      </c>
      <c r="D19" t="e">
        <f>#REF!</f>
        <v>#REF!</v>
      </c>
      <c r="E19" t="e">
        <f>#REF!</f>
        <v>#REF!</v>
      </c>
      <c r="F19" t="e">
        <f>#REF!</f>
        <v>#REF!</v>
      </c>
      <c r="G19" t="e">
        <f>#REF!</f>
        <v>#REF!</v>
      </c>
      <c r="H19" t="e">
        <f>#REF!</f>
        <v>#REF!</v>
      </c>
      <c r="I19" t="e">
        <f>IF(#REF!="Case Cancelled",1,IF(#REF!="No Cases",2,0))</f>
        <v>#REF!</v>
      </c>
      <c r="J19" t="e">
        <f>#REF!</f>
        <v>#REF!</v>
      </c>
      <c r="K19" s="4" t="e">
        <f>#REF!</f>
        <v>#REF!</v>
      </c>
      <c r="L19" t="e">
        <f>"Wk "&amp;WEEKNUM(tbl_Case_mins[[#This Row],[Surgery Start Date]],21)</f>
        <v>#REF!</v>
      </c>
      <c r="M19" t="e">
        <f>TEXT(tbl_Case_mins[[#This Row],[Surgery Start Date]],"ddd")</f>
        <v>#REF!</v>
      </c>
      <c r="N19" s="9" t="e">
        <f>(#REF!-TIME(0,0,0))*1440</f>
        <v>#REF!</v>
      </c>
      <c r="O19" t="e">
        <f>IF(AND(ROUND((#REF!-TIME(0,0,0))*1440,0)&gt;0,ROUND((#REF!-TIME(0,0,0))*1440,0)&lt;tbl_Case_mins[[#This Row],[Patient Called]],tbl_Case_mins[[#This Row],[Surgery End Date]]&gt;tbl_Case_mins[[#This Row],[Surgery Start Date]]),ROUND((#REF!-TIME(0,0,0))*1440,0)+1440,ROUND((#REF!-TIME(0,0,0))*1440,0))</f>
        <v>#REF!</v>
      </c>
      <c r="P19" s="9" t="e">
        <f>IF(AND(ROUND((#REF!-TIME(0,0,0))*1440,0)&gt;0,ROUND((#REF!-TIME(0,0,0))*1440,0)&lt;tbl_Case_mins[[#This Row],[Arrival]],tbl_Case_mins[[#This Row],[Surgery End Date]]&gt;tbl_Case_mins[[#This Row],[Surgery Start Date]]),ROUND((#REF!-TIME(0,0,0))*1440,0)+1440,ROUND((#REF!-TIME(0,0,0))*1440,0))</f>
        <v>#REF!</v>
      </c>
      <c r="Q19" s="9" t="e">
        <f>IF(AND(ROUND((#REF!-TIME(0,0,0))*1440,0)&gt;0,ROUND((#REF!-TIME(0,0,0))*1440,0)&lt;tbl_Case_mins[[#This Row],[Into Th or AR]],tbl_Case_mins[[#This Row],[Surgery End Date]]&gt;tbl_Case_mins[[#This Row],[Surgery Start Date]]),ROUND((#REF!-TIME(0,0,0))*1440,0)+1440,ROUND((#REF!-TIME(0,0,0))*1440,0))</f>
        <v>#REF!</v>
      </c>
      <c r="R19" s="9" t="e">
        <f>IF(AND(ROUND((#REF!-TIME(0,0,0))*1440,0)&gt;0,ROUND((#REF!-TIME(0,0,0))*1440,0)&lt;tbl_Case_mins[[#This Row],[AnaesthStart]],tbl_Case_mins[[#This Row],[Surgery End Date]]&gt;tbl_Case_mins[[#This Row],[Surgery Start Date]]),ROUND((#REF!-TIME(0,0,0))*1440,0)+1440,ROUND((#REF!-TIME(0,0,0))*1440,0))</f>
        <v>#REF!</v>
      </c>
      <c r="S19" s="9" t="e">
        <f>IF(AND(ROUND((#REF!-TIME(0,0,0))*1440,0),ROUND((#REF!-TIME(0,0,0))*1440,0)&lt;tbl_Case_mins[[#This Row],[Surgery Start]],tbl_Case_mins[[#This Row],[Surgery End Date]]&gt;tbl_Case_mins[[#This Row],[Surgery Start Date]]),ROUND((#REF!-TIME(0,0,0))*1440,0)+1440,ROUND((#REF!-TIME(0,0,0))*1440,0))</f>
        <v>#REF!</v>
      </c>
      <c r="T19" s="9" t="e">
        <f>IF(AND(ROUND((#REF!-TIME(0,0,0))*1440,0)&gt;0,ROUND((#REF!-TIME(0,0,0))*1440,0)&lt;tbl_Case_mins[[#This Row],[Surgery Finish]],tbl_Case_mins[[#This Row],[Surgery End Date]]&gt;tbl_Case_mins[[#This Row],[Surgery Start Date]]),ROUND((#REF!-TIME(0,0,0))*1440,0)+1440,ROUND((#REF!-TIME(0,0,0))*1440,0))</f>
        <v>#REF!</v>
      </c>
      <c r="U19" s="9" t="e">
        <f>IF(AND(ROUND((#REF!-TIME(0,0,0))*1440,0)&gt;0,ROUND((#REF!-TIME(0,0,0))*1440,0)&lt;tbl_Case_mins[[#This Row],[Anaesth End]],tbl_Case_mins[[#This Row],[Surgery End Date]]&gt;tbl_Case_mins[[#This Row],[Surgery Start Date]]),ROUND((#REF!-TIME(0,0,0))*1440,0)+1440,ROUND((#REF!-TIME(0,0,0))*1440,0))</f>
        <v>#REF!</v>
      </c>
      <c r="V19" s="9" t="e">
        <f>IF(AND(ROUND((#REF!-TIME(0,0,0))*1440,0)&gt;0,ROUND((#REF!-TIME(0,0,0))*1440,0)&lt;tbl_Case_mins[[#This Row],[Into Recov]],tbl_Case_mins[[#This Row],[Surgery End Date]]&gt;tbl_Case_mins[[#This Row],[Surgery Start Date]]),ROUND((#REF!-TIME(0,0,0))*1440,0)+1440,ROUND((#REF!-TIME(0,0,0))*1440,0))</f>
        <v>#REF!</v>
      </c>
      <c r="W19" s="9" t="e">
        <f>IF(AND(ROUND((#REF!-TIME(0,0,0))*1440,0)&gt;0,ROUND((#REF!-TIME(0,0,0))*1440,0)&lt;tbl_Case_mins[[#This Row],[Ward Called]],tbl_Case_mins[[#This Row],[Surgery End Date]]&gt;tbl_Case_mins[[#This Row],[Surgery Start Date]]),ROUND((#REF!-TIME(0,0,0))*1440,0)+1440,ROUND((#REF!-TIME(0,0,0))*1440,0))</f>
        <v>#REF!</v>
      </c>
      <c r="X19" s="4" t="e">
        <f>IF(ISBLANK(#REF!),tbl_Case_mins[[#This Row],[Surgery Start Date]],#REF!)</f>
        <v>#REF!</v>
      </c>
      <c r="Y19">
        <f>IFERROR(IF(VLOOKUP(tbl_Case_mins[[#This Row],[Theatre]],'Mng Theatres'!$C$7:$G$12,3,FALSE)="Yes","Yes","No"),0)</f>
        <v>0</v>
      </c>
      <c r="Z19" s="9" t="e" cm="1">
        <f t="array" ref="Z1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 s="9" t="e" cm="1">
        <f t="array" ref="AA1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 s="9" t="e">
        <f>IF(tbl_Case_mins[[#This Row],[Case Type]]="Unsch",1,0)</f>
        <v>#REF!</v>
      </c>
      <c r="AD19" s="9" t="e">
        <f>IF(tbl_Case_mins[[#This Row],[Case Type]]="Sch",1,0)</f>
        <v>#REF!</v>
      </c>
      <c r="AE1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 s="9">
        <f>IFERROR(IF(ISBLANK(INDEX(Am_Close,MATCH(1,INDEX((tbl_Case_mins[[#This Row],[Theatre]]=Theatre_No)*(tbl_Case_mins[[#This Row],[Surgery Start Date]]=Date),0,1),0))*1440),0,INDEX(Am_Close,MATCH(1,INDEX((tbl_Case_mins[[#This Row],[Theatre]]=Theatre_No)*(tbl_Case_mins[[#This Row],[Surgery Start Date]]=Date),0,1),0))*1440),0)</f>
        <v>0</v>
      </c>
      <c r="AG19" s="9">
        <f>IFERROR(IF(ISBLANK(INDEX(PM_Open,MATCH(1,INDEX((tbl_Case_mins[[#This Row],[Theatre]]=Theatre_No)*(tbl_Case_mins[[#This Row],[Surgery Start Date]]=Date),0,1),0))*1440),0,INDEX(PM_Open,MATCH(1,INDEX((tbl_Case_mins[[#This Row],[Theatre]]=Theatre_No)*(tbl_Case_mins[[#This Row],[Surgery Start Date]]=Date),0,1),0))*1440),0)</f>
        <v>0</v>
      </c>
      <c r="AH1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 s="9" t="e">
        <f>IF(tbl_Case_mins[[#This Row],[ThOpenAm]]=0,tbl_Case_mins[[#This Row],[ThOpenPM]],tbl_Case_mins[[#This Row],[ThOpenAm]])</f>
        <v>#REF!</v>
      </c>
      <c r="AJ19" s="9" t="e">
        <f>IF(tbl_Case_mins[[#This Row],[ThCloseAm]]&gt;0,IF(tbl_Case_mins[[#This Row],[ThOpenPM]]&gt;0,tbl_Case_mins[[#This Row],[ThClosePm]],tbl_Case_mins[[#This Row],[ThCloseAm]]),tbl_Case_mins[[#This Row],[ThClosePm]])</f>
        <v>#REF!</v>
      </c>
      <c r="AK19" s="9" t="e">
        <f>IF(tbl_Case_mins[[#This Row],[TOT]]&gt;0,1,0)</f>
        <v>#REF!</v>
      </c>
      <c r="AL1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 s="9" t="e">
        <f>IF(AND(tbl_Case_mins[[#This Row],[Surgery Status]]&lt;&gt;2,tbl_Case_mins[[#This Row],[InCoreCase]]=0,tbl_Case_mins[[#This Row],[CancelledCase]]=0),1,0)</f>
        <v>#REF!</v>
      </c>
      <c r="AN19" s="9" t="e">
        <f>IF(tbl_Case_mins[[#This Row],[Surgery Status]]=1,1,0)</f>
        <v>#REF!</v>
      </c>
      <c r="AO1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 s="9" t="e">
        <f>IF(AND(tbl_Case_mins[[#This Row],[NonCoreCase]]=1,tbl_Case_mins[[#This Row],[NoInCoreTime]]=0),1,0)</f>
        <v>#REF!</v>
      </c>
      <c r="AQ19" s="9" t="e">
        <f>IF(tbl_Case_mins[[#This Row],[Rank_AnaEnd]]&lt;tbl_Case_mins[[#This Row],[Rank_AnaSt]],1,0)</f>
        <v>#REF!</v>
      </c>
      <c r="AR19" s="9" t="e">
        <f>IF(AND(tbl_Case_mins[[#This Row],[InCoreCase]]=1,tbl_Case_mins[[#This Row],[Sch]]=1),1,0)</f>
        <v>#REF!</v>
      </c>
      <c r="AS19" s="9" t="e">
        <f>IF(AND(tbl_Case_mins[[#This Row],[InCoreCase]]=1,tbl_Case_mins[[#This Row],[Unsch]]=1),1,0)</f>
        <v>#REF!</v>
      </c>
      <c r="AT1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 s="9" t="e">
        <f>IF(tbl_Case_mins[[#This Row],[Surgery Status]]=0,(tbl_Case_mins[[#This Row],[Anaesth End]]-tbl_Case_mins[[#This Row],[AnaesthStart]]),0)</f>
        <v>#REF!</v>
      </c>
      <c r="AX19" s="9" t="e">
        <f>IF(tbl_Case_mins[[#This Row],[Surgery Status]]=0,(tbl_Case_mins[[#This Row],[Surgery Finish]]-tbl_Case_mins[[#This Row],[Surgery Start]]),0)</f>
        <v>#REF!</v>
      </c>
      <c r="AY19" s="9" t="e">
        <f>tbl_Case_mins[[#This Row],[Surgery Start]]-tbl_Case_mins[[#This Row],[AnaesthStart]]</f>
        <v>#REF!</v>
      </c>
      <c r="AZ19" s="9" t="e">
        <f>tbl_Case_mins[[#This Row],[Anaesth End]]-tbl_Case_mins[[#This Row],[Surgery Finish]]</f>
        <v>#REF!</v>
      </c>
      <c r="BA1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 s="16" cm="1">
        <f t="array" ref="BC1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 s="16" t="e">
        <f>IF(AND(tbl_Case_mins[[#This Row],[FirstAMCase]]=1,tbl_Case_mins[[#This Row],[CancelledCase]]=0,OR(tbl_Case_mins[[#This Row],[EarlyStartAM]]&gt;0,tbl_Case_mins[[#This Row],[AnaesthStart]]=tbl_Case_mins[[#This Row],[ThOpenAm]])),1,0)</f>
        <v>#REF!</v>
      </c>
      <c r="BE19" s="16" t="e">
        <f>IF(AND(tbl_Case_mins[[#This Row],[Rank_AnaSt]]=tbl_Case_mins[[#This Row],[Min_RankAnaSt]],tbl_Case_mins[[#This Row],[Anaesth End]]&gt;=tbl_Case_mins[[#This Row],[ThOpenAm]],tbl_Case_mins[[#This Row],[PmCase]]=0),1,0)</f>
        <v>#REF!</v>
      </c>
      <c r="BF1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 s="9" t="e" cm="1">
        <f t="array" ref="BH1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 s="9" t="e">
        <f>IF(AND(tbl_Case_mins[[#This Row],[ThOpenPM]]&gt;0,tbl_Case_mins[[#This Row],[AnaesthStart]]&gt;tbl_Case_mins[[#This Row],[ThOpenPM]],tbl_Case_mins[[#This Row],[First PM Case]]=1),tbl_Case_mins[[#This Row],[AnaesthStart]]-tbl_Case_mins[[#This Row],[ThOpenPM]],0)</f>
        <v>#REF!</v>
      </c>
      <c r="BL1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 s="9" t="e" cm="1">
        <f t="array" ref="BN1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 s="9" t="e">
        <f>IF(AND(tbl_Case_mins[[#This Row],[ThClosePm]]&gt;0,tbl_Case_mins[[#This Row],[Anaesth End]]&gt;tbl_Case_mins[[#This Row],[ThClosePm]],tbl_Case_mins[[#This Row],[AnaesthStart]]&gt;tbl_Case_mins[[#This Row],[ThClosePm]]),tbl_Case_mins[[#This Row],[Into Recov]]-tbl_Case_mins[[#This Row],[AnaesthStart]],0)</f>
        <v>#REF!</v>
      </c>
      <c r="BP19" s="9" t="e">
        <f>IF(AND(tbl_Case_mins[[#This Row],[AnaesthStart]]&lt;tbl_Case_mins[[#This Row],[ThClosePm]],tbl_Case_mins[[#This Row],[Anaesth End]]&gt;tbl_Case_mins[[#This Row],[ThClosePm]]),tbl_Case_mins[[#This Row],[Anaesth End]]-tbl_Case_mins[[#This Row],[ThClosePm]],0)</f>
        <v>#REF!</v>
      </c>
      <c r="BQ19" s="9" t="e" cm="1">
        <f t="array" ref="BQ1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 s="9" t="e" cm="1">
        <f t="array" ref="BR19">IF(tbl_Case_mins[[#This Row],[Rank_Adjust]]=SUMPRODUCT(-(tbl_Case_mins[Surgery Start Date]=tbl_Case_mins[[#This Row],[Surgery Start Date]]),-(tbl_Case_mins[Theatre]=tbl_Case_mins[[#This Row],[Theatre]])),INDEX(Poss_Time,MATCH(TEXT(tbl_Case_mins[[#This Row],[Surgery Start Date]],"ddd"),Day,0)),0)</f>
        <v>#REF!</v>
      </c>
      <c r="BS19" s="9" t="e">
        <f>tbl_Case_mins[[#This Row],[Core_Time]]*Util_Goal</f>
        <v>#REF!</v>
      </c>
      <c r="BT19" s="9" t="e" cm="1">
        <f t="array" ref="BT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 s="9" t="e" cm="1">
        <f t="array" ref="BU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 s="9" t="e">
        <f>IF(tbl_Case_mins[[#This Row],[Surgery End Date]]&gt;tbl_Case_mins[[#This Row],[Surgery Start Date]],tbl_Case_mins[[#This Row],[Anaesth End]]-1440,0)</f>
        <v>#REF!</v>
      </c>
      <c r="BY19" s="9" t="e">
        <f>tbl_Case_mins[[#This Row],[Total_NonCore]]-tbl_Case_mins[[#This Row],[NextDay_NonCore]]</f>
        <v>#REF!</v>
      </c>
      <c r="BZ19" s="10" t="e">
        <f>tbl_Case_mins[[#This Row],[InCoreUse]]/60</f>
        <v>#REF!</v>
      </c>
      <c r="CA19" s="10" t="e">
        <f>tbl_Case_mins[[#This Row],[Total_NonCore]]/60</f>
        <v>#REF!</v>
      </c>
      <c r="CB19" t="e" cm="1">
        <f t="array" ref="CB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 s="9" t="e" cm="1">
        <f t="array" ref="CC1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 s="9" t="e" cm="1">
        <f t="array" ref="CD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 s="9" t="e" cm="1">
        <f t="array" ref="CE1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 s="9" cm="1">
        <f t="array" ref="CF19">IFERROR(_xlfn.AGGREGATE(14,6,(tbl_Case_mins[Rank_AnaEnd])/((tbl_Case_mins[Surgery Start Date]=tbl_Case_mins[[#This Row],[Surgery Start Date]])*(tbl_Case_mins[Theatre]=tbl_Case_mins[[#This Row],[Theatre]])*(tbl_Case_mins[NoInCoreTime]=0)),1),-1)</f>
        <v>-1</v>
      </c>
      <c r="CG19" s="9" cm="1">
        <f t="array" ref="CG19">IFERROR(_xlfn.AGGREGATE(15,6,(tbl_Case_mins[Rank_AnaSt])/((tbl_Case_mins[Surgery Start Date]=tbl_Case_mins[[#This Row],[Surgery Start Date]])*(tbl_Case_mins[Theatre]=tbl_Case_mins[[#This Row],[Theatre]])*(tbl_Case_mins[NoInCoreTime]=0)),1),-1)</f>
        <v>-1</v>
      </c>
      <c r="CH1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 t="e" cm="1">
        <f t="array" ref="CJ1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 s="9" cm="1">
        <f t="array" ref="CO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 s="9" cm="1">
        <f t="array" ref="CP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 s="9" cm="1">
        <f t="array" ref="CQ19">IFERROR(IF(AND(tbl_Case_mins[[#This Row],[FirstAMCase]]=0,tbl_Case_mins[[#This Row],[Rank]]=_xlfn.AGGREGATE(14,6,(tbl_Case_mins[Rank])/((tbl_Case_mins[Surgery Start Date]=tbl_Case_mins[[#This Row],[Surgery Start Date]])*(tbl_Case_mins[Theatre]=tbl_Case_mins[[#This Row],[Theatre]])*(tbl_Case_mins[AmCase]=1)),1)),1,0),0)</f>
        <v>0</v>
      </c>
      <c r="CR19" s="9" cm="1">
        <f t="array" ref="CR1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 s="9" t="e" cm="1">
        <f t="array" ref="CS1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 s="9" cm="1">
        <f t="array" ref="CT19">IFERROR(IF(tbl_Case_mins[[#This Row],[Rank]]=_xlfn.AGGREGATE(15,6,(tbl_Case_mins[Rank])/((tbl_Case_mins[Surgery Start Date]=tbl_Case_mins[[#This Row],[Surgery Start Date]])*(tbl_Case_mins[Theatre]=tbl_Case_mins[[#This Row],[Theatre]])*(tbl_Case_mins[PmCase]=1)),1),1,0),0)</f>
        <v>0</v>
      </c>
      <c r="CU19">
        <f>IFERROR(#REF!,0)</f>
        <v>0</v>
      </c>
      <c r="CV19" s="9" t="e" cm="1">
        <f t="array" ref="CV1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 s="9">
        <f>IFERROR(IF(ISBLANK(INDEX(Bay_AmClose,MATCH(1,INDEX((tbl_Case_mins[[#This Row],[Bay]]=BayNo)*(tbl_Case_mins[[#This Row],[Surgery Start Date]]=BDate),0,1),0))*1440),0,INDEX(Bay_AmClose,MATCH(1,INDEX((tbl_Case_mins[[#This Row],[Bay]]=BayNo)*(tbl_Case_mins[[#This Row],[Surgery Start Date]]=BDate),0,1),0))*1440),0)</f>
        <v>0</v>
      </c>
      <c r="CX19" s="9" cm="1">
        <f t="array" ref="CX19">IFERROR(IF(ISBLANK(INDEX(Bay_PmOpen,MATCH(1,INDEX((tbl_Case_mins[[#This Row],[Bay]]=BayNo)*(tbl_Case_mins[[#This Row],[Surgery Start Date]]=BDate),0,1),0))*1440),0,INDEX(Bay_PmOpen,MATCH(1,INDEX((tbl_Case_mins[[#This Row],[Bay]]=BayNo)*(tbl_Case_mins[[#This Row],[Surgery Start Date]]=BDate),0,1),0))*1440),0)</f>
        <v>0</v>
      </c>
      <c r="CY1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 s="9"/>
    </row>
    <row r="20" spans="1:104" x14ac:dyDescent="0.2">
      <c r="A20">
        <v>19</v>
      </c>
      <c r="B20" t="e">
        <f>#REF!</f>
        <v>#REF!</v>
      </c>
      <c r="C20" t="e">
        <f>#REF!</f>
        <v>#REF!</v>
      </c>
      <c r="D20" t="e">
        <f>#REF!</f>
        <v>#REF!</v>
      </c>
      <c r="E20" t="e">
        <f>#REF!</f>
        <v>#REF!</v>
      </c>
      <c r="F20" t="e">
        <f>#REF!</f>
        <v>#REF!</v>
      </c>
      <c r="G20" t="e">
        <f>#REF!</f>
        <v>#REF!</v>
      </c>
      <c r="H20" t="e">
        <f>#REF!</f>
        <v>#REF!</v>
      </c>
      <c r="I20" t="e">
        <f>IF(#REF!="Case Cancelled",1,IF(#REF!="No Cases",2,0))</f>
        <v>#REF!</v>
      </c>
      <c r="J20" t="e">
        <f>#REF!</f>
        <v>#REF!</v>
      </c>
      <c r="K20" s="4" t="e">
        <f>#REF!</f>
        <v>#REF!</v>
      </c>
      <c r="L20" t="e">
        <f>"Wk "&amp;WEEKNUM(tbl_Case_mins[[#This Row],[Surgery Start Date]],21)</f>
        <v>#REF!</v>
      </c>
      <c r="M20" t="e">
        <f>TEXT(tbl_Case_mins[[#This Row],[Surgery Start Date]],"ddd")</f>
        <v>#REF!</v>
      </c>
      <c r="N20" s="9" t="e">
        <f>(#REF!-TIME(0,0,0))*1440</f>
        <v>#REF!</v>
      </c>
      <c r="O20" t="e">
        <f>IF(AND(ROUND((#REF!-TIME(0,0,0))*1440,0)&gt;0,ROUND((#REF!-TIME(0,0,0))*1440,0)&lt;tbl_Case_mins[[#This Row],[Patient Called]],tbl_Case_mins[[#This Row],[Surgery End Date]]&gt;tbl_Case_mins[[#This Row],[Surgery Start Date]]),ROUND((#REF!-TIME(0,0,0))*1440,0)+1440,ROUND((#REF!-TIME(0,0,0))*1440,0))</f>
        <v>#REF!</v>
      </c>
      <c r="P20" s="9" t="e">
        <f>IF(AND(ROUND((#REF!-TIME(0,0,0))*1440,0)&gt;0,ROUND((#REF!-TIME(0,0,0))*1440,0)&lt;tbl_Case_mins[[#This Row],[Arrival]],tbl_Case_mins[[#This Row],[Surgery End Date]]&gt;tbl_Case_mins[[#This Row],[Surgery Start Date]]),ROUND((#REF!-TIME(0,0,0))*1440,0)+1440,ROUND((#REF!-TIME(0,0,0))*1440,0))</f>
        <v>#REF!</v>
      </c>
      <c r="Q20" s="9" t="e">
        <f>IF(AND(ROUND((#REF!-TIME(0,0,0))*1440,0)&gt;0,ROUND((#REF!-TIME(0,0,0))*1440,0)&lt;tbl_Case_mins[[#This Row],[Into Th or AR]],tbl_Case_mins[[#This Row],[Surgery End Date]]&gt;tbl_Case_mins[[#This Row],[Surgery Start Date]]),ROUND((#REF!-TIME(0,0,0))*1440,0)+1440,ROUND((#REF!-TIME(0,0,0))*1440,0))</f>
        <v>#REF!</v>
      </c>
      <c r="R20" s="9" t="e">
        <f>IF(AND(ROUND((#REF!-TIME(0,0,0))*1440,0)&gt;0,ROUND((#REF!-TIME(0,0,0))*1440,0)&lt;tbl_Case_mins[[#This Row],[AnaesthStart]],tbl_Case_mins[[#This Row],[Surgery End Date]]&gt;tbl_Case_mins[[#This Row],[Surgery Start Date]]),ROUND((#REF!-TIME(0,0,0))*1440,0)+1440,ROUND((#REF!-TIME(0,0,0))*1440,0))</f>
        <v>#REF!</v>
      </c>
      <c r="S20" s="9" t="e">
        <f>IF(AND(ROUND((#REF!-TIME(0,0,0))*1440,0),ROUND((#REF!-TIME(0,0,0))*1440,0)&lt;tbl_Case_mins[[#This Row],[Surgery Start]],tbl_Case_mins[[#This Row],[Surgery End Date]]&gt;tbl_Case_mins[[#This Row],[Surgery Start Date]]),ROUND((#REF!-TIME(0,0,0))*1440,0)+1440,ROUND((#REF!-TIME(0,0,0))*1440,0))</f>
        <v>#REF!</v>
      </c>
      <c r="T20" s="9" t="e">
        <f>IF(AND(ROUND((#REF!-TIME(0,0,0))*1440,0)&gt;0,ROUND((#REF!-TIME(0,0,0))*1440,0)&lt;tbl_Case_mins[[#This Row],[Surgery Finish]],tbl_Case_mins[[#This Row],[Surgery End Date]]&gt;tbl_Case_mins[[#This Row],[Surgery Start Date]]),ROUND((#REF!-TIME(0,0,0))*1440,0)+1440,ROUND((#REF!-TIME(0,0,0))*1440,0))</f>
        <v>#REF!</v>
      </c>
      <c r="U20" s="9" t="e">
        <f>IF(AND(ROUND((#REF!-TIME(0,0,0))*1440,0)&gt;0,ROUND((#REF!-TIME(0,0,0))*1440,0)&lt;tbl_Case_mins[[#This Row],[Anaesth End]],tbl_Case_mins[[#This Row],[Surgery End Date]]&gt;tbl_Case_mins[[#This Row],[Surgery Start Date]]),ROUND((#REF!-TIME(0,0,0))*1440,0)+1440,ROUND((#REF!-TIME(0,0,0))*1440,0))</f>
        <v>#REF!</v>
      </c>
      <c r="V20" s="9" t="e">
        <f>IF(AND(ROUND((#REF!-TIME(0,0,0))*1440,0)&gt;0,ROUND((#REF!-TIME(0,0,0))*1440,0)&lt;tbl_Case_mins[[#This Row],[Into Recov]],tbl_Case_mins[[#This Row],[Surgery End Date]]&gt;tbl_Case_mins[[#This Row],[Surgery Start Date]]),ROUND((#REF!-TIME(0,0,0))*1440,0)+1440,ROUND((#REF!-TIME(0,0,0))*1440,0))</f>
        <v>#REF!</v>
      </c>
      <c r="W20" s="9" t="e">
        <f>IF(AND(ROUND((#REF!-TIME(0,0,0))*1440,0)&gt;0,ROUND((#REF!-TIME(0,0,0))*1440,0)&lt;tbl_Case_mins[[#This Row],[Ward Called]],tbl_Case_mins[[#This Row],[Surgery End Date]]&gt;tbl_Case_mins[[#This Row],[Surgery Start Date]]),ROUND((#REF!-TIME(0,0,0))*1440,0)+1440,ROUND((#REF!-TIME(0,0,0))*1440,0))</f>
        <v>#REF!</v>
      </c>
      <c r="X20" s="4" t="e">
        <f>IF(ISBLANK(#REF!),tbl_Case_mins[[#This Row],[Surgery Start Date]],#REF!)</f>
        <v>#REF!</v>
      </c>
      <c r="Y20">
        <f>IFERROR(IF(VLOOKUP(tbl_Case_mins[[#This Row],[Theatre]],'Mng Theatres'!$C$7:$G$12,3,FALSE)="Yes","Yes","No"),0)</f>
        <v>0</v>
      </c>
      <c r="Z20" s="9" t="e" cm="1">
        <f t="array" ref="Z2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 s="9" t="e" cm="1">
        <f t="array" ref="AA2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 s="9" t="e">
        <f>IF(tbl_Case_mins[[#This Row],[Case Type]]="Unsch",1,0)</f>
        <v>#REF!</v>
      </c>
      <c r="AD20" s="9" t="e">
        <f>IF(tbl_Case_mins[[#This Row],[Case Type]]="Sch",1,0)</f>
        <v>#REF!</v>
      </c>
      <c r="AE2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 s="9">
        <f>IFERROR(IF(ISBLANK(INDEX(Am_Close,MATCH(1,INDEX((tbl_Case_mins[[#This Row],[Theatre]]=Theatre_No)*(tbl_Case_mins[[#This Row],[Surgery Start Date]]=Date),0,1),0))*1440),0,INDEX(Am_Close,MATCH(1,INDEX((tbl_Case_mins[[#This Row],[Theatre]]=Theatre_No)*(tbl_Case_mins[[#This Row],[Surgery Start Date]]=Date),0,1),0))*1440),0)</f>
        <v>0</v>
      </c>
      <c r="AG20" s="9">
        <f>IFERROR(IF(ISBLANK(INDEX(PM_Open,MATCH(1,INDEX((tbl_Case_mins[[#This Row],[Theatre]]=Theatre_No)*(tbl_Case_mins[[#This Row],[Surgery Start Date]]=Date),0,1),0))*1440),0,INDEX(PM_Open,MATCH(1,INDEX((tbl_Case_mins[[#This Row],[Theatre]]=Theatre_No)*(tbl_Case_mins[[#This Row],[Surgery Start Date]]=Date),0,1),0))*1440),0)</f>
        <v>0</v>
      </c>
      <c r="AH2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 s="9" t="e">
        <f>IF(tbl_Case_mins[[#This Row],[ThOpenAm]]=0,tbl_Case_mins[[#This Row],[ThOpenPM]],tbl_Case_mins[[#This Row],[ThOpenAm]])</f>
        <v>#REF!</v>
      </c>
      <c r="AJ20" s="9" t="e">
        <f>IF(tbl_Case_mins[[#This Row],[ThCloseAm]]&gt;0,IF(tbl_Case_mins[[#This Row],[ThOpenPM]]&gt;0,tbl_Case_mins[[#This Row],[ThClosePm]],tbl_Case_mins[[#This Row],[ThCloseAm]]),tbl_Case_mins[[#This Row],[ThClosePm]])</f>
        <v>#REF!</v>
      </c>
      <c r="AK20" s="9" t="e">
        <f>IF(tbl_Case_mins[[#This Row],[TOT]]&gt;0,1,0)</f>
        <v>#REF!</v>
      </c>
      <c r="AL2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 s="9" t="e">
        <f>IF(AND(tbl_Case_mins[[#This Row],[Surgery Status]]&lt;&gt;2,tbl_Case_mins[[#This Row],[InCoreCase]]=0,tbl_Case_mins[[#This Row],[CancelledCase]]=0),1,0)</f>
        <v>#REF!</v>
      </c>
      <c r="AN20" s="9" t="e">
        <f>IF(tbl_Case_mins[[#This Row],[Surgery Status]]=1,1,0)</f>
        <v>#REF!</v>
      </c>
      <c r="AO2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 s="9" t="e">
        <f>IF(AND(tbl_Case_mins[[#This Row],[NonCoreCase]]=1,tbl_Case_mins[[#This Row],[NoInCoreTime]]=0),1,0)</f>
        <v>#REF!</v>
      </c>
      <c r="AQ20" s="9" t="e">
        <f>IF(tbl_Case_mins[[#This Row],[Rank_AnaEnd]]&lt;tbl_Case_mins[[#This Row],[Rank_AnaSt]],1,0)</f>
        <v>#REF!</v>
      </c>
      <c r="AR20" s="9" t="e">
        <f>IF(AND(tbl_Case_mins[[#This Row],[InCoreCase]]=1,tbl_Case_mins[[#This Row],[Sch]]=1),1,0)</f>
        <v>#REF!</v>
      </c>
      <c r="AS20" s="9" t="e">
        <f>IF(AND(tbl_Case_mins[[#This Row],[InCoreCase]]=1,tbl_Case_mins[[#This Row],[Unsch]]=1),1,0)</f>
        <v>#REF!</v>
      </c>
      <c r="AT2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 s="9" t="e">
        <f>IF(tbl_Case_mins[[#This Row],[Surgery Status]]=0,(tbl_Case_mins[[#This Row],[Anaesth End]]-tbl_Case_mins[[#This Row],[AnaesthStart]]),0)</f>
        <v>#REF!</v>
      </c>
      <c r="AX20" s="9" t="e">
        <f>IF(tbl_Case_mins[[#This Row],[Surgery Status]]=0,(tbl_Case_mins[[#This Row],[Surgery Finish]]-tbl_Case_mins[[#This Row],[Surgery Start]]),0)</f>
        <v>#REF!</v>
      </c>
      <c r="AY20" s="9" t="e">
        <f>tbl_Case_mins[[#This Row],[Surgery Start]]-tbl_Case_mins[[#This Row],[AnaesthStart]]</f>
        <v>#REF!</v>
      </c>
      <c r="AZ20" s="9" t="e">
        <f>tbl_Case_mins[[#This Row],[Anaesth End]]-tbl_Case_mins[[#This Row],[Surgery Finish]]</f>
        <v>#REF!</v>
      </c>
      <c r="BA2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 s="16" cm="1">
        <f t="array" ref="BC2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 s="16" t="e">
        <f>IF(AND(tbl_Case_mins[[#This Row],[FirstAMCase]]=1,tbl_Case_mins[[#This Row],[CancelledCase]]=0,OR(tbl_Case_mins[[#This Row],[EarlyStartAM]]&gt;0,tbl_Case_mins[[#This Row],[AnaesthStart]]=tbl_Case_mins[[#This Row],[ThOpenAm]])),1,0)</f>
        <v>#REF!</v>
      </c>
      <c r="BE20" s="16" t="e">
        <f>IF(AND(tbl_Case_mins[[#This Row],[Rank_AnaSt]]=tbl_Case_mins[[#This Row],[Min_RankAnaSt]],tbl_Case_mins[[#This Row],[Anaesth End]]&gt;=tbl_Case_mins[[#This Row],[ThOpenAm]],tbl_Case_mins[[#This Row],[PmCase]]=0),1,0)</f>
        <v>#REF!</v>
      </c>
      <c r="BF2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 s="9" t="e" cm="1">
        <f t="array" ref="BH2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 s="9" t="e">
        <f>IF(AND(tbl_Case_mins[[#This Row],[ThOpenPM]]&gt;0,tbl_Case_mins[[#This Row],[AnaesthStart]]&gt;tbl_Case_mins[[#This Row],[ThOpenPM]],tbl_Case_mins[[#This Row],[First PM Case]]=1),tbl_Case_mins[[#This Row],[AnaesthStart]]-tbl_Case_mins[[#This Row],[ThOpenPM]],0)</f>
        <v>#REF!</v>
      </c>
      <c r="BL2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 s="9" t="e" cm="1">
        <f t="array" ref="BN2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 s="9" t="e">
        <f>IF(AND(tbl_Case_mins[[#This Row],[ThClosePm]]&gt;0,tbl_Case_mins[[#This Row],[Anaesth End]]&gt;tbl_Case_mins[[#This Row],[ThClosePm]],tbl_Case_mins[[#This Row],[AnaesthStart]]&gt;tbl_Case_mins[[#This Row],[ThClosePm]]),tbl_Case_mins[[#This Row],[Into Recov]]-tbl_Case_mins[[#This Row],[AnaesthStart]],0)</f>
        <v>#REF!</v>
      </c>
      <c r="BP20" s="9" t="e">
        <f>IF(AND(tbl_Case_mins[[#This Row],[AnaesthStart]]&lt;tbl_Case_mins[[#This Row],[ThClosePm]],tbl_Case_mins[[#This Row],[Anaesth End]]&gt;tbl_Case_mins[[#This Row],[ThClosePm]]),tbl_Case_mins[[#This Row],[Anaesth End]]-tbl_Case_mins[[#This Row],[ThClosePm]],0)</f>
        <v>#REF!</v>
      </c>
      <c r="BQ20" s="9" t="e" cm="1">
        <f t="array" ref="BQ2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 s="9" t="e" cm="1">
        <f t="array" ref="BR20">IF(tbl_Case_mins[[#This Row],[Rank_Adjust]]=SUMPRODUCT(-(tbl_Case_mins[Surgery Start Date]=tbl_Case_mins[[#This Row],[Surgery Start Date]]),-(tbl_Case_mins[Theatre]=tbl_Case_mins[[#This Row],[Theatre]])),INDEX(Poss_Time,MATCH(TEXT(tbl_Case_mins[[#This Row],[Surgery Start Date]],"ddd"),Day,0)),0)</f>
        <v>#REF!</v>
      </c>
      <c r="BS20" s="9" t="e">
        <f>tbl_Case_mins[[#This Row],[Core_Time]]*Util_Goal</f>
        <v>#REF!</v>
      </c>
      <c r="BT20" s="9" t="e" cm="1">
        <f t="array" ref="BT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 s="9" t="e" cm="1">
        <f t="array" ref="BU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 s="9" t="e">
        <f>IF(tbl_Case_mins[[#This Row],[Surgery End Date]]&gt;tbl_Case_mins[[#This Row],[Surgery Start Date]],tbl_Case_mins[[#This Row],[Anaesth End]]-1440,0)</f>
        <v>#REF!</v>
      </c>
      <c r="BY20" s="9" t="e">
        <f>tbl_Case_mins[[#This Row],[Total_NonCore]]-tbl_Case_mins[[#This Row],[NextDay_NonCore]]</f>
        <v>#REF!</v>
      </c>
      <c r="BZ20" s="10" t="e">
        <f>tbl_Case_mins[[#This Row],[InCoreUse]]/60</f>
        <v>#REF!</v>
      </c>
      <c r="CA20" s="10" t="e">
        <f>tbl_Case_mins[[#This Row],[Total_NonCore]]/60</f>
        <v>#REF!</v>
      </c>
      <c r="CB20" t="e" cm="1">
        <f t="array" ref="CB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 s="9" t="e" cm="1">
        <f t="array" ref="CC2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 s="9" t="e" cm="1">
        <f t="array" ref="CD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 s="9" t="e" cm="1">
        <f t="array" ref="CE2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 s="9" cm="1">
        <f t="array" ref="CF20">IFERROR(_xlfn.AGGREGATE(14,6,(tbl_Case_mins[Rank_AnaEnd])/((tbl_Case_mins[Surgery Start Date]=tbl_Case_mins[[#This Row],[Surgery Start Date]])*(tbl_Case_mins[Theatre]=tbl_Case_mins[[#This Row],[Theatre]])*(tbl_Case_mins[NoInCoreTime]=0)),1),-1)</f>
        <v>-1</v>
      </c>
      <c r="CG20" s="9" cm="1">
        <f t="array" ref="CG20">IFERROR(_xlfn.AGGREGATE(15,6,(tbl_Case_mins[Rank_AnaSt])/((tbl_Case_mins[Surgery Start Date]=tbl_Case_mins[[#This Row],[Surgery Start Date]])*(tbl_Case_mins[Theatre]=tbl_Case_mins[[#This Row],[Theatre]])*(tbl_Case_mins[NoInCoreTime]=0)),1),-1)</f>
        <v>-1</v>
      </c>
      <c r="CH2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 t="e" cm="1">
        <f t="array" ref="CJ2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 s="9" cm="1">
        <f t="array" ref="CO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 s="9" cm="1">
        <f t="array" ref="CP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 s="9" cm="1">
        <f t="array" ref="CQ20">IFERROR(IF(AND(tbl_Case_mins[[#This Row],[FirstAMCase]]=0,tbl_Case_mins[[#This Row],[Rank]]=_xlfn.AGGREGATE(14,6,(tbl_Case_mins[Rank])/((tbl_Case_mins[Surgery Start Date]=tbl_Case_mins[[#This Row],[Surgery Start Date]])*(tbl_Case_mins[Theatre]=tbl_Case_mins[[#This Row],[Theatre]])*(tbl_Case_mins[AmCase]=1)),1)),1,0),0)</f>
        <v>0</v>
      </c>
      <c r="CR20" s="9" cm="1">
        <f t="array" ref="CR2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 s="9" t="e" cm="1">
        <f t="array" ref="CS2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 s="9" cm="1">
        <f t="array" ref="CT20">IFERROR(IF(tbl_Case_mins[[#This Row],[Rank]]=_xlfn.AGGREGATE(15,6,(tbl_Case_mins[Rank])/((tbl_Case_mins[Surgery Start Date]=tbl_Case_mins[[#This Row],[Surgery Start Date]])*(tbl_Case_mins[Theatre]=tbl_Case_mins[[#This Row],[Theatre]])*(tbl_Case_mins[PmCase]=1)),1),1,0),0)</f>
        <v>0</v>
      </c>
      <c r="CU20">
        <f>IFERROR(#REF!,0)</f>
        <v>0</v>
      </c>
      <c r="CV20" s="9" t="e" cm="1">
        <f t="array" ref="CV2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 s="9">
        <f>IFERROR(IF(ISBLANK(INDEX(Bay_AmClose,MATCH(1,INDEX((tbl_Case_mins[[#This Row],[Bay]]=BayNo)*(tbl_Case_mins[[#This Row],[Surgery Start Date]]=BDate),0,1),0))*1440),0,INDEX(Bay_AmClose,MATCH(1,INDEX((tbl_Case_mins[[#This Row],[Bay]]=BayNo)*(tbl_Case_mins[[#This Row],[Surgery Start Date]]=BDate),0,1),0))*1440),0)</f>
        <v>0</v>
      </c>
      <c r="CX20" s="9" cm="1">
        <f t="array" ref="CX20">IFERROR(IF(ISBLANK(INDEX(Bay_PmOpen,MATCH(1,INDEX((tbl_Case_mins[[#This Row],[Bay]]=BayNo)*(tbl_Case_mins[[#This Row],[Surgery Start Date]]=BDate),0,1),0))*1440),0,INDEX(Bay_PmOpen,MATCH(1,INDEX((tbl_Case_mins[[#This Row],[Bay]]=BayNo)*(tbl_Case_mins[[#This Row],[Surgery Start Date]]=BDate),0,1),0))*1440),0)</f>
        <v>0</v>
      </c>
      <c r="CY2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 s="9"/>
    </row>
    <row r="21" spans="1:104" x14ac:dyDescent="0.2">
      <c r="A21">
        <v>20</v>
      </c>
      <c r="B21" t="e">
        <f>#REF!</f>
        <v>#REF!</v>
      </c>
      <c r="C21" t="e">
        <f>#REF!</f>
        <v>#REF!</v>
      </c>
      <c r="D21" t="e">
        <f>#REF!</f>
        <v>#REF!</v>
      </c>
      <c r="E21" t="e">
        <f>#REF!</f>
        <v>#REF!</v>
      </c>
      <c r="F21" t="e">
        <f>#REF!</f>
        <v>#REF!</v>
      </c>
      <c r="G21" t="e">
        <f>#REF!</f>
        <v>#REF!</v>
      </c>
      <c r="H21" t="e">
        <f>#REF!</f>
        <v>#REF!</v>
      </c>
      <c r="I21" t="e">
        <f>IF(#REF!="Case Cancelled",1,IF(#REF!="No Cases",2,0))</f>
        <v>#REF!</v>
      </c>
      <c r="J21" t="e">
        <f>#REF!</f>
        <v>#REF!</v>
      </c>
      <c r="K21" s="4" t="e">
        <f>#REF!</f>
        <v>#REF!</v>
      </c>
      <c r="L21" t="e">
        <f>"Wk "&amp;WEEKNUM(tbl_Case_mins[[#This Row],[Surgery Start Date]],21)</f>
        <v>#REF!</v>
      </c>
      <c r="M21" t="e">
        <f>TEXT(tbl_Case_mins[[#This Row],[Surgery Start Date]],"ddd")</f>
        <v>#REF!</v>
      </c>
      <c r="N21" s="9" t="e">
        <f>(#REF!-TIME(0,0,0))*1440</f>
        <v>#REF!</v>
      </c>
      <c r="O21" t="e">
        <f>IF(AND(ROUND((#REF!-TIME(0,0,0))*1440,0)&gt;0,ROUND((#REF!-TIME(0,0,0))*1440,0)&lt;tbl_Case_mins[[#This Row],[Patient Called]],tbl_Case_mins[[#This Row],[Surgery End Date]]&gt;tbl_Case_mins[[#This Row],[Surgery Start Date]]),ROUND((#REF!-TIME(0,0,0))*1440,0)+1440,ROUND((#REF!-TIME(0,0,0))*1440,0))</f>
        <v>#REF!</v>
      </c>
      <c r="P21" s="9" t="e">
        <f>IF(AND(ROUND((#REF!-TIME(0,0,0))*1440,0)&gt;0,ROUND((#REF!-TIME(0,0,0))*1440,0)&lt;tbl_Case_mins[[#This Row],[Arrival]],tbl_Case_mins[[#This Row],[Surgery End Date]]&gt;tbl_Case_mins[[#This Row],[Surgery Start Date]]),ROUND((#REF!-TIME(0,0,0))*1440,0)+1440,ROUND((#REF!-TIME(0,0,0))*1440,0))</f>
        <v>#REF!</v>
      </c>
      <c r="Q21" s="9" t="e">
        <f>IF(AND(ROUND((#REF!-TIME(0,0,0))*1440,0)&gt;0,ROUND((#REF!-TIME(0,0,0))*1440,0)&lt;tbl_Case_mins[[#This Row],[Into Th or AR]],tbl_Case_mins[[#This Row],[Surgery End Date]]&gt;tbl_Case_mins[[#This Row],[Surgery Start Date]]),ROUND((#REF!-TIME(0,0,0))*1440,0)+1440,ROUND((#REF!-TIME(0,0,0))*1440,0))</f>
        <v>#REF!</v>
      </c>
      <c r="R21" s="9" t="e">
        <f>IF(AND(ROUND((#REF!-TIME(0,0,0))*1440,0)&gt;0,ROUND((#REF!-TIME(0,0,0))*1440,0)&lt;tbl_Case_mins[[#This Row],[AnaesthStart]],tbl_Case_mins[[#This Row],[Surgery End Date]]&gt;tbl_Case_mins[[#This Row],[Surgery Start Date]]),ROUND((#REF!-TIME(0,0,0))*1440,0)+1440,ROUND((#REF!-TIME(0,0,0))*1440,0))</f>
        <v>#REF!</v>
      </c>
      <c r="S21" s="9" t="e">
        <f>IF(AND(ROUND((#REF!-TIME(0,0,0))*1440,0),ROUND((#REF!-TIME(0,0,0))*1440,0)&lt;tbl_Case_mins[[#This Row],[Surgery Start]],tbl_Case_mins[[#This Row],[Surgery End Date]]&gt;tbl_Case_mins[[#This Row],[Surgery Start Date]]),ROUND((#REF!-TIME(0,0,0))*1440,0)+1440,ROUND((#REF!-TIME(0,0,0))*1440,0))</f>
        <v>#REF!</v>
      </c>
      <c r="T21" s="9" t="e">
        <f>IF(AND(ROUND((#REF!-TIME(0,0,0))*1440,0)&gt;0,ROUND((#REF!-TIME(0,0,0))*1440,0)&lt;tbl_Case_mins[[#This Row],[Surgery Finish]],tbl_Case_mins[[#This Row],[Surgery End Date]]&gt;tbl_Case_mins[[#This Row],[Surgery Start Date]]),ROUND((#REF!-TIME(0,0,0))*1440,0)+1440,ROUND((#REF!-TIME(0,0,0))*1440,0))</f>
        <v>#REF!</v>
      </c>
      <c r="U21" s="9" t="e">
        <f>IF(AND(ROUND((#REF!-TIME(0,0,0))*1440,0)&gt;0,ROUND((#REF!-TIME(0,0,0))*1440,0)&lt;tbl_Case_mins[[#This Row],[Anaesth End]],tbl_Case_mins[[#This Row],[Surgery End Date]]&gt;tbl_Case_mins[[#This Row],[Surgery Start Date]]),ROUND((#REF!-TIME(0,0,0))*1440,0)+1440,ROUND((#REF!-TIME(0,0,0))*1440,0))</f>
        <v>#REF!</v>
      </c>
      <c r="V21" s="9" t="e">
        <f>IF(AND(ROUND((#REF!-TIME(0,0,0))*1440,0)&gt;0,ROUND((#REF!-TIME(0,0,0))*1440,0)&lt;tbl_Case_mins[[#This Row],[Into Recov]],tbl_Case_mins[[#This Row],[Surgery End Date]]&gt;tbl_Case_mins[[#This Row],[Surgery Start Date]]),ROUND((#REF!-TIME(0,0,0))*1440,0)+1440,ROUND((#REF!-TIME(0,0,0))*1440,0))</f>
        <v>#REF!</v>
      </c>
      <c r="W21" s="9" t="e">
        <f>IF(AND(ROUND((#REF!-TIME(0,0,0))*1440,0)&gt;0,ROUND((#REF!-TIME(0,0,0))*1440,0)&lt;tbl_Case_mins[[#This Row],[Ward Called]],tbl_Case_mins[[#This Row],[Surgery End Date]]&gt;tbl_Case_mins[[#This Row],[Surgery Start Date]]),ROUND((#REF!-TIME(0,0,0))*1440,0)+1440,ROUND((#REF!-TIME(0,0,0))*1440,0))</f>
        <v>#REF!</v>
      </c>
      <c r="X21" s="4" t="e">
        <f>IF(ISBLANK(#REF!),tbl_Case_mins[[#This Row],[Surgery Start Date]],#REF!)</f>
        <v>#REF!</v>
      </c>
      <c r="Y21">
        <f>IFERROR(IF(VLOOKUP(tbl_Case_mins[[#This Row],[Theatre]],'Mng Theatres'!$C$7:$G$12,3,FALSE)="Yes","Yes","No"),0)</f>
        <v>0</v>
      </c>
      <c r="Z21" s="9" t="e" cm="1">
        <f t="array" ref="Z2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 s="9" t="e" cm="1">
        <f t="array" ref="AA2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 s="9" t="e">
        <f>IF(tbl_Case_mins[[#This Row],[Case Type]]="Unsch",1,0)</f>
        <v>#REF!</v>
      </c>
      <c r="AD21" s="9" t="e">
        <f>IF(tbl_Case_mins[[#This Row],[Case Type]]="Sch",1,0)</f>
        <v>#REF!</v>
      </c>
      <c r="AE2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 s="9">
        <f>IFERROR(IF(ISBLANK(INDEX(Am_Close,MATCH(1,INDEX((tbl_Case_mins[[#This Row],[Theatre]]=Theatre_No)*(tbl_Case_mins[[#This Row],[Surgery Start Date]]=Date),0,1),0))*1440),0,INDEX(Am_Close,MATCH(1,INDEX((tbl_Case_mins[[#This Row],[Theatre]]=Theatre_No)*(tbl_Case_mins[[#This Row],[Surgery Start Date]]=Date),0,1),0))*1440),0)</f>
        <v>0</v>
      </c>
      <c r="AG21" s="9">
        <f>IFERROR(IF(ISBLANK(INDEX(PM_Open,MATCH(1,INDEX((tbl_Case_mins[[#This Row],[Theatre]]=Theatre_No)*(tbl_Case_mins[[#This Row],[Surgery Start Date]]=Date),0,1),0))*1440),0,INDEX(PM_Open,MATCH(1,INDEX((tbl_Case_mins[[#This Row],[Theatre]]=Theatre_No)*(tbl_Case_mins[[#This Row],[Surgery Start Date]]=Date),0,1),0))*1440),0)</f>
        <v>0</v>
      </c>
      <c r="AH2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 s="9" t="e">
        <f>IF(tbl_Case_mins[[#This Row],[ThOpenAm]]=0,tbl_Case_mins[[#This Row],[ThOpenPM]],tbl_Case_mins[[#This Row],[ThOpenAm]])</f>
        <v>#REF!</v>
      </c>
      <c r="AJ21" s="9" t="e">
        <f>IF(tbl_Case_mins[[#This Row],[ThCloseAm]]&gt;0,IF(tbl_Case_mins[[#This Row],[ThOpenPM]]&gt;0,tbl_Case_mins[[#This Row],[ThClosePm]],tbl_Case_mins[[#This Row],[ThCloseAm]]),tbl_Case_mins[[#This Row],[ThClosePm]])</f>
        <v>#REF!</v>
      </c>
      <c r="AK21" s="9" t="e">
        <f>IF(tbl_Case_mins[[#This Row],[TOT]]&gt;0,1,0)</f>
        <v>#REF!</v>
      </c>
      <c r="AL2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 s="9" t="e">
        <f>IF(AND(tbl_Case_mins[[#This Row],[Surgery Status]]&lt;&gt;2,tbl_Case_mins[[#This Row],[InCoreCase]]=0,tbl_Case_mins[[#This Row],[CancelledCase]]=0),1,0)</f>
        <v>#REF!</v>
      </c>
      <c r="AN21" s="9" t="e">
        <f>IF(tbl_Case_mins[[#This Row],[Surgery Status]]=1,1,0)</f>
        <v>#REF!</v>
      </c>
      <c r="AO2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 s="9" t="e">
        <f>IF(AND(tbl_Case_mins[[#This Row],[NonCoreCase]]=1,tbl_Case_mins[[#This Row],[NoInCoreTime]]=0),1,0)</f>
        <v>#REF!</v>
      </c>
      <c r="AQ21" s="9" t="e">
        <f>IF(tbl_Case_mins[[#This Row],[Rank_AnaEnd]]&lt;tbl_Case_mins[[#This Row],[Rank_AnaSt]],1,0)</f>
        <v>#REF!</v>
      </c>
      <c r="AR21" s="9" t="e">
        <f>IF(AND(tbl_Case_mins[[#This Row],[InCoreCase]]=1,tbl_Case_mins[[#This Row],[Sch]]=1),1,0)</f>
        <v>#REF!</v>
      </c>
      <c r="AS21" s="9" t="e">
        <f>IF(AND(tbl_Case_mins[[#This Row],[InCoreCase]]=1,tbl_Case_mins[[#This Row],[Unsch]]=1),1,0)</f>
        <v>#REF!</v>
      </c>
      <c r="AT2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 s="9" t="e">
        <f>IF(tbl_Case_mins[[#This Row],[Surgery Status]]=0,(tbl_Case_mins[[#This Row],[Anaesth End]]-tbl_Case_mins[[#This Row],[AnaesthStart]]),0)</f>
        <v>#REF!</v>
      </c>
      <c r="AX21" s="9" t="e">
        <f>IF(tbl_Case_mins[[#This Row],[Surgery Status]]=0,(tbl_Case_mins[[#This Row],[Surgery Finish]]-tbl_Case_mins[[#This Row],[Surgery Start]]),0)</f>
        <v>#REF!</v>
      </c>
      <c r="AY21" s="9" t="e">
        <f>tbl_Case_mins[[#This Row],[Surgery Start]]-tbl_Case_mins[[#This Row],[AnaesthStart]]</f>
        <v>#REF!</v>
      </c>
      <c r="AZ21" s="9" t="e">
        <f>tbl_Case_mins[[#This Row],[Anaesth End]]-tbl_Case_mins[[#This Row],[Surgery Finish]]</f>
        <v>#REF!</v>
      </c>
      <c r="BA2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 s="16" cm="1">
        <f t="array" ref="BC2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 s="16" t="e">
        <f>IF(AND(tbl_Case_mins[[#This Row],[FirstAMCase]]=1,tbl_Case_mins[[#This Row],[CancelledCase]]=0,OR(tbl_Case_mins[[#This Row],[EarlyStartAM]]&gt;0,tbl_Case_mins[[#This Row],[AnaesthStart]]=tbl_Case_mins[[#This Row],[ThOpenAm]])),1,0)</f>
        <v>#REF!</v>
      </c>
      <c r="BE21" s="16" t="e">
        <f>IF(AND(tbl_Case_mins[[#This Row],[Rank_AnaSt]]=tbl_Case_mins[[#This Row],[Min_RankAnaSt]],tbl_Case_mins[[#This Row],[Anaesth End]]&gt;=tbl_Case_mins[[#This Row],[ThOpenAm]],tbl_Case_mins[[#This Row],[PmCase]]=0),1,0)</f>
        <v>#REF!</v>
      </c>
      <c r="BF2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 s="9" t="e" cm="1">
        <f t="array" ref="BH2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 s="9" t="e">
        <f>IF(AND(tbl_Case_mins[[#This Row],[ThOpenPM]]&gt;0,tbl_Case_mins[[#This Row],[AnaesthStart]]&gt;tbl_Case_mins[[#This Row],[ThOpenPM]],tbl_Case_mins[[#This Row],[First PM Case]]=1),tbl_Case_mins[[#This Row],[AnaesthStart]]-tbl_Case_mins[[#This Row],[ThOpenPM]],0)</f>
        <v>#REF!</v>
      </c>
      <c r="BL2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 s="9" t="e" cm="1">
        <f t="array" ref="BN2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 s="9" t="e">
        <f>IF(AND(tbl_Case_mins[[#This Row],[ThClosePm]]&gt;0,tbl_Case_mins[[#This Row],[Anaesth End]]&gt;tbl_Case_mins[[#This Row],[ThClosePm]],tbl_Case_mins[[#This Row],[AnaesthStart]]&gt;tbl_Case_mins[[#This Row],[ThClosePm]]),tbl_Case_mins[[#This Row],[Into Recov]]-tbl_Case_mins[[#This Row],[AnaesthStart]],0)</f>
        <v>#REF!</v>
      </c>
      <c r="BP21" s="9" t="e">
        <f>IF(AND(tbl_Case_mins[[#This Row],[AnaesthStart]]&lt;tbl_Case_mins[[#This Row],[ThClosePm]],tbl_Case_mins[[#This Row],[Anaesth End]]&gt;tbl_Case_mins[[#This Row],[ThClosePm]]),tbl_Case_mins[[#This Row],[Anaesth End]]-tbl_Case_mins[[#This Row],[ThClosePm]],0)</f>
        <v>#REF!</v>
      </c>
      <c r="BQ21" s="9" t="e" cm="1">
        <f t="array" ref="BQ2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 s="9" t="e" cm="1">
        <f t="array" ref="BR21">IF(tbl_Case_mins[[#This Row],[Rank_Adjust]]=SUMPRODUCT(-(tbl_Case_mins[Surgery Start Date]=tbl_Case_mins[[#This Row],[Surgery Start Date]]),-(tbl_Case_mins[Theatre]=tbl_Case_mins[[#This Row],[Theatre]])),INDEX(Poss_Time,MATCH(TEXT(tbl_Case_mins[[#This Row],[Surgery Start Date]],"ddd"),Day,0)),0)</f>
        <v>#REF!</v>
      </c>
      <c r="BS21" s="9" t="e">
        <f>tbl_Case_mins[[#This Row],[Core_Time]]*Util_Goal</f>
        <v>#REF!</v>
      </c>
      <c r="BT21" s="9" t="e" cm="1">
        <f t="array" ref="BT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 s="9" t="e" cm="1">
        <f t="array" ref="BU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 s="9" t="e">
        <f>IF(tbl_Case_mins[[#This Row],[Surgery End Date]]&gt;tbl_Case_mins[[#This Row],[Surgery Start Date]],tbl_Case_mins[[#This Row],[Anaesth End]]-1440,0)</f>
        <v>#REF!</v>
      </c>
      <c r="BY21" s="9" t="e">
        <f>tbl_Case_mins[[#This Row],[Total_NonCore]]-tbl_Case_mins[[#This Row],[NextDay_NonCore]]</f>
        <v>#REF!</v>
      </c>
      <c r="BZ21" s="10" t="e">
        <f>tbl_Case_mins[[#This Row],[InCoreUse]]/60</f>
        <v>#REF!</v>
      </c>
      <c r="CA21" s="10" t="e">
        <f>tbl_Case_mins[[#This Row],[Total_NonCore]]/60</f>
        <v>#REF!</v>
      </c>
      <c r="CB21" t="e" cm="1">
        <f t="array" ref="CB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 s="9" t="e" cm="1">
        <f t="array" ref="CC2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 s="9" t="e" cm="1">
        <f t="array" ref="CD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 s="9" t="e" cm="1">
        <f t="array" ref="CE2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 s="9" cm="1">
        <f t="array" ref="CF21">IFERROR(_xlfn.AGGREGATE(14,6,(tbl_Case_mins[Rank_AnaEnd])/((tbl_Case_mins[Surgery Start Date]=tbl_Case_mins[[#This Row],[Surgery Start Date]])*(tbl_Case_mins[Theatre]=tbl_Case_mins[[#This Row],[Theatre]])*(tbl_Case_mins[NoInCoreTime]=0)),1),-1)</f>
        <v>-1</v>
      </c>
      <c r="CG21" s="9" cm="1">
        <f t="array" ref="CG21">IFERROR(_xlfn.AGGREGATE(15,6,(tbl_Case_mins[Rank_AnaSt])/((tbl_Case_mins[Surgery Start Date]=tbl_Case_mins[[#This Row],[Surgery Start Date]])*(tbl_Case_mins[Theatre]=tbl_Case_mins[[#This Row],[Theatre]])*(tbl_Case_mins[NoInCoreTime]=0)),1),-1)</f>
        <v>-1</v>
      </c>
      <c r="CH2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 t="e" cm="1">
        <f t="array" ref="CJ2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 s="9" cm="1">
        <f t="array" ref="CO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 s="9" cm="1">
        <f t="array" ref="CP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 s="9" cm="1">
        <f t="array" ref="CQ21">IFERROR(IF(AND(tbl_Case_mins[[#This Row],[FirstAMCase]]=0,tbl_Case_mins[[#This Row],[Rank]]=_xlfn.AGGREGATE(14,6,(tbl_Case_mins[Rank])/((tbl_Case_mins[Surgery Start Date]=tbl_Case_mins[[#This Row],[Surgery Start Date]])*(tbl_Case_mins[Theatre]=tbl_Case_mins[[#This Row],[Theatre]])*(tbl_Case_mins[AmCase]=1)),1)),1,0),0)</f>
        <v>0</v>
      </c>
      <c r="CR21" s="9" cm="1">
        <f t="array" ref="CR2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 s="9" t="e" cm="1">
        <f t="array" ref="CS2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 s="9" cm="1">
        <f t="array" ref="CT21">IFERROR(IF(tbl_Case_mins[[#This Row],[Rank]]=_xlfn.AGGREGATE(15,6,(tbl_Case_mins[Rank])/((tbl_Case_mins[Surgery Start Date]=tbl_Case_mins[[#This Row],[Surgery Start Date]])*(tbl_Case_mins[Theatre]=tbl_Case_mins[[#This Row],[Theatre]])*(tbl_Case_mins[PmCase]=1)),1),1,0),0)</f>
        <v>0</v>
      </c>
      <c r="CU21">
        <f>IFERROR(#REF!,0)</f>
        <v>0</v>
      </c>
      <c r="CV21" s="9" t="e" cm="1">
        <f t="array" ref="CV2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 s="9">
        <f>IFERROR(IF(ISBLANK(INDEX(Bay_AmClose,MATCH(1,INDEX((tbl_Case_mins[[#This Row],[Bay]]=BayNo)*(tbl_Case_mins[[#This Row],[Surgery Start Date]]=BDate),0,1),0))*1440),0,INDEX(Bay_AmClose,MATCH(1,INDEX((tbl_Case_mins[[#This Row],[Bay]]=BayNo)*(tbl_Case_mins[[#This Row],[Surgery Start Date]]=BDate),0,1),0))*1440),0)</f>
        <v>0</v>
      </c>
      <c r="CX21" s="9" cm="1">
        <f t="array" ref="CX21">IFERROR(IF(ISBLANK(INDEX(Bay_PmOpen,MATCH(1,INDEX((tbl_Case_mins[[#This Row],[Bay]]=BayNo)*(tbl_Case_mins[[#This Row],[Surgery Start Date]]=BDate),0,1),0))*1440),0,INDEX(Bay_PmOpen,MATCH(1,INDEX((tbl_Case_mins[[#This Row],[Bay]]=BayNo)*(tbl_Case_mins[[#This Row],[Surgery Start Date]]=BDate),0,1),0))*1440),0)</f>
        <v>0</v>
      </c>
      <c r="CY2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 s="9"/>
    </row>
    <row r="22" spans="1:104" x14ac:dyDescent="0.2">
      <c r="A22">
        <v>21</v>
      </c>
      <c r="B22" t="e">
        <f>#REF!</f>
        <v>#REF!</v>
      </c>
      <c r="C22" t="e">
        <f>#REF!</f>
        <v>#REF!</v>
      </c>
      <c r="D22" t="e">
        <f>#REF!</f>
        <v>#REF!</v>
      </c>
      <c r="E22" t="e">
        <f>#REF!</f>
        <v>#REF!</v>
      </c>
      <c r="F22" t="e">
        <f>#REF!</f>
        <v>#REF!</v>
      </c>
      <c r="G22" t="e">
        <f>#REF!</f>
        <v>#REF!</v>
      </c>
      <c r="H22" t="e">
        <f>#REF!</f>
        <v>#REF!</v>
      </c>
      <c r="I22" t="e">
        <f>IF(#REF!="Case Cancelled",1,IF(#REF!="No Cases",2,0))</f>
        <v>#REF!</v>
      </c>
      <c r="J22" t="e">
        <f>#REF!</f>
        <v>#REF!</v>
      </c>
      <c r="K22" s="4" t="e">
        <f>#REF!</f>
        <v>#REF!</v>
      </c>
      <c r="L22" t="e">
        <f>"Wk "&amp;WEEKNUM(tbl_Case_mins[[#This Row],[Surgery Start Date]],21)</f>
        <v>#REF!</v>
      </c>
      <c r="M22" t="e">
        <f>TEXT(tbl_Case_mins[[#This Row],[Surgery Start Date]],"ddd")</f>
        <v>#REF!</v>
      </c>
      <c r="N22" s="9" t="e">
        <f>(#REF!-TIME(0,0,0))*1440</f>
        <v>#REF!</v>
      </c>
      <c r="O22" t="e">
        <f>IF(AND(ROUND((#REF!-TIME(0,0,0))*1440,0)&gt;0,ROUND((#REF!-TIME(0,0,0))*1440,0)&lt;tbl_Case_mins[[#This Row],[Patient Called]],tbl_Case_mins[[#This Row],[Surgery End Date]]&gt;tbl_Case_mins[[#This Row],[Surgery Start Date]]),ROUND((#REF!-TIME(0,0,0))*1440,0)+1440,ROUND((#REF!-TIME(0,0,0))*1440,0))</f>
        <v>#REF!</v>
      </c>
      <c r="P22" s="9" t="e">
        <f>IF(AND(ROUND((#REF!-TIME(0,0,0))*1440,0)&gt;0,ROUND((#REF!-TIME(0,0,0))*1440,0)&lt;tbl_Case_mins[[#This Row],[Arrival]],tbl_Case_mins[[#This Row],[Surgery End Date]]&gt;tbl_Case_mins[[#This Row],[Surgery Start Date]]),ROUND((#REF!-TIME(0,0,0))*1440,0)+1440,ROUND((#REF!-TIME(0,0,0))*1440,0))</f>
        <v>#REF!</v>
      </c>
      <c r="Q22" s="9" t="e">
        <f>IF(AND(ROUND((#REF!-TIME(0,0,0))*1440,0)&gt;0,ROUND((#REF!-TIME(0,0,0))*1440,0)&lt;tbl_Case_mins[[#This Row],[Into Th or AR]],tbl_Case_mins[[#This Row],[Surgery End Date]]&gt;tbl_Case_mins[[#This Row],[Surgery Start Date]]),ROUND((#REF!-TIME(0,0,0))*1440,0)+1440,ROUND((#REF!-TIME(0,0,0))*1440,0))</f>
        <v>#REF!</v>
      </c>
      <c r="R22" s="9" t="e">
        <f>IF(AND(ROUND((#REF!-TIME(0,0,0))*1440,0)&gt;0,ROUND((#REF!-TIME(0,0,0))*1440,0)&lt;tbl_Case_mins[[#This Row],[AnaesthStart]],tbl_Case_mins[[#This Row],[Surgery End Date]]&gt;tbl_Case_mins[[#This Row],[Surgery Start Date]]),ROUND((#REF!-TIME(0,0,0))*1440,0)+1440,ROUND((#REF!-TIME(0,0,0))*1440,0))</f>
        <v>#REF!</v>
      </c>
      <c r="S22" s="9" t="e">
        <f>IF(AND(ROUND((#REF!-TIME(0,0,0))*1440,0),ROUND((#REF!-TIME(0,0,0))*1440,0)&lt;tbl_Case_mins[[#This Row],[Surgery Start]],tbl_Case_mins[[#This Row],[Surgery End Date]]&gt;tbl_Case_mins[[#This Row],[Surgery Start Date]]),ROUND((#REF!-TIME(0,0,0))*1440,0)+1440,ROUND((#REF!-TIME(0,0,0))*1440,0))</f>
        <v>#REF!</v>
      </c>
      <c r="T22" s="9" t="e">
        <f>IF(AND(ROUND((#REF!-TIME(0,0,0))*1440,0)&gt;0,ROUND((#REF!-TIME(0,0,0))*1440,0)&lt;tbl_Case_mins[[#This Row],[Surgery Finish]],tbl_Case_mins[[#This Row],[Surgery End Date]]&gt;tbl_Case_mins[[#This Row],[Surgery Start Date]]),ROUND((#REF!-TIME(0,0,0))*1440,0)+1440,ROUND((#REF!-TIME(0,0,0))*1440,0))</f>
        <v>#REF!</v>
      </c>
      <c r="U22" s="9" t="e">
        <f>IF(AND(ROUND((#REF!-TIME(0,0,0))*1440,0)&gt;0,ROUND((#REF!-TIME(0,0,0))*1440,0)&lt;tbl_Case_mins[[#This Row],[Anaesth End]],tbl_Case_mins[[#This Row],[Surgery End Date]]&gt;tbl_Case_mins[[#This Row],[Surgery Start Date]]),ROUND((#REF!-TIME(0,0,0))*1440,0)+1440,ROUND((#REF!-TIME(0,0,0))*1440,0))</f>
        <v>#REF!</v>
      </c>
      <c r="V22" s="9" t="e">
        <f>IF(AND(ROUND((#REF!-TIME(0,0,0))*1440,0)&gt;0,ROUND((#REF!-TIME(0,0,0))*1440,0)&lt;tbl_Case_mins[[#This Row],[Into Recov]],tbl_Case_mins[[#This Row],[Surgery End Date]]&gt;tbl_Case_mins[[#This Row],[Surgery Start Date]]),ROUND((#REF!-TIME(0,0,0))*1440,0)+1440,ROUND((#REF!-TIME(0,0,0))*1440,0))</f>
        <v>#REF!</v>
      </c>
      <c r="W22" s="9" t="e">
        <f>IF(AND(ROUND((#REF!-TIME(0,0,0))*1440,0)&gt;0,ROUND((#REF!-TIME(0,0,0))*1440,0)&lt;tbl_Case_mins[[#This Row],[Ward Called]],tbl_Case_mins[[#This Row],[Surgery End Date]]&gt;tbl_Case_mins[[#This Row],[Surgery Start Date]]),ROUND((#REF!-TIME(0,0,0))*1440,0)+1440,ROUND((#REF!-TIME(0,0,0))*1440,0))</f>
        <v>#REF!</v>
      </c>
      <c r="X22" s="4" t="e">
        <f>IF(ISBLANK(#REF!),tbl_Case_mins[[#This Row],[Surgery Start Date]],#REF!)</f>
        <v>#REF!</v>
      </c>
      <c r="Y22">
        <f>IFERROR(IF(VLOOKUP(tbl_Case_mins[[#This Row],[Theatre]],'Mng Theatres'!$C$7:$G$12,3,FALSE)="Yes","Yes","No"),0)</f>
        <v>0</v>
      </c>
      <c r="Z22" s="9" t="e" cm="1">
        <f t="array" ref="Z2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 s="9" t="e" cm="1">
        <f t="array" ref="AA2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 s="9" t="e">
        <f>IF(tbl_Case_mins[[#This Row],[Case Type]]="Unsch",1,0)</f>
        <v>#REF!</v>
      </c>
      <c r="AD22" s="9" t="e">
        <f>IF(tbl_Case_mins[[#This Row],[Case Type]]="Sch",1,0)</f>
        <v>#REF!</v>
      </c>
      <c r="AE2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 s="9">
        <f>IFERROR(IF(ISBLANK(INDEX(Am_Close,MATCH(1,INDEX((tbl_Case_mins[[#This Row],[Theatre]]=Theatre_No)*(tbl_Case_mins[[#This Row],[Surgery Start Date]]=Date),0,1),0))*1440),0,INDEX(Am_Close,MATCH(1,INDEX((tbl_Case_mins[[#This Row],[Theatre]]=Theatre_No)*(tbl_Case_mins[[#This Row],[Surgery Start Date]]=Date),0,1),0))*1440),0)</f>
        <v>0</v>
      </c>
      <c r="AG22" s="9">
        <f>IFERROR(IF(ISBLANK(INDEX(PM_Open,MATCH(1,INDEX((tbl_Case_mins[[#This Row],[Theatre]]=Theatre_No)*(tbl_Case_mins[[#This Row],[Surgery Start Date]]=Date),0,1),0))*1440),0,INDEX(PM_Open,MATCH(1,INDEX((tbl_Case_mins[[#This Row],[Theatre]]=Theatre_No)*(tbl_Case_mins[[#This Row],[Surgery Start Date]]=Date),0,1),0))*1440),0)</f>
        <v>0</v>
      </c>
      <c r="AH2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 s="9" t="e">
        <f>IF(tbl_Case_mins[[#This Row],[ThOpenAm]]=0,tbl_Case_mins[[#This Row],[ThOpenPM]],tbl_Case_mins[[#This Row],[ThOpenAm]])</f>
        <v>#REF!</v>
      </c>
      <c r="AJ22" s="9" t="e">
        <f>IF(tbl_Case_mins[[#This Row],[ThCloseAm]]&gt;0,IF(tbl_Case_mins[[#This Row],[ThOpenPM]]&gt;0,tbl_Case_mins[[#This Row],[ThClosePm]],tbl_Case_mins[[#This Row],[ThCloseAm]]),tbl_Case_mins[[#This Row],[ThClosePm]])</f>
        <v>#REF!</v>
      </c>
      <c r="AK22" s="9" t="e">
        <f>IF(tbl_Case_mins[[#This Row],[TOT]]&gt;0,1,0)</f>
        <v>#REF!</v>
      </c>
      <c r="AL2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 s="9" t="e">
        <f>IF(AND(tbl_Case_mins[[#This Row],[Surgery Status]]&lt;&gt;2,tbl_Case_mins[[#This Row],[InCoreCase]]=0,tbl_Case_mins[[#This Row],[CancelledCase]]=0),1,0)</f>
        <v>#REF!</v>
      </c>
      <c r="AN22" s="9" t="e">
        <f>IF(tbl_Case_mins[[#This Row],[Surgery Status]]=1,1,0)</f>
        <v>#REF!</v>
      </c>
      <c r="AO2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 s="9" t="e">
        <f>IF(AND(tbl_Case_mins[[#This Row],[NonCoreCase]]=1,tbl_Case_mins[[#This Row],[NoInCoreTime]]=0),1,0)</f>
        <v>#REF!</v>
      </c>
      <c r="AQ22" s="9" t="e">
        <f>IF(tbl_Case_mins[[#This Row],[Rank_AnaEnd]]&lt;tbl_Case_mins[[#This Row],[Rank_AnaSt]],1,0)</f>
        <v>#REF!</v>
      </c>
      <c r="AR22" s="9" t="e">
        <f>IF(AND(tbl_Case_mins[[#This Row],[InCoreCase]]=1,tbl_Case_mins[[#This Row],[Sch]]=1),1,0)</f>
        <v>#REF!</v>
      </c>
      <c r="AS22" s="9" t="e">
        <f>IF(AND(tbl_Case_mins[[#This Row],[InCoreCase]]=1,tbl_Case_mins[[#This Row],[Unsch]]=1),1,0)</f>
        <v>#REF!</v>
      </c>
      <c r="AT2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 s="9" t="e">
        <f>IF(tbl_Case_mins[[#This Row],[Surgery Status]]=0,(tbl_Case_mins[[#This Row],[Anaesth End]]-tbl_Case_mins[[#This Row],[AnaesthStart]]),0)</f>
        <v>#REF!</v>
      </c>
      <c r="AX22" s="9" t="e">
        <f>IF(tbl_Case_mins[[#This Row],[Surgery Status]]=0,(tbl_Case_mins[[#This Row],[Surgery Finish]]-tbl_Case_mins[[#This Row],[Surgery Start]]),0)</f>
        <v>#REF!</v>
      </c>
      <c r="AY22" s="9" t="e">
        <f>tbl_Case_mins[[#This Row],[Surgery Start]]-tbl_Case_mins[[#This Row],[AnaesthStart]]</f>
        <v>#REF!</v>
      </c>
      <c r="AZ22" s="9" t="e">
        <f>tbl_Case_mins[[#This Row],[Anaesth End]]-tbl_Case_mins[[#This Row],[Surgery Finish]]</f>
        <v>#REF!</v>
      </c>
      <c r="BA2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 s="16" cm="1">
        <f t="array" ref="BC2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 s="16" t="e">
        <f>IF(AND(tbl_Case_mins[[#This Row],[FirstAMCase]]=1,tbl_Case_mins[[#This Row],[CancelledCase]]=0,OR(tbl_Case_mins[[#This Row],[EarlyStartAM]]&gt;0,tbl_Case_mins[[#This Row],[AnaesthStart]]=tbl_Case_mins[[#This Row],[ThOpenAm]])),1,0)</f>
        <v>#REF!</v>
      </c>
      <c r="BE22" s="16" t="e">
        <f>IF(AND(tbl_Case_mins[[#This Row],[Rank_AnaSt]]=tbl_Case_mins[[#This Row],[Min_RankAnaSt]],tbl_Case_mins[[#This Row],[Anaesth End]]&gt;=tbl_Case_mins[[#This Row],[ThOpenAm]],tbl_Case_mins[[#This Row],[PmCase]]=0),1,0)</f>
        <v>#REF!</v>
      </c>
      <c r="BF2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 s="9" t="e" cm="1">
        <f t="array" ref="BH2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 s="9" t="e">
        <f>IF(AND(tbl_Case_mins[[#This Row],[ThOpenPM]]&gt;0,tbl_Case_mins[[#This Row],[AnaesthStart]]&gt;tbl_Case_mins[[#This Row],[ThOpenPM]],tbl_Case_mins[[#This Row],[First PM Case]]=1),tbl_Case_mins[[#This Row],[AnaesthStart]]-tbl_Case_mins[[#This Row],[ThOpenPM]],0)</f>
        <v>#REF!</v>
      </c>
      <c r="BL2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 s="9" t="e" cm="1">
        <f t="array" ref="BN2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 s="9" t="e">
        <f>IF(AND(tbl_Case_mins[[#This Row],[ThClosePm]]&gt;0,tbl_Case_mins[[#This Row],[Anaesth End]]&gt;tbl_Case_mins[[#This Row],[ThClosePm]],tbl_Case_mins[[#This Row],[AnaesthStart]]&gt;tbl_Case_mins[[#This Row],[ThClosePm]]),tbl_Case_mins[[#This Row],[Into Recov]]-tbl_Case_mins[[#This Row],[AnaesthStart]],0)</f>
        <v>#REF!</v>
      </c>
      <c r="BP22" s="9" t="e">
        <f>IF(AND(tbl_Case_mins[[#This Row],[AnaesthStart]]&lt;tbl_Case_mins[[#This Row],[ThClosePm]],tbl_Case_mins[[#This Row],[Anaesth End]]&gt;tbl_Case_mins[[#This Row],[ThClosePm]]),tbl_Case_mins[[#This Row],[Anaesth End]]-tbl_Case_mins[[#This Row],[ThClosePm]],0)</f>
        <v>#REF!</v>
      </c>
      <c r="BQ22" s="9" t="e" cm="1">
        <f t="array" ref="BQ2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 s="9" t="e" cm="1">
        <f t="array" ref="BR22">IF(tbl_Case_mins[[#This Row],[Rank_Adjust]]=SUMPRODUCT(-(tbl_Case_mins[Surgery Start Date]=tbl_Case_mins[[#This Row],[Surgery Start Date]]),-(tbl_Case_mins[Theatre]=tbl_Case_mins[[#This Row],[Theatre]])),INDEX(Poss_Time,MATCH(TEXT(tbl_Case_mins[[#This Row],[Surgery Start Date]],"ddd"),Day,0)),0)</f>
        <v>#REF!</v>
      </c>
      <c r="BS22" s="9" t="e">
        <f>tbl_Case_mins[[#This Row],[Core_Time]]*Util_Goal</f>
        <v>#REF!</v>
      </c>
      <c r="BT22" s="9" t="e" cm="1">
        <f t="array" ref="BT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 s="9" t="e" cm="1">
        <f t="array" ref="BU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 s="9" t="e">
        <f>IF(tbl_Case_mins[[#This Row],[Surgery End Date]]&gt;tbl_Case_mins[[#This Row],[Surgery Start Date]],tbl_Case_mins[[#This Row],[Anaesth End]]-1440,0)</f>
        <v>#REF!</v>
      </c>
      <c r="BY22" s="9" t="e">
        <f>tbl_Case_mins[[#This Row],[Total_NonCore]]-tbl_Case_mins[[#This Row],[NextDay_NonCore]]</f>
        <v>#REF!</v>
      </c>
      <c r="BZ22" s="10" t="e">
        <f>tbl_Case_mins[[#This Row],[InCoreUse]]/60</f>
        <v>#REF!</v>
      </c>
      <c r="CA22" s="10" t="e">
        <f>tbl_Case_mins[[#This Row],[Total_NonCore]]/60</f>
        <v>#REF!</v>
      </c>
      <c r="CB22" t="e" cm="1">
        <f t="array" ref="CB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 s="9" t="e" cm="1">
        <f t="array" ref="CC2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 s="9" t="e" cm="1">
        <f t="array" ref="CD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 s="9" t="e" cm="1">
        <f t="array" ref="CE2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 s="9" cm="1">
        <f t="array" ref="CF22">IFERROR(_xlfn.AGGREGATE(14,6,(tbl_Case_mins[Rank_AnaEnd])/((tbl_Case_mins[Surgery Start Date]=tbl_Case_mins[[#This Row],[Surgery Start Date]])*(tbl_Case_mins[Theatre]=tbl_Case_mins[[#This Row],[Theatre]])*(tbl_Case_mins[NoInCoreTime]=0)),1),-1)</f>
        <v>-1</v>
      </c>
      <c r="CG22" s="9" cm="1">
        <f t="array" ref="CG22">IFERROR(_xlfn.AGGREGATE(15,6,(tbl_Case_mins[Rank_AnaSt])/((tbl_Case_mins[Surgery Start Date]=tbl_Case_mins[[#This Row],[Surgery Start Date]])*(tbl_Case_mins[Theatre]=tbl_Case_mins[[#This Row],[Theatre]])*(tbl_Case_mins[NoInCoreTime]=0)),1),-1)</f>
        <v>-1</v>
      </c>
      <c r="CH2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 t="e" cm="1">
        <f t="array" ref="CJ2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 s="9" cm="1">
        <f t="array" ref="CO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 s="9" cm="1">
        <f t="array" ref="CP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 s="9" cm="1">
        <f t="array" ref="CQ22">IFERROR(IF(AND(tbl_Case_mins[[#This Row],[FirstAMCase]]=0,tbl_Case_mins[[#This Row],[Rank]]=_xlfn.AGGREGATE(14,6,(tbl_Case_mins[Rank])/((tbl_Case_mins[Surgery Start Date]=tbl_Case_mins[[#This Row],[Surgery Start Date]])*(tbl_Case_mins[Theatre]=tbl_Case_mins[[#This Row],[Theatre]])*(tbl_Case_mins[AmCase]=1)),1)),1,0),0)</f>
        <v>0</v>
      </c>
      <c r="CR22" s="9" cm="1">
        <f t="array" ref="CR2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 s="9" t="e" cm="1">
        <f t="array" ref="CS2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 s="9" cm="1">
        <f t="array" ref="CT22">IFERROR(IF(tbl_Case_mins[[#This Row],[Rank]]=_xlfn.AGGREGATE(15,6,(tbl_Case_mins[Rank])/((tbl_Case_mins[Surgery Start Date]=tbl_Case_mins[[#This Row],[Surgery Start Date]])*(tbl_Case_mins[Theatre]=tbl_Case_mins[[#This Row],[Theatre]])*(tbl_Case_mins[PmCase]=1)),1),1,0),0)</f>
        <v>0</v>
      </c>
      <c r="CU22">
        <f>IFERROR(#REF!,0)</f>
        <v>0</v>
      </c>
      <c r="CV22" s="9" t="e" cm="1">
        <f t="array" ref="CV2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 s="9">
        <f>IFERROR(IF(ISBLANK(INDEX(Bay_AmClose,MATCH(1,INDEX((tbl_Case_mins[[#This Row],[Bay]]=BayNo)*(tbl_Case_mins[[#This Row],[Surgery Start Date]]=BDate),0,1),0))*1440),0,INDEX(Bay_AmClose,MATCH(1,INDEX((tbl_Case_mins[[#This Row],[Bay]]=BayNo)*(tbl_Case_mins[[#This Row],[Surgery Start Date]]=BDate),0,1),0))*1440),0)</f>
        <v>0</v>
      </c>
      <c r="CX22" s="9" cm="1">
        <f t="array" ref="CX22">IFERROR(IF(ISBLANK(INDEX(Bay_PmOpen,MATCH(1,INDEX((tbl_Case_mins[[#This Row],[Bay]]=BayNo)*(tbl_Case_mins[[#This Row],[Surgery Start Date]]=BDate),0,1),0))*1440),0,INDEX(Bay_PmOpen,MATCH(1,INDEX((tbl_Case_mins[[#This Row],[Bay]]=BayNo)*(tbl_Case_mins[[#This Row],[Surgery Start Date]]=BDate),0,1),0))*1440),0)</f>
        <v>0</v>
      </c>
      <c r="CY2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 s="9"/>
    </row>
    <row r="23" spans="1:104" x14ac:dyDescent="0.2">
      <c r="A23">
        <v>22</v>
      </c>
      <c r="B23" t="e">
        <f>#REF!</f>
        <v>#REF!</v>
      </c>
      <c r="C23" t="e">
        <f>#REF!</f>
        <v>#REF!</v>
      </c>
      <c r="D23" t="e">
        <f>#REF!</f>
        <v>#REF!</v>
      </c>
      <c r="E23" t="e">
        <f>#REF!</f>
        <v>#REF!</v>
      </c>
      <c r="F23" t="e">
        <f>#REF!</f>
        <v>#REF!</v>
      </c>
      <c r="G23" t="e">
        <f>#REF!</f>
        <v>#REF!</v>
      </c>
      <c r="H23" t="e">
        <f>#REF!</f>
        <v>#REF!</v>
      </c>
      <c r="I23" t="e">
        <f>IF(#REF!="Case Cancelled",1,IF(#REF!="No Cases",2,0))</f>
        <v>#REF!</v>
      </c>
      <c r="J23" t="e">
        <f>#REF!</f>
        <v>#REF!</v>
      </c>
      <c r="K23" s="4" t="e">
        <f>#REF!</f>
        <v>#REF!</v>
      </c>
      <c r="L23" t="e">
        <f>"Wk "&amp;WEEKNUM(tbl_Case_mins[[#This Row],[Surgery Start Date]],21)</f>
        <v>#REF!</v>
      </c>
      <c r="M23" t="e">
        <f>TEXT(tbl_Case_mins[[#This Row],[Surgery Start Date]],"ddd")</f>
        <v>#REF!</v>
      </c>
      <c r="N23" s="9" t="e">
        <f>(#REF!-TIME(0,0,0))*1440</f>
        <v>#REF!</v>
      </c>
      <c r="O23" t="e">
        <f>IF(AND(ROUND((#REF!-TIME(0,0,0))*1440,0)&gt;0,ROUND((#REF!-TIME(0,0,0))*1440,0)&lt;tbl_Case_mins[[#This Row],[Patient Called]],tbl_Case_mins[[#This Row],[Surgery End Date]]&gt;tbl_Case_mins[[#This Row],[Surgery Start Date]]),ROUND((#REF!-TIME(0,0,0))*1440,0)+1440,ROUND((#REF!-TIME(0,0,0))*1440,0))</f>
        <v>#REF!</v>
      </c>
      <c r="P23" s="9" t="e">
        <f>IF(AND(ROUND((#REF!-TIME(0,0,0))*1440,0)&gt;0,ROUND((#REF!-TIME(0,0,0))*1440,0)&lt;tbl_Case_mins[[#This Row],[Arrival]],tbl_Case_mins[[#This Row],[Surgery End Date]]&gt;tbl_Case_mins[[#This Row],[Surgery Start Date]]),ROUND((#REF!-TIME(0,0,0))*1440,0)+1440,ROUND((#REF!-TIME(0,0,0))*1440,0))</f>
        <v>#REF!</v>
      </c>
      <c r="Q23" s="9" t="e">
        <f>IF(AND(ROUND((#REF!-TIME(0,0,0))*1440,0)&gt;0,ROUND((#REF!-TIME(0,0,0))*1440,0)&lt;tbl_Case_mins[[#This Row],[Into Th or AR]],tbl_Case_mins[[#This Row],[Surgery End Date]]&gt;tbl_Case_mins[[#This Row],[Surgery Start Date]]),ROUND((#REF!-TIME(0,0,0))*1440,0)+1440,ROUND((#REF!-TIME(0,0,0))*1440,0))</f>
        <v>#REF!</v>
      </c>
      <c r="R23" s="9" t="e">
        <f>IF(AND(ROUND((#REF!-TIME(0,0,0))*1440,0)&gt;0,ROUND((#REF!-TIME(0,0,0))*1440,0)&lt;tbl_Case_mins[[#This Row],[AnaesthStart]],tbl_Case_mins[[#This Row],[Surgery End Date]]&gt;tbl_Case_mins[[#This Row],[Surgery Start Date]]),ROUND((#REF!-TIME(0,0,0))*1440,0)+1440,ROUND((#REF!-TIME(0,0,0))*1440,0))</f>
        <v>#REF!</v>
      </c>
      <c r="S23" s="9" t="e">
        <f>IF(AND(ROUND((#REF!-TIME(0,0,0))*1440,0),ROUND((#REF!-TIME(0,0,0))*1440,0)&lt;tbl_Case_mins[[#This Row],[Surgery Start]],tbl_Case_mins[[#This Row],[Surgery End Date]]&gt;tbl_Case_mins[[#This Row],[Surgery Start Date]]),ROUND((#REF!-TIME(0,0,0))*1440,0)+1440,ROUND((#REF!-TIME(0,0,0))*1440,0))</f>
        <v>#REF!</v>
      </c>
      <c r="T23" s="9" t="e">
        <f>IF(AND(ROUND((#REF!-TIME(0,0,0))*1440,0)&gt;0,ROUND((#REF!-TIME(0,0,0))*1440,0)&lt;tbl_Case_mins[[#This Row],[Surgery Finish]],tbl_Case_mins[[#This Row],[Surgery End Date]]&gt;tbl_Case_mins[[#This Row],[Surgery Start Date]]),ROUND((#REF!-TIME(0,0,0))*1440,0)+1440,ROUND((#REF!-TIME(0,0,0))*1440,0))</f>
        <v>#REF!</v>
      </c>
      <c r="U23" s="9" t="e">
        <f>IF(AND(ROUND((#REF!-TIME(0,0,0))*1440,0)&gt;0,ROUND((#REF!-TIME(0,0,0))*1440,0)&lt;tbl_Case_mins[[#This Row],[Anaesth End]],tbl_Case_mins[[#This Row],[Surgery End Date]]&gt;tbl_Case_mins[[#This Row],[Surgery Start Date]]),ROUND((#REF!-TIME(0,0,0))*1440,0)+1440,ROUND((#REF!-TIME(0,0,0))*1440,0))</f>
        <v>#REF!</v>
      </c>
      <c r="V23" s="9" t="e">
        <f>IF(AND(ROUND((#REF!-TIME(0,0,0))*1440,0)&gt;0,ROUND((#REF!-TIME(0,0,0))*1440,0)&lt;tbl_Case_mins[[#This Row],[Into Recov]],tbl_Case_mins[[#This Row],[Surgery End Date]]&gt;tbl_Case_mins[[#This Row],[Surgery Start Date]]),ROUND((#REF!-TIME(0,0,0))*1440,0)+1440,ROUND((#REF!-TIME(0,0,0))*1440,0))</f>
        <v>#REF!</v>
      </c>
      <c r="W23" s="9" t="e">
        <f>IF(AND(ROUND((#REF!-TIME(0,0,0))*1440,0)&gt;0,ROUND((#REF!-TIME(0,0,0))*1440,0)&lt;tbl_Case_mins[[#This Row],[Ward Called]],tbl_Case_mins[[#This Row],[Surgery End Date]]&gt;tbl_Case_mins[[#This Row],[Surgery Start Date]]),ROUND((#REF!-TIME(0,0,0))*1440,0)+1440,ROUND((#REF!-TIME(0,0,0))*1440,0))</f>
        <v>#REF!</v>
      </c>
      <c r="X23" s="4" t="e">
        <f>IF(ISBLANK(#REF!),tbl_Case_mins[[#This Row],[Surgery Start Date]],#REF!)</f>
        <v>#REF!</v>
      </c>
      <c r="Y23">
        <f>IFERROR(IF(VLOOKUP(tbl_Case_mins[[#This Row],[Theatre]],'Mng Theatres'!$C$7:$G$12,3,FALSE)="Yes","Yes","No"),0)</f>
        <v>0</v>
      </c>
      <c r="Z23" s="9" t="e" cm="1">
        <f t="array" ref="Z2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 s="9" t="e" cm="1">
        <f t="array" ref="AA2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 s="9" t="e">
        <f>IF(tbl_Case_mins[[#This Row],[Case Type]]="Unsch",1,0)</f>
        <v>#REF!</v>
      </c>
      <c r="AD23" s="9" t="e">
        <f>IF(tbl_Case_mins[[#This Row],[Case Type]]="Sch",1,0)</f>
        <v>#REF!</v>
      </c>
      <c r="AE2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 s="9">
        <f>IFERROR(IF(ISBLANK(INDEX(Am_Close,MATCH(1,INDEX((tbl_Case_mins[[#This Row],[Theatre]]=Theatre_No)*(tbl_Case_mins[[#This Row],[Surgery Start Date]]=Date),0,1),0))*1440),0,INDEX(Am_Close,MATCH(1,INDEX((tbl_Case_mins[[#This Row],[Theatre]]=Theatre_No)*(tbl_Case_mins[[#This Row],[Surgery Start Date]]=Date),0,1),0))*1440),0)</f>
        <v>0</v>
      </c>
      <c r="AG23" s="9">
        <f>IFERROR(IF(ISBLANK(INDEX(PM_Open,MATCH(1,INDEX((tbl_Case_mins[[#This Row],[Theatre]]=Theatre_No)*(tbl_Case_mins[[#This Row],[Surgery Start Date]]=Date),0,1),0))*1440),0,INDEX(PM_Open,MATCH(1,INDEX((tbl_Case_mins[[#This Row],[Theatre]]=Theatre_No)*(tbl_Case_mins[[#This Row],[Surgery Start Date]]=Date),0,1),0))*1440),0)</f>
        <v>0</v>
      </c>
      <c r="AH2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 s="9" t="e">
        <f>IF(tbl_Case_mins[[#This Row],[ThOpenAm]]=0,tbl_Case_mins[[#This Row],[ThOpenPM]],tbl_Case_mins[[#This Row],[ThOpenAm]])</f>
        <v>#REF!</v>
      </c>
      <c r="AJ23" s="9" t="e">
        <f>IF(tbl_Case_mins[[#This Row],[ThCloseAm]]&gt;0,IF(tbl_Case_mins[[#This Row],[ThOpenPM]]&gt;0,tbl_Case_mins[[#This Row],[ThClosePm]],tbl_Case_mins[[#This Row],[ThCloseAm]]),tbl_Case_mins[[#This Row],[ThClosePm]])</f>
        <v>#REF!</v>
      </c>
      <c r="AK23" s="9" t="e">
        <f>IF(tbl_Case_mins[[#This Row],[TOT]]&gt;0,1,0)</f>
        <v>#REF!</v>
      </c>
      <c r="AL2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 s="9" t="e">
        <f>IF(AND(tbl_Case_mins[[#This Row],[Surgery Status]]&lt;&gt;2,tbl_Case_mins[[#This Row],[InCoreCase]]=0,tbl_Case_mins[[#This Row],[CancelledCase]]=0),1,0)</f>
        <v>#REF!</v>
      </c>
      <c r="AN23" s="9" t="e">
        <f>IF(tbl_Case_mins[[#This Row],[Surgery Status]]=1,1,0)</f>
        <v>#REF!</v>
      </c>
      <c r="AO2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 s="9" t="e">
        <f>IF(AND(tbl_Case_mins[[#This Row],[NonCoreCase]]=1,tbl_Case_mins[[#This Row],[NoInCoreTime]]=0),1,0)</f>
        <v>#REF!</v>
      </c>
      <c r="AQ23" s="9" t="e">
        <f>IF(tbl_Case_mins[[#This Row],[Rank_AnaEnd]]&lt;tbl_Case_mins[[#This Row],[Rank_AnaSt]],1,0)</f>
        <v>#REF!</v>
      </c>
      <c r="AR23" s="9" t="e">
        <f>IF(AND(tbl_Case_mins[[#This Row],[InCoreCase]]=1,tbl_Case_mins[[#This Row],[Sch]]=1),1,0)</f>
        <v>#REF!</v>
      </c>
      <c r="AS23" s="9" t="e">
        <f>IF(AND(tbl_Case_mins[[#This Row],[InCoreCase]]=1,tbl_Case_mins[[#This Row],[Unsch]]=1),1,0)</f>
        <v>#REF!</v>
      </c>
      <c r="AT2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 s="9" t="e">
        <f>IF(tbl_Case_mins[[#This Row],[Surgery Status]]=0,(tbl_Case_mins[[#This Row],[Anaesth End]]-tbl_Case_mins[[#This Row],[AnaesthStart]]),0)</f>
        <v>#REF!</v>
      </c>
      <c r="AX23" s="9" t="e">
        <f>IF(tbl_Case_mins[[#This Row],[Surgery Status]]=0,(tbl_Case_mins[[#This Row],[Surgery Finish]]-tbl_Case_mins[[#This Row],[Surgery Start]]),0)</f>
        <v>#REF!</v>
      </c>
      <c r="AY23" s="9" t="e">
        <f>tbl_Case_mins[[#This Row],[Surgery Start]]-tbl_Case_mins[[#This Row],[AnaesthStart]]</f>
        <v>#REF!</v>
      </c>
      <c r="AZ23" s="9" t="e">
        <f>tbl_Case_mins[[#This Row],[Anaesth End]]-tbl_Case_mins[[#This Row],[Surgery Finish]]</f>
        <v>#REF!</v>
      </c>
      <c r="BA2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 s="16" cm="1">
        <f t="array" ref="BC2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 s="16" t="e">
        <f>IF(AND(tbl_Case_mins[[#This Row],[FirstAMCase]]=1,tbl_Case_mins[[#This Row],[CancelledCase]]=0,OR(tbl_Case_mins[[#This Row],[EarlyStartAM]]&gt;0,tbl_Case_mins[[#This Row],[AnaesthStart]]=tbl_Case_mins[[#This Row],[ThOpenAm]])),1,0)</f>
        <v>#REF!</v>
      </c>
      <c r="BE23" s="16" t="e">
        <f>IF(AND(tbl_Case_mins[[#This Row],[Rank_AnaSt]]=tbl_Case_mins[[#This Row],[Min_RankAnaSt]],tbl_Case_mins[[#This Row],[Anaesth End]]&gt;=tbl_Case_mins[[#This Row],[ThOpenAm]],tbl_Case_mins[[#This Row],[PmCase]]=0),1,0)</f>
        <v>#REF!</v>
      </c>
      <c r="BF2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 s="9" t="e" cm="1">
        <f t="array" ref="BH2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 s="9" t="e">
        <f>IF(AND(tbl_Case_mins[[#This Row],[ThOpenPM]]&gt;0,tbl_Case_mins[[#This Row],[AnaesthStart]]&gt;tbl_Case_mins[[#This Row],[ThOpenPM]],tbl_Case_mins[[#This Row],[First PM Case]]=1),tbl_Case_mins[[#This Row],[AnaesthStart]]-tbl_Case_mins[[#This Row],[ThOpenPM]],0)</f>
        <v>#REF!</v>
      </c>
      <c r="BL2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 s="9" t="e" cm="1">
        <f t="array" ref="BN2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 s="9" t="e">
        <f>IF(AND(tbl_Case_mins[[#This Row],[ThClosePm]]&gt;0,tbl_Case_mins[[#This Row],[Anaesth End]]&gt;tbl_Case_mins[[#This Row],[ThClosePm]],tbl_Case_mins[[#This Row],[AnaesthStart]]&gt;tbl_Case_mins[[#This Row],[ThClosePm]]),tbl_Case_mins[[#This Row],[Into Recov]]-tbl_Case_mins[[#This Row],[AnaesthStart]],0)</f>
        <v>#REF!</v>
      </c>
      <c r="BP23" s="9" t="e">
        <f>IF(AND(tbl_Case_mins[[#This Row],[AnaesthStart]]&lt;tbl_Case_mins[[#This Row],[ThClosePm]],tbl_Case_mins[[#This Row],[Anaesth End]]&gt;tbl_Case_mins[[#This Row],[ThClosePm]]),tbl_Case_mins[[#This Row],[Anaesth End]]-tbl_Case_mins[[#This Row],[ThClosePm]],0)</f>
        <v>#REF!</v>
      </c>
      <c r="BQ23" s="9" t="e" cm="1">
        <f t="array" ref="BQ2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 s="9" t="e" cm="1">
        <f t="array" ref="BR23">IF(tbl_Case_mins[[#This Row],[Rank_Adjust]]=SUMPRODUCT(-(tbl_Case_mins[Surgery Start Date]=tbl_Case_mins[[#This Row],[Surgery Start Date]]),-(tbl_Case_mins[Theatre]=tbl_Case_mins[[#This Row],[Theatre]])),INDEX(Poss_Time,MATCH(TEXT(tbl_Case_mins[[#This Row],[Surgery Start Date]],"ddd"),Day,0)),0)</f>
        <v>#REF!</v>
      </c>
      <c r="BS23" s="9" t="e">
        <f>tbl_Case_mins[[#This Row],[Core_Time]]*Util_Goal</f>
        <v>#REF!</v>
      </c>
      <c r="BT23" s="9" t="e" cm="1">
        <f t="array" ref="BT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 s="9" t="e" cm="1">
        <f t="array" ref="BU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 s="9" t="e">
        <f>IF(tbl_Case_mins[[#This Row],[Surgery End Date]]&gt;tbl_Case_mins[[#This Row],[Surgery Start Date]],tbl_Case_mins[[#This Row],[Anaesth End]]-1440,0)</f>
        <v>#REF!</v>
      </c>
      <c r="BY23" s="9" t="e">
        <f>tbl_Case_mins[[#This Row],[Total_NonCore]]-tbl_Case_mins[[#This Row],[NextDay_NonCore]]</f>
        <v>#REF!</v>
      </c>
      <c r="BZ23" s="10" t="e">
        <f>tbl_Case_mins[[#This Row],[InCoreUse]]/60</f>
        <v>#REF!</v>
      </c>
      <c r="CA23" s="10" t="e">
        <f>tbl_Case_mins[[#This Row],[Total_NonCore]]/60</f>
        <v>#REF!</v>
      </c>
      <c r="CB23" t="e" cm="1">
        <f t="array" ref="CB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 s="9" t="e" cm="1">
        <f t="array" ref="CC2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 s="9" t="e" cm="1">
        <f t="array" ref="CD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 s="9" t="e" cm="1">
        <f t="array" ref="CE2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 s="9" cm="1">
        <f t="array" ref="CF23">IFERROR(_xlfn.AGGREGATE(14,6,(tbl_Case_mins[Rank_AnaEnd])/((tbl_Case_mins[Surgery Start Date]=tbl_Case_mins[[#This Row],[Surgery Start Date]])*(tbl_Case_mins[Theatre]=tbl_Case_mins[[#This Row],[Theatre]])*(tbl_Case_mins[NoInCoreTime]=0)),1),-1)</f>
        <v>-1</v>
      </c>
      <c r="CG23" s="9" cm="1">
        <f t="array" ref="CG23">IFERROR(_xlfn.AGGREGATE(15,6,(tbl_Case_mins[Rank_AnaSt])/((tbl_Case_mins[Surgery Start Date]=tbl_Case_mins[[#This Row],[Surgery Start Date]])*(tbl_Case_mins[Theatre]=tbl_Case_mins[[#This Row],[Theatre]])*(tbl_Case_mins[NoInCoreTime]=0)),1),-1)</f>
        <v>-1</v>
      </c>
      <c r="CH2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 t="e" cm="1">
        <f t="array" ref="CJ2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 s="9" cm="1">
        <f t="array" ref="CO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 s="9" cm="1">
        <f t="array" ref="CP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 s="9" cm="1">
        <f t="array" ref="CQ23">IFERROR(IF(AND(tbl_Case_mins[[#This Row],[FirstAMCase]]=0,tbl_Case_mins[[#This Row],[Rank]]=_xlfn.AGGREGATE(14,6,(tbl_Case_mins[Rank])/((tbl_Case_mins[Surgery Start Date]=tbl_Case_mins[[#This Row],[Surgery Start Date]])*(tbl_Case_mins[Theatre]=tbl_Case_mins[[#This Row],[Theatre]])*(tbl_Case_mins[AmCase]=1)),1)),1,0),0)</f>
        <v>0</v>
      </c>
      <c r="CR23" s="9" cm="1">
        <f t="array" ref="CR2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 s="9" t="e" cm="1">
        <f t="array" ref="CS2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 s="9" cm="1">
        <f t="array" ref="CT23">IFERROR(IF(tbl_Case_mins[[#This Row],[Rank]]=_xlfn.AGGREGATE(15,6,(tbl_Case_mins[Rank])/((tbl_Case_mins[Surgery Start Date]=tbl_Case_mins[[#This Row],[Surgery Start Date]])*(tbl_Case_mins[Theatre]=tbl_Case_mins[[#This Row],[Theatre]])*(tbl_Case_mins[PmCase]=1)),1),1,0),0)</f>
        <v>0</v>
      </c>
      <c r="CU23">
        <f>IFERROR(#REF!,0)</f>
        <v>0</v>
      </c>
      <c r="CV23" s="9" t="e" cm="1">
        <f t="array" ref="CV2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 s="9">
        <f>IFERROR(IF(ISBLANK(INDEX(Bay_AmClose,MATCH(1,INDEX((tbl_Case_mins[[#This Row],[Bay]]=BayNo)*(tbl_Case_mins[[#This Row],[Surgery Start Date]]=BDate),0,1),0))*1440),0,INDEX(Bay_AmClose,MATCH(1,INDEX((tbl_Case_mins[[#This Row],[Bay]]=BayNo)*(tbl_Case_mins[[#This Row],[Surgery Start Date]]=BDate),0,1),0))*1440),0)</f>
        <v>0</v>
      </c>
      <c r="CX23" s="9" cm="1">
        <f t="array" ref="CX23">IFERROR(IF(ISBLANK(INDEX(Bay_PmOpen,MATCH(1,INDEX((tbl_Case_mins[[#This Row],[Bay]]=BayNo)*(tbl_Case_mins[[#This Row],[Surgery Start Date]]=BDate),0,1),0))*1440),0,INDEX(Bay_PmOpen,MATCH(1,INDEX((tbl_Case_mins[[#This Row],[Bay]]=BayNo)*(tbl_Case_mins[[#This Row],[Surgery Start Date]]=BDate),0,1),0))*1440),0)</f>
        <v>0</v>
      </c>
      <c r="CY2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 s="9"/>
    </row>
    <row r="24" spans="1:104" x14ac:dyDescent="0.2">
      <c r="A24">
        <v>23</v>
      </c>
      <c r="B24" t="e">
        <f>#REF!</f>
        <v>#REF!</v>
      </c>
      <c r="C24" t="e">
        <f>#REF!</f>
        <v>#REF!</v>
      </c>
      <c r="D24" t="e">
        <f>#REF!</f>
        <v>#REF!</v>
      </c>
      <c r="E24" t="e">
        <f>#REF!</f>
        <v>#REF!</v>
      </c>
      <c r="F24" t="e">
        <f>#REF!</f>
        <v>#REF!</v>
      </c>
      <c r="G24" t="e">
        <f>#REF!</f>
        <v>#REF!</v>
      </c>
      <c r="H24" t="e">
        <f>#REF!</f>
        <v>#REF!</v>
      </c>
      <c r="I24" t="e">
        <f>IF(#REF!="Case Cancelled",1,IF(#REF!="No Cases",2,0))</f>
        <v>#REF!</v>
      </c>
      <c r="J24" t="e">
        <f>#REF!</f>
        <v>#REF!</v>
      </c>
      <c r="K24" s="4" t="e">
        <f>#REF!</f>
        <v>#REF!</v>
      </c>
      <c r="L24" t="e">
        <f>"Wk "&amp;WEEKNUM(tbl_Case_mins[[#This Row],[Surgery Start Date]],21)</f>
        <v>#REF!</v>
      </c>
      <c r="M24" t="e">
        <f>TEXT(tbl_Case_mins[[#This Row],[Surgery Start Date]],"ddd")</f>
        <v>#REF!</v>
      </c>
      <c r="N24" s="9" t="e">
        <f>(#REF!-TIME(0,0,0))*1440</f>
        <v>#REF!</v>
      </c>
      <c r="O24" t="e">
        <f>IF(AND(ROUND((#REF!-TIME(0,0,0))*1440,0)&gt;0,ROUND((#REF!-TIME(0,0,0))*1440,0)&lt;tbl_Case_mins[[#This Row],[Patient Called]],tbl_Case_mins[[#This Row],[Surgery End Date]]&gt;tbl_Case_mins[[#This Row],[Surgery Start Date]]),ROUND((#REF!-TIME(0,0,0))*1440,0)+1440,ROUND((#REF!-TIME(0,0,0))*1440,0))</f>
        <v>#REF!</v>
      </c>
      <c r="P24" s="9" t="e">
        <f>IF(AND(ROUND((#REF!-TIME(0,0,0))*1440,0)&gt;0,ROUND((#REF!-TIME(0,0,0))*1440,0)&lt;tbl_Case_mins[[#This Row],[Arrival]],tbl_Case_mins[[#This Row],[Surgery End Date]]&gt;tbl_Case_mins[[#This Row],[Surgery Start Date]]),ROUND((#REF!-TIME(0,0,0))*1440,0)+1440,ROUND((#REF!-TIME(0,0,0))*1440,0))</f>
        <v>#REF!</v>
      </c>
      <c r="Q24" s="9" t="e">
        <f>IF(AND(ROUND((#REF!-TIME(0,0,0))*1440,0)&gt;0,ROUND((#REF!-TIME(0,0,0))*1440,0)&lt;tbl_Case_mins[[#This Row],[Into Th or AR]],tbl_Case_mins[[#This Row],[Surgery End Date]]&gt;tbl_Case_mins[[#This Row],[Surgery Start Date]]),ROUND((#REF!-TIME(0,0,0))*1440,0)+1440,ROUND((#REF!-TIME(0,0,0))*1440,0))</f>
        <v>#REF!</v>
      </c>
      <c r="R24" s="9" t="e">
        <f>IF(AND(ROUND((#REF!-TIME(0,0,0))*1440,0)&gt;0,ROUND((#REF!-TIME(0,0,0))*1440,0)&lt;tbl_Case_mins[[#This Row],[AnaesthStart]],tbl_Case_mins[[#This Row],[Surgery End Date]]&gt;tbl_Case_mins[[#This Row],[Surgery Start Date]]),ROUND((#REF!-TIME(0,0,0))*1440,0)+1440,ROUND((#REF!-TIME(0,0,0))*1440,0))</f>
        <v>#REF!</v>
      </c>
      <c r="S24" s="9" t="e">
        <f>IF(AND(ROUND((#REF!-TIME(0,0,0))*1440,0),ROUND((#REF!-TIME(0,0,0))*1440,0)&lt;tbl_Case_mins[[#This Row],[Surgery Start]],tbl_Case_mins[[#This Row],[Surgery End Date]]&gt;tbl_Case_mins[[#This Row],[Surgery Start Date]]),ROUND((#REF!-TIME(0,0,0))*1440,0)+1440,ROUND((#REF!-TIME(0,0,0))*1440,0))</f>
        <v>#REF!</v>
      </c>
      <c r="T24" s="9" t="e">
        <f>IF(AND(ROUND((#REF!-TIME(0,0,0))*1440,0)&gt;0,ROUND((#REF!-TIME(0,0,0))*1440,0)&lt;tbl_Case_mins[[#This Row],[Surgery Finish]],tbl_Case_mins[[#This Row],[Surgery End Date]]&gt;tbl_Case_mins[[#This Row],[Surgery Start Date]]),ROUND((#REF!-TIME(0,0,0))*1440,0)+1440,ROUND((#REF!-TIME(0,0,0))*1440,0))</f>
        <v>#REF!</v>
      </c>
      <c r="U24" s="9" t="e">
        <f>IF(AND(ROUND((#REF!-TIME(0,0,0))*1440,0)&gt;0,ROUND((#REF!-TIME(0,0,0))*1440,0)&lt;tbl_Case_mins[[#This Row],[Anaesth End]],tbl_Case_mins[[#This Row],[Surgery End Date]]&gt;tbl_Case_mins[[#This Row],[Surgery Start Date]]),ROUND((#REF!-TIME(0,0,0))*1440,0)+1440,ROUND((#REF!-TIME(0,0,0))*1440,0))</f>
        <v>#REF!</v>
      </c>
      <c r="V24" s="9" t="e">
        <f>IF(AND(ROUND((#REF!-TIME(0,0,0))*1440,0)&gt;0,ROUND((#REF!-TIME(0,0,0))*1440,0)&lt;tbl_Case_mins[[#This Row],[Into Recov]],tbl_Case_mins[[#This Row],[Surgery End Date]]&gt;tbl_Case_mins[[#This Row],[Surgery Start Date]]),ROUND((#REF!-TIME(0,0,0))*1440,0)+1440,ROUND((#REF!-TIME(0,0,0))*1440,0))</f>
        <v>#REF!</v>
      </c>
      <c r="W24" s="9" t="e">
        <f>IF(AND(ROUND((#REF!-TIME(0,0,0))*1440,0)&gt;0,ROUND((#REF!-TIME(0,0,0))*1440,0)&lt;tbl_Case_mins[[#This Row],[Ward Called]],tbl_Case_mins[[#This Row],[Surgery End Date]]&gt;tbl_Case_mins[[#This Row],[Surgery Start Date]]),ROUND((#REF!-TIME(0,0,0))*1440,0)+1440,ROUND((#REF!-TIME(0,0,0))*1440,0))</f>
        <v>#REF!</v>
      </c>
      <c r="X24" s="4" t="e">
        <f>IF(ISBLANK(#REF!),tbl_Case_mins[[#This Row],[Surgery Start Date]],#REF!)</f>
        <v>#REF!</v>
      </c>
      <c r="Y24">
        <f>IFERROR(IF(VLOOKUP(tbl_Case_mins[[#This Row],[Theatre]],'Mng Theatres'!$C$7:$G$12,3,FALSE)="Yes","Yes","No"),0)</f>
        <v>0</v>
      </c>
      <c r="Z24" s="9" t="e" cm="1">
        <f t="array" ref="Z2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 s="9" t="e" cm="1">
        <f t="array" ref="AA2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 s="9" t="e">
        <f>IF(tbl_Case_mins[[#This Row],[Case Type]]="Unsch",1,0)</f>
        <v>#REF!</v>
      </c>
      <c r="AD24" s="9" t="e">
        <f>IF(tbl_Case_mins[[#This Row],[Case Type]]="Sch",1,0)</f>
        <v>#REF!</v>
      </c>
      <c r="AE2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 s="9">
        <f>IFERROR(IF(ISBLANK(INDEX(Am_Close,MATCH(1,INDEX((tbl_Case_mins[[#This Row],[Theatre]]=Theatre_No)*(tbl_Case_mins[[#This Row],[Surgery Start Date]]=Date),0,1),0))*1440),0,INDEX(Am_Close,MATCH(1,INDEX((tbl_Case_mins[[#This Row],[Theatre]]=Theatre_No)*(tbl_Case_mins[[#This Row],[Surgery Start Date]]=Date),0,1),0))*1440),0)</f>
        <v>0</v>
      </c>
      <c r="AG24" s="9">
        <f>IFERROR(IF(ISBLANK(INDEX(PM_Open,MATCH(1,INDEX((tbl_Case_mins[[#This Row],[Theatre]]=Theatre_No)*(tbl_Case_mins[[#This Row],[Surgery Start Date]]=Date),0,1),0))*1440),0,INDEX(PM_Open,MATCH(1,INDEX((tbl_Case_mins[[#This Row],[Theatre]]=Theatre_No)*(tbl_Case_mins[[#This Row],[Surgery Start Date]]=Date),0,1),0))*1440),0)</f>
        <v>0</v>
      </c>
      <c r="AH2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 s="9" t="e">
        <f>IF(tbl_Case_mins[[#This Row],[ThOpenAm]]=0,tbl_Case_mins[[#This Row],[ThOpenPM]],tbl_Case_mins[[#This Row],[ThOpenAm]])</f>
        <v>#REF!</v>
      </c>
      <c r="AJ24" s="9" t="e">
        <f>IF(tbl_Case_mins[[#This Row],[ThCloseAm]]&gt;0,IF(tbl_Case_mins[[#This Row],[ThOpenPM]]&gt;0,tbl_Case_mins[[#This Row],[ThClosePm]],tbl_Case_mins[[#This Row],[ThCloseAm]]),tbl_Case_mins[[#This Row],[ThClosePm]])</f>
        <v>#REF!</v>
      </c>
      <c r="AK24" s="9" t="e">
        <f>IF(tbl_Case_mins[[#This Row],[TOT]]&gt;0,1,0)</f>
        <v>#REF!</v>
      </c>
      <c r="AL2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 s="9" t="e">
        <f>IF(AND(tbl_Case_mins[[#This Row],[Surgery Status]]&lt;&gt;2,tbl_Case_mins[[#This Row],[InCoreCase]]=0,tbl_Case_mins[[#This Row],[CancelledCase]]=0),1,0)</f>
        <v>#REF!</v>
      </c>
      <c r="AN24" s="9" t="e">
        <f>IF(tbl_Case_mins[[#This Row],[Surgery Status]]=1,1,0)</f>
        <v>#REF!</v>
      </c>
      <c r="AO2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 s="9" t="e">
        <f>IF(AND(tbl_Case_mins[[#This Row],[NonCoreCase]]=1,tbl_Case_mins[[#This Row],[NoInCoreTime]]=0),1,0)</f>
        <v>#REF!</v>
      </c>
      <c r="AQ24" s="9" t="e">
        <f>IF(tbl_Case_mins[[#This Row],[Rank_AnaEnd]]&lt;tbl_Case_mins[[#This Row],[Rank_AnaSt]],1,0)</f>
        <v>#REF!</v>
      </c>
      <c r="AR24" s="9" t="e">
        <f>IF(AND(tbl_Case_mins[[#This Row],[InCoreCase]]=1,tbl_Case_mins[[#This Row],[Sch]]=1),1,0)</f>
        <v>#REF!</v>
      </c>
      <c r="AS24" s="9" t="e">
        <f>IF(AND(tbl_Case_mins[[#This Row],[InCoreCase]]=1,tbl_Case_mins[[#This Row],[Unsch]]=1),1,0)</f>
        <v>#REF!</v>
      </c>
      <c r="AT2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 s="9" t="e">
        <f>IF(tbl_Case_mins[[#This Row],[Surgery Status]]=0,(tbl_Case_mins[[#This Row],[Anaesth End]]-tbl_Case_mins[[#This Row],[AnaesthStart]]),0)</f>
        <v>#REF!</v>
      </c>
      <c r="AX24" s="9" t="e">
        <f>IF(tbl_Case_mins[[#This Row],[Surgery Status]]=0,(tbl_Case_mins[[#This Row],[Surgery Finish]]-tbl_Case_mins[[#This Row],[Surgery Start]]),0)</f>
        <v>#REF!</v>
      </c>
      <c r="AY24" s="9" t="e">
        <f>tbl_Case_mins[[#This Row],[Surgery Start]]-tbl_Case_mins[[#This Row],[AnaesthStart]]</f>
        <v>#REF!</v>
      </c>
      <c r="AZ24" s="9" t="e">
        <f>tbl_Case_mins[[#This Row],[Anaesth End]]-tbl_Case_mins[[#This Row],[Surgery Finish]]</f>
        <v>#REF!</v>
      </c>
      <c r="BA2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 s="16" cm="1">
        <f t="array" ref="BC2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 s="16" t="e">
        <f>IF(AND(tbl_Case_mins[[#This Row],[FirstAMCase]]=1,tbl_Case_mins[[#This Row],[CancelledCase]]=0,OR(tbl_Case_mins[[#This Row],[EarlyStartAM]]&gt;0,tbl_Case_mins[[#This Row],[AnaesthStart]]=tbl_Case_mins[[#This Row],[ThOpenAm]])),1,0)</f>
        <v>#REF!</v>
      </c>
      <c r="BE24" s="16" t="e">
        <f>IF(AND(tbl_Case_mins[[#This Row],[Rank_AnaSt]]=tbl_Case_mins[[#This Row],[Min_RankAnaSt]],tbl_Case_mins[[#This Row],[Anaesth End]]&gt;=tbl_Case_mins[[#This Row],[ThOpenAm]],tbl_Case_mins[[#This Row],[PmCase]]=0),1,0)</f>
        <v>#REF!</v>
      </c>
      <c r="BF2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 s="9" t="e" cm="1">
        <f t="array" ref="BH2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 s="9" t="e">
        <f>IF(AND(tbl_Case_mins[[#This Row],[ThOpenPM]]&gt;0,tbl_Case_mins[[#This Row],[AnaesthStart]]&gt;tbl_Case_mins[[#This Row],[ThOpenPM]],tbl_Case_mins[[#This Row],[First PM Case]]=1),tbl_Case_mins[[#This Row],[AnaesthStart]]-tbl_Case_mins[[#This Row],[ThOpenPM]],0)</f>
        <v>#REF!</v>
      </c>
      <c r="BL2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 s="9" t="e" cm="1">
        <f t="array" ref="BN2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 s="9" t="e">
        <f>IF(AND(tbl_Case_mins[[#This Row],[ThClosePm]]&gt;0,tbl_Case_mins[[#This Row],[Anaesth End]]&gt;tbl_Case_mins[[#This Row],[ThClosePm]],tbl_Case_mins[[#This Row],[AnaesthStart]]&gt;tbl_Case_mins[[#This Row],[ThClosePm]]),tbl_Case_mins[[#This Row],[Into Recov]]-tbl_Case_mins[[#This Row],[AnaesthStart]],0)</f>
        <v>#REF!</v>
      </c>
      <c r="BP24" s="9" t="e">
        <f>IF(AND(tbl_Case_mins[[#This Row],[AnaesthStart]]&lt;tbl_Case_mins[[#This Row],[ThClosePm]],tbl_Case_mins[[#This Row],[Anaesth End]]&gt;tbl_Case_mins[[#This Row],[ThClosePm]]),tbl_Case_mins[[#This Row],[Anaesth End]]-tbl_Case_mins[[#This Row],[ThClosePm]],0)</f>
        <v>#REF!</v>
      </c>
      <c r="BQ24" s="9" t="e" cm="1">
        <f t="array" ref="BQ2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 s="9" t="e" cm="1">
        <f t="array" ref="BR24">IF(tbl_Case_mins[[#This Row],[Rank_Adjust]]=SUMPRODUCT(-(tbl_Case_mins[Surgery Start Date]=tbl_Case_mins[[#This Row],[Surgery Start Date]]),-(tbl_Case_mins[Theatre]=tbl_Case_mins[[#This Row],[Theatre]])),INDEX(Poss_Time,MATCH(TEXT(tbl_Case_mins[[#This Row],[Surgery Start Date]],"ddd"),Day,0)),0)</f>
        <v>#REF!</v>
      </c>
      <c r="BS24" s="9" t="e">
        <f>tbl_Case_mins[[#This Row],[Core_Time]]*Util_Goal</f>
        <v>#REF!</v>
      </c>
      <c r="BT24" s="9" t="e" cm="1">
        <f t="array" ref="BT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 s="9" t="e" cm="1">
        <f t="array" ref="BU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 s="9" t="e">
        <f>IF(tbl_Case_mins[[#This Row],[Surgery End Date]]&gt;tbl_Case_mins[[#This Row],[Surgery Start Date]],tbl_Case_mins[[#This Row],[Anaesth End]]-1440,0)</f>
        <v>#REF!</v>
      </c>
      <c r="BY24" s="9" t="e">
        <f>tbl_Case_mins[[#This Row],[Total_NonCore]]-tbl_Case_mins[[#This Row],[NextDay_NonCore]]</f>
        <v>#REF!</v>
      </c>
      <c r="BZ24" s="10" t="e">
        <f>tbl_Case_mins[[#This Row],[InCoreUse]]/60</f>
        <v>#REF!</v>
      </c>
      <c r="CA24" s="10" t="e">
        <f>tbl_Case_mins[[#This Row],[Total_NonCore]]/60</f>
        <v>#REF!</v>
      </c>
      <c r="CB24" t="e" cm="1">
        <f t="array" ref="CB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 s="9" t="e" cm="1">
        <f t="array" ref="CC2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 s="9" t="e" cm="1">
        <f t="array" ref="CD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 s="9" t="e" cm="1">
        <f t="array" ref="CE2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 s="9" cm="1">
        <f t="array" ref="CF24">IFERROR(_xlfn.AGGREGATE(14,6,(tbl_Case_mins[Rank_AnaEnd])/((tbl_Case_mins[Surgery Start Date]=tbl_Case_mins[[#This Row],[Surgery Start Date]])*(tbl_Case_mins[Theatre]=tbl_Case_mins[[#This Row],[Theatre]])*(tbl_Case_mins[NoInCoreTime]=0)),1),-1)</f>
        <v>-1</v>
      </c>
      <c r="CG24" s="9" cm="1">
        <f t="array" ref="CG24">IFERROR(_xlfn.AGGREGATE(15,6,(tbl_Case_mins[Rank_AnaSt])/((tbl_Case_mins[Surgery Start Date]=tbl_Case_mins[[#This Row],[Surgery Start Date]])*(tbl_Case_mins[Theatre]=tbl_Case_mins[[#This Row],[Theatre]])*(tbl_Case_mins[NoInCoreTime]=0)),1),-1)</f>
        <v>-1</v>
      </c>
      <c r="CH2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 t="e" cm="1">
        <f t="array" ref="CJ2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 s="9" cm="1">
        <f t="array" ref="CO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 s="9" cm="1">
        <f t="array" ref="CP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 s="9" cm="1">
        <f t="array" ref="CQ24">IFERROR(IF(AND(tbl_Case_mins[[#This Row],[FirstAMCase]]=0,tbl_Case_mins[[#This Row],[Rank]]=_xlfn.AGGREGATE(14,6,(tbl_Case_mins[Rank])/((tbl_Case_mins[Surgery Start Date]=tbl_Case_mins[[#This Row],[Surgery Start Date]])*(tbl_Case_mins[Theatre]=tbl_Case_mins[[#This Row],[Theatre]])*(tbl_Case_mins[AmCase]=1)),1)),1,0),0)</f>
        <v>0</v>
      </c>
      <c r="CR24" s="9" cm="1">
        <f t="array" ref="CR2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 s="9" t="e" cm="1">
        <f t="array" ref="CS2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 s="9" cm="1">
        <f t="array" ref="CT24">IFERROR(IF(tbl_Case_mins[[#This Row],[Rank]]=_xlfn.AGGREGATE(15,6,(tbl_Case_mins[Rank])/((tbl_Case_mins[Surgery Start Date]=tbl_Case_mins[[#This Row],[Surgery Start Date]])*(tbl_Case_mins[Theatre]=tbl_Case_mins[[#This Row],[Theatre]])*(tbl_Case_mins[PmCase]=1)),1),1,0),0)</f>
        <v>0</v>
      </c>
      <c r="CU24">
        <f>IFERROR(#REF!,0)</f>
        <v>0</v>
      </c>
      <c r="CV24" s="9" t="e" cm="1">
        <f t="array" ref="CV2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 s="9">
        <f>IFERROR(IF(ISBLANK(INDEX(Bay_AmClose,MATCH(1,INDEX((tbl_Case_mins[[#This Row],[Bay]]=BayNo)*(tbl_Case_mins[[#This Row],[Surgery Start Date]]=BDate),0,1),0))*1440),0,INDEX(Bay_AmClose,MATCH(1,INDEX((tbl_Case_mins[[#This Row],[Bay]]=BayNo)*(tbl_Case_mins[[#This Row],[Surgery Start Date]]=BDate),0,1),0))*1440),0)</f>
        <v>0</v>
      </c>
      <c r="CX24" s="9" cm="1">
        <f t="array" ref="CX24">IFERROR(IF(ISBLANK(INDEX(Bay_PmOpen,MATCH(1,INDEX((tbl_Case_mins[[#This Row],[Bay]]=BayNo)*(tbl_Case_mins[[#This Row],[Surgery Start Date]]=BDate),0,1),0))*1440),0,INDEX(Bay_PmOpen,MATCH(1,INDEX((tbl_Case_mins[[#This Row],[Bay]]=BayNo)*(tbl_Case_mins[[#This Row],[Surgery Start Date]]=BDate),0,1),0))*1440),0)</f>
        <v>0</v>
      </c>
      <c r="CY2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 s="9"/>
    </row>
    <row r="25" spans="1:104" x14ac:dyDescent="0.2">
      <c r="A25">
        <v>24</v>
      </c>
      <c r="B25" t="e">
        <f>#REF!</f>
        <v>#REF!</v>
      </c>
      <c r="C25" t="e">
        <f>#REF!</f>
        <v>#REF!</v>
      </c>
      <c r="D25" t="e">
        <f>#REF!</f>
        <v>#REF!</v>
      </c>
      <c r="E25" t="e">
        <f>#REF!</f>
        <v>#REF!</v>
      </c>
      <c r="F25" t="e">
        <f>#REF!</f>
        <v>#REF!</v>
      </c>
      <c r="G25" t="e">
        <f>#REF!</f>
        <v>#REF!</v>
      </c>
      <c r="H25" t="e">
        <f>#REF!</f>
        <v>#REF!</v>
      </c>
      <c r="I25" t="e">
        <f>IF(#REF!="Case Cancelled",1,IF(#REF!="No Cases",2,0))</f>
        <v>#REF!</v>
      </c>
      <c r="J25" t="e">
        <f>#REF!</f>
        <v>#REF!</v>
      </c>
      <c r="K25" s="4" t="e">
        <f>#REF!</f>
        <v>#REF!</v>
      </c>
      <c r="L25" t="e">
        <f>"Wk "&amp;WEEKNUM(tbl_Case_mins[[#This Row],[Surgery Start Date]],21)</f>
        <v>#REF!</v>
      </c>
      <c r="M25" t="e">
        <f>TEXT(tbl_Case_mins[[#This Row],[Surgery Start Date]],"ddd")</f>
        <v>#REF!</v>
      </c>
      <c r="N25" s="9" t="e">
        <f>(#REF!-TIME(0,0,0))*1440</f>
        <v>#REF!</v>
      </c>
      <c r="O25" t="e">
        <f>IF(AND(ROUND((#REF!-TIME(0,0,0))*1440,0)&gt;0,ROUND((#REF!-TIME(0,0,0))*1440,0)&lt;tbl_Case_mins[[#This Row],[Patient Called]],tbl_Case_mins[[#This Row],[Surgery End Date]]&gt;tbl_Case_mins[[#This Row],[Surgery Start Date]]),ROUND((#REF!-TIME(0,0,0))*1440,0)+1440,ROUND((#REF!-TIME(0,0,0))*1440,0))</f>
        <v>#REF!</v>
      </c>
      <c r="P25" s="9" t="e">
        <f>IF(AND(ROUND((#REF!-TIME(0,0,0))*1440,0)&gt;0,ROUND((#REF!-TIME(0,0,0))*1440,0)&lt;tbl_Case_mins[[#This Row],[Arrival]],tbl_Case_mins[[#This Row],[Surgery End Date]]&gt;tbl_Case_mins[[#This Row],[Surgery Start Date]]),ROUND((#REF!-TIME(0,0,0))*1440,0)+1440,ROUND((#REF!-TIME(0,0,0))*1440,0))</f>
        <v>#REF!</v>
      </c>
      <c r="Q25" s="9" t="e">
        <f>IF(AND(ROUND((#REF!-TIME(0,0,0))*1440,0)&gt;0,ROUND((#REF!-TIME(0,0,0))*1440,0)&lt;tbl_Case_mins[[#This Row],[Into Th or AR]],tbl_Case_mins[[#This Row],[Surgery End Date]]&gt;tbl_Case_mins[[#This Row],[Surgery Start Date]]),ROUND((#REF!-TIME(0,0,0))*1440,0)+1440,ROUND((#REF!-TIME(0,0,0))*1440,0))</f>
        <v>#REF!</v>
      </c>
      <c r="R25" s="9" t="e">
        <f>IF(AND(ROUND((#REF!-TIME(0,0,0))*1440,0)&gt;0,ROUND((#REF!-TIME(0,0,0))*1440,0)&lt;tbl_Case_mins[[#This Row],[AnaesthStart]],tbl_Case_mins[[#This Row],[Surgery End Date]]&gt;tbl_Case_mins[[#This Row],[Surgery Start Date]]),ROUND((#REF!-TIME(0,0,0))*1440,0)+1440,ROUND((#REF!-TIME(0,0,0))*1440,0))</f>
        <v>#REF!</v>
      </c>
      <c r="S25" s="9" t="e">
        <f>IF(AND(ROUND((#REF!-TIME(0,0,0))*1440,0),ROUND((#REF!-TIME(0,0,0))*1440,0)&lt;tbl_Case_mins[[#This Row],[Surgery Start]],tbl_Case_mins[[#This Row],[Surgery End Date]]&gt;tbl_Case_mins[[#This Row],[Surgery Start Date]]),ROUND((#REF!-TIME(0,0,0))*1440,0)+1440,ROUND((#REF!-TIME(0,0,0))*1440,0))</f>
        <v>#REF!</v>
      </c>
      <c r="T25" s="9" t="e">
        <f>IF(AND(ROUND((#REF!-TIME(0,0,0))*1440,0)&gt;0,ROUND((#REF!-TIME(0,0,0))*1440,0)&lt;tbl_Case_mins[[#This Row],[Surgery Finish]],tbl_Case_mins[[#This Row],[Surgery End Date]]&gt;tbl_Case_mins[[#This Row],[Surgery Start Date]]),ROUND((#REF!-TIME(0,0,0))*1440,0)+1440,ROUND((#REF!-TIME(0,0,0))*1440,0))</f>
        <v>#REF!</v>
      </c>
      <c r="U25" s="9" t="e">
        <f>IF(AND(ROUND((#REF!-TIME(0,0,0))*1440,0)&gt;0,ROUND((#REF!-TIME(0,0,0))*1440,0)&lt;tbl_Case_mins[[#This Row],[Anaesth End]],tbl_Case_mins[[#This Row],[Surgery End Date]]&gt;tbl_Case_mins[[#This Row],[Surgery Start Date]]),ROUND((#REF!-TIME(0,0,0))*1440,0)+1440,ROUND((#REF!-TIME(0,0,0))*1440,0))</f>
        <v>#REF!</v>
      </c>
      <c r="V25" s="9" t="e">
        <f>IF(AND(ROUND((#REF!-TIME(0,0,0))*1440,0)&gt;0,ROUND((#REF!-TIME(0,0,0))*1440,0)&lt;tbl_Case_mins[[#This Row],[Into Recov]],tbl_Case_mins[[#This Row],[Surgery End Date]]&gt;tbl_Case_mins[[#This Row],[Surgery Start Date]]),ROUND((#REF!-TIME(0,0,0))*1440,0)+1440,ROUND((#REF!-TIME(0,0,0))*1440,0))</f>
        <v>#REF!</v>
      </c>
      <c r="W25" s="9" t="e">
        <f>IF(AND(ROUND((#REF!-TIME(0,0,0))*1440,0)&gt;0,ROUND((#REF!-TIME(0,0,0))*1440,0)&lt;tbl_Case_mins[[#This Row],[Ward Called]],tbl_Case_mins[[#This Row],[Surgery End Date]]&gt;tbl_Case_mins[[#This Row],[Surgery Start Date]]),ROUND((#REF!-TIME(0,0,0))*1440,0)+1440,ROUND((#REF!-TIME(0,0,0))*1440,0))</f>
        <v>#REF!</v>
      </c>
      <c r="X25" s="4" t="e">
        <f>IF(ISBLANK(#REF!),tbl_Case_mins[[#This Row],[Surgery Start Date]],#REF!)</f>
        <v>#REF!</v>
      </c>
      <c r="Y25">
        <f>IFERROR(IF(VLOOKUP(tbl_Case_mins[[#This Row],[Theatre]],'Mng Theatres'!$C$7:$G$12,3,FALSE)="Yes","Yes","No"),0)</f>
        <v>0</v>
      </c>
      <c r="Z25" s="9" t="e" cm="1">
        <f t="array" ref="Z2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 s="9" t="e" cm="1">
        <f t="array" ref="AA2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 s="9" t="e">
        <f>IF(tbl_Case_mins[[#This Row],[Case Type]]="Unsch",1,0)</f>
        <v>#REF!</v>
      </c>
      <c r="AD25" s="9" t="e">
        <f>IF(tbl_Case_mins[[#This Row],[Case Type]]="Sch",1,0)</f>
        <v>#REF!</v>
      </c>
      <c r="AE2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 s="9">
        <f>IFERROR(IF(ISBLANK(INDEX(Am_Close,MATCH(1,INDEX((tbl_Case_mins[[#This Row],[Theatre]]=Theatre_No)*(tbl_Case_mins[[#This Row],[Surgery Start Date]]=Date),0,1),0))*1440),0,INDEX(Am_Close,MATCH(1,INDEX((tbl_Case_mins[[#This Row],[Theatre]]=Theatre_No)*(tbl_Case_mins[[#This Row],[Surgery Start Date]]=Date),0,1),0))*1440),0)</f>
        <v>0</v>
      </c>
      <c r="AG25" s="9">
        <f>IFERROR(IF(ISBLANK(INDEX(PM_Open,MATCH(1,INDEX((tbl_Case_mins[[#This Row],[Theatre]]=Theatre_No)*(tbl_Case_mins[[#This Row],[Surgery Start Date]]=Date),0,1),0))*1440),0,INDEX(PM_Open,MATCH(1,INDEX((tbl_Case_mins[[#This Row],[Theatre]]=Theatre_No)*(tbl_Case_mins[[#This Row],[Surgery Start Date]]=Date),0,1),0))*1440),0)</f>
        <v>0</v>
      </c>
      <c r="AH2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 s="9" t="e">
        <f>IF(tbl_Case_mins[[#This Row],[ThOpenAm]]=0,tbl_Case_mins[[#This Row],[ThOpenPM]],tbl_Case_mins[[#This Row],[ThOpenAm]])</f>
        <v>#REF!</v>
      </c>
      <c r="AJ25" s="9" t="e">
        <f>IF(tbl_Case_mins[[#This Row],[ThCloseAm]]&gt;0,IF(tbl_Case_mins[[#This Row],[ThOpenPM]]&gt;0,tbl_Case_mins[[#This Row],[ThClosePm]],tbl_Case_mins[[#This Row],[ThCloseAm]]),tbl_Case_mins[[#This Row],[ThClosePm]])</f>
        <v>#REF!</v>
      </c>
      <c r="AK25" s="9" t="e">
        <f>IF(tbl_Case_mins[[#This Row],[TOT]]&gt;0,1,0)</f>
        <v>#REF!</v>
      </c>
      <c r="AL2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 s="9" t="e">
        <f>IF(AND(tbl_Case_mins[[#This Row],[Surgery Status]]&lt;&gt;2,tbl_Case_mins[[#This Row],[InCoreCase]]=0,tbl_Case_mins[[#This Row],[CancelledCase]]=0),1,0)</f>
        <v>#REF!</v>
      </c>
      <c r="AN25" s="9" t="e">
        <f>IF(tbl_Case_mins[[#This Row],[Surgery Status]]=1,1,0)</f>
        <v>#REF!</v>
      </c>
      <c r="AO2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 s="9" t="e">
        <f>IF(AND(tbl_Case_mins[[#This Row],[NonCoreCase]]=1,tbl_Case_mins[[#This Row],[NoInCoreTime]]=0),1,0)</f>
        <v>#REF!</v>
      </c>
      <c r="AQ25" s="9" t="e">
        <f>IF(tbl_Case_mins[[#This Row],[Rank_AnaEnd]]&lt;tbl_Case_mins[[#This Row],[Rank_AnaSt]],1,0)</f>
        <v>#REF!</v>
      </c>
      <c r="AR25" s="9" t="e">
        <f>IF(AND(tbl_Case_mins[[#This Row],[InCoreCase]]=1,tbl_Case_mins[[#This Row],[Sch]]=1),1,0)</f>
        <v>#REF!</v>
      </c>
      <c r="AS25" s="9" t="e">
        <f>IF(AND(tbl_Case_mins[[#This Row],[InCoreCase]]=1,tbl_Case_mins[[#This Row],[Unsch]]=1),1,0)</f>
        <v>#REF!</v>
      </c>
      <c r="AT2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 s="9" t="e">
        <f>IF(tbl_Case_mins[[#This Row],[Surgery Status]]=0,(tbl_Case_mins[[#This Row],[Anaesth End]]-tbl_Case_mins[[#This Row],[AnaesthStart]]),0)</f>
        <v>#REF!</v>
      </c>
      <c r="AX25" s="9" t="e">
        <f>IF(tbl_Case_mins[[#This Row],[Surgery Status]]=0,(tbl_Case_mins[[#This Row],[Surgery Finish]]-tbl_Case_mins[[#This Row],[Surgery Start]]),0)</f>
        <v>#REF!</v>
      </c>
      <c r="AY25" s="9" t="e">
        <f>tbl_Case_mins[[#This Row],[Surgery Start]]-tbl_Case_mins[[#This Row],[AnaesthStart]]</f>
        <v>#REF!</v>
      </c>
      <c r="AZ25" s="9" t="e">
        <f>tbl_Case_mins[[#This Row],[Anaesth End]]-tbl_Case_mins[[#This Row],[Surgery Finish]]</f>
        <v>#REF!</v>
      </c>
      <c r="BA2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 s="16" cm="1">
        <f t="array" ref="BC2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 s="16" t="e">
        <f>IF(AND(tbl_Case_mins[[#This Row],[FirstAMCase]]=1,tbl_Case_mins[[#This Row],[CancelledCase]]=0,OR(tbl_Case_mins[[#This Row],[EarlyStartAM]]&gt;0,tbl_Case_mins[[#This Row],[AnaesthStart]]=tbl_Case_mins[[#This Row],[ThOpenAm]])),1,0)</f>
        <v>#REF!</v>
      </c>
      <c r="BE25" s="16" t="e">
        <f>IF(AND(tbl_Case_mins[[#This Row],[Rank_AnaSt]]=tbl_Case_mins[[#This Row],[Min_RankAnaSt]],tbl_Case_mins[[#This Row],[Anaesth End]]&gt;=tbl_Case_mins[[#This Row],[ThOpenAm]],tbl_Case_mins[[#This Row],[PmCase]]=0),1,0)</f>
        <v>#REF!</v>
      </c>
      <c r="BF2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 s="9" t="e" cm="1">
        <f t="array" ref="BH2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 s="9" t="e">
        <f>IF(AND(tbl_Case_mins[[#This Row],[ThOpenPM]]&gt;0,tbl_Case_mins[[#This Row],[AnaesthStart]]&gt;tbl_Case_mins[[#This Row],[ThOpenPM]],tbl_Case_mins[[#This Row],[First PM Case]]=1),tbl_Case_mins[[#This Row],[AnaesthStart]]-tbl_Case_mins[[#This Row],[ThOpenPM]],0)</f>
        <v>#REF!</v>
      </c>
      <c r="BL2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 s="9" t="e" cm="1">
        <f t="array" ref="BN2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 s="9" t="e">
        <f>IF(AND(tbl_Case_mins[[#This Row],[ThClosePm]]&gt;0,tbl_Case_mins[[#This Row],[Anaesth End]]&gt;tbl_Case_mins[[#This Row],[ThClosePm]],tbl_Case_mins[[#This Row],[AnaesthStart]]&gt;tbl_Case_mins[[#This Row],[ThClosePm]]),tbl_Case_mins[[#This Row],[Into Recov]]-tbl_Case_mins[[#This Row],[AnaesthStart]],0)</f>
        <v>#REF!</v>
      </c>
      <c r="BP25" s="9" t="e">
        <f>IF(AND(tbl_Case_mins[[#This Row],[AnaesthStart]]&lt;tbl_Case_mins[[#This Row],[ThClosePm]],tbl_Case_mins[[#This Row],[Anaesth End]]&gt;tbl_Case_mins[[#This Row],[ThClosePm]]),tbl_Case_mins[[#This Row],[Anaesth End]]-tbl_Case_mins[[#This Row],[ThClosePm]],0)</f>
        <v>#REF!</v>
      </c>
      <c r="BQ25" s="9" t="e" cm="1">
        <f t="array" ref="BQ2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 s="9" t="e" cm="1">
        <f t="array" ref="BR25">IF(tbl_Case_mins[[#This Row],[Rank_Adjust]]=SUMPRODUCT(-(tbl_Case_mins[Surgery Start Date]=tbl_Case_mins[[#This Row],[Surgery Start Date]]),-(tbl_Case_mins[Theatre]=tbl_Case_mins[[#This Row],[Theatre]])),INDEX(Poss_Time,MATCH(TEXT(tbl_Case_mins[[#This Row],[Surgery Start Date]],"ddd"),Day,0)),0)</f>
        <v>#REF!</v>
      </c>
      <c r="BS25" s="9" t="e">
        <f>tbl_Case_mins[[#This Row],[Core_Time]]*Util_Goal</f>
        <v>#REF!</v>
      </c>
      <c r="BT25" s="9" t="e" cm="1">
        <f t="array" ref="BT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 s="9" t="e" cm="1">
        <f t="array" ref="BU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 s="9" t="e">
        <f>IF(tbl_Case_mins[[#This Row],[Surgery End Date]]&gt;tbl_Case_mins[[#This Row],[Surgery Start Date]],tbl_Case_mins[[#This Row],[Anaesth End]]-1440,0)</f>
        <v>#REF!</v>
      </c>
      <c r="BY25" s="9" t="e">
        <f>tbl_Case_mins[[#This Row],[Total_NonCore]]-tbl_Case_mins[[#This Row],[NextDay_NonCore]]</f>
        <v>#REF!</v>
      </c>
      <c r="BZ25" s="10" t="e">
        <f>tbl_Case_mins[[#This Row],[InCoreUse]]/60</f>
        <v>#REF!</v>
      </c>
      <c r="CA25" s="10" t="e">
        <f>tbl_Case_mins[[#This Row],[Total_NonCore]]/60</f>
        <v>#REF!</v>
      </c>
      <c r="CB25" t="e" cm="1">
        <f t="array" ref="CB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 s="9" t="e" cm="1">
        <f t="array" ref="CC2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 s="9" t="e" cm="1">
        <f t="array" ref="CD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 s="9" t="e" cm="1">
        <f t="array" ref="CE2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 s="9" cm="1">
        <f t="array" ref="CF25">IFERROR(_xlfn.AGGREGATE(14,6,(tbl_Case_mins[Rank_AnaEnd])/((tbl_Case_mins[Surgery Start Date]=tbl_Case_mins[[#This Row],[Surgery Start Date]])*(tbl_Case_mins[Theatre]=tbl_Case_mins[[#This Row],[Theatre]])*(tbl_Case_mins[NoInCoreTime]=0)),1),-1)</f>
        <v>-1</v>
      </c>
      <c r="CG25" s="9" cm="1">
        <f t="array" ref="CG25">IFERROR(_xlfn.AGGREGATE(15,6,(tbl_Case_mins[Rank_AnaSt])/((tbl_Case_mins[Surgery Start Date]=tbl_Case_mins[[#This Row],[Surgery Start Date]])*(tbl_Case_mins[Theatre]=tbl_Case_mins[[#This Row],[Theatre]])*(tbl_Case_mins[NoInCoreTime]=0)),1),-1)</f>
        <v>-1</v>
      </c>
      <c r="CH2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 t="e" cm="1">
        <f t="array" ref="CJ2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 s="9" cm="1">
        <f t="array" ref="CO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 s="9" cm="1">
        <f t="array" ref="CP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 s="9" cm="1">
        <f t="array" ref="CQ25">IFERROR(IF(AND(tbl_Case_mins[[#This Row],[FirstAMCase]]=0,tbl_Case_mins[[#This Row],[Rank]]=_xlfn.AGGREGATE(14,6,(tbl_Case_mins[Rank])/((tbl_Case_mins[Surgery Start Date]=tbl_Case_mins[[#This Row],[Surgery Start Date]])*(tbl_Case_mins[Theatre]=tbl_Case_mins[[#This Row],[Theatre]])*(tbl_Case_mins[AmCase]=1)),1)),1,0),0)</f>
        <v>0</v>
      </c>
      <c r="CR25" s="9" cm="1">
        <f t="array" ref="CR2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 s="9" t="e" cm="1">
        <f t="array" ref="CS2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 s="9" cm="1">
        <f t="array" ref="CT25">IFERROR(IF(tbl_Case_mins[[#This Row],[Rank]]=_xlfn.AGGREGATE(15,6,(tbl_Case_mins[Rank])/((tbl_Case_mins[Surgery Start Date]=tbl_Case_mins[[#This Row],[Surgery Start Date]])*(tbl_Case_mins[Theatre]=tbl_Case_mins[[#This Row],[Theatre]])*(tbl_Case_mins[PmCase]=1)),1),1,0),0)</f>
        <v>0</v>
      </c>
      <c r="CU25">
        <f>IFERROR(#REF!,0)</f>
        <v>0</v>
      </c>
      <c r="CV25" s="9" t="e" cm="1">
        <f t="array" ref="CV2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 s="9">
        <f>IFERROR(IF(ISBLANK(INDEX(Bay_AmClose,MATCH(1,INDEX((tbl_Case_mins[[#This Row],[Bay]]=BayNo)*(tbl_Case_mins[[#This Row],[Surgery Start Date]]=BDate),0,1),0))*1440),0,INDEX(Bay_AmClose,MATCH(1,INDEX((tbl_Case_mins[[#This Row],[Bay]]=BayNo)*(tbl_Case_mins[[#This Row],[Surgery Start Date]]=BDate),0,1),0))*1440),0)</f>
        <v>0</v>
      </c>
      <c r="CX25" s="9" cm="1">
        <f t="array" ref="CX25">IFERROR(IF(ISBLANK(INDEX(Bay_PmOpen,MATCH(1,INDEX((tbl_Case_mins[[#This Row],[Bay]]=BayNo)*(tbl_Case_mins[[#This Row],[Surgery Start Date]]=BDate),0,1),0))*1440),0,INDEX(Bay_PmOpen,MATCH(1,INDEX((tbl_Case_mins[[#This Row],[Bay]]=BayNo)*(tbl_Case_mins[[#This Row],[Surgery Start Date]]=BDate),0,1),0))*1440),0)</f>
        <v>0</v>
      </c>
      <c r="CY2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 s="9"/>
    </row>
    <row r="26" spans="1:104" x14ac:dyDescent="0.2">
      <c r="A26">
        <v>25</v>
      </c>
      <c r="B26" t="e">
        <f>#REF!</f>
        <v>#REF!</v>
      </c>
      <c r="C26" t="e">
        <f>#REF!</f>
        <v>#REF!</v>
      </c>
      <c r="D26" t="e">
        <f>#REF!</f>
        <v>#REF!</v>
      </c>
      <c r="E26" t="e">
        <f>#REF!</f>
        <v>#REF!</v>
      </c>
      <c r="F26" t="e">
        <f>#REF!</f>
        <v>#REF!</v>
      </c>
      <c r="G26" t="e">
        <f>#REF!</f>
        <v>#REF!</v>
      </c>
      <c r="H26" t="e">
        <f>#REF!</f>
        <v>#REF!</v>
      </c>
      <c r="I26" t="e">
        <f>IF(#REF!="Case Cancelled",1,IF(#REF!="No Cases",2,0))</f>
        <v>#REF!</v>
      </c>
      <c r="J26" t="e">
        <f>#REF!</f>
        <v>#REF!</v>
      </c>
      <c r="K26" s="4" t="e">
        <f>#REF!</f>
        <v>#REF!</v>
      </c>
      <c r="L26" t="e">
        <f>"Wk "&amp;WEEKNUM(tbl_Case_mins[[#This Row],[Surgery Start Date]],21)</f>
        <v>#REF!</v>
      </c>
      <c r="M26" t="e">
        <f>TEXT(tbl_Case_mins[[#This Row],[Surgery Start Date]],"ddd")</f>
        <v>#REF!</v>
      </c>
      <c r="N26" s="9" t="e">
        <f>(#REF!-TIME(0,0,0))*1440</f>
        <v>#REF!</v>
      </c>
      <c r="O26" t="e">
        <f>IF(AND(ROUND((#REF!-TIME(0,0,0))*1440,0)&gt;0,ROUND((#REF!-TIME(0,0,0))*1440,0)&lt;tbl_Case_mins[[#This Row],[Patient Called]],tbl_Case_mins[[#This Row],[Surgery End Date]]&gt;tbl_Case_mins[[#This Row],[Surgery Start Date]]),ROUND((#REF!-TIME(0,0,0))*1440,0)+1440,ROUND((#REF!-TIME(0,0,0))*1440,0))</f>
        <v>#REF!</v>
      </c>
      <c r="P26" s="9" t="e">
        <f>IF(AND(ROUND((#REF!-TIME(0,0,0))*1440,0)&gt;0,ROUND((#REF!-TIME(0,0,0))*1440,0)&lt;tbl_Case_mins[[#This Row],[Arrival]],tbl_Case_mins[[#This Row],[Surgery End Date]]&gt;tbl_Case_mins[[#This Row],[Surgery Start Date]]),ROUND((#REF!-TIME(0,0,0))*1440,0)+1440,ROUND((#REF!-TIME(0,0,0))*1440,0))</f>
        <v>#REF!</v>
      </c>
      <c r="Q26" s="9" t="e">
        <f>IF(AND(ROUND((#REF!-TIME(0,0,0))*1440,0)&gt;0,ROUND((#REF!-TIME(0,0,0))*1440,0)&lt;tbl_Case_mins[[#This Row],[Into Th or AR]],tbl_Case_mins[[#This Row],[Surgery End Date]]&gt;tbl_Case_mins[[#This Row],[Surgery Start Date]]),ROUND((#REF!-TIME(0,0,0))*1440,0)+1440,ROUND((#REF!-TIME(0,0,0))*1440,0))</f>
        <v>#REF!</v>
      </c>
      <c r="R26" s="9" t="e">
        <f>IF(AND(ROUND((#REF!-TIME(0,0,0))*1440,0)&gt;0,ROUND((#REF!-TIME(0,0,0))*1440,0)&lt;tbl_Case_mins[[#This Row],[AnaesthStart]],tbl_Case_mins[[#This Row],[Surgery End Date]]&gt;tbl_Case_mins[[#This Row],[Surgery Start Date]]),ROUND((#REF!-TIME(0,0,0))*1440,0)+1440,ROUND((#REF!-TIME(0,0,0))*1440,0))</f>
        <v>#REF!</v>
      </c>
      <c r="S26" s="9" t="e">
        <f>IF(AND(ROUND((#REF!-TIME(0,0,0))*1440,0),ROUND((#REF!-TIME(0,0,0))*1440,0)&lt;tbl_Case_mins[[#This Row],[Surgery Start]],tbl_Case_mins[[#This Row],[Surgery End Date]]&gt;tbl_Case_mins[[#This Row],[Surgery Start Date]]),ROUND((#REF!-TIME(0,0,0))*1440,0)+1440,ROUND((#REF!-TIME(0,0,0))*1440,0))</f>
        <v>#REF!</v>
      </c>
      <c r="T26" s="9" t="e">
        <f>IF(AND(ROUND((#REF!-TIME(0,0,0))*1440,0)&gt;0,ROUND((#REF!-TIME(0,0,0))*1440,0)&lt;tbl_Case_mins[[#This Row],[Surgery Finish]],tbl_Case_mins[[#This Row],[Surgery End Date]]&gt;tbl_Case_mins[[#This Row],[Surgery Start Date]]),ROUND((#REF!-TIME(0,0,0))*1440,0)+1440,ROUND((#REF!-TIME(0,0,0))*1440,0))</f>
        <v>#REF!</v>
      </c>
      <c r="U26" s="9" t="e">
        <f>IF(AND(ROUND((#REF!-TIME(0,0,0))*1440,0)&gt;0,ROUND((#REF!-TIME(0,0,0))*1440,0)&lt;tbl_Case_mins[[#This Row],[Anaesth End]],tbl_Case_mins[[#This Row],[Surgery End Date]]&gt;tbl_Case_mins[[#This Row],[Surgery Start Date]]),ROUND((#REF!-TIME(0,0,0))*1440,0)+1440,ROUND((#REF!-TIME(0,0,0))*1440,0))</f>
        <v>#REF!</v>
      </c>
      <c r="V26" s="9" t="e">
        <f>IF(AND(ROUND((#REF!-TIME(0,0,0))*1440,0)&gt;0,ROUND((#REF!-TIME(0,0,0))*1440,0)&lt;tbl_Case_mins[[#This Row],[Into Recov]],tbl_Case_mins[[#This Row],[Surgery End Date]]&gt;tbl_Case_mins[[#This Row],[Surgery Start Date]]),ROUND((#REF!-TIME(0,0,0))*1440,0)+1440,ROUND((#REF!-TIME(0,0,0))*1440,0))</f>
        <v>#REF!</v>
      </c>
      <c r="W26" s="9" t="e">
        <f>IF(AND(ROUND((#REF!-TIME(0,0,0))*1440,0)&gt;0,ROUND((#REF!-TIME(0,0,0))*1440,0)&lt;tbl_Case_mins[[#This Row],[Ward Called]],tbl_Case_mins[[#This Row],[Surgery End Date]]&gt;tbl_Case_mins[[#This Row],[Surgery Start Date]]),ROUND((#REF!-TIME(0,0,0))*1440,0)+1440,ROUND((#REF!-TIME(0,0,0))*1440,0))</f>
        <v>#REF!</v>
      </c>
      <c r="X26" s="4" t="e">
        <f>IF(ISBLANK(#REF!),tbl_Case_mins[[#This Row],[Surgery Start Date]],#REF!)</f>
        <v>#REF!</v>
      </c>
      <c r="Y26">
        <f>IFERROR(IF(VLOOKUP(tbl_Case_mins[[#This Row],[Theatre]],'Mng Theatres'!$C$7:$G$12,3,FALSE)="Yes","Yes","No"),0)</f>
        <v>0</v>
      </c>
      <c r="Z26" s="9" t="e" cm="1">
        <f t="array" ref="Z2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 s="9" t="e" cm="1">
        <f t="array" ref="AA2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 s="9" t="e">
        <f>IF(tbl_Case_mins[[#This Row],[Case Type]]="Unsch",1,0)</f>
        <v>#REF!</v>
      </c>
      <c r="AD26" s="9" t="e">
        <f>IF(tbl_Case_mins[[#This Row],[Case Type]]="Sch",1,0)</f>
        <v>#REF!</v>
      </c>
      <c r="AE2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 s="9">
        <f>IFERROR(IF(ISBLANK(INDEX(Am_Close,MATCH(1,INDEX((tbl_Case_mins[[#This Row],[Theatre]]=Theatre_No)*(tbl_Case_mins[[#This Row],[Surgery Start Date]]=Date),0,1),0))*1440),0,INDEX(Am_Close,MATCH(1,INDEX((tbl_Case_mins[[#This Row],[Theatre]]=Theatre_No)*(tbl_Case_mins[[#This Row],[Surgery Start Date]]=Date),0,1),0))*1440),0)</f>
        <v>0</v>
      </c>
      <c r="AG26" s="9">
        <f>IFERROR(IF(ISBLANK(INDEX(PM_Open,MATCH(1,INDEX((tbl_Case_mins[[#This Row],[Theatre]]=Theatre_No)*(tbl_Case_mins[[#This Row],[Surgery Start Date]]=Date),0,1),0))*1440),0,INDEX(PM_Open,MATCH(1,INDEX((tbl_Case_mins[[#This Row],[Theatre]]=Theatre_No)*(tbl_Case_mins[[#This Row],[Surgery Start Date]]=Date),0,1),0))*1440),0)</f>
        <v>0</v>
      </c>
      <c r="AH2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 s="9" t="e">
        <f>IF(tbl_Case_mins[[#This Row],[ThOpenAm]]=0,tbl_Case_mins[[#This Row],[ThOpenPM]],tbl_Case_mins[[#This Row],[ThOpenAm]])</f>
        <v>#REF!</v>
      </c>
      <c r="AJ26" s="9" t="e">
        <f>IF(tbl_Case_mins[[#This Row],[ThCloseAm]]&gt;0,IF(tbl_Case_mins[[#This Row],[ThOpenPM]]&gt;0,tbl_Case_mins[[#This Row],[ThClosePm]],tbl_Case_mins[[#This Row],[ThCloseAm]]),tbl_Case_mins[[#This Row],[ThClosePm]])</f>
        <v>#REF!</v>
      </c>
      <c r="AK26" s="9" t="e">
        <f>IF(tbl_Case_mins[[#This Row],[TOT]]&gt;0,1,0)</f>
        <v>#REF!</v>
      </c>
      <c r="AL2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 s="9" t="e">
        <f>IF(AND(tbl_Case_mins[[#This Row],[Surgery Status]]&lt;&gt;2,tbl_Case_mins[[#This Row],[InCoreCase]]=0,tbl_Case_mins[[#This Row],[CancelledCase]]=0),1,0)</f>
        <v>#REF!</v>
      </c>
      <c r="AN26" s="9" t="e">
        <f>IF(tbl_Case_mins[[#This Row],[Surgery Status]]=1,1,0)</f>
        <v>#REF!</v>
      </c>
      <c r="AO2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 s="9" t="e">
        <f>IF(AND(tbl_Case_mins[[#This Row],[NonCoreCase]]=1,tbl_Case_mins[[#This Row],[NoInCoreTime]]=0),1,0)</f>
        <v>#REF!</v>
      </c>
      <c r="AQ26" s="9" t="e">
        <f>IF(tbl_Case_mins[[#This Row],[Rank_AnaEnd]]&lt;tbl_Case_mins[[#This Row],[Rank_AnaSt]],1,0)</f>
        <v>#REF!</v>
      </c>
      <c r="AR26" s="9" t="e">
        <f>IF(AND(tbl_Case_mins[[#This Row],[InCoreCase]]=1,tbl_Case_mins[[#This Row],[Sch]]=1),1,0)</f>
        <v>#REF!</v>
      </c>
      <c r="AS26" s="9" t="e">
        <f>IF(AND(tbl_Case_mins[[#This Row],[InCoreCase]]=1,tbl_Case_mins[[#This Row],[Unsch]]=1),1,0)</f>
        <v>#REF!</v>
      </c>
      <c r="AT2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 s="9" t="e">
        <f>IF(tbl_Case_mins[[#This Row],[Surgery Status]]=0,(tbl_Case_mins[[#This Row],[Anaesth End]]-tbl_Case_mins[[#This Row],[AnaesthStart]]),0)</f>
        <v>#REF!</v>
      </c>
      <c r="AX26" s="9" t="e">
        <f>IF(tbl_Case_mins[[#This Row],[Surgery Status]]=0,(tbl_Case_mins[[#This Row],[Surgery Finish]]-tbl_Case_mins[[#This Row],[Surgery Start]]),0)</f>
        <v>#REF!</v>
      </c>
      <c r="AY26" s="9" t="e">
        <f>tbl_Case_mins[[#This Row],[Surgery Start]]-tbl_Case_mins[[#This Row],[AnaesthStart]]</f>
        <v>#REF!</v>
      </c>
      <c r="AZ26" s="9" t="e">
        <f>tbl_Case_mins[[#This Row],[Anaesth End]]-tbl_Case_mins[[#This Row],[Surgery Finish]]</f>
        <v>#REF!</v>
      </c>
      <c r="BA2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 s="16" cm="1">
        <f t="array" ref="BC2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 s="16" t="e">
        <f>IF(AND(tbl_Case_mins[[#This Row],[FirstAMCase]]=1,tbl_Case_mins[[#This Row],[CancelledCase]]=0,OR(tbl_Case_mins[[#This Row],[EarlyStartAM]]&gt;0,tbl_Case_mins[[#This Row],[AnaesthStart]]=tbl_Case_mins[[#This Row],[ThOpenAm]])),1,0)</f>
        <v>#REF!</v>
      </c>
      <c r="BE26" s="16" t="e">
        <f>IF(AND(tbl_Case_mins[[#This Row],[Rank_AnaSt]]=tbl_Case_mins[[#This Row],[Min_RankAnaSt]],tbl_Case_mins[[#This Row],[Anaesth End]]&gt;=tbl_Case_mins[[#This Row],[ThOpenAm]],tbl_Case_mins[[#This Row],[PmCase]]=0),1,0)</f>
        <v>#REF!</v>
      </c>
      <c r="BF2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 s="9" t="e" cm="1">
        <f t="array" ref="BH2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 s="9" t="e">
        <f>IF(AND(tbl_Case_mins[[#This Row],[ThOpenPM]]&gt;0,tbl_Case_mins[[#This Row],[AnaesthStart]]&gt;tbl_Case_mins[[#This Row],[ThOpenPM]],tbl_Case_mins[[#This Row],[First PM Case]]=1),tbl_Case_mins[[#This Row],[AnaesthStart]]-tbl_Case_mins[[#This Row],[ThOpenPM]],0)</f>
        <v>#REF!</v>
      </c>
      <c r="BL2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 s="9" t="e" cm="1">
        <f t="array" ref="BN2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 s="9" t="e">
        <f>IF(AND(tbl_Case_mins[[#This Row],[ThClosePm]]&gt;0,tbl_Case_mins[[#This Row],[Anaesth End]]&gt;tbl_Case_mins[[#This Row],[ThClosePm]],tbl_Case_mins[[#This Row],[AnaesthStart]]&gt;tbl_Case_mins[[#This Row],[ThClosePm]]),tbl_Case_mins[[#This Row],[Into Recov]]-tbl_Case_mins[[#This Row],[AnaesthStart]],0)</f>
        <v>#REF!</v>
      </c>
      <c r="BP26" s="9" t="e">
        <f>IF(AND(tbl_Case_mins[[#This Row],[AnaesthStart]]&lt;tbl_Case_mins[[#This Row],[ThClosePm]],tbl_Case_mins[[#This Row],[Anaesth End]]&gt;tbl_Case_mins[[#This Row],[ThClosePm]]),tbl_Case_mins[[#This Row],[Anaesth End]]-tbl_Case_mins[[#This Row],[ThClosePm]],0)</f>
        <v>#REF!</v>
      </c>
      <c r="BQ26" s="9" t="e" cm="1">
        <f t="array" ref="BQ2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 s="9" t="e" cm="1">
        <f t="array" ref="BR26">IF(tbl_Case_mins[[#This Row],[Rank_Adjust]]=SUMPRODUCT(-(tbl_Case_mins[Surgery Start Date]=tbl_Case_mins[[#This Row],[Surgery Start Date]]),-(tbl_Case_mins[Theatre]=tbl_Case_mins[[#This Row],[Theatre]])),INDEX(Poss_Time,MATCH(TEXT(tbl_Case_mins[[#This Row],[Surgery Start Date]],"ddd"),Day,0)),0)</f>
        <v>#REF!</v>
      </c>
      <c r="BS26" s="9" t="e">
        <f>tbl_Case_mins[[#This Row],[Core_Time]]*Util_Goal</f>
        <v>#REF!</v>
      </c>
      <c r="BT26" s="9" t="e" cm="1">
        <f t="array" ref="BT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 s="9" t="e" cm="1">
        <f t="array" ref="BU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 s="9" t="e">
        <f>IF(tbl_Case_mins[[#This Row],[Surgery End Date]]&gt;tbl_Case_mins[[#This Row],[Surgery Start Date]],tbl_Case_mins[[#This Row],[Anaesth End]]-1440,0)</f>
        <v>#REF!</v>
      </c>
      <c r="BY26" s="9" t="e">
        <f>tbl_Case_mins[[#This Row],[Total_NonCore]]-tbl_Case_mins[[#This Row],[NextDay_NonCore]]</f>
        <v>#REF!</v>
      </c>
      <c r="BZ26" s="10" t="e">
        <f>tbl_Case_mins[[#This Row],[InCoreUse]]/60</f>
        <v>#REF!</v>
      </c>
      <c r="CA26" s="10" t="e">
        <f>tbl_Case_mins[[#This Row],[Total_NonCore]]/60</f>
        <v>#REF!</v>
      </c>
      <c r="CB26" t="e" cm="1">
        <f t="array" ref="CB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 s="9" t="e" cm="1">
        <f t="array" ref="CC2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 s="9" t="e" cm="1">
        <f t="array" ref="CD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 s="9" t="e" cm="1">
        <f t="array" ref="CE2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 s="9" cm="1">
        <f t="array" ref="CF26">IFERROR(_xlfn.AGGREGATE(14,6,(tbl_Case_mins[Rank_AnaEnd])/((tbl_Case_mins[Surgery Start Date]=tbl_Case_mins[[#This Row],[Surgery Start Date]])*(tbl_Case_mins[Theatre]=tbl_Case_mins[[#This Row],[Theatre]])*(tbl_Case_mins[NoInCoreTime]=0)),1),-1)</f>
        <v>-1</v>
      </c>
      <c r="CG26" s="9" cm="1">
        <f t="array" ref="CG26">IFERROR(_xlfn.AGGREGATE(15,6,(tbl_Case_mins[Rank_AnaSt])/((tbl_Case_mins[Surgery Start Date]=tbl_Case_mins[[#This Row],[Surgery Start Date]])*(tbl_Case_mins[Theatre]=tbl_Case_mins[[#This Row],[Theatre]])*(tbl_Case_mins[NoInCoreTime]=0)),1),-1)</f>
        <v>-1</v>
      </c>
      <c r="CH2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 t="e" cm="1">
        <f t="array" ref="CJ2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 s="9" cm="1">
        <f t="array" ref="CO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 s="9" cm="1">
        <f t="array" ref="CP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 s="9" cm="1">
        <f t="array" ref="CQ26">IFERROR(IF(AND(tbl_Case_mins[[#This Row],[FirstAMCase]]=0,tbl_Case_mins[[#This Row],[Rank]]=_xlfn.AGGREGATE(14,6,(tbl_Case_mins[Rank])/((tbl_Case_mins[Surgery Start Date]=tbl_Case_mins[[#This Row],[Surgery Start Date]])*(tbl_Case_mins[Theatre]=tbl_Case_mins[[#This Row],[Theatre]])*(tbl_Case_mins[AmCase]=1)),1)),1,0),0)</f>
        <v>0</v>
      </c>
      <c r="CR26" s="9" cm="1">
        <f t="array" ref="CR2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 s="9" t="e" cm="1">
        <f t="array" ref="CS2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 s="9" cm="1">
        <f t="array" ref="CT26">IFERROR(IF(tbl_Case_mins[[#This Row],[Rank]]=_xlfn.AGGREGATE(15,6,(tbl_Case_mins[Rank])/((tbl_Case_mins[Surgery Start Date]=tbl_Case_mins[[#This Row],[Surgery Start Date]])*(tbl_Case_mins[Theatre]=tbl_Case_mins[[#This Row],[Theatre]])*(tbl_Case_mins[PmCase]=1)),1),1,0),0)</f>
        <v>0</v>
      </c>
      <c r="CU26">
        <f>IFERROR(#REF!,0)</f>
        <v>0</v>
      </c>
      <c r="CV26" s="9" t="e" cm="1">
        <f t="array" ref="CV2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 s="9">
        <f>IFERROR(IF(ISBLANK(INDEX(Bay_AmClose,MATCH(1,INDEX((tbl_Case_mins[[#This Row],[Bay]]=BayNo)*(tbl_Case_mins[[#This Row],[Surgery Start Date]]=BDate),0,1),0))*1440),0,INDEX(Bay_AmClose,MATCH(1,INDEX((tbl_Case_mins[[#This Row],[Bay]]=BayNo)*(tbl_Case_mins[[#This Row],[Surgery Start Date]]=BDate),0,1),0))*1440),0)</f>
        <v>0</v>
      </c>
      <c r="CX26" s="9" cm="1">
        <f t="array" ref="CX26">IFERROR(IF(ISBLANK(INDEX(Bay_PmOpen,MATCH(1,INDEX((tbl_Case_mins[[#This Row],[Bay]]=BayNo)*(tbl_Case_mins[[#This Row],[Surgery Start Date]]=BDate),0,1),0))*1440),0,INDEX(Bay_PmOpen,MATCH(1,INDEX((tbl_Case_mins[[#This Row],[Bay]]=BayNo)*(tbl_Case_mins[[#This Row],[Surgery Start Date]]=BDate),0,1),0))*1440),0)</f>
        <v>0</v>
      </c>
      <c r="CY2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 s="9"/>
    </row>
    <row r="27" spans="1:104" x14ac:dyDescent="0.2">
      <c r="A27">
        <v>26</v>
      </c>
      <c r="B27" t="e">
        <f>#REF!</f>
        <v>#REF!</v>
      </c>
      <c r="C27" t="e">
        <f>#REF!</f>
        <v>#REF!</v>
      </c>
      <c r="D27" t="e">
        <f>#REF!</f>
        <v>#REF!</v>
      </c>
      <c r="E27" t="e">
        <f>#REF!</f>
        <v>#REF!</v>
      </c>
      <c r="F27" t="e">
        <f>#REF!</f>
        <v>#REF!</v>
      </c>
      <c r="G27" t="e">
        <f>#REF!</f>
        <v>#REF!</v>
      </c>
      <c r="H27" t="e">
        <f>#REF!</f>
        <v>#REF!</v>
      </c>
      <c r="I27" t="e">
        <f>IF(#REF!="Case Cancelled",1,IF(#REF!="No Cases",2,0))</f>
        <v>#REF!</v>
      </c>
      <c r="J27" t="e">
        <f>#REF!</f>
        <v>#REF!</v>
      </c>
      <c r="K27" s="4" t="e">
        <f>#REF!</f>
        <v>#REF!</v>
      </c>
      <c r="L27" t="e">
        <f>"Wk "&amp;WEEKNUM(tbl_Case_mins[[#This Row],[Surgery Start Date]],21)</f>
        <v>#REF!</v>
      </c>
      <c r="M27" t="e">
        <f>TEXT(tbl_Case_mins[[#This Row],[Surgery Start Date]],"ddd")</f>
        <v>#REF!</v>
      </c>
      <c r="N27" s="9" t="e">
        <f>(#REF!-TIME(0,0,0))*1440</f>
        <v>#REF!</v>
      </c>
      <c r="O27" t="e">
        <f>IF(AND(ROUND((#REF!-TIME(0,0,0))*1440,0)&gt;0,ROUND((#REF!-TIME(0,0,0))*1440,0)&lt;tbl_Case_mins[[#This Row],[Patient Called]],tbl_Case_mins[[#This Row],[Surgery End Date]]&gt;tbl_Case_mins[[#This Row],[Surgery Start Date]]),ROUND((#REF!-TIME(0,0,0))*1440,0)+1440,ROUND((#REF!-TIME(0,0,0))*1440,0))</f>
        <v>#REF!</v>
      </c>
      <c r="P27" s="9" t="e">
        <f>IF(AND(ROUND((#REF!-TIME(0,0,0))*1440,0)&gt;0,ROUND((#REF!-TIME(0,0,0))*1440,0)&lt;tbl_Case_mins[[#This Row],[Arrival]],tbl_Case_mins[[#This Row],[Surgery End Date]]&gt;tbl_Case_mins[[#This Row],[Surgery Start Date]]),ROUND((#REF!-TIME(0,0,0))*1440,0)+1440,ROUND((#REF!-TIME(0,0,0))*1440,0))</f>
        <v>#REF!</v>
      </c>
      <c r="Q27" s="9" t="e">
        <f>IF(AND(ROUND((#REF!-TIME(0,0,0))*1440,0)&gt;0,ROUND((#REF!-TIME(0,0,0))*1440,0)&lt;tbl_Case_mins[[#This Row],[Into Th or AR]],tbl_Case_mins[[#This Row],[Surgery End Date]]&gt;tbl_Case_mins[[#This Row],[Surgery Start Date]]),ROUND((#REF!-TIME(0,0,0))*1440,0)+1440,ROUND((#REF!-TIME(0,0,0))*1440,0))</f>
        <v>#REF!</v>
      </c>
      <c r="R27" s="9" t="e">
        <f>IF(AND(ROUND((#REF!-TIME(0,0,0))*1440,0)&gt;0,ROUND((#REF!-TIME(0,0,0))*1440,0)&lt;tbl_Case_mins[[#This Row],[AnaesthStart]],tbl_Case_mins[[#This Row],[Surgery End Date]]&gt;tbl_Case_mins[[#This Row],[Surgery Start Date]]),ROUND((#REF!-TIME(0,0,0))*1440,0)+1440,ROUND((#REF!-TIME(0,0,0))*1440,0))</f>
        <v>#REF!</v>
      </c>
      <c r="S27" s="9" t="e">
        <f>IF(AND(ROUND((#REF!-TIME(0,0,0))*1440,0),ROUND((#REF!-TIME(0,0,0))*1440,0)&lt;tbl_Case_mins[[#This Row],[Surgery Start]],tbl_Case_mins[[#This Row],[Surgery End Date]]&gt;tbl_Case_mins[[#This Row],[Surgery Start Date]]),ROUND((#REF!-TIME(0,0,0))*1440,0)+1440,ROUND((#REF!-TIME(0,0,0))*1440,0))</f>
        <v>#REF!</v>
      </c>
      <c r="T27" s="9" t="e">
        <f>IF(AND(ROUND((#REF!-TIME(0,0,0))*1440,0)&gt;0,ROUND((#REF!-TIME(0,0,0))*1440,0)&lt;tbl_Case_mins[[#This Row],[Surgery Finish]],tbl_Case_mins[[#This Row],[Surgery End Date]]&gt;tbl_Case_mins[[#This Row],[Surgery Start Date]]),ROUND((#REF!-TIME(0,0,0))*1440,0)+1440,ROUND((#REF!-TIME(0,0,0))*1440,0))</f>
        <v>#REF!</v>
      </c>
      <c r="U27" s="9" t="e">
        <f>IF(AND(ROUND((#REF!-TIME(0,0,0))*1440,0)&gt;0,ROUND((#REF!-TIME(0,0,0))*1440,0)&lt;tbl_Case_mins[[#This Row],[Anaesth End]],tbl_Case_mins[[#This Row],[Surgery End Date]]&gt;tbl_Case_mins[[#This Row],[Surgery Start Date]]),ROUND((#REF!-TIME(0,0,0))*1440,0)+1440,ROUND((#REF!-TIME(0,0,0))*1440,0))</f>
        <v>#REF!</v>
      </c>
      <c r="V27" s="9" t="e">
        <f>IF(AND(ROUND((#REF!-TIME(0,0,0))*1440,0)&gt;0,ROUND((#REF!-TIME(0,0,0))*1440,0)&lt;tbl_Case_mins[[#This Row],[Into Recov]],tbl_Case_mins[[#This Row],[Surgery End Date]]&gt;tbl_Case_mins[[#This Row],[Surgery Start Date]]),ROUND((#REF!-TIME(0,0,0))*1440,0)+1440,ROUND((#REF!-TIME(0,0,0))*1440,0))</f>
        <v>#REF!</v>
      </c>
      <c r="W27" s="9" t="e">
        <f>IF(AND(ROUND((#REF!-TIME(0,0,0))*1440,0)&gt;0,ROUND((#REF!-TIME(0,0,0))*1440,0)&lt;tbl_Case_mins[[#This Row],[Ward Called]],tbl_Case_mins[[#This Row],[Surgery End Date]]&gt;tbl_Case_mins[[#This Row],[Surgery Start Date]]),ROUND((#REF!-TIME(0,0,0))*1440,0)+1440,ROUND((#REF!-TIME(0,0,0))*1440,0))</f>
        <v>#REF!</v>
      </c>
      <c r="X27" s="4" t="e">
        <f>IF(ISBLANK(#REF!),tbl_Case_mins[[#This Row],[Surgery Start Date]],#REF!)</f>
        <v>#REF!</v>
      </c>
      <c r="Y27">
        <f>IFERROR(IF(VLOOKUP(tbl_Case_mins[[#This Row],[Theatre]],'Mng Theatres'!$C$7:$G$12,3,FALSE)="Yes","Yes","No"),0)</f>
        <v>0</v>
      </c>
      <c r="Z27" s="9" t="e" cm="1">
        <f t="array" ref="Z2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 s="9" t="e" cm="1">
        <f t="array" ref="AA2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 s="9" t="e">
        <f>IF(tbl_Case_mins[[#This Row],[Case Type]]="Unsch",1,0)</f>
        <v>#REF!</v>
      </c>
      <c r="AD27" s="9" t="e">
        <f>IF(tbl_Case_mins[[#This Row],[Case Type]]="Sch",1,0)</f>
        <v>#REF!</v>
      </c>
      <c r="AE2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 s="9">
        <f>IFERROR(IF(ISBLANK(INDEX(Am_Close,MATCH(1,INDEX((tbl_Case_mins[[#This Row],[Theatre]]=Theatre_No)*(tbl_Case_mins[[#This Row],[Surgery Start Date]]=Date),0,1),0))*1440),0,INDEX(Am_Close,MATCH(1,INDEX((tbl_Case_mins[[#This Row],[Theatre]]=Theatre_No)*(tbl_Case_mins[[#This Row],[Surgery Start Date]]=Date),0,1),0))*1440),0)</f>
        <v>0</v>
      </c>
      <c r="AG27" s="9">
        <f>IFERROR(IF(ISBLANK(INDEX(PM_Open,MATCH(1,INDEX((tbl_Case_mins[[#This Row],[Theatre]]=Theatre_No)*(tbl_Case_mins[[#This Row],[Surgery Start Date]]=Date),0,1),0))*1440),0,INDEX(PM_Open,MATCH(1,INDEX((tbl_Case_mins[[#This Row],[Theatre]]=Theatre_No)*(tbl_Case_mins[[#This Row],[Surgery Start Date]]=Date),0,1),0))*1440),0)</f>
        <v>0</v>
      </c>
      <c r="AH2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 s="9" t="e">
        <f>IF(tbl_Case_mins[[#This Row],[ThOpenAm]]=0,tbl_Case_mins[[#This Row],[ThOpenPM]],tbl_Case_mins[[#This Row],[ThOpenAm]])</f>
        <v>#REF!</v>
      </c>
      <c r="AJ27" s="9" t="e">
        <f>IF(tbl_Case_mins[[#This Row],[ThCloseAm]]&gt;0,IF(tbl_Case_mins[[#This Row],[ThOpenPM]]&gt;0,tbl_Case_mins[[#This Row],[ThClosePm]],tbl_Case_mins[[#This Row],[ThCloseAm]]),tbl_Case_mins[[#This Row],[ThClosePm]])</f>
        <v>#REF!</v>
      </c>
      <c r="AK27" s="9" t="e">
        <f>IF(tbl_Case_mins[[#This Row],[TOT]]&gt;0,1,0)</f>
        <v>#REF!</v>
      </c>
      <c r="AL2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 s="9" t="e">
        <f>IF(AND(tbl_Case_mins[[#This Row],[Surgery Status]]&lt;&gt;2,tbl_Case_mins[[#This Row],[InCoreCase]]=0,tbl_Case_mins[[#This Row],[CancelledCase]]=0),1,0)</f>
        <v>#REF!</v>
      </c>
      <c r="AN27" s="9" t="e">
        <f>IF(tbl_Case_mins[[#This Row],[Surgery Status]]=1,1,0)</f>
        <v>#REF!</v>
      </c>
      <c r="AO2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 s="9" t="e">
        <f>IF(AND(tbl_Case_mins[[#This Row],[NonCoreCase]]=1,tbl_Case_mins[[#This Row],[NoInCoreTime]]=0),1,0)</f>
        <v>#REF!</v>
      </c>
      <c r="AQ27" s="9" t="e">
        <f>IF(tbl_Case_mins[[#This Row],[Rank_AnaEnd]]&lt;tbl_Case_mins[[#This Row],[Rank_AnaSt]],1,0)</f>
        <v>#REF!</v>
      </c>
      <c r="AR27" s="9" t="e">
        <f>IF(AND(tbl_Case_mins[[#This Row],[InCoreCase]]=1,tbl_Case_mins[[#This Row],[Sch]]=1),1,0)</f>
        <v>#REF!</v>
      </c>
      <c r="AS27" s="9" t="e">
        <f>IF(AND(tbl_Case_mins[[#This Row],[InCoreCase]]=1,tbl_Case_mins[[#This Row],[Unsch]]=1),1,0)</f>
        <v>#REF!</v>
      </c>
      <c r="AT2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 s="9" t="e">
        <f>IF(tbl_Case_mins[[#This Row],[Surgery Status]]=0,(tbl_Case_mins[[#This Row],[Anaesth End]]-tbl_Case_mins[[#This Row],[AnaesthStart]]),0)</f>
        <v>#REF!</v>
      </c>
      <c r="AX27" s="9" t="e">
        <f>IF(tbl_Case_mins[[#This Row],[Surgery Status]]=0,(tbl_Case_mins[[#This Row],[Surgery Finish]]-tbl_Case_mins[[#This Row],[Surgery Start]]),0)</f>
        <v>#REF!</v>
      </c>
      <c r="AY27" s="9" t="e">
        <f>tbl_Case_mins[[#This Row],[Surgery Start]]-tbl_Case_mins[[#This Row],[AnaesthStart]]</f>
        <v>#REF!</v>
      </c>
      <c r="AZ27" s="9" t="e">
        <f>tbl_Case_mins[[#This Row],[Anaesth End]]-tbl_Case_mins[[#This Row],[Surgery Finish]]</f>
        <v>#REF!</v>
      </c>
      <c r="BA2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 s="16" cm="1">
        <f t="array" ref="BC2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 s="16" t="e">
        <f>IF(AND(tbl_Case_mins[[#This Row],[FirstAMCase]]=1,tbl_Case_mins[[#This Row],[CancelledCase]]=0,OR(tbl_Case_mins[[#This Row],[EarlyStartAM]]&gt;0,tbl_Case_mins[[#This Row],[AnaesthStart]]=tbl_Case_mins[[#This Row],[ThOpenAm]])),1,0)</f>
        <v>#REF!</v>
      </c>
      <c r="BE27" s="16" t="e">
        <f>IF(AND(tbl_Case_mins[[#This Row],[Rank_AnaSt]]=tbl_Case_mins[[#This Row],[Min_RankAnaSt]],tbl_Case_mins[[#This Row],[Anaesth End]]&gt;=tbl_Case_mins[[#This Row],[ThOpenAm]],tbl_Case_mins[[#This Row],[PmCase]]=0),1,0)</f>
        <v>#REF!</v>
      </c>
      <c r="BF2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 s="9" t="e" cm="1">
        <f t="array" ref="BH2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 s="9" t="e">
        <f>IF(AND(tbl_Case_mins[[#This Row],[ThOpenPM]]&gt;0,tbl_Case_mins[[#This Row],[AnaesthStart]]&gt;tbl_Case_mins[[#This Row],[ThOpenPM]],tbl_Case_mins[[#This Row],[First PM Case]]=1),tbl_Case_mins[[#This Row],[AnaesthStart]]-tbl_Case_mins[[#This Row],[ThOpenPM]],0)</f>
        <v>#REF!</v>
      </c>
      <c r="BL2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 s="9" t="e" cm="1">
        <f t="array" ref="BN2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 s="9" t="e">
        <f>IF(AND(tbl_Case_mins[[#This Row],[ThClosePm]]&gt;0,tbl_Case_mins[[#This Row],[Anaesth End]]&gt;tbl_Case_mins[[#This Row],[ThClosePm]],tbl_Case_mins[[#This Row],[AnaesthStart]]&gt;tbl_Case_mins[[#This Row],[ThClosePm]]),tbl_Case_mins[[#This Row],[Into Recov]]-tbl_Case_mins[[#This Row],[AnaesthStart]],0)</f>
        <v>#REF!</v>
      </c>
      <c r="BP27" s="9" t="e">
        <f>IF(AND(tbl_Case_mins[[#This Row],[AnaesthStart]]&lt;tbl_Case_mins[[#This Row],[ThClosePm]],tbl_Case_mins[[#This Row],[Anaesth End]]&gt;tbl_Case_mins[[#This Row],[ThClosePm]]),tbl_Case_mins[[#This Row],[Anaesth End]]-tbl_Case_mins[[#This Row],[ThClosePm]],0)</f>
        <v>#REF!</v>
      </c>
      <c r="BQ27" s="9" t="e" cm="1">
        <f t="array" ref="BQ2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 s="9" t="e" cm="1">
        <f t="array" ref="BR27">IF(tbl_Case_mins[[#This Row],[Rank_Adjust]]=SUMPRODUCT(-(tbl_Case_mins[Surgery Start Date]=tbl_Case_mins[[#This Row],[Surgery Start Date]]),-(tbl_Case_mins[Theatre]=tbl_Case_mins[[#This Row],[Theatre]])),INDEX(Poss_Time,MATCH(TEXT(tbl_Case_mins[[#This Row],[Surgery Start Date]],"ddd"),Day,0)),0)</f>
        <v>#REF!</v>
      </c>
      <c r="BS27" s="9" t="e">
        <f>tbl_Case_mins[[#This Row],[Core_Time]]*Util_Goal</f>
        <v>#REF!</v>
      </c>
      <c r="BT27" s="9" t="e" cm="1">
        <f t="array" ref="BT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 s="9" t="e" cm="1">
        <f t="array" ref="BU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 s="9" t="e">
        <f>IF(tbl_Case_mins[[#This Row],[Surgery End Date]]&gt;tbl_Case_mins[[#This Row],[Surgery Start Date]],tbl_Case_mins[[#This Row],[Anaesth End]]-1440,0)</f>
        <v>#REF!</v>
      </c>
      <c r="BY27" s="9" t="e">
        <f>tbl_Case_mins[[#This Row],[Total_NonCore]]-tbl_Case_mins[[#This Row],[NextDay_NonCore]]</f>
        <v>#REF!</v>
      </c>
      <c r="BZ27" s="10" t="e">
        <f>tbl_Case_mins[[#This Row],[InCoreUse]]/60</f>
        <v>#REF!</v>
      </c>
      <c r="CA27" s="10" t="e">
        <f>tbl_Case_mins[[#This Row],[Total_NonCore]]/60</f>
        <v>#REF!</v>
      </c>
      <c r="CB27" t="e" cm="1">
        <f t="array" ref="CB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 s="9" t="e" cm="1">
        <f t="array" ref="CC2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 s="9" t="e" cm="1">
        <f t="array" ref="CD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 s="9" t="e" cm="1">
        <f t="array" ref="CE2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 s="9" cm="1">
        <f t="array" ref="CF27">IFERROR(_xlfn.AGGREGATE(14,6,(tbl_Case_mins[Rank_AnaEnd])/((tbl_Case_mins[Surgery Start Date]=tbl_Case_mins[[#This Row],[Surgery Start Date]])*(tbl_Case_mins[Theatre]=tbl_Case_mins[[#This Row],[Theatre]])*(tbl_Case_mins[NoInCoreTime]=0)),1),-1)</f>
        <v>-1</v>
      </c>
      <c r="CG27" s="9" cm="1">
        <f t="array" ref="CG27">IFERROR(_xlfn.AGGREGATE(15,6,(tbl_Case_mins[Rank_AnaSt])/((tbl_Case_mins[Surgery Start Date]=tbl_Case_mins[[#This Row],[Surgery Start Date]])*(tbl_Case_mins[Theatre]=tbl_Case_mins[[#This Row],[Theatre]])*(tbl_Case_mins[NoInCoreTime]=0)),1),-1)</f>
        <v>-1</v>
      </c>
      <c r="CH2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 t="e" cm="1">
        <f t="array" ref="CJ2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 s="9" cm="1">
        <f t="array" ref="CO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 s="9" cm="1">
        <f t="array" ref="CP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 s="9" cm="1">
        <f t="array" ref="CQ27">IFERROR(IF(AND(tbl_Case_mins[[#This Row],[FirstAMCase]]=0,tbl_Case_mins[[#This Row],[Rank]]=_xlfn.AGGREGATE(14,6,(tbl_Case_mins[Rank])/((tbl_Case_mins[Surgery Start Date]=tbl_Case_mins[[#This Row],[Surgery Start Date]])*(tbl_Case_mins[Theatre]=tbl_Case_mins[[#This Row],[Theatre]])*(tbl_Case_mins[AmCase]=1)),1)),1,0),0)</f>
        <v>0</v>
      </c>
      <c r="CR27" s="9" cm="1">
        <f t="array" ref="CR2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 s="9" t="e" cm="1">
        <f t="array" ref="CS2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 s="9" cm="1">
        <f t="array" ref="CT27">IFERROR(IF(tbl_Case_mins[[#This Row],[Rank]]=_xlfn.AGGREGATE(15,6,(tbl_Case_mins[Rank])/((tbl_Case_mins[Surgery Start Date]=tbl_Case_mins[[#This Row],[Surgery Start Date]])*(tbl_Case_mins[Theatre]=tbl_Case_mins[[#This Row],[Theatre]])*(tbl_Case_mins[PmCase]=1)),1),1,0),0)</f>
        <v>0</v>
      </c>
      <c r="CU27">
        <f>IFERROR(#REF!,0)</f>
        <v>0</v>
      </c>
      <c r="CV27" s="9" t="e" cm="1">
        <f t="array" ref="CV2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 s="9">
        <f>IFERROR(IF(ISBLANK(INDEX(Bay_AmClose,MATCH(1,INDEX((tbl_Case_mins[[#This Row],[Bay]]=BayNo)*(tbl_Case_mins[[#This Row],[Surgery Start Date]]=BDate),0,1),0))*1440),0,INDEX(Bay_AmClose,MATCH(1,INDEX((tbl_Case_mins[[#This Row],[Bay]]=BayNo)*(tbl_Case_mins[[#This Row],[Surgery Start Date]]=BDate),0,1),0))*1440),0)</f>
        <v>0</v>
      </c>
      <c r="CX27" s="9" cm="1">
        <f t="array" ref="CX27">IFERROR(IF(ISBLANK(INDEX(Bay_PmOpen,MATCH(1,INDEX((tbl_Case_mins[[#This Row],[Bay]]=BayNo)*(tbl_Case_mins[[#This Row],[Surgery Start Date]]=BDate),0,1),0))*1440),0,INDEX(Bay_PmOpen,MATCH(1,INDEX((tbl_Case_mins[[#This Row],[Bay]]=BayNo)*(tbl_Case_mins[[#This Row],[Surgery Start Date]]=BDate),0,1),0))*1440),0)</f>
        <v>0</v>
      </c>
      <c r="CY2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 s="9"/>
    </row>
    <row r="28" spans="1:104" x14ac:dyDescent="0.2">
      <c r="A28">
        <v>27</v>
      </c>
      <c r="B28" t="e">
        <f>#REF!</f>
        <v>#REF!</v>
      </c>
      <c r="C28" t="e">
        <f>#REF!</f>
        <v>#REF!</v>
      </c>
      <c r="D28" t="e">
        <f>#REF!</f>
        <v>#REF!</v>
      </c>
      <c r="E28" t="e">
        <f>#REF!</f>
        <v>#REF!</v>
      </c>
      <c r="F28" t="e">
        <f>#REF!</f>
        <v>#REF!</v>
      </c>
      <c r="G28" t="e">
        <f>#REF!</f>
        <v>#REF!</v>
      </c>
      <c r="H28" t="e">
        <f>#REF!</f>
        <v>#REF!</v>
      </c>
      <c r="I28" t="e">
        <f>IF(#REF!="Case Cancelled",1,IF(#REF!="No Cases",2,0))</f>
        <v>#REF!</v>
      </c>
      <c r="J28" t="e">
        <f>#REF!</f>
        <v>#REF!</v>
      </c>
      <c r="K28" s="4" t="e">
        <f>#REF!</f>
        <v>#REF!</v>
      </c>
      <c r="L28" t="e">
        <f>"Wk "&amp;WEEKNUM(tbl_Case_mins[[#This Row],[Surgery Start Date]],21)</f>
        <v>#REF!</v>
      </c>
      <c r="M28" t="e">
        <f>TEXT(tbl_Case_mins[[#This Row],[Surgery Start Date]],"ddd")</f>
        <v>#REF!</v>
      </c>
      <c r="N28" s="9" t="e">
        <f>(#REF!-TIME(0,0,0))*1440</f>
        <v>#REF!</v>
      </c>
      <c r="O28" t="e">
        <f>IF(AND(ROUND((#REF!-TIME(0,0,0))*1440,0)&gt;0,ROUND((#REF!-TIME(0,0,0))*1440,0)&lt;tbl_Case_mins[[#This Row],[Patient Called]],tbl_Case_mins[[#This Row],[Surgery End Date]]&gt;tbl_Case_mins[[#This Row],[Surgery Start Date]]),ROUND((#REF!-TIME(0,0,0))*1440,0)+1440,ROUND((#REF!-TIME(0,0,0))*1440,0))</f>
        <v>#REF!</v>
      </c>
      <c r="P28" s="9" t="e">
        <f>IF(AND(ROUND((#REF!-TIME(0,0,0))*1440,0)&gt;0,ROUND((#REF!-TIME(0,0,0))*1440,0)&lt;tbl_Case_mins[[#This Row],[Arrival]],tbl_Case_mins[[#This Row],[Surgery End Date]]&gt;tbl_Case_mins[[#This Row],[Surgery Start Date]]),ROUND((#REF!-TIME(0,0,0))*1440,0)+1440,ROUND((#REF!-TIME(0,0,0))*1440,0))</f>
        <v>#REF!</v>
      </c>
      <c r="Q28" s="9" t="e">
        <f>IF(AND(ROUND((#REF!-TIME(0,0,0))*1440,0)&gt;0,ROUND((#REF!-TIME(0,0,0))*1440,0)&lt;tbl_Case_mins[[#This Row],[Into Th or AR]],tbl_Case_mins[[#This Row],[Surgery End Date]]&gt;tbl_Case_mins[[#This Row],[Surgery Start Date]]),ROUND((#REF!-TIME(0,0,0))*1440,0)+1440,ROUND((#REF!-TIME(0,0,0))*1440,0))</f>
        <v>#REF!</v>
      </c>
      <c r="R28" s="9" t="e">
        <f>IF(AND(ROUND((#REF!-TIME(0,0,0))*1440,0)&gt;0,ROUND((#REF!-TIME(0,0,0))*1440,0)&lt;tbl_Case_mins[[#This Row],[AnaesthStart]],tbl_Case_mins[[#This Row],[Surgery End Date]]&gt;tbl_Case_mins[[#This Row],[Surgery Start Date]]),ROUND((#REF!-TIME(0,0,0))*1440,0)+1440,ROUND((#REF!-TIME(0,0,0))*1440,0))</f>
        <v>#REF!</v>
      </c>
      <c r="S28" s="9" t="e">
        <f>IF(AND(ROUND((#REF!-TIME(0,0,0))*1440,0),ROUND((#REF!-TIME(0,0,0))*1440,0)&lt;tbl_Case_mins[[#This Row],[Surgery Start]],tbl_Case_mins[[#This Row],[Surgery End Date]]&gt;tbl_Case_mins[[#This Row],[Surgery Start Date]]),ROUND((#REF!-TIME(0,0,0))*1440,0)+1440,ROUND((#REF!-TIME(0,0,0))*1440,0))</f>
        <v>#REF!</v>
      </c>
      <c r="T28" s="9" t="e">
        <f>IF(AND(ROUND((#REF!-TIME(0,0,0))*1440,0)&gt;0,ROUND((#REF!-TIME(0,0,0))*1440,0)&lt;tbl_Case_mins[[#This Row],[Surgery Finish]],tbl_Case_mins[[#This Row],[Surgery End Date]]&gt;tbl_Case_mins[[#This Row],[Surgery Start Date]]),ROUND((#REF!-TIME(0,0,0))*1440,0)+1440,ROUND((#REF!-TIME(0,0,0))*1440,0))</f>
        <v>#REF!</v>
      </c>
      <c r="U28" s="9" t="e">
        <f>IF(AND(ROUND((#REF!-TIME(0,0,0))*1440,0)&gt;0,ROUND((#REF!-TIME(0,0,0))*1440,0)&lt;tbl_Case_mins[[#This Row],[Anaesth End]],tbl_Case_mins[[#This Row],[Surgery End Date]]&gt;tbl_Case_mins[[#This Row],[Surgery Start Date]]),ROUND((#REF!-TIME(0,0,0))*1440,0)+1440,ROUND((#REF!-TIME(0,0,0))*1440,0))</f>
        <v>#REF!</v>
      </c>
      <c r="V28" s="9" t="e">
        <f>IF(AND(ROUND((#REF!-TIME(0,0,0))*1440,0)&gt;0,ROUND((#REF!-TIME(0,0,0))*1440,0)&lt;tbl_Case_mins[[#This Row],[Into Recov]],tbl_Case_mins[[#This Row],[Surgery End Date]]&gt;tbl_Case_mins[[#This Row],[Surgery Start Date]]),ROUND((#REF!-TIME(0,0,0))*1440,0)+1440,ROUND((#REF!-TIME(0,0,0))*1440,0))</f>
        <v>#REF!</v>
      </c>
      <c r="W28" s="9" t="e">
        <f>IF(AND(ROUND((#REF!-TIME(0,0,0))*1440,0)&gt;0,ROUND((#REF!-TIME(0,0,0))*1440,0)&lt;tbl_Case_mins[[#This Row],[Ward Called]],tbl_Case_mins[[#This Row],[Surgery End Date]]&gt;tbl_Case_mins[[#This Row],[Surgery Start Date]]),ROUND((#REF!-TIME(0,0,0))*1440,0)+1440,ROUND((#REF!-TIME(0,0,0))*1440,0))</f>
        <v>#REF!</v>
      </c>
      <c r="X28" s="4" t="e">
        <f>IF(ISBLANK(#REF!),tbl_Case_mins[[#This Row],[Surgery Start Date]],#REF!)</f>
        <v>#REF!</v>
      </c>
      <c r="Y28">
        <f>IFERROR(IF(VLOOKUP(tbl_Case_mins[[#This Row],[Theatre]],'Mng Theatres'!$C$7:$G$12,3,FALSE)="Yes","Yes","No"),0)</f>
        <v>0</v>
      </c>
      <c r="Z28" s="9" t="e" cm="1">
        <f t="array" ref="Z2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 s="9" t="e" cm="1">
        <f t="array" ref="AA2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 s="9" t="e">
        <f>IF(tbl_Case_mins[[#This Row],[Case Type]]="Unsch",1,0)</f>
        <v>#REF!</v>
      </c>
      <c r="AD28" s="9" t="e">
        <f>IF(tbl_Case_mins[[#This Row],[Case Type]]="Sch",1,0)</f>
        <v>#REF!</v>
      </c>
      <c r="AE2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 s="9">
        <f>IFERROR(IF(ISBLANK(INDEX(Am_Close,MATCH(1,INDEX((tbl_Case_mins[[#This Row],[Theatre]]=Theatre_No)*(tbl_Case_mins[[#This Row],[Surgery Start Date]]=Date),0,1),0))*1440),0,INDEX(Am_Close,MATCH(1,INDEX((tbl_Case_mins[[#This Row],[Theatre]]=Theatre_No)*(tbl_Case_mins[[#This Row],[Surgery Start Date]]=Date),0,1),0))*1440),0)</f>
        <v>0</v>
      </c>
      <c r="AG28" s="9">
        <f>IFERROR(IF(ISBLANK(INDEX(PM_Open,MATCH(1,INDEX((tbl_Case_mins[[#This Row],[Theatre]]=Theatre_No)*(tbl_Case_mins[[#This Row],[Surgery Start Date]]=Date),0,1),0))*1440),0,INDEX(PM_Open,MATCH(1,INDEX((tbl_Case_mins[[#This Row],[Theatre]]=Theatre_No)*(tbl_Case_mins[[#This Row],[Surgery Start Date]]=Date),0,1),0))*1440),0)</f>
        <v>0</v>
      </c>
      <c r="AH2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 s="9" t="e">
        <f>IF(tbl_Case_mins[[#This Row],[ThOpenAm]]=0,tbl_Case_mins[[#This Row],[ThOpenPM]],tbl_Case_mins[[#This Row],[ThOpenAm]])</f>
        <v>#REF!</v>
      </c>
      <c r="AJ28" s="9" t="e">
        <f>IF(tbl_Case_mins[[#This Row],[ThCloseAm]]&gt;0,IF(tbl_Case_mins[[#This Row],[ThOpenPM]]&gt;0,tbl_Case_mins[[#This Row],[ThClosePm]],tbl_Case_mins[[#This Row],[ThCloseAm]]),tbl_Case_mins[[#This Row],[ThClosePm]])</f>
        <v>#REF!</v>
      </c>
      <c r="AK28" s="9" t="e">
        <f>IF(tbl_Case_mins[[#This Row],[TOT]]&gt;0,1,0)</f>
        <v>#REF!</v>
      </c>
      <c r="AL2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 s="9" t="e">
        <f>IF(AND(tbl_Case_mins[[#This Row],[Surgery Status]]&lt;&gt;2,tbl_Case_mins[[#This Row],[InCoreCase]]=0,tbl_Case_mins[[#This Row],[CancelledCase]]=0),1,0)</f>
        <v>#REF!</v>
      </c>
      <c r="AN28" s="9" t="e">
        <f>IF(tbl_Case_mins[[#This Row],[Surgery Status]]=1,1,0)</f>
        <v>#REF!</v>
      </c>
      <c r="AO2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 s="9" t="e">
        <f>IF(AND(tbl_Case_mins[[#This Row],[NonCoreCase]]=1,tbl_Case_mins[[#This Row],[NoInCoreTime]]=0),1,0)</f>
        <v>#REF!</v>
      </c>
      <c r="AQ28" s="9" t="e">
        <f>IF(tbl_Case_mins[[#This Row],[Rank_AnaEnd]]&lt;tbl_Case_mins[[#This Row],[Rank_AnaSt]],1,0)</f>
        <v>#REF!</v>
      </c>
      <c r="AR28" s="9" t="e">
        <f>IF(AND(tbl_Case_mins[[#This Row],[InCoreCase]]=1,tbl_Case_mins[[#This Row],[Sch]]=1),1,0)</f>
        <v>#REF!</v>
      </c>
      <c r="AS28" s="9" t="e">
        <f>IF(AND(tbl_Case_mins[[#This Row],[InCoreCase]]=1,tbl_Case_mins[[#This Row],[Unsch]]=1),1,0)</f>
        <v>#REF!</v>
      </c>
      <c r="AT2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 s="9" t="e">
        <f>IF(tbl_Case_mins[[#This Row],[Surgery Status]]=0,(tbl_Case_mins[[#This Row],[Anaesth End]]-tbl_Case_mins[[#This Row],[AnaesthStart]]),0)</f>
        <v>#REF!</v>
      </c>
      <c r="AX28" s="9" t="e">
        <f>IF(tbl_Case_mins[[#This Row],[Surgery Status]]=0,(tbl_Case_mins[[#This Row],[Surgery Finish]]-tbl_Case_mins[[#This Row],[Surgery Start]]),0)</f>
        <v>#REF!</v>
      </c>
      <c r="AY28" s="9" t="e">
        <f>tbl_Case_mins[[#This Row],[Surgery Start]]-tbl_Case_mins[[#This Row],[AnaesthStart]]</f>
        <v>#REF!</v>
      </c>
      <c r="AZ28" s="9" t="e">
        <f>tbl_Case_mins[[#This Row],[Anaesth End]]-tbl_Case_mins[[#This Row],[Surgery Finish]]</f>
        <v>#REF!</v>
      </c>
      <c r="BA2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 s="16" cm="1">
        <f t="array" ref="BC2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 s="16" t="e">
        <f>IF(AND(tbl_Case_mins[[#This Row],[FirstAMCase]]=1,tbl_Case_mins[[#This Row],[CancelledCase]]=0,OR(tbl_Case_mins[[#This Row],[EarlyStartAM]]&gt;0,tbl_Case_mins[[#This Row],[AnaesthStart]]=tbl_Case_mins[[#This Row],[ThOpenAm]])),1,0)</f>
        <v>#REF!</v>
      </c>
      <c r="BE28" s="16" t="e">
        <f>IF(AND(tbl_Case_mins[[#This Row],[Rank_AnaSt]]=tbl_Case_mins[[#This Row],[Min_RankAnaSt]],tbl_Case_mins[[#This Row],[Anaesth End]]&gt;=tbl_Case_mins[[#This Row],[ThOpenAm]],tbl_Case_mins[[#This Row],[PmCase]]=0),1,0)</f>
        <v>#REF!</v>
      </c>
      <c r="BF2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 s="9" t="e" cm="1">
        <f t="array" ref="BH2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 s="9" t="e">
        <f>IF(AND(tbl_Case_mins[[#This Row],[ThOpenPM]]&gt;0,tbl_Case_mins[[#This Row],[AnaesthStart]]&gt;tbl_Case_mins[[#This Row],[ThOpenPM]],tbl_Case_mins[[#This Row],[First PM Case]]=1),tbl_Case_mins[[#This Row],[AnaesthStart]]-tbl_Case_mins[[#This Row],[ThOpenPM]],0)</f>
        <v>#REF!</v>
      </c>
      <c r="BL2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 s="9" t="e" cm="1">
        <f t="array" ref="BN2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 s="9" t="e">
        <f>IF(AND(tbl_Case_mins[[#This Row],[ThClosePm]]&gt;0,tbl_Case_mins[[#This Row],[Anaesth End]]&gt;tbl_Case_mins[[#This Row],[ThClosePm]],tbl_Case_mins[[#This Row],[AnaesthStart]]&gt;tbl_Case_mins[[#This Row],[ThClosePm]]),tbl_Case_mins[[#This Row],[Into Recov]]-tbl_Case_mins[[#This Row],[AnaesthStart]],0)</f>
        <v>#REF!</v>
      </c>
      <c r="BP28" s="9" t="e">
        <f>IF(AND(tbl_Case_mins[[#This Row],[AnaesthStart]]&lt;tbl_Case_mins[[#This Row],[ThClosePm]],tbl_Case_mins[[#This Row],[Anaesth End]]&gt;tbl_Case_mins[[#This Row],[ThClosePm]]),tbl_Case_mins[[#This Row],[Anaesth End]]-tbl_Case_mins[[#This Row],[ThClosePm]],0)</f>
        <v>#REF!</v>
      </c>
      <c r="BQ28" s="9" t="e" cm="1">
        <f t="array" ref="BQ2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 s="9" t="e" cm="1">
        <f t="array" ref="BR28">IF(tbl_Case_mins[[#This Row],[Rank_Adjust]]=SUMPRODUCT(-(tbl_Case_mins[Surgery Start Date]=tbl_Case_mins[[#This Row],[Surgery Start Date]]),-(tbl_Case_mins[Theatre]=tbl_Case_mins[[#This Row],[Theatre]])),INDEX(Poss_Time,MATCH(TEXT(tbl_Case_mins[[#This Row],[Surgery Start Date]],"ddd"),Day,0)),0)</f>
        <v>#REF!</v>
      </c>
      <c r="BS28" s="9" t="e">
        <f>tbl_Case_mins[[#This Row],[Core_Time]]*Util_Goal</f>
        <v>#REF!</v>
      </c>
      <c r="BT28" s="9" t="e" cm="1">
        <f t="array" ref="BT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 s="9" t="e" cm="1">
        <f t="array" ref="BU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 s="9" t="e">
        <f>IF(tbl_Case_mins[[#This Row],[Surgery End Date]]&gt;tbl_Case_mins[[#This Row],[Surgery Start Date]],tbl_Case_mins[[#This Row],[Anaesth End]]-1440,0)</f>
        <v>#REF!</v>
      </c>
      <c r="BY28" s="9" t="e">
        <f>tbl_Case_mins[[#This Row],[Total_NonCore]]-tbl_Case_mins[[#This Row],[NextDay_NonCore]]</f>
        <v>#REF!</v>
      </c>
      <c r="BZ28" s="10" t="e">
        <f>tbl_Case_mins[[#This Row],[InCoreUse]]/60</f>
        <v>#REF!</v>
      </c>
      <c r="CA28" s="10" t="e">
        <f>tbl_Case_mins[[#This Row],[Total_NonCore]]/60</f>
        <v>#REF!</v>
      </c>
      <c r="CB28" t="e" cm="1">
        <f t="array" ref="CB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 s="9" t="e" cm="1">
        <f t="array" ref="CC2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 s="9" t="e" cm="1">
        <f t="array" ref="CD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 s="9" t="e" cm="1">
        <f t="array" ref="CE2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 s="9" cm="1">
        <f t="array" ref="CF28">IFERROR(_xlfn.AGGREGATE(14,6,(tbl_Case_mins[Rank_AnaEnd])/((tbl_Case_mins[Surgery Start Date]=tbl_Case_mins[[#This Row],[Surgery Start Date]])*(tbl_Case_mins[Theatre]=tbl_Case_mins[[#This Row],[Theatre]])*(tbl_Case_mins[NoInCoreTime]=0)),1),-1)</f>
        <v>-1</v>
      </c>
      <c r="CG28" s="9" cm="1">
        <f t="array" ref="CG28">IFERROR(_xlfn.AGGREGATE(15,6,(tbl_Case_mins[Rank_AnaSt])/((tbl_Case_mins[Surgery Start Date]=tbl_Case_mins[[#This Row],[Surgery Start Date]])*(tbl_Case_mins[Theatre]=tbl_Case_mins[[#This Row],[Theatre]])*(tbl_Case_mins[NoInCoreTime]=0)),1),-1)</f>
        <v>-1</v>
      </c>
      <c r="CH2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 t="e" cm="1">
        <f t="array" ref="CJ2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 s="9" cm="1">
        <f t="array" ref="CO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 s="9" cm="1">
        <f t="array" ref="CP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 s="9" cm="1">
        <f t="array" ref="CQ28">IFERROR(IF(AND(tbl_Case_mins[[#This Row],[FirstAMCase]]=0,tbl_Case_mins[[#This Row],[Rank]]=_xlfn.AGGREGATE(14,6,(tbl_Case_mins[Rank])/((tbl_Case_mins[Surgery Start Date]=tbl_Case_mins[[#This Row],[Surgery Start Date]])*(tbl_Case_mins[Theatre]=tbl_Case_mins[[#This Row],[Theatre]])*(tbl_Case_mins[AmCase]=1)),1)),1,0),0)</f>
        <v>0</v>
      </c>
      <c r="CR28" s="9" cm="1">
        <f t="array" ref="CR2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 s="9" t="e" cm="1">
        <f t="array" ref="CS2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 s="9" cm="1">
        <f t="array" ref="CT28">IFERROR(IF(tbl_Case_mins[[#This Row],[Rank]]=_xlfn.AGGREGATE(15,6,(tbl_Case_mins[Rank])/((tbl_Case_mins[Surgery Start Date]=tbl_Case_mins[[#This Row],[Surgery Start Date]])*(tbl_Case_mins[Theatre]=tbl_Case_mins[[#This Row],[Theatre]])*(tbl_Case_mins[PmCase]=1)),1),1,0),0)</f>
        <v>0</v>
      </c>
      <c r="CU28">
        <f>IFERROR(#REF!,0)</f>
        <v>0</v>
      </c>
      <c r="CV28" s="9" t="e" cm="1">
        <f t="array" ref="CV2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 s="9">
        <f>IFERROR(IF(ISBLANK(INDEX(Bay_AmClose,MATCH(1,INDEX((tbl_Case_mins[[#This Row],[Bay]]=BayNo)*(tbl_Case_mins[[#This Row],[Surgery Start Date]]=BDate),0,1),0))*1440),0,INDEX(Bay_AmClose,MATCH(1,INDEX((tbl_Case_mins[[#This Row],[Bay]]=BayNo)*(tbl_Case_mins[[#This Row],[Surgery Start Date]]=BDate),0,1),0))*1440),0)</f>
        <v>0</v>
      </c>
      <c r="CX28" s="9" cm="1">
        <f t="array" ref="CX28">IFERROR(IF(ISBLANK(INDEX(Bay_PmOpen,MATCH(1,INDEX((tbl_Case_mins[[#This Row],[Bay]]=BayNo)*(tbl_Case_mins[[#This Row],[Surgery Start Date]]=BDate),0,1),0))*1440),0,INDEX(Bay_PmOpen,MATCH(1,INDEX((tbl_Case_mins[[#This Row],[Bay]]=BayNo)*(tbl_Case_mins[[#This Row],[Surgery Start Date]]=BDate),0,1),0))*1440),0)</f>
        <v>0</v>
      </c>
      <c r="CY2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 s="9"/>
    </row>
    <row r="29" spans="1:104" x14ac:dyDescent="0.2">
      <c r="A29">
        <v>28</v>
      </c>
      <c r="B29" t="e">
        <f>#REF!</f>
        <v>#REF!</v>
      </c>
      <c r="C29" t="e">
        <f>#REF!</f>
        <v>#REF!</v>
      </c>
      <c r="D29" t="e">
        <f>#REF!</f>
        <v>#REF!</v>
      </c>
      <c r="E29" t="e">
        <f>#REF!</f>
        <v>#REF!</v>
      </c>
      <c r="F29" t="e">
        <f>#REF!</f>
        <v>#REF!</v>
      </c>
      <c r="G29" t="e">
        <f>#REF!</f>
        <v>#REF!</v>
      </c>
      <c r="H29" t="e">
        <f>#REF!</f>
        <v>#REF!</v>
      </c>
      <c r="I29" t="e">
        <f>IF(#REF!="Case Cancelled",1,IF(#REF!="No Cases",2,0))</f>
        <v>#REF!</v>
      </c>
      <c r="J29" t="e">
        <f>#REF!</f>
        <v>#REF!</v>
      </c>
      <c r="K29" s="4" t="e">
        <f>#REF!</f>
        <v>#REF!</v>
      </c>
      <c r="L29" t="e">
        <f>"Wk "&amp;WEEKNUM(tbl_Case_mins[[#This Row],[Surgery Start Date]],21)</f>
        <v>#REF!</v>
      </c>
      <c r="M29" t="e">
        <f>TEXT(tbl_Case_mins[[#This Row],[Surgery Start Date]],"ddd")</f>
        <v>#REF!</v>
      </c>
      <c r="N29" s="9" t="e">
        <f>(#REF!-TIME(0,0,0))*1440</f>
        <v>#REF!</v>
      </c>
      <c r="O29" t="e">
        <f>IF(AND(ROUND((#REF!-TIME(0,0,0))*1440,0)&gt;0,ROUND((#REF!-TIME(0,0,0))*1440,0)&lt;tbl_Case_mins[[#This Row],[Patient Called]],tbl_Case_mins[[#This Row],[Surgery End Date]]&gt;tbl_Case_mins[[#This Row],[Surgery Start Date]]),ROUND((#REF!-TIME(0,0,0))*1440,0)+1440,ROUND((#REF!-TIME(0,0,0))*1440,0))</f>
        <v>#REF!</v>
      </c>
      <c r="P29" s="9" t="e">
        <f>IF(AND(ROUND((#REF!-TIME(0,0,0))*1440,0)&gt;0,ROUND((#REF!-TIME(0,0,0))*1440,0)&lt;tbl_Case_mins[[#This Row],[Arrival]],tbl_Case_mins[[#This Row],[Surgery End Date]]&gt;tbl_Case_mins[[#This Row],[Surgery Start Date]]),ROUND((#REF!-TIME(0,0,0))*1440,0)+1440,ROUND((#REF!-TIME(0,0,0))*1440,0))</f>
        <v>#REF!</v>
      </c>
      <c r="Q29" s="9" t="e">
        <f>IF(AND(ROUND((#REF!-TIME(0,0,0))*1440,0)&gt;0,ROUND((#REF!-TIME(0,0,0))*1440,0)&lt;tbl_Case_mins[[#This Row],[Into Th or AR]],tbl_Case_mins[[#This Row],[Surgery End Date]]&gt;tbl_Case_mins[[#This Row],[Surgery Start Date]]),ROUND((#REF!-TIME(0,0,0))*1440,0)+1440,ROUND((#REF!-TIME(0,0,0))*1440,0))</f>
        <v>#REF!</v>
      </c>
      <c r="R29" s="9" t="e">
        <f>IF(AND(ROUND((#REF!-TIME(0,0,0))*1440,0)&gt;0,ROUND((#REF!-TIME(0,0,0))*1440,0)&lt;tbl_Case_mins[[#This Row],[AnaesthStart]],tbl_Case_mins[[#This Row],[Surgery End Date]]&gt;tbl_Case_mins[[#This Row],[Surgery Start Date]]),ROUND((#REF!-TIME(0,0,0))*1440,0)+1440,ROUND((#REF!-TIME(0,0,0))*1440,0))</f>
        <v>#REF!</v>
      </c>
      <c r="S29" s="9" t="e">
        <f>IF(AND(ROUND((#REF!-TIME(0,0,0))*1440,0),ROUND((#REF!-TIME(0,0,0))*1440,0)&lt;tbl_Case_mins[[#This Row],[Surgery Start]],tbl_Case_mins[[#This Row],[Surgery End Date]]&gt;tbl_Case_mins[[#This Row],[Surgery Start Date]]),ROUND((#REF!-TIME(0,0,0))*1440,0)+1440,ROUND((#REF!-TIME(0,0,0))*1440,0))</f>
        <v>#REF!</v>
      </c>
      <c r="T29" s="9" t="e">
        <f>IF(AND(ROUND((#REF!-TIME(0,0,0))*1440,0)&gt;0,ROUND((#REF!-TIME(0,0,0))*1440,0)&lt;tbl_Case_mins[[#This Row],[Surgery Finish]],tbl_Case_mins[[#This Row],[Surgery End Date]]&gt;tbl_Case_mins[[#This Row],[Surgery Start Date]]),ROUND((#REF!-TIME(0,0,0))*1440,0)+1440,ROUND((#REF!-TIME(0,0,0))*1440,0))</f>
        <v>#REF!</v>
      </c>
      <c r="U29" s="9" t="e">
        <f>IF(AND(ROUND((#REF!-TIME(0,0,0))*1440,0)&gt;0,ROUND((#REF!-TIME(0,0,0))*1440,0)&lt;tbl_Case_mins[[#This Row],[Anaesth End]],tbl_Case_mins[[#This Row],[Surgery End Date]]&gt;tbl_Case_mins[[#This Row],[Surgery Start Date]]),ROUND((#REF!-TIME(0,0,0))*1440,0)+1440,ROUND((#REF!-TIME(0,0,0))*1440,0))</f>
        <v>#REF!</v>
      </c>
      <c r="V29" s="9" t="e">
        <f>IF(AND(ROUND((#REF!-TIME(0,0,0))*1440,0)&gt;0,ROUND((#REF!-TIME(0,0,0))*1440,0)&lt;tbl_Case_mins[[#This Row],[Into Recov]],tbl_Case_mins[[#This Row],[Surgery End Date]]&gt;tbl_Case_mins[[#This Row],[Surgery Start Date]]),ROUND((#REF!-TIME(0,0,0))*1440,0)+1440,ROUND((#REF!-TIME(0,0,0))*1440,0))</f>
        <v>#REF!</v>
      </c>
      <c r="W29" s="9" t="e">
        <f>IF(AND(ROUND((#REF!-TIME(0,0,0))*1440,0)&gt;0,ROUND((#REF!-TIME(0,0,0))*1440,0)&lt;tbl_Case_mins[[#This Row],[Ward Called]],tbl_Case_mins[[#This Row],[Surgery End Date]]&gt;tbl_Case_mins[[#This Row],[Surgery Start Date]]),ROUND((#REF!-TIME(0,0,0))*1440,0)+1440,ROUND((#REF!-TIME(0,0,0))*1440,0))</f>
        <v>#REF!</v>
      </c>
      <c r="X29" s="4" t="e">
        <f>IF(ISBLANK(#REF!),tbl_Case_mins[[#This Row],[Surgery Start Date]],#REF!)</f>
        <v>#REF!</v>
      </c>
      <c r="Y29">
        <f>IFERROR(IF(VLOOKUP(tbl_Case_mins[[#This Row],[Theatre]],'Mng Theatres'!$C$7:$G$12,3,FALSE)="Yes","Yes","No"),0)</f>
        <v>0</v>
      </c>
      <c r="Z29" s="9" t="e" cm="1">
        <f t="array" ref="Z2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 s="9" t="e" cm="1">
        <f t="array" ref="AA2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 s="9" t="e">
        <f>IF(tbl_Case_mins[[#This Row],[Case Type]]="Unsch",1,0)</f>
        <v>#REF!</v>
      </c>
      <c r="AD29" s="9" t="e">
        <f>IF(tbl_Case_mins[[#This Row],[Case Type]]="Sch",1,0)</f>
        <v>#REF!</v>
      </c>
      <c r="AE2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 s="9">
        <f>IFERROR(IF(ISBLANK(INDEX(Am_Close,MATCH(1,INDEX((tbl_Case_mins[[#This Row],[Theatre]]=Theatre_No)*(tbl_Case_mins[[#This Row],[Surgery Start Date]]=Date),0,1),0))*1440),0,INDEX(Am_Close,MATCH(1,INDEX((tbl_Case_mins[[#This Row],[Theatre]]=Theatre_No)*(tbl_Case_mins[[#This Row],[Surgery Start Date]]=Date),0,1),0))*1440),0)</f>
        <v>0</v>
      </c>
      <c r="AG29" s="9">
        <f>IFERROR(IF(ISBLANK(INDEX(PM_Open,MATCH(1,INDEX((tbl_Case_mins[[#This Row],[Theatre]]=Theatre_No)*(tbl_Case_mins[[#This Row],[Surgery Start Date]]=Date),0,1),0))*1440),0,INDEX(PM_Open,MATCH(1,INDEX((tbl_Case_mins[[#This Row],[Theatre]]=Theatre_No)*(tbl_Case_mins[[#This Row],[Surgery Start Date]]=Date),0,1),0))*1440),0)</f>
        <v>0</v>
      </c>
      <c r="AH2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 s="9" t="e">
        <f>IF(tbl_Case_mins[[#This Row],[ThOpenAm]]=0,tbl_Case_mins[[#This Row],[ThOpenPM]],tbl_Case_mins[[#This Row],[ThOpenAm]])</f>
        <v>#REF!</v>
      </c>
      <c r="AJ29" s="9" t="e">
        <f>IF(tbl_Case_mins[[#This Row],[ThCloseAm]]&gt;0,IF(tbl_Case_mins[[#This Row],[ThOpenPM]]&gt;0,tbl_Case_mins[[#This Row],[ThClosePm]],tbl_Case_mins[[#This Row],[ThCloseAm]]),tbl_Case_mins[[#This Row],[ThClosePm]])</f>
        <v>#REF!</v>
      </c>
      <c r="AK29" s="9" t="e">
        <f>IF(tbl_Case_mins[[#This Row],[TOT]]&gt;0,1,0)</f>
        <v>#REF!</v>
      </c>
      <c r="AL2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 s="9" t="e">
        <f>IF(AND(tbl_Case_mins[[#This Row],[Surgery Status]]&lt;&gt;2,tbl_Case_mins[[#This Row],[InCoreCase]]=0,tbl_Case_mins[[#This Row],[CancelledCase]]=0),1,0)</f>
        <v>#REF!</v>
      </c>
      <c r="AN29" s="9" t="e">
        <f>IF(tbl_Case_mins[[#This Row],[Surgery Status]]=1,1,0)</f>
        <v>#REF!</v>
      </c>
      <c r="AO2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 s="9" t="e">
        <f>IF(AND(tbl_Case_mins[[#This Row],[NonCoreCase]]=1,tbl_Case_mins[[#This Row],[NoInCoreTime]]=0),1,0)</f>
        <v>#REF!</v>
      </c>
      <c r="AQ29" s="9" t="e">
        <f>IF(tbl_Case_mins[[#This Row],[Rank_AnaEnd]]&lt;tbl_Case_mins[[#This Row],[Rank_AnaSt]],1,0)</f>
        <v>#REF!</v>
      </c>
      <c r="AR29" s="9" t="e">
        <f>IF(AND(tbl_Case_mins[[#This Row],[InCoreCase]]=1,tbl_Case_mins[[#This Row],[Sch]]=1),1,0)</f>
        <v>#REF!</v>
      </c>
      <c r="AS29" s="9" t="e">
        <f>IF(AND(tbl_Case_mins[[#This Row],[InCoreCase]]=1,tbl_Case_mins[[#This Row],[Unsch]]=1),1,0)</f>
        <v>#REF!</v>
      </c>
      <c r="AT2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 s="9" t="e">
        <f>IF(tbl_Case_mins[[#This Row],[Surgery Status]]=0,(tbl_Case_mins[[#This Row],[Anaesth End]]-tbl_Case_mins[[#This Row],[AnaesthStart]]),0)</f>
        <v>#REF!</v>
      </c>
      <c r="AX29" s="9" t="e">
        <f>IF(tbl_Case_mins[[#This Row],[Surgery Status]]=0,(tbl_Case_mins[[#This Row],[Surgery Finish]]-tbl_Case_mins[[#This Row],[Surgery Start]]),0)</f>
        <v>#REF!</v>
      </c>
      <c r="AY29" s="9" t="e">
        <f>tbl_Case_mins[[#This Row],[Surgery Start]]-tbl_Case_mins[[#This Row],[AnaesthStart]]</f>
        <v>#REF!</v>
      </c>
      <c r="AZ29" s="9" t="e">
        <f>tbl_Case_mins[[#This Row],[Anaesth End]]-tbl_Case_mins[[#This Row],[Surgery Finish]]</f>
        <v>#REF!</v>
      </c>
      <c r="BA2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 s="16" cm="1">
        <f t="array" ref="BC2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 s="16" t="e">
        <f>IF(AND(tbl_Case_mins[[#This Row],[FirstAMCase]]=1,tbl_Case_mins[[#This Row],[CancelledCase]]=0,OR(tbl_Case_mins[[#This Row],[EarlyStartAM]]&gt;0,tbl_Case_mins[[#This Row],[AnaesthStart]]=tbl_Case_mins[[#This Row],[ThOpenAm]])),1,0)</f>
        <v>#REF!</v>
      </c>
      <c r="BE29" s="16" t="e">
        <f>IF(AND(tbl_Case_mins[[#This Row],[Rank_AnaSt]]=tbl_Case_mins[[#This Row],[Min_RankAnaSt]],tbl_Case_mins[[#This Row],[Anaesth End]]&gt;=tbl_Case_mins[[#This Row],[ThOpenAm]],tbl_Case_mins[[#This Row],[PmCase]]=0),1,0)</f>
        <v>#REF!</v>
      </c>
      <c r="BF2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 s="9" t="e" cm="1">
        <f t="array" ref="BH2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 s="9" t="e">
        <f>IF(AND(tbl_Case_mins[[#This Row],[ThOpenPM]]&gt;0,tbl_Case_mins[[#This Row],[AnaesthStart]]&gt;tbl_Case_mins[[#This Row],[ThOpenPM]],tbl_Case_mins[[#This Row],[First PM Case]]=1),tbl_Case_mins[[#This Row],[AnaesthStart]]-tbl_Case_mins[[#This Row],[ThOpenPM]],0)</f>
        <v>#REF!</v>
      </c>
      <c r="BL2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 s="9" t="e" cm="1">
        <f t="array" ref="BN2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 s="9" t="e">
        <f>IF(AND(tbl_Case_mins[[#This Row],[ThClosePm]]&gt;0,tbl_Case_mins[[#This Row],[Anaesth End]]&gt;tbl_Case_mins[[#This Row],[ThClosePm]],tbl_Case_mins[[#This Row],[AnaesthStart]]&gt;tbl_Case_mins[[#This Row],[ThClosePm]]),tbl_Case_mins[[#This Row],[Into Recov]]-tbl_Case_mins[[#This Row],[AnaesthStart]],0)</f>
        <v>#REF!</v>
      </c>
      <c r="BP29" s="9" t="e">
        <f>IF(AND(tbl_Case_mins[[#This Row],[AnaesthStart]]&lt;tbl_Case_mins[[#This Row],[ThClosePm]],tbl_Case_mins[[#This Row],[Anaesth End]]&gt;tbl_Case_mins[[#This Row],[ThClosePm]]),tbl_Case_mins[[#This Row],[Anaesth End]]-tbl_Case_mins[[#This Row],[ThClosePm]],0)</f>
        <v>#REF!</v>
      </c>
      <c r="BQ29" s="9" t="e" cm="1">
        <f t="array" ref="BQ2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 s="9" t="e" cm="1">
        <f t="array" ref="BR29">IF(tbl_Case_mins[[#This Row],[Rank_Adjust]]=SUMPRODUCT(-(tbl_Case_mins[Surgery Start Date]=tbl_Case_mins[[#This Row],[Surgery Start Date]]),-(tbl_Case_mins[Theatre]=tbl_Case_mins[[#This Row],[Theatre]])),INDEX(Poss_Time,MATCH(TEXT(tbl_Case_mins[[#This Row],[Surgery Start Date]],"ddd"),Day,0)),0)</f>
        <v>#REF!</v>
      </c>
      <c r="BS29" s="9" t="e">
        <f>tbl_Case_mins[[#This Row],[Core_Time]]*Util_Goal</f>
        <v>#REF!</v>
      </c>
      <c r="BT29" s="9" t="e" cm="1">
        <f t="array" ref="BT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 s="9" t="e" cm="1">
        <f t="array" ref="BU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 s="9" t="e">
        <f>IF(tbl_Case_mins[[#This Row],[Surgery End Date]]&gt;tbl_Case_mins[[#This Row],[Surgery Start Date]],tbl_Case_mins[[#This Row],[Anaesth End]]-1440,0)</f>
        <v>#REF!</v>
      </c>
      <c r="BY29" s="9" t="e">
        <f>tbl_Case_mins[[#This Row],[Total_NonCore]]-tbl_Case_mins[[#This Row],[NextDay_NonCore]]</f>
        <v>#REF!</v>
      </c>
      <c r="BZ29" s="10" t="e">
        <f>tbl_Case_mins[[#This Row],[InCoreUse]]/60</f>
        <v>#REF!</v>
      </c>
      <c r="CA29" s="10" t="e">
        <f>tbl_Case_mins[[#This Row],[Total_NonCore]]/60</f>
        <v>#REF!</v>
      </c>
      <c r="CB29" t="e" cm="1">
        <f t="array" ref="CB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 s="9" t="e" cm="1">
        <f t="array" ref="CC2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 s="9" t="e" cm="1">
        <f t="array" ref="CD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 s="9" t="e" cm="1">
        <f t="array" ref="CE2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 s="9" cm="1">
        <f t="array" ref="CF29">IFERROR(_xlfn.AGGREGATE(14,6,(tbl_Case_mins[Rank_AnaEnd])/((tbl_Case_mins[Surgery Start Date]=tbl_Case_mins[[#This Row],[Surgery Start Date]])*(tbl_Case_mins[Theatre]=tbl_Case_mins[[#This Row],[Theatre]])*(tbl_Case_mins[NoInCoreTime]=0)),1),-1)</f>
        <v>-1</v>
      </c>
      <c r="CG29" s="9" cm="1">
        <f t="array" ref="CG29">IFERROR(_xlfn.AGGREGATE(15,6,(tbl_Case_mins[Rank_AnaSt])/((tbl_Case_mins[Surgery Start Date]=tbl_Case_mins[[#This Row],[Surgery Start Date]])*(tbl_Case_mins[Theatre]=tbl_Case_mins[[#This Row],[Theatre]])*(tbl_Case_mins[NoInCoreTime]=0)),1),-1)</f>
        <v>-1</v>
      </c>
      <c r="CH2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 t="e" cm="1">
        <f t="array" ref="CJ2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 s="9" cm="1">
        <f t="array" ref="CO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 s="9" cm="1">
        <f t="array" ref="CP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 s="9" cm="1">
        <f t="array" ref="CQ29">IFERROR(IF(AND(tbl_Case_mins[[#This Row],[FirstAMCase]]=0,tbl_Case_mins[[#This Row],[Rank]]=_xlfn.AGGREGATE(14,6,(tbl_Case_mins[Rank])/((tbl_Case_mins[Surgery Start Date]=tbl_Case_mins[[#This Row],[Surgery Start Date]])*(tbl_Case_mins[Theatre]=tbl_Case_mins[[#This Row],[Theatre]])*(tbl_Case_mins[AmCase]=1)),1)),1,0),0)</f>
        <v>0</v>
      </c>
      <c r="CR29" s="9" cm="1">
        <f t="array" ref="CR2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 s="9" t="e" cm="1">
        <f t="array" ref="CS2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 s="9" cm="1">
        <f t="array" ref="CT29">IFERROR(IF(tbl_Case_mins[[#This Row],[Rank]]=_xlfn.AGGREGATE(15,6,(tbl_Case_mins[Rank])/((tbl_Case_mins[Surgery Start Date]=tbl_Case_mins[[#This Row],[Surgery Start Date]])*(tbl_Case_mins[Theatre]=tbl_Case_mins[[#This Row],[Theatre]])*(tbl_Case_mins[PmCase]=1)),1),1,0),0)</f>
        <v>0</v>
      </c>
      <c r="CU29">
        <f>IFERROR(#REF!,0)</f>
        <v>0</v>
      </c>
      <c r="CV29" s="9" t="e" cm="1">
        <f t="array" ref="CV2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 s="9">
        <f>IFERROR(IF(ISBLANK(INDEX(Bay_AmClose,MATCH(1,INDEX((tbl_Case_mins[[#This Row],[Bay]]=BayNo)*(tbl_Case_mins[[#This Row],[Surgery Start Date]]=BDate),0,1),0))*1440),0,INDEX(Bay_AmClose,MATCH(1,INDEX((tbl_Case_mins[[#This Row],[Bay]]=BayNo)*(tbl_Case_mins[[#This Row],[Surgery Start Date]]=BDate),0,1),0))*1440),0)</f>
        <v>0</v>
      </c>
      <c r="CX29" s="9" cm="1">
        <f t="array" ref="CX29">IFERROR(IF(ISBLANK(INDEX(Bay_PmOpen,MATCH(1,INDEX((tbl_Case_mins[[#This Row],[Bay]]=BayNo)*(tbl_Case_mins[[#This Row],[Surgery Start Date]]=BDate),0,1),0))*1440),0,INDEX(Bay_PmOpen,MATCH(1,INDEX((tbl_Case_mins[[#This Row],[Bay]]=BayNo)*(tbl_Case_mins[[#This Row],[Surgery Start Date]]=BDate),0,1),0))*1440),0)</f>
        <v>0</v>
      </c>
      <c r="CY2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 s="9"/>
    </row>
    <row r="30" spans="1:104" x14ac:dyDescent="0.2">
      <c r="A30">
        <v>29</v>
      </c>
      <c r="B30" t="e">
        <f>#REF!</f>
        <v>#REF!</v>
      </c>
      <c r="C30" t="e">
        <f>#REF!</f>
        <v>#REF!</v>
      </c>
      <c r="D30" t="e">
        <f>#REF!</f>
        <v>#REF!</v>
      </c>
      <c r="E30" t="e">
        <f>#REF!</f>
        <v>#REF!</v>
      </c>
      <c r="F30" t="e">
        <f>#REF!</f>
        <v>#REF!</v>
      </c>
      <c r="G30" t="e">
        <f>#REF!</f>
        <v>#REF!</v>
      </c>
      <c r="H30" t="e">
        <f>#REF!</f>
        <v>#REF!</v>
      </c>
      <c r="I30" t="e">
        <f>IF(#REF!="Case Cancelled",1,IF(#REF!="No Cases",2,0))</f>
        <v>#REF!</v>
      </c>
      <c r="J30" t="e">
        <f>#REF!</f>
        <v>#REF!</v>
      </c>
      <c r="K30" s="4" t="e">
        <f>#REF!</f>
        <v>#REF!</v>
      </c>
      <c r="L30" t="e">
        <f>"Wk "&amp;WEEKNUM(tbl_Case_mins[[#This Row],[Surgery Start Date]],21)</f>
        <v>#REF!</v>
      </c>
      <c r="M30" t="e">
        <f>TEXT(tbl_Case_mins[[#This Row],[Surgery Start Date]],"ddd")</f>
        <v>#REF!</v>
      </c>
      <c r="N30" s="9" t="e">
        <f>(#REF!-TIME(0,0,0))*1440</f>
        <v>#REF!</v>
      </c>
      <c r="O30" t="e">
        <f>IF(AND(ROUND((#REF!-TIME(0,0,0))*1440,0)&gt;0,ROUND((#REF!-TIME(0,0,0))*1440,0)&lt;tbl_Case_mins[[#This Row],[Patient Called]],tbl_Case_mins[[#This Row],[Surgery End Date]]&gt;tbl_Case_mins[[#This Row],[Surgery Start Date]]),ROUND((#REF!-TIME(0,0,0))*1440,0)+1440,ROUND((#REF!-TIME(0,0,0))*1440,0))</f>
        <v>#REF!</v>
      </c>
      <c r="P30" s="9" t="e">
        <f>IF(AND(ROUND((#REF!-TIME(0,0,0))*1440,0)&gt;0,ROUND((#REF!-TIME(0,0,0))*1440,0)&lt;tbl_Case_mins[[#This Row],[Arrival]],tbl_Case_mins[[#This Row],[Surgery End Date]]&gt;tbl_Case_mins[[#This Row],[Surgery Start Date]]),ROUND((#REF!-TIME(0,0,0))*1440,0)+1440,ROUND((#REF!-TIME(0,0,0))*1440,0))</f>
        <v>#REF!</v>
      </c>
      <c r="Q30" s="9" t="e">
        <f>IF(AND(ROUND((#REF!-TIME(0,0,0))*1440,0)&gt;0,ROUND((#REF!-TIME(0,0,0))*1440,0)&lt;tbl_Case_mins[[#This Row],[Into Th or AR]],tbl_Case_mins[[#This Row],[Surgery End Date]]&gt;tbl_Case_mins[[#This Row],[Surgery Start Date]]),ROUND((#REF!-TIME(0,0,0))*1440,0)+1440,ROUND((#REF!-TIME(0,0,0))*1440,0))</f>
        <v>#REF!</v>
      </c>
      <c r="R30" s="9" t="e">
        <f>IF(AND(ROUND((#REF!-TIME(0,0,0))*1440,0)&gt;0,ROUND((#REF!-TIME(0,0,0))*1440,0)&lt;tbl_Case_mins[[#This Row],[AnaesthStart]],tbl_Case_mins[[#This Row],[Surgery End Date]]&gt;tbl_Case_mins[[#This Row],[Surgery Start Date]]),ROUND((#REF!-TIME(0,0,0))*1440,0)+1440,ROUND((#REF!-TIME(0,0,0))*1440,0))</f>
        <v>#REF!</v>
      </c>
      <c r="S30" s="9" t="e">
        <f>IF(AND(ROUND((#REF!-TIME(0,0,0))*1440,0),ROUND((#REF!-TIME(0,0,0))*1440,0)&lt;tbl_Case_mins[[#This Row],[Surgery Start]],tbl_Case_mins[[#This Row],[Surgery End Date]]&gt;tbl_Case_mins[[#This Row],[Surgery Start Date]]),ROUND((#REF!-TIME(0,0,0))*1440,0)+1440,ROUND((#REF!-TIME(0,0,0))*1440,0))</f>
        <v>#REF!</v>
      </c>
      <c r="T30" s="9" t="e">
        <f>IF(AND(ROUND((#REF!-TIME(0,0,0))*1440,0)&gt;0,ROUND((#REF!-TIME(0,0,0))*1440,0)&lt;tbl_Case_mins[[#This Row],[Surgery Finish]],tbl_Case_mins[[#This Row],[Surgery End Date]]&gt;tbl_Case_mins[[#This Row],[Surgery Start Date]]),ROUND((#REF!-TIME(0,0,0))*1440,0)+1440,ROUND((#REF!-TIME(0,0,0))*1440,0))</f>
        <v>#REF!</v>
      </c>
      <c r="U30" s="9" t="e">
        <f>IF(AND(ROUND((#REF!-TIME(0,0,0))*1440,0)&gt;0,ROUND((#REF!-TIME(0,0,0))*1440,0)&lt;tbl_Case_mins[[#This Row],[Anaesth End]],tbl_Case_mins[[#This Row],[Surgery End Date]]&gt;tbl_Case_mins[[#This Row],[Surgery Start Date]]),ROUND((#REF!-TIME(0,0,0))*1440,0)+1440,ROUND((#REF!-TIME(0,0,0))*1440,0))</f>
        <v>#REF!</v>
      </c>
      <c r="V30" s="9" t="e">
        <f>IF(AND(ROUND((#REF!-TIME(0,0,0))*1440,0)&gt;0,ROUND((#REF!-TIME(0,0,0))*1440,0)&lt;tbl_Case_mins[[#This Row],[Into Recov]],tbl_Case_mins[[#This Row],[Surgery End Date]]&gt;tbl_Case_mins[[#This Row],[Surgery Start Date]]),ROUND((#REF!-TIME(0,0,0))*1440,0)+1440,ROUND((#REF!-TIME(0,0,0))*1440,0))</f>
        <v>#REF!</v>
      </c>
      <c r="W30" s="9" t="e">
        <f>IF(AND(ROUND((#REF!-TIME(0,0,0))*1440,0)&gt;0,ROUND((#REF!-TIME(0,0,0))*1440,0)&lt;tbl_Case_mins[[#This Row],[Ward Called]],tbl_Case_mins[[#This Row],[Surgery End Date]]&gt;tbl_Case_mins[[#This Row],[Surgery Start Date]]),ROUND((#REF!-TIME(0,0,0))*1440,0)+1440,ROUND((#REF!-TIME(0,0,0))*1440,0))</f>
        <v>#REF!</v>
      </c>
      <c r="X30" s="4" t="e">
        <f>IF(ISBLANK(#REF!),tbl_Case_mins[[#This Row],[Surgery Start Date]],#REF!)</f>
        <v>#REF!</v>
      </c>
      <c r="Y30">
        <f>IFERROR(IF(VLOOKUP(tbl_Case_mins[[#This Row],[Theatre]],'Mng Theatres'!$C$7:$G$12,3,FALSE)="Yes","Yes","No"),0)</f>
        <v>0</v>
      </c>
      <c r="Z30" s="9" t="e" cm="1">
        <f t="array" ref="Z3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 s="9" t="e" cm="1">
        <f t="array" ref="AA3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 s="9" t="e">
        <f>IF(tbl_Case_mins[[#This Row],[Case Type]]="Unsch",1,0)</f>
        <v>#REF!</v>
      </c>
      <c r="AD30" s="9" t="e">
        <f>IF(tbl_Case_mins[[#This Row],[Case Type]]="Sch",1,0)</f>
        <v>#REF!</v>
      </c>
      <c r="AE3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 s="9">
        <f>IFERROR(IF(ISBLANK(INDEX(Am_Close,MATCH(1,INDEX((tbl_Case_mins[[#This Row],[Theatre]]=Theatre_No)*(tbl_Case_mins[[#This Row],[Surgery Start Date]]=Date),0,1),0))*1440),0,INDEX(Am_Close,MATCH(1,INDEX((tbl_Case_mins[[#This Row],[Theatre]]=Theatre_No)*(tbl_Case_mins[[#This Row],[Surgery Start Date]]=Date),0,1),0))*1440),0)</f>
        <v>0</v>
      </c>
      <c r="AG30" s="9">
        <f>IFERROR(IF(ISBLANK(INDEX(PM_Open,MATCH(1,INDEX((tbl_Case_mins[[#This Row],[Theatre]]=Theatre_No)*(tbl_Case_mins[[#This Row],[Surgery Start Date]]=Date),0,1),0))*1440),0,INDEX(PM_Open,MATCH(1,INDEX((tbl_Case_mins[[#This Row],[Theatre]]=Theatre_No)*(tbl_Case_mins[[#This Row],[Surgery Start Date]]=Date),0,1),0))*1440),0)</f>
        <v>0</v>
      </c>
      <c r="AH3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 s="9" t="e">
        <f>IF(tbl_Case_mins[[#This Row],[ThOpenAm]]=0,tbl_Case_mins[[#This Row],[ThOpenPM]],tbl_Case_mins[[#This Row],[ThOpenAm]])</f>
        <v>#REF!</v>
      </c>
      <c r="AJ30" s="9" t="e">
        <f>IF(tbl_Case_mins[[#This Row],[ThCloseAm]]&gt;0,IF(tbl_Case_mins[[#This Row],[ThOpenPM]]&gt;0,tbl_Case_mins[[#This Row],[ThClosePm]],tbl_Case_mins[[#This Row],[ThCloseAm]]),tbl_Case_mins[[#This Row],[ThClosePm]])</f>
        <v>#REF!</v>
      </c>
      <c r="AK30" s="9" t="e">
        <f>IF(tbl_Case_mins[[#This Row],[TOT]]&gt;0,1,0)</f>
        <v>#REF!</v>
      </c>
      <c r="AL3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 s="9" t="e">
        <f>IF(AND(tbl_Case_mins[[#This Row],[Surgery Status]]&lt;&gt;2,tbl_Case_mins[[#This Row],[InCoreCase]]=0,tbl_Case_mins[[#This Row],[CancelledCase]]=0),1,0)</f>
        <v>#REF!</v>
      </c>
      <c r="AN30" s="9" t="e">
        <f>IF(tbl_Case_mins[[#This Row],[Surgery Status]]=1,1,0)</f>
        <v>#REF!</v>
      </c>
      <c r="AO3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 s="9" t="e">
        <f>IF(AND(tbl_Case_mins[[#This Row],[NonCoreCase]]=1,tbl_Case_mins[[#This Row],[NoInCoreTime]]=0),1,0)</f>
        <v>#REF!</v>
      </c>
      <c r="AQ30" s="9" t="e">
        <f>IF(tbl_Case_mins[[#This Row],[Rank_AnaEnd]]&lt;tbl_Case_mins[[#This Row],[Rank_AnaSt]],1,0)</f>
        <v>#REF!</v>
      </c>
      <c r="AR30" s="9" t="e">
        <f>IF(AND(tbl_Case_mins[[#This Row],[InCoreCase]]=1,tbl_Case_mins[[#This Row],[Sch]]=1),1,0)</f>
        <v>#REF!</v>
      </c>
      <c r="AS30" s="9" t="e">
        <f>IF(AND(tbl_Case_mins[[#This Row],[InCoreCase]]=1,tbl_Case_mins[[#This Row],[Unsch]]=1),1,0)</f>
        <v>#REF!</v>
      </c>
      <c r="AT3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 s="9" t="e">
        <f>IF(tbl_Case_mins[[#This Row],[Surgery Status]]=0,(tbl_Case_mins[[#This Row],[Anaesth End]]-tbl_Case_mins[[#This Row],[AnaesthStart]]),0)</f>
        <v>#REF!</v>
      </c>
      <c r="AX30" s="9" t="e">
        <f>IF(tbl_Case_mins[[#This Row],[Surgery Status]]=0,(tbl_Case_mins[[#This Row],[Surgery Finish]]-tbl_Case_mins[[#This Row],[Surgery Start]]),0)</f>
        <v>#REF!</v>
      </c>
      <c r="AY30" s="9" t="e">
        <f>tbl_Case_mins[[#This Row],[Surgery Start]]-tbl_Case_mins[[#This Row],[AnaesthStart]]</f>
        <v>#REF!</v>
      </c>
      <c r="AZ30" s="9" t="e">
        <f>tbl_Case_mins[[#This Row],[Anaesth End]]-tbl_Case_mins[[#This Row],[Surgery Finish]]</f>
        <v>#REF!</v>
      </c>
      <c r="BA3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 s="16" cm="1">
        <f t="array" ref="BC3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 s="16" t="e">
        <f>IF(AND(tbl_Case_mins[[#This Row],[FirstAMCase]]=1,tbl_Case_mins[[#This Row],[CancelledCase]]=0,OR(tbl_Case_mins[[#This Row],[EarlyStartAM]]&gt;0,tbl_Case_mins[[#This Row],[AnaesthStart]]=tbl_Case_mins[[#This Row],[ThOpenAm]])),1,0)</f>
        <v>#REF!</v>
      </c>
      <c r="BE30" s="16" t="e">
        <f>IF(AND(tbl_Case_mins[[#This Row],[Rank_AnaSt]]=tbl_Case_mins[[#This Row],[Min_RankAnaSt]],tbl_Case_mins[[#This Row],[Anaesth End]]&gt;=tbl_Case_mins[[#This Row],[ThOpenAm]],tbl_Case_mins[[#This Row],[PmCase]]=0),1,0)</f>
        <v>#REF!</v>
      </c>
      <c r="BF3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 s="9" t="e" cm="1">
        <f t="array" ref="BH3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 s="9" t="e">
        <f>IF(AND(tbl_Case_mins[[#This Row],[ThOpenPM]]&gt;0,tbl_Case_mins[[#This Row],[AnaesthStart]]&gt;tbl_Case_mins[[#This Row],[ThOpenPM]],tbl_Case_mins[[#This Row],[First PM Case]]=1),tbl_Case_mins[[#This Row],[AnaesthStart]]-tbl_Case_mins[[#This Row],[ThOpenPM]],0)</f>
        <v>#REF!</v>
      </c>
      <c r="BL3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 s="9" t="e" cm="1">
        <f t="array" ref="BN3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 s="9" t="e">
        <f>IF(AND(tbl_Case_mins[[#This Row],[ThClosePm]]&gt;0,tbl_Case_mins[[#This Row],[Anaesth End]]&gt;tbl_Case_mins[[#This Row],[ThClosePm]],tbl_Case_mins[[#This Row],[AnaesthStart]]&gt;tbl_Case_mins[[#This Row],[ThClosePm]]),tbl_Case_mins[[#This Row],[Into Recov]]-tbl_Case_mins[[#This Row],[AnaesthStart]],0)</f>
        <v>#REF!</v>
      </c>
      <c r="BP30" s="9" t="e">
        <f>IF(AND(tbl_Case_mins[[#This Row],[AnaesthStart]]&lt;tbl_Case_mins[[#This Row],[ThClosePm]],tbl_Case_mins[[#This Row],[Anaesth End]]&gt;tbl_Case_mins[[#This Row],[ThClosePm]]),tbl_Case_mins[[#This Row],[Anaesth End]]-tbl_Case_mins[[#This Row],[ThClosePm]],0)</f>
        <v>#REF!</v>
      </c>
      <c r="BQ30" s="9" t="e" cm="1">
        <f t="array" ref="BQ3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 s="9" t="e" cm="1">
        <f t="array" ref="BR30">IF(tbl_Case_mins[[#This Row],[Rank_Adjust]]=SUMPRODUCT(-(tbl_Case_mins[Surgery Start Date]=tbl_Case_mins[[#This Row],[Surgery Start Date]]),-(tbl_Case_mins[Theatre]=tbl_Case_mins[[#This Row],[Theatre]])),INDEX(Poss_Time,MATCH(TEXT(tbl_Case_mins[[#This Row],[Surgery Start Date]],"ddd"),Day,0)),0)</f>
        <v>#REF!</v>
      </c>
      <c r="BS30" s="9" t="e">
        <f>tbl_Case_mins[[#This Row],[Core_Time]]*Util_Goal</f>
        <v>#REF!</v>
      </c>
      <c r="BT30" s="9" t="e" cm="1">
        <f t="array" ref="BT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 s="9" t="e" cm="1">
        <f t="array" ref="BU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 s="9" t="e">
        <f>IF(tbl_Case_mins[[#This Row],[Surgery End Date]]&gt;tbl_Case_mins[[#This Row],[Surgery Start Date]],tbl_Case_mins[[#This Row],[Anaesth End]]-1440,0)</f>
        <v>#REF!</v>
      </c>
      <c r="BY30" s="9" t="e">
        <f>tbl_Case_mins[[#This Row],[Total_NonCore]]-tbl_Case_mins[[#This Row],[NextDay_NonCore]]</f>
        <v>#REF!</v>
      </c>
      <c r="BZ30" s="10" t="e">
        <f>tbl_Case_mins[[#This Row],[InCoreUse]]/60</f>
        <v>#REF!</v>
      </c>
      <c r="CA30" s="10" t="e">
        <f>tbl_Case_mins[[#This Row],[Total_NonCore]]/60</f>
        <v>#REF!</v>
      </c>
      <c r="CB30" t="e" cm="1">
        <f t="array" ref="CB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 s="9" t="e" cm="1">
        <f t="array" ref="CC3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 s="9" t="e" cm="1">
        <f t="array" ref="CD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 s="9" t="e" cm="1">
        <f t="array" ref="CE3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 s="9" cm="1">
        <f t="array" ref="CF30">IFERROR(_xlfn.AGGREGATE(14,6,(tbl_Case_mins[Rank_AnaEnd])/((tbl_Case_mins[Surgery Start Date]=tbl_Case_mins[[#This Row],[Surgery Start Date]])*(tbl_Case_mins[Theatre]=tbl_Case_mins[[#This Row],[Theatre]])*(tbl_Case_mins[NoInCoreTime]=0)),1),-1)</f>
        <v>-1</v>
      </c>
      <c r="CG30" s="9" cm="1">
        <f t="array" ref="CG30">IFERROR(_xlfn.AGGREGATE(15,6,(tbl_Case_mins[Rank_AnaSt])/((tbl_Case_mins[Surgery Start Date]=tbl_Case_mins[[#This Row],[Surgery Start Date]])*(tbl_Case_mins[Theatre]=tbl_Case_mins[[#This Row],[Theatre]])*(tbl_Case_mins[NoInCoreTime]=0)),1),-1)</f>
        <v>-1</v>
      </c>
      <c r="CH3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 t="e" cm="1">
        <f t="array" ref="CJ3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 s="9" cm="1">
        <f t="array" ref="CO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 s="9" cm="1">
        <f t="array" ref="CP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 s="9" cm="1">
        <f t="array" ref="CQ30">IFERROR(IF(AND(tbl_Case_mins[[#This Row],[FirstAMCase]]=0,tbl_Case_mins[[#This Row],[Rank]]=_xlfn.AGGREGATE(14,6,(tbl_Case_mins[Rank])/((tbl_Case_mins[Surgery Start Date]=tbl_Case_mins[[#This Row],[Surgery Start Date]])*(tbl_Case_mins[Theatre]=tbl_Case_mins[[#This Row],[Theatre]])*(tbl_Case_mins[AmCase]=1)),1)),1,0),0)</f>
        <v>0</v>
      </c>
      <c r="CR30" s="9" cm="1">
        <f t="array" ref="CR3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 s="9" t="e" cm="1">
        <f t="array" ref="CS3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 s="9" cm="1">
        <f t="array" ref="CT30">IFERROR(IF(tbl_Case_mins[[#This Row],[Rank]]=_xlfn.AGGREGATE(15,6,(tbl_Case_mins[Rank])/((tbl_Case_mins[Surgery Start Date]=tbl_Case_mins[[#This Row],[Surgery Start Date]])*(tbl_Case_mins[Theatre]=tbl_Case_mins[[#This Row],[Theatre]])*(tbl_Case_mins[PmCase]=1)),1),1,0),0)</f>
        <v>0</v>
      </c>
      <c r="CU30">
        <f>IFERROR(#REF!,0)</f>
        <v>0</v>
      </c>
      <c r="CV30" s="9" t="e" cm="1">
        <f t="array" ref="CV3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 s="9">
        <f>IFERROR(IF(ISBLANK(INDEX(Bay_AmClose,MATCH(1,INDEX((tbl_Case_mins[[#This Row],[Bay]]=BayNo)*(tbl_Case_mins[[#This Row],[Surgery Start Date]]=BDate),0,1),0))*1440),0,INDEX(Bay_AmClose,MATCH(1,INDEX((tbl_Case_mins[[#This Row],[Bay]]=BayNo)*(tbl_Case_mins[[#This Row],[Surgery Start Date]]=BDate),0,1),0))*1440),0)</f>
        <v>0</v>
      </c>
      <c r="CX30" s="9" cm="1">
        <f t="array" ref="CX30">IFERROR(IF(ISBLANK(INDEX(Bay_PmOpen,MATCH(1,INDEX((tbl_Case_mins[[#This Row],[Bay]]=BayNo)*(tbl_Case_mins[[#This Row],[Surgery Start Date]]=BDate),0,1),0))*1440),0,INDEX(Bay_PmOpen,MATCH(1,INDEX((tbl_Case_mins[[#This Row],[Bay]]=BayNo)*(tbl_Case_mins[[#This Row],[Surgery Start Date]]=BDate),0,1),0))*1440),0)</f>
        <v>0</v>
      </c>
      <c r="CY3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 s="9"/>
    </row>
    <row r="31" spans="1:104" x14ac:dyDescent="0.2">
      <c r="A31">
        <v>30</v>
      </c>
      <c r="B31" t="e">
        <f>#REF!</f>
        <v>#REF!</v>
      </c>
      <c r="C31" t="e">
        <f>#REF!</f>
        <v>#REF!</v>
      </c>
      <c r="D31" t="e">
        <f>#REF!</f>
        <v>#REF!</v>
      </c>
      <c r="E31" t="e">
        <f>#REF!</f>
        <v>#REF!</v>
      </c>
      <c r="F31" t="e">
        <f>#REF!</f>
        <v>#REF!</v>
      </c>
      <c r="G31" t="e">
        <f>#REF!</f>
        <v>#REF!</v>
      </c>
      <c r="H31" t="e">
        <f>#REF!</f>
        <v>#REF!</v>
      </c>
      <c r="I31" t="e">
        <f>IF(#REF!="Case Cancelled",1,IF(#REF!="No Cases",2,0))</f>
        <v>#REF!</v>
      </c>
      <c r="J31" t="e">
        <f>#REF!</f>
        <v>#REF!</v>
      </c>
      <c r="K31" s="4" t="e">
        <f>#REF!</f>
        <v>#REF!</v>
      </c>
      <c r="L31" t="e">
        <f>"Wk "&amp;WEEKNUM(tbl_Case_mins[[#This Row],[Surgery Start Date]],21)</f>
        <v>#REF!</v>
      </c>
      <c r="M31" t="e">
        <f>TEXT(tbl_Case_mins[[#This Row],[Surgery Start Date]],"ddd")</f>
        <v>#REF!</v>
      </c>
      <c r="N31" s="9" t="e">
        <f>(#REF!-TIME(0,0,0))*1440</f>
        <v>#REF!</v>
      </c>
      <c r="O31" t="e">
        <f>IF(AND(ROUND((#REF!-TIME(0,0,0))*1440,0)&gt;0,ROUND((#REF!-TIME(0,0,0))*1440,0)&lt;tbl_Case_mins[[#This Row],[Patient Called]],tbl_Case_mins[[#This Row],[Surgery End Date]]&gt;tbl_Case_mins[[#This Row],[Surgery Start Date]]),ROUND((#REF!-TIME(0,0,0))*1440,0)+1440,ROUND((#REF!-TIME(0,0,0))*1440,0))</f>
        <v>#REF!</v>
      </c>
      <c r="P31" s="9" t="e">
        <f>IF(AND(ROUND((#REF!-TIME(0,0,0))*1440,0)&gt;0,ROUND((#REF!-TIME(0,0,0))*1440,0)&lt;tbl_Case_mins[[#This Row],[Arrival]],tbl_Case_mins[[#This Row],[Surgery End Date]]&gt;tbl_Case_mins[[#This Row],[Surgery Start Date]]),ROUND((#REF!-TIME(0,0,0))*1440,0)+1440,ROUND((#REF!-TIME(0,0,0))*1440,0))</f>
        <v>#REF!</v>
      </c>
      <c r="Q31" s="9" t="e">
        <f>IF(AND(ROUND((#REF!-TIME(0,0,0))*1440,0)&gt;0,ROUND((#REF!-TIME(0,0,0))*1440,0)&lt;tbl_Case_mins[[#This Row],[Into Th or AR]],tbl_Case_mins[[#This Row],[Surgery End Date]]&gt;tbl_Case_mins[[#This Row],[Surgery Start Date]]),ROUND((#REF!-TIME(0,0,0))*1440,0)+1440,ROUND((#REF!-TIME(0,0,0))*1440,0))</f>
        <v>#REF!</v>
      </c>
      <c r="R31" s="9" t="e">
        <f>IF(AND(ROUND((#REF!-TIME(0,0,0))*1440,0)&gt;0,ROUND((#REF!-TIME(0,0,0))*1440,0)&lt;tbl_Case_mins[[#This Row],[AnaesthStart]],tbl_Case_mins[[#This Row],[Surgery End Date]]&gt;tbl_Case_mins[[#This Row],[Surgery Start Date]]),ROUND((#REF!-TIME(0,0,0))*1440,0)+1440,ROUND((#REF!-TIME(0,0,0))*1440,0))</f>
        <v>#REF!</v>
      </c>
      <c r="S31" s="9" t="e">
        <f>IF(AND(ROUND((#REF!-TIME(0,0,0))*1440,0),ROUND((#REF!-TIME(0,0,0))*1440,0)&lt;tbl_Case_mins[[#This Row],[Surgery Start]],tbl_Case_mins[[#This Row],[Surgery End Date]]&gt;tbl_Case_mins[[#This Row],[Surgery Start Date]]),ROUND((#REF!-TIME(0,0,0))*1440,0)+1440,ROUND((#REF!-TIME(0,0,0))*1440,0))</f>
        <v>#REF!</v>
      </c>
      <c r="T31" s="9" t="e">
        <f>IF(AND(ROUND((#REF!-TIME(0,0,0))*1440,0)&gt;0,ROUND((#REF!-TIME(0,0,0))*1440,0)&lt;tbl_Case_mins[[#This Row],[Surgery Finish]],tbl_Case_mins[[#This Row],[Surgery End Date]]&gt;tbl_Case_mins[[#This Row],[Surgery Start Date]]),ROUND((#REF!-TIME(0,0,0))*1440,0)+1440,ROUND((#REF!-TIME(0,0,0))*1440,0))</f>
        <v>#REF!</v>
      </c>
      <c r="U31" s="9" t="e">
        <f>IF(AND(ROUND((#REF!-TIME(0,0,0))*1440,0)&gt;0,ROUND((#REF!-TIME(0,0,0))*1440,0)&lt;tbl_Case_mins[[#This Row],[Anaesth End]],tbl_Case_mins[[#This Row],[Surgery End Date]]&gt;tbl_Case_mins[[#This Row],[Surgery Start Date]]),ROUND((#REF!-TIME(0,0,0))*1440,0)+1440,ROUND((#REF!-TIME(0,0,0))*1440,0))</f>
        <v>#REF!</v>
      </c>
      <c r="V31" s="9" t="e">
        <f>IF(AND(ROUND((#REF!-TIME(0,0,0))*1440,0)&gt;0,ROUND((#REF!-TIME(0,0,0))*1440,0)&lt;tbl_Case_mins[[#This Row],[Into Recov]],tbl_Case_mins[[#This Row],[Surgery End Date]]&gt;tbl_Case_mins[[#This Row],[Surgery Start Date]]),ROUND((#REF!-TIME(0,0,0))*1440,0)+1440,ROUND((#REF!-TIME(0,0,0))*1440,0))</f>
        <v>#REF!</v>
      </c>
      <c r="W31" s="9" t="e">
        <f>IF(AND(ROUND((#REF!-TIME(0,0,0))*1440,0)&gt;0,ROUND((#REF!-TIME(0,0,0))*1440,0)&lt;tbl_Case_mins[[#This Row],[Ward Called]],tbl_Case_mins[[#This Row],[Surgery End Date]]&gt;tbl_Case_mins[[#This Row],[Surgery Start Date]]),ROUND((#REF!-TIME(0,0,0))*1440,0)+1440,ROUND((#REF!-TIME(0,0,0))*1440,0))</f>
        <v>#REF!</v>
      </c>
      <c r="X31" s="4" t="e">
        <f>IF(ISBLANK(#REF!),tbl_Case_mins[[#This Row],[Surgery Start Date]],#REF!)</f>
        <v>#REF!</v>
      </c>
      <c r="Y31">
        <f>IFERROR(IF(VLOOKUP(tbl_Case_mins[[#This Row],[Theatre]],'Mng Theatres'!$C$7:$G$12,3,FALSE)="Yes","Yes","No"),0)</f>
        <v>0</v>
      </c>
      <c r="Z31" s="9" t="e" cm="1">
        <f t="array" ref="Z3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 s="9" t="e" cm="1">
        <f t="array" ref="AA3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 s="9" t="e">
        <f>IF(tbl_Case_mins[[#This Row],[Case Type]]="Unsch",1,0)</f>
        <v>#REF!</v>
      </c>
      <c r="AD31" s="9" t="e">
        <f>IF(tbl_Case_mins[[#This Row],[Case Type]]="Sch",1,0)</f>
        <v>#REF!</v>
      </c>
      <c r="AE3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 s="9">
        <f>IFERROR(IF(ISBLANK(INDEX(Am_Close,MATCH(1,INDEX((tbl_Case_mins[[#This Row],[Theatre]]=Theatre_No)*(tbl_Case_mins[[#This Row],[Surgery Start Date]]=Date),0,1),0))*1440),0,INDEX(Am_Close,MATCH(1,INDEX((tbl_Case_mins[[#This Row],[Theatre]]=Theatre_No)*(tbl_Case_mins[[#This Row],[Surgery Start Date]]=Date),0,1),0))*1440),0)</f>
        <v>0</v>
      </c>
      <c r="AG31" s="9">
        <f>IFERROR(IF(ISBLANK(INDEX(PM_Open,MATCH(1,INDEX((tbl_Case_mins[[#This Row],[Theatre]]=Theatre_No)*(tbl_Case_mins[[#This Row],[Surgery Start Date]]=Date),0,1),0))*1440),0,INDEX(PM_Open,MATCH(1,INDEX((tbl_Case_mins[[#This Row],[Theatre]]=Theatre_No)*(tbl_Case_mins[[#This Row],[Surgery Start Date]]=Date),0,1),0))*1440),0)</f>
        <v>0</v>
      </c>
      <c r="AH3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 s="9" t="e">
        <f>IF(tbl_Case_mins[[#This Row],[ThOpenAm]]=0,tbl_Case_mins[[#This Row],[ThOpenPM]],tbl_Case_mins[[#This Row],[ThOpenAm]])</f>
        <v>#REF!</v>
      </c>
      <c r="AJ31" s="9" t="e">
        <f>IF(tbl_Case_mins[[#This Row],[ThCloseAm]]&gt;0,IF(tbl_Case_mins[[#This Row],[ThOpenPM]]&gt;0,tbl_Case_mins[[#This Row],[ThClosePm]],tbl_Case_mins[[#This Row],[ThCloseAm]]),tbl_Case_mins[[#This Row],[ThClosePm]])</f>
        <v>#REF!</v>
      </c>
      <c r="AK31" s="9" t="e">
        <f>IF(tbl_Case_mins[[#This Row],[TOT]]&gt;0,1,0)</f>
        <v>#REF!</v>
      </c>
      <c r="AL3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 s="9" t="e">
        <f>IF(AND(tbl_Case_mins[[#This Row],[Surgery Status]]&lt;&gt;2,tbl_Case_mins[[#This Row],[InCoreCase]]=0,tbl_Case_mins[[#This Row],[CancelledCase]]=0),1,0)</f>
        <v>#REF!</v>
      </c>
      <c r="AN31" s="9" t="e">
        <f>IF(tbl_Case_mins[[#This Row],[Surgery Status]]=1,1,0)</f>
        <v>#REF!</v>
      </c>
      <c r="AO3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 s="9" t="e">
        <f>IF(AND(tbl_Case_mins[[#This Row],[NonCoreCase]]=1,tbl_Case_mins[[#This Row],[NoInCoreTime]]=0),1,0)</f>
        <v>#REF!</v>
      </c>
      <c r="AQ31" s="9" t="e">
        <f>IF(tbl_Case_mins[[#This Row],[Rank_AnaEnd]]&lt;tbl_Case_mins[[#This Row],[Rank_AnaSt]],1,0)</f>
        <v>#REF!</v>
      </c>
      <c r="AR31" s="9" t="e">
        <f>IF(AND(tbl_Case_mins[[#This Row],[InCoreCase]]=1,tbl_Case_mins[[#This Row],[Sch]]=1),1,0)</f>
        <v>#REF!</v>
      </c>
      <c r="AS31" s="9" t="e">
        <f>IF(AND(tbl_Case_mins[[#This Row],[InCoreCase]]=1,tbl_Case_mins[[#This Row],[Unsch]]=1),1,0)</f>
        <v>#REF!</v>
      </c>
      <c r="AT3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 s="9" t="e">
        <f>IF(tbl_Case_mins[[#This Row],[Surgery Status]]=0,(tbl_Case_mins[[#This Row],[Anaesth End]]-tbl_Case_mins[[#This Row],[AnaesthStart]]),0)</f>
        <v>#REF!</v>
      </c>
      <c r="AX31" s="9" t="e">
        <f>IF(tbl_Case_mins[[#This Row],[Surgery Status]]=0,(tbl_Case_mins[[#This Row],[Surgery Finish]]-tbl_Case_mins[[#This Row],[Surgery Start]]),0)</f>
        <v>#REF!</v>
      </c>
      <c r="AY31" s="9" t="e">
        <f>tbl_Case_mins[[#This Row],[Surgery Start]]-tbl_Case_mins[[#This Row],[AnaesthStart]]</f>
        <v>#REF!</v>
      </c>
      <c r="AZ31" s="9" t="e">
        <f>tbl_Case_mins[[#This Row],[Anaesth End]]-tbl_Case_mins[[#This Row],[Surgery Finish]]</f>
        <v>#REF!</v>
      </c>
      <c r="BA3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 s="16" cm="1">
        <f t="array" ref="BC3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 s="16" t="e">
        <f>IF(AND(tbl_Case_mins[[#This Row],[FirstAMCase]]=1,tbl_Case_mins[[#This Row],[CancelledCase]]=0,OR(tbl_Case_mins[[#This Row],[EarlyStartAM]]&gt;0,tbl_Case_mins[[#This Row],[AnaesthStart]]=tbl_Case_mins[[#This Row],[ThOpenAm]])),1,0)</f>
        <v>#REF!</v>
      </c>
      <c r="BE31" s="16" t="e">
        <f>IF(AND(tbl_Case_mins[[#This Row],[Rank_AnaSt]]=tbl_Case_mins[[#This Row],[Min_RankAnaSt]],tbl_Case_mins[[#This Row],[Anaesth End]]&gt;=tbl_Case_mins[[#This Row],[ThOpenAm]],tbl_Case_mins[[#This Row],[PmCase]]=0),1,0)</f>
        <v>#REF!</v>
      </c>
      <c r="BF3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 s="9" t="e" cm="1">
        <f t="array" ref="BH3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 s="9" t="e">
        <f>IF(AND(tbl_Case_mins[[#This Row],[ThOpenPM]]&gt;0,tbl_Case_mins[[#This Row],[AnaesthStart]]&gt;tbl_Case_mins[[#This Row],[ThOpenPM]],tbl_Case_mins[[#This Row],[First PM Case]]=1),tbl_Case_mins[[#This Row],[AnaesthStart]]-tbl_Case_mins[[#This Row],[ThOpenPM]],0)</f>
        <v>#REF!</v>
      </c>
      <c r="BL3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 s="9" t="e" cm="1">
        <f t="array" ref="BN3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 s="9" t="e">
        <f>IF(AND(tbl_Case_mins[[#This Row],[ThClosePm]]&gt;0,tbl_Case_mins[[#This Row],[Anaesth End]]&gt;tbl_Case_mins[[#This Row],[ThClosePm]],tbl_Case_mins[[#This Row],[AnaesthStart]]&gt;tbl_Case_mins[[#This Row],[ThClosePm]]),tbl_Case_mins[[#This Row],[Into Recov]]-tbl_Case_mins[[#This Row],[AnaesthStart]],0)</f>
        <v>#REF!</v>
      </c>
      <c r="BP31" s="9" t="e">
        <f>IF(AND(tbl_Case_mins[[#This Row],[AnaesthStart]]&lt;tbl_Case_mins[[#This Row],[ThClosePm]],tbl_Case_mins[[#This Row],[Anaesth End]]&gt;tbl_Case_mins[[#This Row],[ThClosePm]]),tbl_Case_mins[[#This Row],[Anaesth End]]-tbl_Case_mins[[#This Row],[ThClosePm]],0)</f>
        <v>#REF!</v>
      </c>
      <c r="BQ31" s="9" t="e" cm="1">
        <f t="array" ref="BQ3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 s="9" t="e" cm="1">
        <f t="array" ref="BR31">IF(tbl_Case_mins[[#This Row],[Rank_Adjust]]=SUMPRODUCT(-(tbl_Case_mins[Surgery Start Date]=tbl_Case_mins[[#This Row],[Surgery Start Date]]),-(tbl_Case_mins[Theatre]=tbl_Case_mins[[#This Row],[Theatre]])),INDEX(Poss_Time,MATCH(TEXT(tbl_Case_mins[[#This Row],[Surgery Start Date]],"ddd"),Day,0)),0)</f>
        <v>#REF!</v>
      </c>
      <c r="BS31" s="9" t="e">
        <f>tbl_Case_mins[[#This Row],[Core_Time]]*Util_Goal</f>
        <v>#REF!</v>
      </c>
      <c r="BT31" s="9" t="e" cm="1">
        <f t="array" ref="BT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 s="9" t="e" cm="1">
        <f t="array" ref="BU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 s="9" t="e">
        <f>IF(tbl_Case_mins[[#This Row],[Surgery End Date]]&gt;tbl_Case_mins[[#This Row],[Surgery Start Date]],tbl_Case_mins[[#This Row],[Anaesth End]]-1440,0)</f>
        <v>#REF!</v>
      </c>
      <c r="BY31" s="9" t="e">
        <f>tbl_Case_mins[[#This Row],[Total_NonCore]]-tbl_Case_mins[[#This Row],[NextDay_NonCore]]</f>
        <v>#REF!</v>
      </c>
      <c r="BZ31" s="10" t="e">
        <f>tbl_Case_mins[[#This Row],[InCoreUse]]/60</f>
        <v>#REF!</v>
      </c>
      <c r="CA31" s="10" t="e">
        <f>tbl_Case_mins[[#This Row],[Total_NonCore]]/60</f>
        <v>#REF!</v>
      </c>
      <c r="CB31" t="e" cm="1">
        <f t="array" ref="CB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 s="9" t="e" cm="1">
        <f t="array" ref="CC3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 s="9" t="e" cm="1">
        <f t="array" ref="CD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 s="9" t="e" cm="1">
        <f t="array" ref="CE3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 s="9" cm="1">
        <f t="array" ref="CF31">IFERROR(_xlfn.AGGREGATE(14,6,(tbl_Case_mins[Rank_AnaEnd])/((tbl_Case_mins[Surgery Start Date]=tbl_Case_mins[[#This Row],[Surgery Start Date]])*(tbl_Case_mins[Theatre]=tbl_Case_mins[[#This Row],[Theatre]])*(tbl_Case_mins[NoInCoreTime]=0)),1),-1)</f>
        <v>-1</v>
      </c>
      <c r="CG31" s="9" cm="1">
        <f t="array" ref="CG31">IFERROR(_xlfn.AGGREGATE(15,6,(tbl_Case_mins[Rank_AnaSt])/((tbl_Case_mins[Surgery Start Date]=tbl_Case_mins[[#This Row],[Surgery Start Date]])*(tbl_Case_mins[Theatre]=tbl_Case_mins[[#This Row],[Theatre]])*(tbl_Case_mins[NoInCoreTime]=0)),1),-1)</f>
        <v>-1</v>
      </c>
      <c r="CH3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 t="e" cm="1">
        <f t="array" ref="CJ3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 s="9" cm="1">
        <f t="array" ref="CO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 s="9" cm="1">
        <f t="array" ref="CP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 s="9" cm="1">
        <f t="array" ref="CQ31">IFERROR(IF(AND(tbl_Case_mins[[#This Row],[FirstAMCase]]=0,tbl_Case_mins[[#This Row],[Rank]]=_xlfn.AGGREGATE(14,6,(tbl_Case_mins[Rank])/((tbl_Case_mins[Surgery Start Date]=tbl_Case_mins[[#This Row],[Surgery Start Date]])*(tbl_Case_mins[Theatre]=tbl_Case_mins[[#This Row],[Theatre]])*(tbl_Case_mins[AmCase]=1)),1)),1,0),0)</f>
        <v>0</v>
      </c>
      <c r="CR31" s="9" cm="1">
        <f t="array" ref="CR3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 s="9" t="e" cm="1">
        <f t="array" ref="CS3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 s="9" cm="1">
        <f t="array" ref="CT31">IFERROR(IF(tbl_Case_mins[[#This Row],[Rank]]=_xlfn.AGGREGATE(15,6,(tbl_Case_mins[Rank])/((tbl_Case_mins[Surgery Start Date]=tbl_Case_mins[[#This Row],[Surgery Start Date]])*(tbl_Case_mins[Theatre]=tbl_Case_mins[[#This Row],[Theatre]])*(tbl_Case_mins[PmCase]=1)),1),1,0),0)</f>
        <v>0</v>
      </c>
      <c r="CU31">
        <f>IFERROR(#REF!,0)</f>
        <v>0</v>
      </c>
      <c r="CV31" s="9" t="e" cm="1">
        <f t="array" ref="CV3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 s="9">
        <f>IFERROR(IF(ISBLANK(INDEX(Bay_AmClose,MATCH(1,INDEX((tbl_Case_mins[[#This Row],[Bay]]=BayNo)*(tbl_Case_mins[[#This Row],[Surgery Start Date]]=BDate),0,1),0))*1440),0,INDEX(Bay_AmClose,MATCH(1,INDEX((tbl_Case_mins[[#This Row],[Bay]]=BayNo)*(tbl_Case_mins[[#This Row],[Surgery Start Date]]=BDate),0,1),0))*1440),0)</f>
        <v>0</v>
      </c>
      <c r="CX31" s="9" cm="1">
        <f t="array" ref="CX31">IFERROR(IF(ISBLANK(INDEX(Bay_PmOpen,MATCH(1,INDEX((tbl_Case_mins[[#This Row],[Bay]]=BayNo)*(tbl_Case_mins[[#This Row],[Surgery Start Date]]=BDate),0,1),0))*1440),0,INDEX(Bay_PmOpen,MATCH(1,INDEX((tbl_Case_mins[[#This Row],[Bay]]=BayNo)*(tbl_Case_mins[[#This Row],[Surgery Start Date]]=BDate),0,1),0))*1440),0)</f>
        <v>0</v>
      </c>
      <c r="CY3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 s="9"/>
    </row>
    <row r="32" spans="1:104" x14ac:dyDescent="0.2">
      <c r="A32">
        <v>31</v>
      </c>
      <c r="B32" t="e">
        <f>#REF!</f>
        <v>#REF!</v>
      </c>
      <c r="C32" t="e">
        <f>#REF!</f>
        <v>#REF!</v>
      </c>
      <c r="D32" t="e">
        <f>#REF!</f>
        <v>#REF!</v>
      </c>
      <c r="E32" t="e">
        <f>#REF!</f>
        <v>#REF!</v>
      </c>
      <c r="F32" t="e">
        <f>#REF!</f>
        <v>#REF!</v>
      </c>
      <c r="G32" t="e">
        <f>#REF!</f>
        <v>#REF!</v>
      </c>
      <c r="H32" t="e">
        <f>#REF!</f>
        <v>#REF!</v>
      </c>
      <c r="I32" t="e">
        <f>IF(#REF!="Case Cancelled",1,IF(#REF!="No Cases",2,0))</f>
        <v>#REF!</v>
      </c>
      <c r="J32" t="e">
        <f>#REF!</f>
        <v>#REF!</v>
      </c>
      <c r="K32" s="4" t="e">
        <f>#REF!</f>
        <v>#REF!</v>
      </c>
      <c r="L32" t="e">
        <f>"Wk "&amp;WEEKNUM(tbl_Case_mins[[#This Row],[Surgery Start Date]],21)</f>
        <v>#REF!</v>
      </c>
      <c r="M32" t="e">
        <f>TEXT(tbl_Case_mins[[#This Row],[Surgery Start Date]],"ddd")</f>
        <v>#REF!</v>
      </c>
      <c r="N32" s="9" t="e">
        <f>(#REF!-TIME(0,0,0))*1440</f>
        <v>#REF!</v>
      </c>
      <c r="O32" t="e">
        <f>IF(AND(ROUND((#REF!-TIME(0,0,0))*1440,0)&gt;0,ROUND((#REF!-TIME(0,0,0))*1440,0)&lt;tbl_Case_mins[[#This Row],[Patient Called]],tbl_Case_mins[[#This Row],[Surgery End Date]]&gt;tbl_Case_mins[[#This Row],[Surgery Start Date]]),ROUND((#REF!-TIME(0,0,0))*1440,0)+1440,ROUND((#REF!-TIME(0,0,0))*1440,0))</f>
        <v>#REF!</v>
      </c>
      <c r="P32" s="9" t="e">
        <f>IF(AND(ROUND((#REF!-TIME(0,0,0))*1440,0)&gt;0,ROUND((#REF!-TIME(0,0,0))*1440,0)&lt;tbl_Case_mins[[#This Row],[Arrival]],tbl_Case_mins[[#This Row],[Surgery End Date]]&gt;tbl_Case_mins[[#This Row],[Surgery Start Date]]),ROUND((#REF!-TIME(0,0,0))*1440,0)+1440,ROUND((#REF!-TIME(0,0,0))*1440,0))</f>
        <v>#REF!</v>
      </c>
      <c r="Q32" s="9" t="e">
        <f>IF(AND(ROUND((#REF!-TIME(0,0,0))*1440,0)&gt;0,ROUND((#REF!-TIME(0,0,0))*1440,0)&lt;tbl_Case_mins[[#This Row],[Into Th or AR]],tbl_Case_mins[[#This Row],[Surgery End Date]]&gt;tbl_Case_mins[[#This Row],[Surgery Start Date]]),ROUND((#REF!-TIME(0,0,0))*1440,0)+1440,ROUND((#REF!-TIME(0,0,0))*1440,0))</f>
        <v>#REF!</v>
      </c>
      <c r="R32" s="9" t="e">
        <f>IF(AND(ROUND((#REF!-TIME(0,0,0))*1440,0)&gt;0,ROUND((#REF!-TIME(0,0,0))*1440,0)&lt;tbl_Case_mins[[#This Row],[AnaesthStart]],tbl_Case_mins[[#This Row],[Surgery End Date]]&gt;tbl_Case_mins[[#This Row],[Surgery Start Date]]),ROUND((#REF!-TIME(0,0,0))*1440,0)+1440,ROUND((#REF!-TIME(0,0,0))*1440,0))</f>
        <v>#REF!</v>
      </c>
      <c r="S32" s="9" t="e">
        <f>IF(AND(ROUND((#REF!-TIME(0,0,0))*1440,0),ROUND((#REF!-TIME(0,0,0))*1440,0)&lt;tbl_Case_mins[[#This Row],[Surgery Start]],tbl_Case_mins[[#This Row],[Surgery End Date]]&gt;tbl_Case_mins[[#This Row],[Surgery Start Date]]),ROUND((#REF!-TIME(0,0,0))*1440,0)+1440,ROUND((#REF!-TIME(0,0,0))*1440,0))</f>
        <v>#REF!</v>
      </c>
      <c r="T32" s="9" t="e">
        <f>IF(AND(ROUND((#REF!-TIME(0,0,0))*1440,0)&gt;0,ROUND((#REF!-TIME(0,0,0))*1440,0)&lt;tbl_Case_mins[[#This Row],[Surgery Finish]],tbl_Case_mins[[#This Row],[Surgery End Date]]&gt;tbl_Case_mins[[#This Row],[Surgery Start Date]]),ROUND((#REF!-TIME(0,0,0))*1440,0)+1440,ROUND((#REF!-TIME(0,0,0))*1440,0))</f>
        <v>#REF!</v>
      </c>
      <c r="U32" s="9" t="e">
        <f>IF(AND(ROUND((#REF!-TIME(0,0,0))*1440,0)&gt;0,ROUND((#REF!-TIME(0,0,0))*1440,0)&lt;tbl_Case_mins[[#This Row],[Anaesth End]],tbl_Case_mins[[#This Row],[Surgery End Date]]&gt;tbl_Case_mins[[#This Row],[Surgery Start Date]]),ROUND((#REF!-TIME(0,0,0))*1440,0)+1440,ROUND((#REF!-TIME(0,0,0))*1440,0))</f>
        <v>#REF!</v>
      </c>
      <c r="V32" s="9" t="e">
        <f>IF(AND(ROUND((#REF!-TIME(0,0,0))*1440,0)&gt;0,ROUND((#REF!-TIME(0,0,0))*1440,0)&lt;tbl_Case_mins[[#This Row],[Into Recov]],tbl_Case_mins[[#This Row],[Surgery End Date]]&gt;tbl_Case_mins[[#This Row],[Surgery Start Date]]),ROUND((#REF!-TIME(0,0,0))*1440,0)+1440,ROUND((#REF!-TIME(0,0,0))*1440,0))</f>
        <v>#REF!</v>
      </c>
      <c r="W32" s="9" t="e">
        <f>IF(AND(ROUND((#REF!-TIME(0,0,0))*1440,0)&gt;0,ROUND((#REF!-TIME(0,0,0))*1440,0)&lt;tbl_Case_mins[[#This Row],[Ward Called]],tbl_Case_mins[[#This Row],[Surgery End Date]]&gt;tbl_Case_mins[[#This Row],[Surgery Start Date]]),ROUND((#REF!-TIME(0,0,0))*1440,0)+1440,ROUND((#REF!-TIME(0,0,0))*1440,0))</f>
        <v>#REF!</v>
      </c>
      <c r="X32" s="4" t="e">
        <f>IF(ISBLANK(#REF!),tbl_Case_mins[[#This Row],[Surgery Start Date]],#REF!)</f>
        <v>#REF!</v>
      </c>
      <c r="Y32">
        <f>IFERROR(IF(VLOOKUP(tbl_Case_mins[[#This Row],[Theatre]],'Mng Theatres'!$C$7:$G$12,3,FALSE)="Yes","Yes","No"),0)</f>
        <v>0</v>
      </c>
      <c r="Z32" s="9" t="e" cm="1">
        <f t="array" ref="Z3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 s="9" t="e" cm="1">
        <f t="array" ref="AA3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 s="9" t="e">
        <f>IF(tbl_Case_mins[[#This Row],[Case Type]]="Unsch",1,0)</f>
        <v>#REF!</v>
      </c>
      <c r="AD32" s="9" t="e">
        <f>IF(tbl_Case_mins[[#This Row],[Case Type]]="Sch",1,0)</f>
        <v>#REF!</v>
      </c>
      <c r="AE3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 s="9">
        <f>IFERROR(IF(ISBLANK(INDEX(Am_Close,MATCH(1,INDEX((tbl_Case_mins[[#This Row],[Theatre]]=Theatre_No)*(tbl_Case_mins[[#This Row],[Surgery Start Date]]=Date),0,1),0))*1440),0,INDEX(Am_Close,MATCH(1,INDEX((tbl_Case_mins[[#This Row],[Theatre]]=Theatre_No)*(tbl_Case_mins[[#This Row],[Surgery Start Date]]=Date),0,1),0))*1440),0)</f>
        <v>0</v>
      </c>
      <c r="AG32" s="9">
        <f>IFERROR(IF(ISBLANK(INDEX(PM_Open,MATCH(1,INDEX((tbl_Case_mins[[#This Row],[Theatre]]=Theatre_No)*(tbl_Case_mins[[#This Row],[Surgery Start Date]]=Date),0,1),0))*1440),0,INDEX(PM_Open,MATCH(1,INDEX((tbl_Case_mins[[#This Row],[Theatre]]=Theatre_No)*(tbl_Case_mins[[#This Row],[Surgery Start Date]]=Date),0,1),0))*1440),0)</f>
        <v>0</v>
      </c>
      <c r="AH3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 s="9" t="e">
        <f>IF(tbl_Case_mins[[#This Row],[ThOpenAm]]=0,tbl_Case_mins[[#This Row],[ThOpenPM]],tbl_Case_mins[[#This Row],[ThOpenAm]])</f>
        <v>#REF!</v>
      </c>
      <c r="AJ32" s="9" t="e">
        <f>IF(tbl_Case_mins[[#This Row],[ThCloseAm]]&gt;0,IF(tbl_Case_mins[[#This Row],[ThOpenPM]]&gt;0,tbl_Case_mins[[#This Row],[ThClosePm]],tbl_Case_mins[[#This Row],[ThCloseAm]]),tbl_Case_mins[[#This Row],[ThClosePm]])</f>
        <v>#REF!</v>
      </c>
      <c r="AK32" s="9" t="e">
        <f>IF(tbl_Case_mins[[#This Row],[TOT]]&gt;0,1,0)</f>
        <v>#REF!</v>
      </c>
      <c r="AL3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 s="9" t="e">
        <f>IF(AND(tbl_Case_mins[[#This Row],[Surgery Status]]&lt;&gt;2,tbl_Case_mins[[#This Row],[InCoreCase]]=0,tbl_Case_mins[[#This Row],[CancelledCase]]=0),1,0)</f>
        <v>#REF!</v>
      </c>
      <c r="AN32" s="9" t="e">
        <f>IF(tbl_Case_mins[[#This Row],[Surgery Status]]=1,1,0)</f>
        <v>#REF!</v>
      </c>
      <c r="AO3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 s="9" t="e">
        <f>IF(AND(tbl_Case_mins[[#This Row],[NonCoreCase]]=1,tbl_Case_mins[[#This Row],[NoInCoreTime]]=0),1,0)</f>
        <v>#REF!</v>
      </c>
      <c r="AQ32" s="9" t="e">
        <f>IF(tbl_Case_mins[[#This Row],[Rank_AnaEnd]]&lt;tbl_Case_mins[[#This Row],[Rank_AnaSt]],1,0)</f>
        <v>#REF!</v>
      </c>
      <c r="AR32" s="9" t="e">
        <f>IF(AND(tbl_Case_mins[[#This Row],[InCoreCase]]=1,tbl_Case_mins[[#This Row],[Sch]]=1),1,0)</f>
        <v>#REF!</v>
      </c>
      <c r="AS32" s="9" t="e">
        <f>IF(AND(tbl_Case_mins[[#This Row],[InCoreCase]]=1,tbl_Case_mins[[#This Row],[Unsch]]=1),1,0)</f>
        <v>#REF!</v>
      </c>
      <c r="AT3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 s="9" t="e">
        <f>IF(tbl_Case_mins[[#This Row],[Surgery Status]]=0,(tbl_Case_mins[[#This Row],[Anaesth End]]-tbl_Case_mins[[#This Row],[AnaesthStart]]),0)</f>
        <v>#REF!</v>
      </c>
      <c r="AX32" s="9" t="e">
        <f>IF(tbl_Case_mins[[#This Row],[Surgery Status]]=0,(tbl_Case_mins[[#This Row],[Surgery Finish]]-tbl_Case_mins[[#This Row],[Surgery Start]]),0)</f>
        <v>#REF!</v>
      </c>
      <c r="AY32" s="9" t="e">
        <f>tbl_Case_mins[[#This Row],[Surgery Start]]-tbl_Case_mins[[#This Row],[AnaesthStart]]</f>
        <v>#REF!</v>
      </c>
      <c r="AZ32" s="9" t="e">
        <f>tbl_Case_mins[[#This Row],[Anaesth End]]-tbl_Case_mins[[#This Row],[Surgery Finish]]</f>
        <v>#REF!</v>
      </c>
      <c r="BA3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 s="16" cm="1">
        <f t="array" ref="BC3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 s="16" t="e">
        <f>IF(AND(tbl_Case_mins[[#This Row],[FirstAMCase]]=1,tbl_Case_mins[[#This Row],[CancelledCase]]=0,OR(tbl_Case_mins[[#This Row],[EarlyStartAM]]&gt;0,tbl_Case_mins[[#This Row],[AnaesthStart]]=tbl_Case_mins[[#This Row],[ThOpenAm]])),1,0)</f>
        <v>#REF!</v>
      </c>
      <c r="BE32" s="16" t="e">
        <f>IF(AND(tbl_Case_mins[[#This Row],[Rank_AnaSt]]=tbl_Case_mins[[#This Row],[Min_RankAnaSt]],tbl_Case_mins[[#This Row],[Anaesth End]]&gt;=tbl_Case_mins[[#This Row],[ThOpenAm]],tbl_Case_mins[[#This Row],[PmCase]]=0),1,0)</f>
        <v>#REF!</v>
      </c>
      <c r="BF3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 s="9" t="e" cm="1">
        <f t="array" ref="BH3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 s="9" t="e">
        <f>IF(AND(tbl_Case_mins[[#This Row],[ThOpenPM]]&gt;0,tbl_Case_mins[[#This Row],[AnaesthStart]]&gt;tbl_Case_mins[[#This Row],[ThOpenPM]],tbl_Case_mins[[#This Row],[First PM Case]]=1),tbl_Case_mins[[#This Row],[AnaesthStart]]-tbl_Case_mins[[#This Row],[ThOpenPM]],0)</f>
        <v>#REF!</v>
      </c>
      <c r="BL3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 s="9" t="e" cm="1">
        <f t="array" ref="BN3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 s="9" t="e">
        <f>IF(AND(tbl_Case_mins[[#This Row],[ThClosePm]]&gt;0,tbl_Case_mins[[#This Row],[Anaesth End]]&gt;tbl_Case_mins[[#This Row],[ThClosePm]],tbl_Case_mins[[#This Row],[AnaesthStart]]&gt;tbl_Case_mins[[#This Row],[ThClosePm]]),tbl_Case_mins[[#This Row],[Into Recov]]-tbl_Case_mins[[#This Row],[AnaesthStart]],0)</f>
        <v>#REF!</v>
      </c>
      <c r="BP32" s="9" t="e">
        <f>IF(AND(tbl_Case_mins[[#This Row],[AnaesthStart]]&lt;tbl_Case_mins[[#This Row],[ThClosePm]],tbl_Case_mins[[#This Row],[Anaesth End]]&gt;tbl_Case_mins[[#This Row],[ThClosePm]]),tbl_Case_mins[[#This Row],[Anaesth End]]-tbl_Case_mins[[#This Row],[ThClosePm]],0)</f>
        <v>#REF!</v>
      </c>
      <c r="BQ32" s="9" t="e" cm="1">
        <f t="array" ref="BQ3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 s="9" t="e" cm="1">
        <f t="array" ref="BR32">IF(tbl_Case_mins[[#This Row],[Rank_Adjust]]=SUMPRODUCT(-(tbl_Case_mins[Surgery Start Date]=tbl_Case_mins[[#This Row],[Surgery Start Date]]),-(tbl_Case_mins[Theatre]=tbl_Case_mins[[#This Row],[Theatre]])),INDEX(Poss_Time,MATCH(TEXT(tbl_Case_mins[[#This Row],[Surgery Start Date]],"ddd"),Day,0)),0)</f>
        <v>#REF!</v>
      </c>
      <c r="BS32" s="9" t="e">
        <f>tbl_Case_mins[[#This Row],[Core_Time]]*Util_Goal</f>
        <v>#REF!</v>
      </c>
      <c r="BT32" s="9" t="e" cm="1">
        <f t="array" ref="BT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 s="9" t="e" cm="1">
        <f t="array" ref="BU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 s="9" t="e">
        <f>IF(tbl_Case_mins[[#This Row],[Surgery End Date]]&gt;tbl_Case_mins[[#This Row],[Surgery Start Date]],tbl_Case_mins[[#This Row],[Anaesth End]]-1440,0)</f>
        <v>#REF!</v>
      </c>
      <c r="BY32" s="9" t="e">
        <f>tbl_Case_mins[[#This Row],[Total_NonCore]]-tbl_Case_mins[[#This Row],[NextDay_NonCore]]</f>
        <v>#REF!</v>
      </c>
      <c r="BZ32" s="10" t="e">
        <f>tbl_Case_mins[[#This Row],[InCoreUse]]/60</f>
        <v>#REF!</v>
      </c>
      <c r="CA32" s="10" t="e">
        <f>tbl_Case_mins[[#This Row],[Total_NonCore]]/60</f>
        <v>#REF!</v>
      </c>
      <c r="CB32" t="e" cm="1">
        <f t="array" ref="CB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 s="9" t="e" cm="1">
        <f t="array" ref="CC3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 s="9" t="e" cm="1">
        <f t="array" ref="CD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 s="9" t="e" cm="1">
        <f t="array" ref="CE3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 s="9" cm="1">
        <f t="array" ref="CF32">IFERROR(_xlfn.AGGREGATE(14,6,(tbl_Case_mins[Rank_AnaEnd])/((tbl_Case_mins[Surgery Start Date]=tbl_Case_mins[[#This Row],[Surgery Start Date]])*(tbl_Case_mins[Theatre]=tbl_Case_mins[[#This Row],[Theatre]])*(tbl_Case_mins[NoInCoreTime]=0)),1),-1)</f>
        <v>-1</v>
      </c>
      <c r="CG32" s="9" cm="1">
        <f t="array" ref="CG32">IFERROR(_xlfn.AGGREGATE(15,6,(tbl_Case_mins[Rank_AnaSt])/((tbl_Case_mins[Surgery Start Date]=tbl_Case_mins[[#This Row],[Surgery Start Date]])*(tbl_Case_mins[Theatre]=tbl_Case_mins[[#This Row],[Theatre]])*(tbl_Case_mins[NoInCoreTime]=0)),1),-1)</f>
        <v>-1</v>
      </c>
      <c r="CH3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 t="e" cm="1">
        <f t="array" ref="CJ3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 s="9" cm="1">
        <f t="array" ref="CO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 s="9" cm="1">
        <f t="array" ref="CP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 s="9" cm="1">
        <f t="array" ref="CQ32">IFERROR(IF(AND(tbl_Case_mins[[#This Row],[FirstAMCase]]=0,tbl_Case_mins[[#This Row],[Rank]]=_xlfn.AGGREGATE(14,6,(tbl_Case_mins[Rank])/((tbl_Case_mins[Surgery Start Date]=tbl_Case_mins[[#This Row],[Surgery Start Date]])*(tbl_Case_mins[Theatre]=tbl_Case_mins[[#This Row],[Theatre]])*(tbl_Case_mins[AmCase]=1)),1)),1,0),0)</f>
        <v>0</v>
      </c>
      <c r="CR32" s="9" cm="1">
        <f t="array" ref="CR3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 s="9" t="e" cm="1">
        <f t="array" ref="CS3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 s="9" cm="1">
        <f t="array" ref="CT32">IFERROR(IF(tbl_Case_mins[[#This Row],[Rank]]=_xlfn.AGGREGATE(15,6,(tbl_Case_mins[Rank])/((tbl_Case_mins[Surgery Start Date]=tbl_Case_mins[[#This Row],[Surgery Start Date]])*(tbl_Case_mins[Theatre]=tbl_Case_mins[[#This Row],[Theatre]])*(tbl_Case_mins[PmCase]=1)),1),1,0),0)</f>
        <v>0</v>
      </c>
      <c r="CU32">
        <f>IFERROR(#REF!,0)</f>
        <v>0</v>
      </c>
      <c r="CV32" s="9" t="e" cm="1">
        <f t="array" ref="CV3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 s="9">
        <f>IFERROR(IF(ISBLANK(INDEX(Bay_AmClose,MATCH(1,INDEX((tbl_Case_mins[[#This Row],[Bay]]=BayNo)*(tbl_Case_mins[[#This Row],[Surgery Start Date]]=BDate),0,1),0))*1440),0,INDEX(Bay_AmClose,MATCH(1,INDEX((tbl_Case_mins[[#This Row],[Bay]]=BayNo)*(tbl_Case_mins[[#This Row],[Surgery Start Date]]=BDate),0,1),0))*1440),0)</f>
        <v>0</v>
      </c>
      <c r="CX32" s="9" cm="1">
        <f t="array" ref="CX32">IFERROR(IF(ISBLANK(INDEX(Bay_PmOpen,MATCH(1,INDEX((tbl_Case_mins[[#This Row],[Bay]]=BayNo)*(tbl_Case_mins[[#This Row],[Surgery Start Date]]=BDate),0,1),0))*1440),0,INDEX(Bay_PmOpen,MATCH(1,INDEX((tbl_Case_mins[[#This Row],[Bay]]=BayNo)*(tbl_Case_mins[[#This Row],[Surgery Start Date]]=BDate),0,1),0))*1440),0)</f>
        <v>0</v>
      </c>
      <c r="CY3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 s="9"/>
    </row>
    <row r="33" spans="1:104" x14ac:dyDescent="0.2">
      <c r="A33">
        <v>32</v>
      </c>
      <c r="B33" t="e">
        <f>#REF!</f>
        <v>#REF!</v>
      </c>
      <c r="C33" t="e">
        <f>#REF!</f>
        <v>#REF!</v>
      </c>
      <c r="D33" t="e">
        <f>#REF!</f>
        <v>#REF!</v>
      </c>
      <c r="E33" t="e">
        <f>#REF!</f>
        <v>#REF!</v>
      </c>
      <c r="F33" t="e">
        <f>#REF!</f>
        <v>#REF!</v>
      </c>
      <c r="G33" t="e">
        <f>#REF!</f>
        <v>#REF!</v>
      </c>
      <c r="H33" t="e">
        <f>#REF!</f>
        <v>#REF!</v>
      </c>
      <c r="I33" t="e">
        <f>IF(#REF!="Case Cancelled",1,IF(#REF!="No Cases",2,0))</f>
        <v>#REF!</v>
      </c>
      <c r="J33" t="e">
        <f>#REF!</f>
        <v>#REF!</v>
      </c>
      <c r="K33" s="4" t="e">
        <f>#REF!</f>
        <v>#REF!</v>
      </c>
      <c r="L33" t="e">
        <f>"Wk "&amp;WEEKNUM(tbl_Case_mins[[#This Row],[Surgery Start Date]],21)</f>
        <v>#REF!</v>
      </c>
      <c r="M33" t="e">
        <f>TEXT(tbl_Case_mins[[#This Row],[Surgery Start Date]],"ddd")</f>
        <v>#REF!</v>
      </c>
      <c r="N33" s="9" t="e">
        <f>(#REF!-TIME(0,0,0))*1440</f>
        <v>#REF!</v>
      </c>
      <c r="O33" t="e">
        <f>IF(AND(ROUND((#REF!-TIME(0,0,0))*1440,0)&gt;0,ROUND((#REF!-TIME(0,0,0))*1440,0)&lt;tbl_Case_mins[[#This Row],[Patient Called]],tbl_Case_mins[[#This Row],[Surgery End Date]]&gt;tbl_Case_mins[[#This Row],[Surgery Start Date]]),ROUND((#REF!-TIME(0,0,0))*1440,0)+1440,ROUND((#REF!-TIME(0,0,0))*1440,0))</f>
        <v>#REF!</v>
      </c>
      <c r="P33" s="9" t="e">
        <f>IF(AND(ROUND((#REF!-TIME(0,0,0))*1440,0)&gt;0,ROUND((#REF!-TIME(0,0,0))*1440,0)&lt;tbl_Case_mins[[#This Row],[Arrival]],tbl_Case_mins[[#This Row],[Surgery End Date]]&gt;tbl_Case_mins[[#This Row],[Surgery Start Date]]),ROUND((#REF!-TIME(0,0,0))*1440,0)+1440,ROUND((#REF!-TIME(0,0,0))*1440,0))</f>
        <v>#REF!</v>
      </c>
      <c r="Q33" s="9" t="e">
        <f>IF(AND(ROUND((#REF!-TIME(0,0,0))*1440,0)&gt;0,ROUND((#REF!-TIME(0,0,0))*1440,0)&lt;tbl_Case_mins[[#This Row],[Into Th or AR]],tbl_Case_mins[[#This Row],[Surgery End Date]]&gt;tbl_Case_mins[[#This Row],[Surgery Start Date]]),ROUND((#REF!-TIME(0,0,0))*1440,0)+1440,ROUND((#REF!-TIME(0,0,0))*1440,0))</f>
        <v>#REF!</v>
      </c>
      <c r="R33" s="9" t="e">
        <f>IF(AND(ROUND((#REF!-TIME(0,0,0))*1440,0)&gt;0,ROUND((#REF!-TIME(0,0,0))*1440,0)&lt;tbl_Case_mins[[#This Row],[AnaesthStart]],tbl_Case_mins[[#This Row],[Surgery End Date]]&gt;tbl_Case_mins[[#This Row],[Surgery Start Date]]),ROUND((#REF!-TIME(0,0,0))*1440,0)+1440,ROUND((#REF!-TIME(0,0,0))*1440,0))</f>
        <v>#REF!</v>
      </c>
      <c r="S33" s="9" t="e">
        <f>IF(AND(ROUND((#REF!-TIME(0,0,0))*1440,0),ROUND((#REF!-TIME(0,0,0))*1440,0)&lt;tbl_Case_mins[[#This Row],[Surgery Start]],tbl_Case_mins[[#This Row],[Surgery End Date]]&gt;tbl_Case_mins[[#This Row],[Surgery Start Date]]),ROUND((#REF!-TIME(0,0,0))*1440,0)+1440,ROUND((#REF!-TIME(0,0,0))*1440,0))</f>
        <v>#REF!</v>
      </c>
      <c r="T33" s="9" t="e">
        <f>IF(AND(ROUND((#REF!-TIME(0,0,0))*1440,0)&gt;0,ROUND((#REF!-TIME(0,0,0))*1440,0)&lt;tbl_Case_mins[[#This Row],[Surgery Finish]],tbl_Case_mins[[#This Row],[Surgery End Date]]&gt;tbl_Case_mins[[#This Row],[Surgery Start Date]]),ROUND((#REF!-TIME(0,0,0))*1440,0)+1440,ROUND((#REF!-TIME(0,0,0))*1440,0))</f>
        <v>#REF!</v>
      </c>
      <c r="U33" s="9" t="e">
        <f>IF(AND(ROUND((#REF!-TIME(0,0,0))*1440,0)&gt;0,ROUND((#REF!-TIME(0,0,0))*1440,0)&lt;tbl_Case_mins[[#This Row],[Anaesth End]],tbl_Case_mins[[#This Row],[Surgery End Date]]&gt;tbl_Case_mins[[#This Row],[Surgery Start Date]]),ROUND((#REF!-TIME(0,0,0))*1440,0)+1440,ROUND((#REF!-TIME(0,0,0))*1440,0))</f>
        <v>#REF!</v>
      </c>
      <c r="V33" s="9" t="e">
        <f>IF(AND(ROUND((#REF!-TIME(0,0,0))*1440,0)&gt;0,ROUND((#REF!-TIME(0,0,0))*1440,0)&lt;tbl_Case_mins[[#This Row],[Into Recov]],tbl_Case_mins[[#This Row],[Surgery End Date]]&gt;tbl_Case_mins[[#This Row],[Surgery Start Date]]),ROUND((#REF!-TIME(0,0,0))*1440,0)+1440,ROUND((#REF!-TIME(0,0,0))*1440,0))</f>
        <v>#REF!</v>
      </c>
      <c r="W33" s="9" t="e">
        <f>IF(AND(ROUND((#REF!-TIME(0,0,0))*1440,0)&gt;0,ROUND((#REF!-TIME(0,0,0))*1440,0)&lt;tbl_Case_mins[[#This Row],[Ward Called]],tbl_Case_mins[[#This Row],[Surgery End Date]]&gt;tbl_Case_mins[[#This Row],[Surgery Start Date]]),ROUND((#REF!-TIME(0,0,0))*1440,0)+1440,ROUND((#REF!-TIME(0,0,0))*1440,0))</f>
        <v>#REF!</v>
      </c>
      <c r="X33" s="4" t="e">
        <f>IF(ISBLANK(#REF!),tbl_Case_mins[[#This Row],[Surgery Start Date]],#REF!)</f>
        <v>#REF!</v>
      </c>
      <c r="Y33">
        <f>IFERROR(IF(VLOOKUP(tbl_Case_mins[[#This Row],[Theatre]],'Mng Theatres'!$C$7:$G$12,3,FALSE)="Yes","Yes","No"),0)</f>
        <v>0</v>
      </c>
      <c r="Z33" s="9" t="e" cm="1">
        <f t="array" ref="Z3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 s="9" t="e" cm="1">
        <f t="array" ref="AA3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 s="9" t="e">
        <f>IF(tbl_Case_mins[[#This Row],[Case Type]]="Unsch",1,0)</f>
        <v>#REF!</v>
      </c>
      <c r="AD33" s="9" t="e">
        <f>IF(tbl_Case_mins[[#This Row],[Case Type]]="Sch",1,0)</f>
        <v>#REF!</v>
      </c>
      <c r="AE3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 s="9">
        <f>IFERROR(IF(ISBLANK(INDEX(Am_Close,MATCH(1,INDEX((tbl_Case_mins[[#This Row],[Theatre]]=Theatre_No)*(tbl_Case_mins[[#This Row],[Surgery Start Date]]=Date),0,1),0))*1440),0,INDEX(Am_Close,MATCH(1,INDEX((tbl_Case_mins[[#This Row],[Theatre]]=Theatre_No)*(tbl_Case_mins[[#This Row],[Surgery Start Date]]=Date),0,1),0))*1440),0)</f>
        <v>0</v>
      </c>
      <c r="AG33" s="9">
        <f>IFERROR(IF(ISBLANK(INDEX(PM_Open,MATCH(1,INDEX((tbl_Case_mins[[#This Row],[Theatre]]=Theatre_No)*(tbl_Case_mins[[#This Row],[Surgery Start Date]]=Date),0,1),0))*1440),0,INDEX(PM_Open,MATCH(1,INDEX((tbl_Case_mins[[#This Row],[Theatre]]=Theatre_No)*(tbl_Case_mins[[#This Row],[Surgery Start Date]]=Date),0,1),0))*1440),0)</f>
        <v>0</v>
      </c>
      <c r="AH3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 s="9" t="e">
        <f>IF(tbl_Case_mins[[#This Row],[ThOpenAm]]=0,tbl_Case_mins[[#This Row],[ThOpenPM]],tbl_Case_mins[[#This Row],[ThOpenAm]])</f>
        <v>#REF!</v>
      </c>
      <c r="AJ33" s="9" t="e">
        <f>IF(tbl_Case_mins[[#This Row],[ThCloseAm]]&gt;0,IF(tbl_Case_mins[[#This Row],[ThOpenPM]]&gt;0,tbl_Case_mins[[#This Row],[ThClosePm]],tbl_Case_mins[[#This Row],[ThCloseAm]]),tbl_Case_mins[[#This Row],[ThClosePm]])</f>
        <v>#REF!</v>
      </c>
      <c r="AK33" s="9" t="e">
        <f>IF(tbl_Case_mins[[#This Row],[TOT]]&gt;0,1,0)</f>
        <v>#REF!</v>
      </c>
      <c r="AL3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 s="9" t="e">
        <f>IF(AND(tbl_Case_mins[[#This Row],[Surgery Status]]&lt;&gt;2,tbl_Case_mins[[#This Row],[InCoreCase]]=0,tbl_Case_mins[[#This Row],[CancelledCase]]=0),1,0)</f>
        <v>#REF!</v>
      </c>
      <c r="AN33" s="9" t="e">
        <f>IF(tbl_Case_mins[[#This Row],[Surgery Status]]=1,1,0)</f>
        <v>#REF!</v>
      </c>
      <c r="AO3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 s="9" t="e">
        <f>IF(AND(tbl_Case_mins[[#This Row],[NonCoreCase]]=1,tbl_Case_mins[[#This Row],[NoInCoreTime]]=0),1,0)</f>
        <v>#REF!</v>
      </c>
      <c r="AQ33" s="9" t="e">
        <f>IF(tbl_Case_mins[[#This Row],[Rank_AnaEnd]]&lt;tbl_Case_mins[[#This Row],[Rank_AnaSt]],1,0)</f>
        <v>#REF!</v>
      </c>
      <c r="AR33" s="9" t="e">
        <f>IF(AND(tbl_Case_mins[[#This Row],[InCoreCase]]=1,tbl_Case_mins[[#This Row],[Sch]]=1),1,0)</f>
        <v>#REF!</v>
      </c>
      <c r="AS33" s="9" t="e">
        <f>IF(AND(tbl_Case_mins[[#This Row],[InCoreCase]]=1,tbl_Case_mins[[#This Row],[Unsch]]=1),1,0)</f>
        <v>#REF!</v>
      </c>
      <c r="AT3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 s="9" t="e">
        <f>IF(tbl_Case_mins[[#This Row],[Surgery Status]]=0,(tbl_Case_mins[[#This Row],[Anaesth End]]-tbl_Case_mins[[#This Row],[AnaesthStart]]),0)</f>
        <v>#REF!</v>
      </c>
      <c r="AX33" s="9" t="e">
        <f>IF(tbl_Case_mins[[#This Row],[Surgery Status]]=0,(tbl_Case_mins[[#This Row],[Surgery Finish]]-tbl_Case_mins[[#This Row],[Surgery Start]]),0)</f>
        <v>#REF!</v>
      </c>
      <c r="AY33" s="9" t="e">
        <f>tbl_Case_mins[[#This Row],[Surgery Start]]-tbl_Case_mins[[#This Row],[AnaesthStart]]</f>
        <v>#REF!</v>
      </c>
      <c r="AZ33" s="9" t="e">
        <f>tbl_Case_mins[[#This Row],[Anaesth End]]-tbl_Case_mins[[#This Row],[Surgery Finish]]</f>
        <v>#REF!</v>
      </c>
      <c r="BA3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 s="16" cm="1">
        <f t="array" ref="BC3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 s="16" t="e">
        <f>IF(AND(tbl_Case_mins[[#This Row],[FirstAMCase]]=1,tbl_Case_mins[[#This Row],[CancelledCase]]=0,OR(tbl_Case_mins[[#This Row],[EarlyStartAM]]&gt;0,tbl_Case_mins[[#This Row],[AnaesthStart]]=tbl_Case_mins[[#This Row],[ThOpenAm]])),1,0)</f>
        <v>#REF!</v>
      </c>
      <c r="BE33" s="16" t="e">
        <f>IF(AND(tbl_Case_mins[[#This Row],[Rank_AnaSt]]=tbl_Case_mins[[#This Row],[Min_RankAnaSt]],tbl_Case_mins[[#This Row],[Anaesth End]]&gt;=tbl_Case_mins[[#This Row],[ThOpenAm]],tbl_Case_mins[[#This Row],[PmCase]]=0),1,0)</f>
        <v>#REF!</v>
      </c>
      <c r="BF3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 s="9" t="e" cm="1">
        <f t="array" ref="BH3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 s="9" t="e">
        <f>IF(AND(tbl_Case_mins[[#This Row],[ThOpenPM]]&gt;0,tbl_Case_mins[[#This Row],[AnaesthStart]]&gt;tbl_Case_mins[[#This Row],[ThOpenPM]],tbl_Case_mins[[#This Row],[First PM Case]]=1),tbl_Case_mins[[#This Row],[AnaesthStart]]-tbl_Case_mins[[#This Row],[ThOpenPM]],0)</f>
        <v>#REF!</v>
      </c>
      <c r="BL3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 s="9" t="e" cm="1">
        <f t="array" ref="BN3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 s="9" t="e">
        <f>IF(AND(tbl_Case_mins[[#This Row],[ThClosePm]]&gt;0,tbl_Case_mins[[#This Row],[Anaesth End]]&gt;tbl_Case_mins[[#This Row],[ThClosePm]],tbl_Case_mins[[#This Row],[AnaesthStart]]&gt;tbl_Case_mins[[#This Row],[ThClosePm]]),tbl_Case_mins[[#This Row],[Into Recov]]-tbl_Case_mins[[#This Row],[AnaesthStart]],0)</f>
        <v>#REF!</v>
      </c>
      <c r="BP33" s="9" t="e">
        <f>IF(AND(tbl_Case_mins[[#This Row],[AnaesthStart]]&lt;tbl_Case_mins[[#This Row],[ThClosePm]],tbl_Case_mins[[#This Row],[Anaesth End]]&gt;tbl_Case_mins[[#This Row],[ThClosePm]]),tbl_Case_mins[[#This Row],[Anaesth End]]-tbl_Case_mins[[#This Row],[ThClosePm]],0)</f>
        <v>#REF!</v>
      </c>
      <c r="BQ33" s="9" t="e" cm="1">
        <f t="array" ref="BQ3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 s="9" t="e" cm="1">
        <f t="array" ref="BR33">IF(tbl_Case_mins[[#This Row],[Rank_Adjust]]=SUMPRODUCT(-(tbl_Case_mins[Surgery Start Date]=tbl_Case_mins[[#This Row],[Surgery Start Date]]),-(tbl_Case_mins[Theatre]=tbl_Case_mins[[#This Row],[Theatre]])),INDEX(Poss_Time,MATCH(TEXT(tbl_Case_mins[[#This Row],[Surgery Start Date]],"ddd"),Day,0)),0)</f>
        <v>#REF!</v>
      </c>
      <c r="BS33" s="9" t="e">
        <f>tbl_Case_mins[[#This Row],[Core_Time]]*Util_Goal</f>
        <v>#REF!</v>
      </c>
      <c r="BT33" s="9" t="e" cm="1">
        <f t="array" ref="BT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 s="9" t="e" cm="1">
        <f t="array" ref="BU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 s="9" t="e">
        <f>IF(tbl_Case_mins[[#This Row],[Surgery End Date]]&gt;tbl_Case_mins[[#This Row],[Surgery Start Date]],tbl_Case_mins[[#This Row],[Anaesth End]]-1440,0)</f>
        <v>#REF!</v>
      </c>
      <c r="BY33" s="9" t="e">
        <f>tbl_Case_mins[[#This Row],[Total_NonCore]]-tbl_Case_mins[[#This Row],[NextDay_NonCore]]</f>
        <v>#REF!</v>
      </c>
      <c r="BZ33" s="10" t="e">
        <f>tbl_Case_mins[[#This Row],[InCoreUse]]/60</f>
        <v>#REF!</v>
      </c>
      <c r="CA33" s="10" t="e">
        <f>tbl_Case_mins[[#This Row],[Total_NonCore]]/60</f>
        <v>#REF!</v>
      </c>
      <c r="CB33" t="e" cm="1">
        <f t="array" ref="CB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 s="9" t="e" cm="1">
        <f t="array" ref="CC3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 s="9" t="e" cm="1">
        <f t="array" ref="CD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 s="9" t="e" cm="1">
        <f t="array" ref="CE3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 s="9" cm="1">
        <f t="array" ref="CF33">IFERROR(_xlfn.AGGREGATE(14,6,(tbl_Case_mins[Rank_AnaEnd])/((tbl_Case_mins[Surgery Start Date]=tbl_Case_mins[[#This Row],[Surgery Start Date]])*(tbl_Case_mins[Theatre]=tbl_Case_mins[[#This Row],[Theatre]])*(tbl_Case_mins[NoInCoreTime]=0)),1),-1)</f>
        <v>-1</v>
      </c>
      <c r="CG33" s="9" cm="1">
        <f t="array" ref="CG33">IFERROR(_xlfn.AGGREGATE(15,6,(tbl_Case_mins[Rank_AnaSt])/((tbl_Case_mins[Surgery Start Date]=tbl_Case_mins[[#This Row],[Surgery Start Date]])*(tbl_Case_mins[Theatre]=tbl_Case_mins[[#This Row],[Theatre]])*(tbl_Case_mins[NoInCoreTime]=0)),1),-1)</f>
        <v>-1</v>
      </c>
      <c r="CH3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 t="e" cm="1">
        <f t="array" ref="CJ3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 s="9" cm="1">
        <f t="array" ref="CO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 s="9" cm="1">
        <f t="array" ref="CP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 s="9" cm="1">
        <f t="array" ref="CQ33">IFERROR(IF(AND(tbl_Case_mins[[#This Row],[FirstAMCase]]=0,tbl_Case_mins[[#This Row],[Rank]]=_xlfn.AGGREGATE(14,6,(tbl_Case_mins[Rank])/((tbl_Case_mins[Surgery Start Date]=tbl_Case_mins[[#This Row],[Surgery Start Date]])*(tbl_Case_mins[Theatre]=tbl_Case_mins[[#This Row],[Theatre]])*(tbl_Case_mins[AmCase]=1)),1)),1,0),0)</f>
        <v>0</v>
      </c>
      <c r="CR33" s="9" cm="1">
        <f t="array" ref="CR3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 s="9" t="e" cm="1">
        <f t="array" ref="CS3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 s="9" cm="1">
        <f t="array" ref="CT33">IFERROR(IF(tbl_Case_mins[[#This Row],[Rank]]=_xlfn.AGGREGATE(15,6,(tbl_Case_mins[Rank])/((tbl_Case_mins[Surgery Start Date]=tbl_Case_mins[[#This Row],[Surgery Start Date]])*(tbl_Case_mins[Theatre]=tbl_Case_mins[[#This Row],[Theatre]])*(tbl_Case_mins[PmCase]=1)),1),1,0),0)</f>
        <v>0</v>
      </c>
      <c r="CU33">
        <f>IFERROR(#REF!,0)</f>
        <v>0</v>
      </c>
      <c r="CV33" s="9" t="e" cm="1">
        <f t="array" ref="CV3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 s="9">
        <f>IFERROR(IF(ISBLANK(INDEX(Bay_AmClose,MATCH(1,INDEX((tbl_Case_mins[[#This Row],[Bay]]=BayNo)*(tbl_Case_mins[[#This Row],[Surgery Start Date]]=BDate),0,1),0))*1440),0,INDEX(Bay_AmClose,MATCH(1,INDEX((tbl_Case_mins[[#This Row],[Bay]]=BayNo)*(tbl_Case_mins[[#This Row],[Surgery Start Date]]=BDate),0,1),0))*1440),0)</f>
        <v>0</v>
      </c>
      <c r="CX33" s="9" cm="1">
        <f t="array" ref="CX33">IFERROR(IF(ISBLANK(INDEX(Bay_PmOpen,MATCH(1,INDEX((tbl_Case_mins[[#This Row],[Bay]]=BayNo)*(tbl_Case_mins[[#This Row],[Surgery Start Date]]=BDate),0,1),0))*1440),0,INDEX(Bay_PmOpen,MATCH(1,INDEX((tbl_Case_mins[[#This Row],[Bay]]=BayNo)*(tbl_Case_mins[[#This Row],[Surgery Start Date]]=BDate),0,1),0))*1440),0)</f>
        <v>0</v>
      </c>
      <c r="CY3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 s="9"/>
    </row>
    <row r="34" spans="1:104" x14ac:dyDescent="0.2">
      <c r="A34">
        <v>33</v>
      </c>
      <c r="B34" t="e">
        <f>#REF!</f>
        <v>#REF!</v>
      </c>
      <c r="C34" t="e">
        <f>#REF!</f>
        <v>#REF!</v>
      </c>
      <c r="D34" t="e">
        <f>#REF!</f>
        <v>#REF!</v>
      </c>
      <c r="E34" t="e">
        <f>#REF!</f>
        <v>#REF!</v>
      </c>
      <c r="F34" t="e">
        <f>#REF!</f>
        <v>#REF!</v>
      </c>
      <c r="G34" t="e">
        <f>#REF!</f>
        <v>#REF!</v>
      </c>
      <c r="H34" t="e">
        <f>#REF!</f>
        <v>#REF!</v>
      </c>
      <c r="I34" t="e">
        <f>IF(#REF!="Case Cancelled",1,IF(#REF!="No Cases",2,0))</f>
        <v>#REF!</v>
      </c>
      <c r="J34" t="e">
        <f>#REF!</f>
        <v>#REF!</v>
      </c>
      <c r="K34" s="4" t="e">
        <f>#REF!</f>
        <v>#REF!</v>
      </c>
      <c r="L34" t="e">
        <f>"Wk "&amp;WEEKNUM(tbl_Case_mins[[#This Row],[Surgery Start Date]],21)</f>
        <v>#REF!</v>
      </c>
      <c r="M34" t="e">
        <f>TEXT(tbl_Case_mins[[#This Row],[Surgery Start Date]],"ddd")</f>
        <v>#REF!</v>
      </c>
      <c r="N34" s="9" t="e">
        <f>(#REF!-TIME(0,0,0))*1440</f>
        <v>#REF!</v>
      </c>
      <c r="O34" t="e">
        <f>IF(AND(ROUND((#REF!-TIME(0,0,0))*1440,0)&gt;0,ROUND((#REF!-TIME(0,0,0))*1440,0)&lt;tbl_Case_mins[[#This Row],[Patient Called]],tbl_Case_mins[[#This Row],[Surgery End Date]]&gt;tbl_Case_mins[[#This Row],[Surgery Start Date]]),ROUND((#REF!-TIME(0,0,0))*1440,0)+1440,ROUND((#REF!-TIME(0,0,0))*1440,0))</f>
        <v>#REF!</v>
      </c>
      <c r="P34" s="9" t="e">
        <f>IF(AND(ROUND((#REF!-TIME(0,0,0))*1440,0)&gt;0,ROUND((#REF!-TIME(0,0,0))*1440,0)&lt;tbl_Case_mins[[#This Row],[Arrival]],tbl_Case_mins[[#This Row],[Surgery End Date]]&gt;tbl_Case_mins[[#This Row],[Surgery Start Date]]),ROUND((#REF!-TIME(0,0,0))*1440,0)+1440,ROUND((#REF!-TIME(0,0,0))*1440,0))</f>
        <v>#REF!</v>
      </c>
      <c r="Q34" s="9" t="e">
        <f>IF(AND(ROUND((#REF!-TIME(0,0,0))*1440,0)&gt;0,ROUND((#REF!-TIME(0,0,0))*1440,0)&lt;tbl_Case_mins[[#This Row],[Into Th or AR]],tbl_Case_mins[[#This Row],[Surgery End Date]]&gt;tbl_Case_mins[[#This Row],[Surgery Start Date]]),ROUND((#REF!-TIME(0,0,0))*1440,0)+1440,ROUND((#REF!-TIME(0,0,0))*1440,0))</f>
        <v>#REF!</v>
      </c>
      <c r="R34" s="9" t="e">
        <f>IF(AND(ROUND((#REF!-TIME(0,0,0))*1440,0)&gt;0,ROUND((#REF!-TIME(0,0,0))*1440,0)&lt;tbl_Case_mins[[#This Row],[AnaesthStart]],tbl_Case_mins[[#This Row],[Surgery End Date]]&gt;tbl_Case_mins[[#This Row],[Surgery Start Date]]),ROUND((#REF!-TIME(0,0,0))*1440,0)+1440,ROUND((#REF!-TIME(0,0,0))*1440,0))</f>
        <v>#REF!</v>
      </c>
      <c r="S34" s="9" t="e">
        <f>IF(AND(ROUND((#REF!-TIME(0,0,0))*1440,0),ROUND((#REF!-TIME(0,0,0))*1440,0)&lt;tbl_Case_mins[[#This Row],[Surgery Start]],tbl_Case_mins[[#This Row],[Surgery End Date]]&gt;tbl_Case_mins[[#This Row],[Surgery Start Date]]),ROUND((#REF!-TIME(0,0,0))*1440,0)+1440,ROUND((#REF!-TIME(0,0,0))*1440,0))</f>
        <v>#REF!</v>
      </c>
      <c r="T34" s="9" t="e">
        <f>IF(AND(ROUND((#REF!-TIME(0,0,0))*1440,0)&gt;0,ROUND((#REF!-TIME(0,0,0))*1440,0)&lt;tbl_Case_mins[[#This Row],[Surgery Finish]],tbl_Case_mins[[#This Row],[Surgery End Date]]&gt;tbl_Case_mins[[#This Row],[Surgery Start Date]]),ROUND((#REF!-TIME(0,0,0))*1440,0)+1440,ROUND((#REF!-TIME(0,0,0))*1440,0))</f>
        <v>#REF!</v>
      </c>
      <c r="U34" s="9" t="e">
        <f>IF(AND(ROUND((#REF!-TIME(0,0,0))*1440,0)&gt;0,ROUND((#REF!-TIME(0,0,0))*1440,0)&lt;tbl_Case_mins[[#This Row],[Anaesth End]],tbl_Case_mins[[#This Row],[Surgery End Date]]&gt;tbl_Case_mins[[#This Row],[Surgery Start Date]]),ROUND((#REF!-TIME(0,0,0))*1440,0)+1440,ROUND((#REF!-TIME(0,0,0))*1440,0))</f>
        <v>#REF!</v>
      </c>
      <c r="V34" s="9" t="e">
        <f>IF(AND(ROUND((#REF!-TIME(0,0,0))*1440,0)&gt;0,ROUND((#REF!-TIME(0,0,0))*1440,0)&lt;tbl_Case_mins[[#This Row],[Into Recov]],tbl_Case_mins[[#This Row],[Surgery End Date]]&gt;tbl_Case_mins[[#This Row],[Surgery Start Date]]),ROUND((#REF!-TIME(0,0,0))*1440,0)+1440,ROUND((#REF!-TIME(0,0,0))*1440,0))</f>
        <v>#REF!</v>
      </c>
      <c r="W34" s="9" t="e">
        <f>IF(AND(ROUND((#REF!-TIME(0,0,0))*1440,0)&gt;0,ROUND((#REF!-TIME(0,0,0))*1440,0)&lt;tbl_Case_mins[[#This Row],[Ward Called]],tbl_Case_mins[[#This Row],[Surgery End Date]]&gt;tbl_Case_mins[[#This Row],[Surgery Start Date]]),ROUND((#REF!-TIME(0,0,0))*1440,0)+1440,ROUND((#REF!-TIME(0,0,0))*1440,0))</f>
        <v>#REF!</v>
      </c>
      <c r="X34" s="4" t="e">
        <f>IF(ISBLANK(#REF!),tbl_Case_mins[[#This Row],[Surgery Start Date]],#REF!)</f>
        <v>#REF!</v>
      </c>
      <c r="Y34">
        <f>IFERROR(IF(VLOOKUP(tbl_Case_mins[[#This Row],[Theatre]],'Mng Theatres'!$C$7:$G$12,3,FALSE)="Yes","Yes","No"),0)</f>
        <v>0</v>
      </c>
      <c r="Z34" s="9" t="e" cm="1">
        <f t="array" ref="Z3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 s="9" t="e" cm="1">
        <f t="array" ref="AA3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 s="9" t="e">
        <f>IF(tbl_Case_mins[[#This Row],[Case Type]]="Unsch",1,0)</f>
        <v>#REF!</v>
      </c>
      <c r="AD34" s="9" t="e">
        <f>IF(tbl_Case_mins[[#This Row],[Case Type]]="Sch",1,0)</f>
        <v>#REF!</v>
      </c>
      <c r="AE3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 s="9">
        <f>IFERROR(IF(ISBLANK(INDEX(Am_Close,MATCH(1,INDEX((tbl_Case_mins[[#This Row],[Theatre]]=Theatre_No)*(tbl_Case_mins[[#This Row],[Surgery Start Date]]=Date),0,1),0))*1440),0,INDEX(Am_Close,MATCH(1,INDEX((tbl_Case_mins[[#This Row],[Theatre]]=Theatre_No)*(tbl_Case_mins[[#This Row],[Surgery Start Date]]=Date),0,1),0))*1440),0)</f>
        <v>0</v>
      </c>
      <c r="AG34" s="9">
        <f>IFERROR(IF(ISBLANK(INDEX(PM_Open,MATCH(1,INDEX((tbl_Case_mins[[#This Row],[Theatre]]=Theatre_No)*(tbl_Case_mins[[#This Row],[Surgery Start Date]]=Date),0,1),0))*1440),0,INDEX(PM_Open,MATCH(1,INDEX((tbl_Case_mins[[#This Row],[Theatre]]=Theatre_No)*(tbl_Case_mins[[#This Row],[Surgery Start Date]]=Date),0,1),0))*1440),0)</f>
        <v>0</v>
      </c>
      <c r="AH3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 s="9" t="e">
        <f>IF(tbl_Case_mins[[#This Row],[ThOpenAm]]=0,tbl_Case_mins[[#This Row],[ThOpenPM]],tbl_Case_mins[[#This Row],[ThOpenAm]])</f>
        <v>#REF!</v>
      </c>
      <c r="AJ34" s="9" t="e">
        <f>IF(tbl_Case_mins[[#This Row],[ThCloseAm]]&gt;0,IF(tbl_Case_mins[[#This Row],[ThOpenPM]]&gt;0,tbl_Case_mins[[#This Row],[ThClosePm]],tbl_Case_mins[[#This Row],[ThCloseAm]]),tbl_Case_mins[[#This Row],[ThClosePm]])</f>
        <v>#REF!</v>
      </c>
      <c r="AK34" s="9" t="e">
        <f>IF(tbl_Case_mins[[#This Row],[TOT]]&gt;0,1,0)</f>
        <v>#REF!</v>
      </c>
      <c r="AL3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 s="9" t="e">
        <f>IF(AND(tbl_Case_mins[[#This Row],[Surgery Status]]&lt;&gt;2,tbl_Case_mins[[#This Row],[InCoreCase]]=0,tbl_Case_mins[[#This Row],[CancelledCase]]=0),1,0)</f>
        <v>#REF!</v>
      </c>
      <c r="AN34" s="9" t="e">
        <f>IF(tbl_Case_mins[[#This Row],[Surgery Status]]=1,1,0)</f>
        <v>#REF!</v>
      </c>
      <c r="AO3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 s="9" t="e">
        <f>IF(AND(tbl_Case_mins[[#This Row],[NonCoreCase]]=1,tbl_Case_mins[[#This Row],[NoInCoreTime]]=0),1,0)</f>
        <v>#REF!</v>
      </c>
      <c r="AQ34" s="9" t="e">
        <f>IF(tbl_Case_mins[[#This Row],[Rank_AnaEnd]]&lt;tbl_Case_mins[[#This Row],[Rank_AnaSt]],1,0)</f>
        <v>#REF!</v>
      </c>
      <c r="AR34" s="9" t="e">
        <f>IF(AND(tbl_Case_mins[[#This Row],[InCoreCase]]=1,tbl_Case_mins[[#This Row],[Sch]]=1),1,0)</f>
        <v>#REF!</v>
      </c>
      <c r="AS34" s="9" t="e">
        <f>IF(AND(tbl_Case_mins[[#This Row],[InCoreCase]]=1,tbl_Case_mins[[#This Row],[Unsch]]=1),1,0)</f>
        <v>#REF!</v>
      </c>
      <c r="AT3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 s="9" t="e">
        <f>IF(tbl_Case_mins[[#This Row],[Surgery Status]]=0,(tbl_Case_mins[[#This Row],[Anaesth End]]-tbl_Case_mins[[#This Row],[AnaesthStart]]),0)</f>
        <v>#REF!</v>
      </c>
      <c r="AX34" s="9" t="e">
        <f>IF(tbl_Case_mins[[#This Row],[Surgery Status]]=0,(tbl_Case_mins[[#This Row],[Surgery Finish]]-tbl_Case_mins[[#This Row],[Surgery Start]]),0)</f>
        <v>#REF!</v>
      </c>
      <c r="AY34" s="9" t="e">
        <f>tbl_Case_mins[[#This Row],[Surgery Start]]-tbl_Case_mins[[#This Row],[AnaesthStart]]</f>
        <v>#REF!</v>
      </c>
      <c r="AZ34" s="9" t="e">
        <f>tbl_Case_mins[[#This Row],[Anaesth End]]-tbl_Case_mins[[#This Row],[Surgery Finish]]</f>
        <v>#REF!</v>
      </c>
      <c r="BA3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 s="16" cm="1">
        <f t="array" ref="BC3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 s="16" t="e">
        <f>IF(AND(tbl_Case_mins[[#This Row],[FirstAMCase]]=1,tbl_Case_mins[[#This Row],[CancelledCase]]=0,OR(tbl_Case_mins[[#This Row],[EarlyStartAM]]&gt;0,tbl_Case_mins[[#This Row],[AnaesthStart]]=tbl_Case_mins[[#This Row],[ThOpenAm]])),1,0)</f>
        <v>#REF!</v>
      </c>
      <c r="BE34" s="16" t="e">
        <f>IF(AND(tbl_Case_mins[[#This Row],[Rank_AnaSt]]=tbl_Case_mins[[#This Row],[Min_RankAnaSt]],tbl_Case_mins[[#This Row],[Anaesth End]]&gt;=tbl_Case_mins[[#This Row],[ThOpenAm]],tbl_Case_mins[[#This Row],[PmCase]]=0),1,0)</f>
        <v>#REF!</v>
      </c>
      <c r="BF3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 s="9" t="e" cm="1">
        <f t="array" ref="BH3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 s="9" t="e">
        <f>IF(AND(tbl_Case_mins[[#This Row],[ThOpenPM]]&gt;0,tbl_Case_mins[[#This Row],[AnaesthStart]]&gt;tbl_Case_mins[[#This Row],[ThOpenPM]],tbl_Case_mins[[#This Row],[First PM Case]]=1),tbl_Case_mins[[#This Row],[AnaesthStart]]-tbl_Case_mins[[#This Row],[ThOpenPM]],0)</f>
        <v>#REF!</v>
      </c>
      <c r="BL3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 s="9" t="e" cm="1">
        <f t="array" ref="BN3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 s="9" t="e">
        <f>IF(AND(tbl_Case_mins[[#This Row],[ThClosePm]]&gt;0,tbl_Case_mins[[#This Row],[Anaesth End]]&gt;tbl_Case_mins[[#This Row],[ThClosePm]],tbl_Case_mins[[#This Row],[AnaesthStart]]&gt;tbl_Case_mins[[#This Row],[ThClosePm]]),tbl_Case_mins[[#This Row],[Into Recov]]-tbl_Case_mins[[#This Row],[AnaesthStart]],0)</f>
        <v>#REF!</v>
      </c>
      <c r="BP34" s="9" t="e">
        <f>IF(AND(tbl_Case_mins[[#This Row],[AnaesthStart]]&lt;tbl_Case_mins[[#This Row],[ThClosePm]],tbl_Case_mins[[#This Row],[Anaesth End]]&gt;tbl_Case_mins[[#This Row],[ThClosePm]]),tbl_Case_mins[[#This Row],[Anaesth End]]-tbl_Case_mins[[#This Row],[ThClosePm]],0)</f>
        <v>#REF!</v>
      </c>
      <c r="BQ34" s="9" t="e" cm="1">
        <f t="array" ref="BQ3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 s="9" t="e" cm="1">
        <f t="array" ref="BR34">IF(tbl_Case_mins[[#This Row],[Rank_Adjust]]=SUMPRODUCT(-(tbl_Case_mins[Surgery Start Date]=tbl_Case_mins[[#This Row],[Surgery Start Date]]),-(tbl_Case_mins[Theatre]=tbl_Case_mins[[#This Row],[Theatre]])),INDEX(Poss_Time,MATCH(TEXT(tbl_Case_mins[[#This Row],[Surgery Start Date]],"ddd"),Day,0)),0)</f>
        <v>#REF!</v>
      </c>
      <c r="BS34" s="9" t="e">
        <f>tbl_Case_mins[[#This Row],[Core_Time]]*Util_Goal</f>
        <v>#REF!</v>
      </c>
      <c r="BT34" s="9" t="e" cm="1">
        <f t="array" ref="BT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 s="9" t="e" cm="1">
        <f t="array" ref="BU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 s="9" t="e">
        <f>IF(tbl_Case_mins[[#This Row],[Surgery End Date]]&gt;tbl_Case_mins[[#This Row],[Surgery Start Date]],tbl_Case_mins[[#This Row],[Anaesth End]]-1440,0)</f>
        <v>#REF!</v>
      </c>
      <c r="BY34" s="9" t="e">
        <f>tbl_Case_mins[[#This Row],[Total_NonCore]]-tbl_Case_mins[[#This Row],[NextDay_NonCore]]</f>
        <v>#REF!</v>
      </c>
      <c r="BZ34" s="10" t="e">
        <f>tbl_Case_mins[[#This Row],[InCoreUse]]/60</f>
        <v>#REF!</v>
      </c>
      <c r="CA34" s="10" t="e">
        <f>tbl_Case_mins[[#This Row],[Total_NonCore]]/60</f>
        <v>#REF!</v>
      </c>
      <c r="CB34" t="e" cm="1">
        <f t="array" ref="CB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 s="9" t="e" cm="1">
        <f t="array" ref="CC3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 s="9" t="e" cm="1">
        <f t="array" ref="CD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 s="9" t="e" cm="1">
        <f t="array" ref="CE3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 s="9" cm="1">
        <f t="array" ref="CF34">IFERROR(_xlfn.AGGREGATE(14,6,(tbl_Case_mins[Rank_AnaEnd])/((tbl_Case_mins[Surgery Start Date]=tbl_Case_mins[[#This Row],[Surgery Start Date]])*(tbl_Case_mins[Theatre]=tbl_Case_mins[[#This Row],[Theatre]])*(tbl_Case_mins[NoInCoreTime]=0)),1),-1)</f>
        <v>-1</v>
      </c>
      <c r="CG34" s="9" cm="1">
        <f t="array" ref="CG34">IFERROR(_xlfn.AGGREGATE(15,6,(tbl_Case_mins[Rank_AnaSt])/((tbl_Case_mins[Surgery Start Date]=tbl_Case_mins[[#This Row],[Surgery Start Date]])*(tbl_Case_mins[Theatre]=tbl_Case_mins[[#This Row],[Theatre]])*(tbl_Case_mins[NoInCoreTime]=0)),1),-1)</f>
        <v>-1</v>
      </c>
      <c r="CH3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 t="e" cm="1">
        <f t="array" ref="CJ3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 s="9" cm="1">
        <f t="array" ref="CO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 s="9" cm="1">
        <f t="array" ref="CP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 s="9" cm="1">
        <f t="array" ref="CQ34">IFERROR(IF(AND(tbl_Case_mins[[#This Row],[FirstAMCase]]=0,tbl_Case_mins[[#This Row],[Rank]]=_xlfn.AGGREGATE(14,6,(tbl_Case_mins[Rank])/((tbl_Case_mins[Surgery Start Date]=tbl_Case_mins[[#This Row],[Surgery Start Date]])*(tbl_Case_mins[Theatre]=tbl_Case_mins[[#This Row],[Theatre]])*(tbl_Case_mins[AmCase]=1)),1)),1,0),0)</f>
        <v>0</v>
      </c>
      <c r="CR34" s="9" cm="1">
        <f t="array" ref="CR3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 s="9" t="e" cm="1">
        <f t="array" ref="CS3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 s="9" cm="1">
        <f t="array" ref="CT34">IFERROR(IF(tbl_Case_mins[[#This Row],[Rank]]=_xlfn.AGGREGATE(15,6,(tbl_Case_mins[Rank])/((tbl_Case_mins[Surgery Start Date]=tbl_Case_mins[[#This Row],[Surgery Start Date]])*(tbl_Case_mins[Theatre]=tbl_Case_mins[[#This Row],[Theatre]])*(tbl_Case_mins[PmCase]=1)),1),1,0),0)</f>
        <v>0</v>
      </c>
      <c r="CU34">
        <f>IFERROR(#REF!,0)</f>
        <v>0</v>
      </c>
      <c r="CV34" s="9" t="e" cm="1">
        <f t="array" ref="CV3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 s="9">
        <f>IFERROR(IF(ISBLANK(INDEX(Bay_AmClose,MATCH(1,INDEX((tbl_Case_mins[[#This Row],[Bay]]=BayNo)*(tbl_Case_mins[[#This Row],[Surgery Start Date]]=BDate),0,1),0))*1440),0,INDEX(Bay_AmClose,MATCH(1,INDEX((tbl_Case_mins[[#This Row],[Bay]]=BayNo)*(tbl_Case_mins[[#This Row],[Surgery Start Date]]=BDate),0,1),0))*1440),0)</f>
        <v>0</v>
      </c>
      <c r="CX34" s="9" cm="1">
        <f t="array" ref="CX34">IFERROR(IF(ISBLANK(INDEX(Bay_PmOpen,MATCH(1,INDEX((tbl_Case_mins[[#This Row],[Bay]]=BayNo)*(tbl_Case_mins[[#This Row],[Surgery Start Date]]=BDate),0,1),0))*1440),0,INDEX(Bay_PmOpen,MATCH(1,INDEX((tbl_Case_mins[[#This Row],[Bay]]=BayNo)*(tbl_Case_mins[[#This Row],[Surgery Start Date]]=BDate),0,1),0))*1440),0)</f>
        <v>0</v>
      </c>
      <c r="CY3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 s="9"/>
    </row>
    <row r="35" spans="1:104" x14ac:dyDescent="0.2">
      <c r="A35">
        <v>34</v>
      </c>
      <c r="B35" t="e">
        <f>#REF!</f>
        <v>#REF!</v>
      </c>
      <c r="C35" t="e">
        <f>#REF!</f>
        <v>#REF!</v>
      </c>
      <c r="D35" t="e">
        <f>#REF!</f>
        <v>#REF!</v>
      </c>
      <c r="E35" t="e">
        <f>#REF!</f>
        <v>#REF!</v>
      </c>
      <c r="F35" t="e">
        <f>#REF!</f>
        <v>#REF!</v>
      </c>
      <c r="G35" t="e">
        <f>#REF!</f>
        <v>#REF!</v>
      </c>
      <c r="H35" t="e">
        <f>#REF!</f>
        <v>#REF!</v>
      </c>
      <c r="I35" t="e">
        <f>IF(#REF!="Case Cancelled",1,IF(#REF!="No Cases",2,0))</f>
        <v>#REF!</v>
      </c>
      <c r="J35" t="e">
        <f>#REF!</f>
        <v>#REF!</v>
      </c>
      <c r="K35" s="4" t="e">
        <f>#REF!</f>
        <v>#REF!</v>
      </c>
      <c r="L35" t="e">
        <f>"Wk "&amp;WEEKNUM(tbl_Case_mins[[#This Row],[Surgery Start Date]],21)</f>
        <v>#REF!</v>
      </c>
      <c r="M35" t="e">
        <f>TEXT(tbl_Case_mins[[#This Row],[Surgery Start Date]],"ddd")</f>
        <v>#REF!</v>
      </c>
      <c r="N35" s="9" t="e">
        <f>(#REF!-TIME(0,0,0))*1440</f>
        <v>#REF!</v>
      </c>
      <c r="O35" t="e">
        <f>IF(AND(ROUND((#REF!-TIME(0,0,0))*1440,0)&gt;0,ROUND((#REF!-TIME(0,0,0))*1440,0)&lt;tbl_Case_mins[[#This Row],[Patient Called]],tbl_Case_mins[[#This Row],[Surgery End Date]]&gt;tbl_Case_mins[[#This Row],[Surgery Start Date]]),ROUND((#REF!-TIME(0,0,0))*1440,0)+1440,ROUND((#REF!-TIME(0,0,0))*1440,0))</f>
        <v>#REF!</v>
      </c>
      <c r="P35" s="9" t="e">
        <f>IF(AND(ROUND((#REF!-TIME(0,0,0))*1440,0)&gt;0,ROUND((#REF!-TIME(0,0,0))*1440,0)&lt;tbl_Case_mins[[#This Row],[Arrival]],tbl_Case_mins[[#This Row],[Surgery End Date]]&gt;tbl_Case_mins[[#This Row],[Surgery Start Date]]),ROUND((#REF!-TIME(0,0,0))*1440,0)+1440,ROUND((#REF!-TIME(0,0,0))*1440,0))</f>
        <v>#REF!</v>
      </c>
      <c r="Q35" s="9" t="e">
        <f>IF(AND(ROUND((#REF!-TIME(0,0,0))*1440,0)&gt;0,ROUND((#REF!-TIME(0,0,0))*1440,0)&lt;tbl_Case_mins[[#This Row],[Into Th or AR]],tbl_Case_mins[[#This Row],[Surgery End Date]]&gt;tbl_Case_mins[[#This Row],[Surgery Start Date]]),ROUND((#REF!-TIME(0,0,0))*1440,0)+1440,ROUND((#REF!-TIME(0,0,0))*1440,0))</f>
        <v>#REF!</v>
      </c>
      <c r="R35" s="9" t="e">
        <f>IF(AND(ROUND((#REF!-TIME(0,0,0))*1440,0)&gt;0,ROUND((#REF!-TIME(0,0,0))*1440,0)&lt;tbl_Case_mins[[#This Row],[AnaesthStart]],tbl_Case_mins[[#This Row],[Surgery End Date]]&gt;tbl_Case_mins[[#This Row],[Surgery Start Date]]),ROUND((#REF!-TIME(0,0,0))*1440,0)+1440,ROUND((#REF!-TIME(0,0,0))*1440,0))</f>
        <v>#REF!</v>
      </c>
      <c r="S35" s="9" t="e">
        <f>IF(AND(ROUND((#REF!-TIME(0,0,0))*1440,0),ROUND((#REF!-TIME(0,0,0))*1440,0)&lt;tbl_Case_mins[[#This Row],[Surgery Start]],tbl_Case_mins[[#This Row],[Surgery End Date]]&gt;tbl_Case_mins[[#This Row],[Surgery Start Date]]),ROUND((#REF!-TIME(0,0,0))*1440,0)+1440,ROUND((#REF!-TIME(0,0,0))*1440,0))</f>
        <v>#REF!</v>
      </c>
      <c r="T35" s="9" t="e">
        <f>IF(AND(ROUND((#REF!-TIME(0,0,0))*1440,0)&gt;0,ROUND((#REF!-TIME(0,0,0))*1440,0)&lt;tbl_Case_mins[[#This Row],[Surgery Finish]],tbl_Case_mins[[#This Row],[Surgery End Date]]&gt;tbl_Case_mins[[#This Row],[Surgery Start Date]]),ROUND((#REF!-TIME(0,0,0))*1440,0)+1440,ROUND((#REF!-TIME(0,0,0))*1440,0))</f>
        <v>#REF!</v>
      </c>
      <c r="U35" s="9" t="e">
        <f>IF(AND(ROUND((#REF!-TIME(0,0,0))*1440,0)&gt;0,ROUND((#REF!-TIME(0,0,0))*1440,0)&lt;tbl_Case_mins[[#This Row],[Anaesth End]],tbl_Case_mins[[#This Row],[Surgery End Date]]&gt;tbl_Case_mins[[#This Row],[Surgery Start Date]]),ROUND((#REF!-TIME(0,0,0))*1440,0)+1440,ROUND((#REF!-TIME(0,0,0))*1440,0))</f>
        <v>#REF!</v>
      </c>
      <c r="V35" s="9" t="e">
        <f>IF(AND(ROUND((#REF!-TIME(0,0,0))*1440,0)&gt;0,ROUND((#REF!-TIME(0,0,0))*1440,0)&lt;tbl_Case_mins[[#This Row],[Into Recov]],tbl_Case_mins[[#This Row],[Surgery End Date]]&gt;tbl_Case_mins[[#This Row],[Surgery Start Date]]),ROUND((#REF!-TIME(0,0,0))*1440,0)+1440,ROUND((#REF!-TIME(0,0,0))*1440,0))</f>
        <v>#REF!</v>
      </c>
      <c r="W35" s="9" t="e">
        <f>IF(AND(ROUND((#REF!-TIME(0,0,0))*1440,0)&gt;0,ROUND((#REF!-TIME(0,0,0))*1440,0)&lt;tbl_Case_mins[[#This Row],[Ward Called]],tbl_Case_mins[[#This Row],[Surgery End Date]]&gt;tbl_Case_mins[[#This Row],[Surgery Start Date]]),ROUND((#REF!-TIME(0,0,0))*1440,0)+1440,ROUND((#REF!-TIME(0,0,0))*1440,0))</f>
        <v>#REF!</v>
      </c>
      <c r="X35" s="4" t="e">
        <f>IF(ISBLANK(#REF!),tbl_Case_mins[[#This Row],[Surgery Start Date]],#REF!)</f>
        <v>#REF!</v>
      </c>
      <c r="Y35">
        <f>IFERROR(IF(VLOOKUP(tbl_Case_mins[[#This Row],[Theatre]],'Mng Theatres'!$C$7:$G$12,3,FALSE)="Yes","Yes","No"),0)</f>
        <v>0</v>
      </c>
      <c r="Z35" s="9" t="e" cm="1">
        <f t="array" ref="Z3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 s="9" t="e" cm="1">
        <f t="array" ref="AA3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 s="9" t="e">
        <f>IF(tbl_Case_mins[[#This Row],[Case Type]]="Unsch",1,0)</f>
        <v>#REF!</v>
      </c>
      <c r="AD35" s="9" t="e">
        <f>IF(tbl_Case_mins[[#This Row],[Case Type]]="Sch",1,0)</f>
        <v>#REF!</v>
      </c>
      <c r="AE3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 s="9">
        <f>IFERROR(IF(ISBLANK(INDEX(Am_Close,MATCH(1,INDEX((tbl_Case_mins[[#This Row],[Theatre]]=Theatre_No)*(tbl_Case_mins[[#This Row],[Surgery Start Date]]=Date),0,1),0))*1440),0,INDEX(Am_Close,MATCH(1,INDEX((tbl_Case_mins[[#This Row],[Theatre]]=Theatre_No)*(tbl_Case_mins[[#This Row],[Surgery Start Date]]=Date),0,1),0))*1440),0)</f>
        <v>0</v>
      </c>
      <c r="AG35" s="9">
        <f>IFERROR(IF(ISBLANK(INDEX(PM_Open,MATCH(1,INDEX((tbl_Case_mins[[#This Row],[Theatre]]=Theatre_No)*(tbl_Case_mins[[#This Row],[Surgery Start Date]]=Date),0,1),0))*1440),0,INDEX(PM_Open,MATCH(1,INDEX((tbl_Case_mins[[#This Row],[Theatre]]=Theatre_No)*(tbl_Case_mins[[#This Row],[Surgery Start Date]]=Date),0,1),0))*1440),0)</f>
        <v>0</v>
      </c>
      <c r="AH3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 s="9" t="e">
        <f>IF(tbl_Case_mins[[#This Row],[ThOpenAm]]=0,tbl_Case_mins[[#This Row],[ThOpenPM]],tbl_Case_mins[[#This Row],[ThOpenAm]])</f>
        <v>#REF!</v>
      </c>
      <c r="AJ35" s="9" t="e">
        <f>IF(tbl_Case_mins[[#This Row],[ThCloseAm]]&gt;0,IF(tbl_Case_mins[[#This Row],[ThOpenPM]]&gt;0,tbl_Case_mins[[#This Row],[ThClosePm]],tbl_Case_mins[[#This Row],[ThCloseAm]]),tbl_Case_mins[[#This Row],[ThClosePm]])</f>
        <v>#REF!</v>
      </c>
      <c r="AK35" s="9" t="e">
        <f>IF(tbl_Case_mins[[#This Row],[TOT]]&gt;0,1,0)</f>
        <v>#REF!</v>
      </c>
      <c r="AL3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 s="9" t="e">
        <f>IF(AND(tbl_Case_mins[[#This Row],[Surgery Status]]&lt;&gt;2,tbl_Case_mins[[#This Row],[InCoreCase]]=0,tbl_Case_mins[[#This Row],[CancelledCase]]=0),1,0)</f>
        <v>#REF!</v>
      </c>
      <c r="AN35" s="9" t="e">
        <f>IF(tbl_Case_mins[[#This Row],[Surgery Status]]=1,1,0)</f>
        <v>#REF!</v>
      </c>
      <c r="AO3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 s="9" t="e">
        <f>IF(AND(tbl_Case_mins[[#This Row],[NonCoreCase]]=1,tbl_Case_mins[[#This Row],[NoInCoreTime]]=0),1,0)</f>
        <v>#REF!</v>
      </c>
      <c r="AQ35" s="9" t="e">
        <f>IF(tbl_Case_mins[[#This Row],[Rank_AnaEnd]]&lt;tbl_Case_mins[[#This Row],[Rank_AnaSt]],1,0)</f>
        <v>#REF!</v>
      </c>
      <c r="AR35" s="9" t="e">
        <f>IF(AND(tbl_Case_mins[[#This Row],[InCoreCase]]=1,tbl_Case_mins[[#This Row],[Sch]]=1),1,0)</f>
        <v>#REF!</v>
      </c>
      <c r="AS35" s="9" t="e">
        <f>IF(AND(tbl_Case_mins[[#This Row],[InCoreCase]]=1,tbl_Case_mins[[#This Row],[Unsch]]=1),1,0)</f>
        <v>#REF!</v>
      </c>
      <c r="AT3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 s="9" t="e">
        <f>IF(tbl_Case_mins[[#This Row],[Surgery Status]]=0,(tbl_Case_mins[[#This Row],[Anaesth End]]-tbl_Case_mins[[#This Row],[AnaesthStart]]),0)</f>
        <v>#REF!</v>
      </c>
      <c r="AX35" s="9" t="e">
        <f>IF(tbl_Case_mins[[#This Row],[Surgery Status]]=0,(tbl_Case_mins[[#This Row],[Surgery Finish]]-tbl_Case_mins[[#This Row],[Surgery Start]]),0)</f>
        <v>#REF!</v>
      </c>
      <c r="AY35" s="9" t="e">
        <f>tbl_Case_mins[[#This Row],[Surgery Start]]-tbl_Case_mins[[#This Row],[AnaesthStart]]</f>
        <v>#REF!</v>
      </c>
      <c r="AZ35" s="9" t="e">
        <f>tbl_Case_mins[[#This Row],[Anaesth End]]-tbl_Case_mins[[#This Row],[Surgery Finish]]</f>
        <v>#REF!</v>
      </c>
      <c r="BA3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 s="16" cm="1">
        <f t="array" ref="BC3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 s="16" t="e">
        <f>IF(AND(tbl_Case_mins[[#This Row],[FirstAMCase]]=1,tbl_Case_mins[[#This Row],[CancelledCase]]=0,OR(tbl_Case_mins[[#This Row],[EarlyStartAM]]&gt;0,tbl_Case_mins[[#This Row],[AnaesthStart]]=tbl_Case_mins[[#This Row],[ThOpenAm]])),1,0)</f>
        <v>#REF!</v>
      </c>
      <c r="BE35" s="16" t="e">
        <f>IF(AND(tbl_Case_mins[[#This Row],[Rank_AnaSt]]=tbl_Case_mins[[#This Row],[Min_RankAnaSt]],tbl_Case_mins[[#This Row],[Anaesth End]]&gt;=tbl_Case_mins[[#This Row],[ThOpenAm]],tbl_Case_mins[[#This Row],[PmCase]]=0),1,0)</f>
        <v>#REF!</v>
      </c>
      <c r="BF3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 s="9" t="e" cm="1">
        <f t="array" ref="BH3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 s="9" t="e">
        <f>IF(AND(tbl_Case_mins[[#This Row],[ThOpenPM]]&gt;0,tbl_Case_mins[[#This Row],[AnaesthStart]]&gt;tbl_Case_mins[[#This Row],[ThOpenPM]],tbl_Case_mins[[#This Row],[First PM Case]]=1),tbl_Case_mins[[#This Row],[AnaesthStart]]-tbl_Case_mins[[#This Row],[ThOpenPM]],0)</f>
        <v>#REF!</v>
      </c>
      <c r="BL3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 s="9" t="e" cm="1">
        <f t="array" ref="BN3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 s="9" t="e">
        <f>IF(AND(tbl_Case_mins[[#This Row],[ThClosePm]]&gt;0,tbl_Case_mins[[#This Row],[Anaesth End]]&gt;tbl_Case_mins[[#This Row],[ThClosePm]],tbl_Case_mins[[#This Row],[AnaesthStart]]&gt;tbl_Case_mins[[#This Row],[ThClosePm]]),tbl_Case_mins[[#This Row],[Into Recov]]-tbl_Case_mins[[#This Row],[AnaesthStart]],0)</f>
        <v>#REF!</v>
      </c>
      <c r="BP35" s="9" t="e">
        <f>IF(AND(tbl_Case_mins[[#This Row],[AnaesthStart]]&lt;tbl_Case_mins[[#This Row],[ThClosePm]],tbl_Case_mins[[#This Row],[Anaesth End]]&gt;tbl_Case_mins[[#This Row],[ThClosePm]]),tbl_Case_mins[[#This Row],[Anaesth End]]-tbl_Case_mins[[#This Row],[ThClosePm]],0)</f>
        <v>#REF!</v>
      </c>
      <c r="BQ35" s="9" t="e" cm="1">
        <f t="array" ref="BQ3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 s="9" t="e" cm="1">
        <f t="array" ref="BR35">IF(tbl_Case_mins[[#This Row],[Rank_Adjust]]=SUMPRODUCT(-(tbl_Case_mins[Surgery Start Date]=tbl_Case_mins[[#This Row],[Surgery Start Date]]),-(tbl_Case_mins[Theatre]=tbl_Case_mins[[#This Row],[Theatre]])),INDEX(Poss_Time,MATCH(TEXT(tbl_Case_mins[[#This Row],[Surgery Start Date]],"ddd"),Day,0)),0)</f>
        <v>#REF!</v>
      </c>
      <c r="BS35" s="9" t="e">
        <f>tbl_Case_mins[[#This Row],[Core_Time]]*Util_Goal</f>
        <v>#REF!</v>
      </c>
      <c r="BT35" s="9" t="e" cm="1">
        <f t="array" ref="BT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 s="9" t="e" cm="1">
        <f t="array" ref="BU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 s="9" t="e">
        <f>IF(tbl_Case_mins[[#This Row],[Surgery End Date]]&gt;tbl_Case_mins[[#This Row],[Surgery Start Date]],tbl_Case_mins[[#This Row],[Anaesth End]]-1440,0)</f>
        <v>#REF!</v>
      </c>
      <c r="BY35" s="9" t="e">
        <f>tbl_Case_mins[[#This Row],[Total_NonCore]]-tbl_Case_mins[[#This Row],[NextDay_NonCore]]</f>
        <v>#REF!</v>
      </c>
      <c r="BZ35" s="10" t="e">
        <f>tbl_Case_mins[[#This Row],[InCoreUse]]/60</f>
        <v>#REF!</v>
      </c>
      <c r="CA35" s="10" t="e">
        <f>tbl_Case_mins[[#This Row],[Total_NonCore]]/60</f>
        <v>#REF!</v>
      </c>
      <c r="CB35" t="e" cm="1">
        <f t="array" ref="CB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 s="9" t="e" cm="1">
        <f t="array" ref="CC3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 s="9" t="e" cm="1">
        <f t="array" ref="CD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 s="9" t="e" cm="1">
        <f t="array" ref="CE3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 s="9" cm="1">
        <f t="array" ref="CF35">IFERROR(_xlfn.AGGREGATE(14,6,(tbl_Case_mins[Rank_AnaEnd])/((tbl_Case_mins[Surgery Start Date]=tbl_Case_mins[[#This Row],[Surgery Start Date]])*(tbl_Case_mins[Theatre]=tbl_Case_mins[[#This Row],[Theatre]])*(tbl_Case_mins[NoInCoreTime]=0)),1),-1)</f>
        <v>-1</v>
      </c>
      <c r="CG35" s="9" cm="1">
        <f t="array" ref="CG35">IFERROR(_xlfn.AGGREGATE(15,6,(tbl_Case_mins[Rank_AnaSt])/((tbl_Case_mins[Surgery Start Date]=tbl_Case_mins[[#This Row],[Surgery Start Date]])*(tbl_Case_mins[Theatre]=tbl_Case_mins[[#This Row],[Theatre]])*(tbl_Case_mins[NoInCoreTime]=0)),1),-1)</f>
        <v>-1</v>
      </c>
      <c r="CH3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 t="e" cm="1">
        <f t="array" ref="CJ3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 s="9" cm="1">
        <f t="array" ref="CO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 s="9" cm="1">
        <f t="array" ref="CP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 s="9" cm="1">
        <f t="array" ref="CQ35">IFERROR(IF(AND(tbl_Case_mins[[#This Row],[FirstAMCase]]=0,tbl_Case_mins[[#This Row],[Rank]]=_xlfn.AGGREGATE(14,6,(tbl_Case_mins[Rank])/((tbl_Case_mins[Surgery Start Date]=tbl_Case_mins[[#This Row],[Surgery Start Date]])*(tbl_Case_mins[Theatre]=tbl_Case_mins[[#This Row],[Theatre]])*(tbl_Case_mins[AmCase]=1)),1)),1,0),0)</f>
        <v>0</v>
      </c>
      <c r="CR35" s="9" cm="1">
        <f t="array" ref="CR3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 s="9" t="e" cm="1">
        <f t="array" ref="CS3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 s="9" cm="1">
        <f t="array" ref="CT35">IFERROR(IF(tbl_Case_mins[[#This Row],[Rank]]=_xlfn.AGGREGATE(15,6,(tbl_Case_mins[Rank])/((tbl_Case_mins[Surgery Start Date]=tbl_Case_mins[[#This Row],[Surgery Start Date]])*(tbl_Case_mins[Theatre]=tbl_Case_mins[[#This Row],[Theatre]])*(tbl_Case_mins[PmCase]=1)),1),1,0),0)</f>
        <v>0</v>
      </c>
      <c r="CU35">
        <f>IFERROR(#REF!,0)</f>
        <v>0</v>
      </c>
      <c r="CV35" s="9" t="e" cm="1">
        <f t="array" ref="CV3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 s="9">
        <f>IFERROR(IF(ISBLANK(INDEX(Bay_AmClose,MATCH(1,INDEX((tbl_Case_mins[[#This Row],[Bay]]=BayNo)*(tbl_Case_mins[[#This Row],[Surgery Start Date]]=BDate),0,1),0))*1440),0,INDEX(Bay_AmClose,MATCH(1,INDEX((tbl_Case_mins[[#This Row],[Bay]]=BayNo)*(tbl_Case_mins[[#This Row],[Surgery Start Date]]=BDate),0,1),0))*1440),0)</f>
        <v>0</v>
      </c>
      <c r="CX35" s="9" cm="1">
        <f t="array" ref="CX35">IFERROR(IF(ISBLANK(INDEX(Bay_PmOpen,MATCH(1,INDEX((tbl_Case_mins[[#This Row],[Bay]]=BayNo)*(tbl_Case_mins[[#This Row],[Surgery Start Date]]=BDate),0,1),0))*1440),0,INDEX(Bay_PmOpen,MATCH(1,INDEX((tbl_Case_mins[[#This Row],[Bay]]=BayNo)*(tbl_Case_mins[[#This Row],[Surgery Start Date]]=BDate),0,1),0))*1440),0)</f>
        <v>0</v>
      </c>
      <c r="CY3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 s="9"/>
    </row>
    <row r="36" spans="1:104" x14ac:dyDescent="0.2">
      <c r="A36">
        <v>35</v>
      </c>
      <c r="B36" t="e">
        <f>#REF!</f>
        <v>#REF!</v>
      </c>
      <c r="C36" t="e">
        <f>#REF!</f>
        <v>#REF!</v>
      </c>
      <c r="D36" t="e">
        <f>#REF!</f>
        <v>#REF!</v>
      </c>
      <c r="E36" t="e">
        <f>#REF!</f>
        <v>#REF!</v>
      </c>
      <c r="F36" t="e">
        <f>#REF!</f>
        <v>#REF!</v>
      </c>
      <c r="G36" t="e">
        <f>#REF!</f>
        <v>#REF!</v>
      </c>
      <c r="H36" t="e">
        <f>#REF!</f>
        <v>#REF!</v>
      </c>
      <c r="I36" t="e">
        <f>IF(#REF!="Case Cancelled",1,IF(#REF!="No Cases",2,0))</f>
        <v>#REF!</v>
      </c>
      <c r="J36" t="e">
        <f>#REF!</f>
        <v>#REF!</v>
      </c>
      <c r="K36" s="4" t="e">
        <f>#REF!</f>
        <v>#REF!</v>
      </c>
      <c r="L36" t="e">
        <f>"Wk "&amp;WEEKNUM(tbl_Case_mins[[#This Row],[Surgery Start Date]],21)</f>
        <v>#REF!</v>
      </c>
      <c r="M36" t="e">
        <f>TEXT(tbl_Case_mins[[#This Row],[Surgery Start Date]],"ddd")</f>
        <v>#REF!</v>
      </c>
      <c r="N36" s="9" t="e">
        <f>(#REF!-TIME(0,0,0))*1440</f>
        <v>#REF!</v>
      </c>
      <c r="O36" t="e">
        <f>IF(AND(ROUND((#REF!-TIME(0,0,0))*1440,0)&gt;0,ROUND((#REF!-TIME(0,0,0))*1440,0)&lt;tbl_Case_mins[[#This Row],[Patient Called]],tbl_Case_mins[[#This Row],[Surgery End Date]]&gt;tbl_Case_mins[[#This Row],[Surgery Start Date]]),ROUND((#REF!-TIME(0,0,0))*1440,0)+1440,ROUND((#REF!-TIME(0,0,0))*1440,0))</f>
        <v>#REF!</v>
      </c>
      <c r="P36" s="9" t="e">
        <f>IF(AND(ROUND((#REF!-TIME(0,0,0))*1440,0)&gt;0,ROUND((#REF!-TIME(0,0,0))*1440,0)&lt;tbl_Case_mins[[#This Row],[Arrival]],tbl_Case_mins[[#This Row],[Surgery End Date]]&gt;tbl_Case_mins[[#This Row],[Surgery Start Date]]),ROUND((#REF!-TIME(0,0,0))*1440,0)+1440,ROUND((#REF!-TIME(0,0,0))*1440,0))</f>
        <v>#REF!</v>
      </c>
      <c r="Q36" s="9" t="e">
        <f>IF(AND(ROUND((#REF!-TIME(0,0,0))*1440,0)&gt;0,ROUND((#REF!-TIME(0,0,0))*1440,0)&lt;tbl_Case_mins[[#This Row],[Into Th or AR]],tbl_Case_mins[[#This Row],[Surgery End Date]]&gt;tbl_Case_mins[[#This Row],[Surgery Start Date]]),ROUND((#REF!-TIME(0,0,0))*1440,0)+1440,ROUND((#REF!-TIME(0,0,0))*1440,0))</f>
        <v>#REF!</v>
      </c>
      <c r="R36" s="9" t="e">
        <f>IF(AND(ROUND((#REF!-TIME(0,0,0))*1440,0)&gt;0,ROUND((#REF!-TIME(0,0,0))*1440,0)&lt;tbl_Case_mins[[#This Row],[AnaesthStart]],tbl_Case_mins[[#This Row],[Surgery End Date]]&gt;tbl_Case_mins[[#This Row],[Surgery Start Date]]),ROUND((#REF!-TIME(0,0,0))*1440,0)+1440,ROUND((#REF!-TIME(0,0,0))*1440,0))</f>
        <v>#REF!</v>
      </c>
      <c r="S36" s="9" t="e">
        <f>IF(AND(ROUND((#REF!-TIME(0,0,0))*1440,0),ROUND((#REF!-TIME(0,0,0))*1440,0)&lt;tbl_Case_mins[[#This Row],[Surgery Start]],tbl_Case_mins[[#This Row],[Surgery End Date]]&gt;tbl_Case_mins[[#This Row],[Surgery Start Date]]),ROUND((#REF!-TIME(0,0,0))*1440,0)+1440,ROUND((#REF!-TIME(0,0,0))*1440,0))</f>
        <v>#REF!</v>
      </c>
      <c r="T36" s="9" t="e">
        <f>IF(AND(ROUND((#REF!-TIME(0,0,0))*1440,0)&gt;0,ROUND((#REF!-TIME(0,0,0))*1440,0)&lt;tbl_Case_mins[[#This Row],[Surgery Finish]],tbl_Case_mins[[#This Row],[Surgery End Date]]&gt;tbl_Case_mins[[#This Row],[Surgery Start Date]]),ROUND((#REF!-TIME(0,0,0))*1440,0)+1440,ROUND((#REF!-TIME(0,0,0))*1440,0))</f>
        <v>#REF!</v>
      </c>
      <c r="U36" s="9" t="e">
        <f>IF(AND(ROUND((#REF!-TIME(0,0,0))*1440,0)&gt;0,ROUND((#REF!-TIME(0,0,0))*1440,0)&lt;tbl_Case_mins[[#This Row],[Anaesth End]],tbl_Case_mins[[#This Row],[Surgery End Date]]&gt;tbl_Case_mins[[#This Row],[Surgery Start Date]]),ROUND((#REF!-TIME(0,0,0))*1440,0)+1440,ROUND((#REF!-TIME(0,0,0))*1440,0))</f>
        <v>#REF!</v>
      </c>
      <c r="V36" s="9" t="e">
        <f>IF(AND(ROUND((#REF!-TIME(0,0,0))*1440,0)&gt;0,ROUND((#REF!-TIME(0,0,0))*1440,0)&lt;tbl_Case_mins[[#This Row],[Into Recov]],tbl_Case_mins[[#This Row],[Surgery End Date]]&gt;tbl_Case_mins[[#This Row],[Surgery Start Date]]),ROUND((#REF!-TIME(0,0,0))*1440,0)+1440,ROUND((#REF!-TIME(0,0,0))*1440,0))</f>
        <v>#REF!</v>
      </c>
      <c r="W36" s="9" t="e">
        <f>IF(AND(ROUND((#REF!-TIME(0,0,0))*1440,0)&gt;0,ROUND((#REF!-TIME(0,0,0))*1440,0)&lt;tbl_Case_mins[[#This Row],[Ward Called]],tbl_Case_mins[[#This Row],[Surgery End Date]]&gt;tbl_Case_mins[[#This Row],[Surgery Start Date]]),ROUND((#REF!-TIME(0,0,0))*1440,0)+1440,ROUND((#REF!-TIME(0,0,0))*1440,0))</f>
        <v>#REF!</v>
      </c>
      <c r="X36" s="4" t="e">
        <f>IF(ISBLANK(#REF!),tbl_Case_mins[[#This Row],[Surgery Start Date]],#REF!)</f>
        <v>#REF!</v>
      </c>
      <c r="Y36">
        <f>IFERROR(IF(VLOOKUP(tbl_Case_mins[[#This Row],[Theatre]],'Mng Theatres'!$C$7:$G$12,3,FALSE)="Yes","Yes","No"),0)</f>
        <v>0</v>
      </c>
      <c r="Z36" s="9" t="e" cm="1">
        <f t="array" ref="Z3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 s="9" t="e" cm="1">
        <f t="array" ref="AA3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 s="9" t="e">
        <f>IF(tbl_Case_mins[[#This Row],[Case Type]]="Unsch",1,0)</f>
        <v>#REF!</v>
      </c>
      <c r="AD36" s="9" t="e">
        <f>IF(tbl_Case_mins[[#This Row],[Case Type]]="Sch",1,0)</f>
        <v>#REF!</v>
      </c>
      <c r="AE3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 s="9">
        <f>IFERROR(IF(ISBLANK(INDEX(Am_Close,MATCH(1,INDEX((tbl_Case_mins[[#This Row],[Theatre]]=Theatre_No)*(tbl_Case_mins[[#This Row],[Surgery Start Date]]=Date),0,1),0))*1440),0,INDEX(Am_Close,MATCH(1,INDEX((tbl_Case_mins[[#This Row],[Theatre]]=Theatre_No)*(tbl_Case_mins[[#This Row],[Surgery Start Date]]=Date),0,1),0))*1440),0)</f>
        <v>0</v>
      </c>
      <c r="AG36" s="9">
        <f>IFERROR(IF(ISBLANK(INDEX(PM_Open,MATCH(1,INDEX((tbl_Case_mins[[#This Row],[Theatre]]=Theatre_No)*(tbl_Case_mins[[#This Row],[Surgery Start Date]]=Date),0,1),0))*1440),0,INDEX(PM_Open,MATCH(1,INDEX((tbl_Case_mins[[#This Row],[Theatre]]=Theatre_No)*(tbl_Case_mins[[#This Row],[Surgery Start Date]]=Date),0,1),0))*1440),0)</f>
        <v>0</v>
      </c>
      <c r="AH3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 s="9" t="e">
        <f>IF(tbl_Case_mins[[#This Row],[ThOpenAm]]=0,tbl_Case_mins[[#This Row],[ThOpenPM]],tbl_Case_mins[[#This Row],[ThOpenAm]])</f>
        <v>#REF!</v>
      </c>
      <c r="AJ36" s="9" t="e">
        <f>IF(tbl_Case_mins[[#This Row],[ThCloseAm]]&gt;0,IF(tbl_Case_mins[[#This Row],[ThOpenPM]]&gt;0,tbl_Case_mins[[#This Row],[ThClosePm]],tbl_Case_mins[[#This Row],[ThCloseAm]]),tbl_Case_mins[[#This Row],[ThClosePm]])</f>
        <v>#REF!</v>
      </c>
      <c r="AK36" s="9" t="e">
        <f>IF(tbl_Case_mins[[#This Row],[TOT]]&gt;0,1,0)</f>
        <v>#REF!</v>
      </c>
      <c r="AL3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 s="9" t="e">
        <f>IF(AND(tbl_Case_mins[[#This Row],[Surgery Status]]&lt;&gt;2,tbl_Case_mins[[#This Row],[InCoreCase]]=0,tbl_Case_mins[[#This Row],[CancelledCase]]=0),1,0)</f>
        <v>#REF!</v>
      </c>
      <c r="AN36" s="9" t="e">
        <f>IF(tbl_Case_mins[[#This Row],[Surgery Status]]=1,1,0)</f>
        <v>#REF!</v>
      </c>
      <c r="AO3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 s="9" t="e">
        <f>IF(AND(tbl_Case_mins[[#This Row],[NonCoreCase]]=1,tbl_Case_mins[[#This Row],[NoInCoreTime]]=0),1,0)</f>
        <v>#REF!</v>
      </c>
      <c r="AQ36" s="9" t="e">
        <f>IF(tbl_Case_mins[[#This Row],[Rank_AnaEnd]]&lt;tbl_Case_mins[[#This Row],[Rank_AnaSt]],1,0)</f>
        <v>#REF!</v>
      </c>
      <c r="AR36" s="9" t="e">
        <f>IF(AND(tbl_Case_mins[[#This Row],[InCoreCase]]=1,tbl_Case_mins[[#This Row],[Sch]]=1),1,0)</f>
        <v>#REF!</v>
      </c>
      <c r="AS36" s="9" t="e">
        <f>IF(AND(tbl_Case_mins[[#This Row],[InCoreCase]]=1,tbl_Case_mins[[#This Row],[Unsch]]=1),1,0)</f>
        <v>#REF!</v>
      </c>
      <c r="AT3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 s="9" t="e">
        <f>IF(tbl_Case_mins[[#This Row],[Surgery Status]]=0,(tbl_Case_mins[[#This Row],[Anaesth End]]-tbl_Case_mins[[#This Row],[AnaesthStart]]),0)</f>
        <v>#REF!</v>
      </c>
      <c r="AX36" s="9" t="e">
        <f>IF(tbl_Case_mins[[#This Row],[Surgery Status]]=0,(tbl_Case_mins[[#This Row],[Surgery Finish]]-tbl_Case_mins[[#This Row],[Surgery Start]]),0)</f>
        <v>#REF!</v>
      </c>
      <c r="AY36" s="9" t="e">
        <f>tbl_Case_mins[[#This Row],[Surgery Start]]-tbl_Case_mins[[#This Row],[AnaesthStart]]</f>
        <v>#REF!</v>
      </c>
      <c r="AZ36" s="9" t="e">
        <f>tbl_Case_mins[[#This Row],[Anaesth End]]-tbl_Case_mins[[#This Row],[Surgery Finish]]</f>
        <v>#REF!</v>
      </c>
      <c r="BA3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 s="16" cm="1">
        <f t="array" ref="BC3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 s="16" t="e">
        <f>IF(AND(tbl_Case_mins[[#This Row],[FirstAMCase]]=1,tbl_Case_mins[[#This Row],[CancelledCase]]=0,OR(tbl_Case_mins[[#This Row],[EarlyStartAM]]&gt;0,tbl_Case_mins[[#This Row],[AnaesthStart]]=tbl_Case_mins[[#This Row],[ThOpenAm]])),1,0)</f>
        <v>#REF!</v>
      </c>
      <c r="BE36" s="16" t="e">
        <f>IF(AND(tbl_Case_mins[[#This Row],[Rank_AnaSt]]=tbl_Case_mins[[#This Row],[Min_RankAnaSt]],tbl_Case_mins[[#This Row],[Anaesth End]]&gt;=tbl_Case_mins[[#This Row],[ThOpenAm]],tbl_Case_mins[[#This Row],[PmCase]]=0),1,0)</f>
        <v>#REF!</v>
      </c>
      <c r="BF3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 s="9" t="e" cm="1">
        <f t="array" ref="BH3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 s="9" t="e">
        <f>IF(AND(tbl_Case_mins[[#This Row],[ThOpenPM]]&gt;0,tbl_Case_mins[[#This Row],[AnaesthStart]]&gt;tbl_Case_mins[[#This Row],[ThOpenPM]],tbl_Case_mins[[#This Row],[First PM Case]]=1),tbl_Case_mins[[#This Row],[AnaesthStart]]-tbl_Case_mins[[#This Row],[ThOpenPM]],0)</f>
        <v>#REF!</v>
      </c>
      <c r="BL3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 s="9" t="e" cm="1">
        <f t="array" ref="BN3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 s="9" t="e">
        <f>IF(AND(tbl_Case_mins[[#This Row],[ThClosePm]]&gt;0,tbl_Case_mins[[#This Row],[Anaesth End]]&gt;tbl_Case_mins[[#This Row],[ThClosePm]],tbl_Case_mins[[#This Row],[AnaesthStart]]&gt;tbl_Case_mins[[#This Row],[ThClosePm]]),tbl_Case_mins[[#This Row],[Into Recov]]-tbl_Case_mins[[#This Row],[AnaesthStart]],0)</f>
        <v>#REF!</v>
      </c>
      <c r="BP36" s="9" t="e">
        <f>IF(AND(tbl_Case_mins[[#This Row],[AnaesthStart]]&lt;tbl_Case_mins[[#This Row],[ThClosePm]],tbl_Case_mins[[#This Row],[Anaesth End]]&gt;tbl_Case_mins[[#This Row],[ThClosePm]]),tbl_Case_mins[[#This Row],[Anaesth End]]-tbl_Case_mins[[#This Row],[ThClosePm]],0)</f>
        <v>#REF!</v>
      </c>
      <c r="BQ36" s="9" t="e" cm="1">
        <f t="array" ref="BQ3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 s="9" t="e" cm="1">
        <f t="array" ref="BR36">IF(tbl_Case_mins[[#This Row],[Rank_Adjust]]=SUMPRODUCT(-(tbl_Case_mins[Surgery Start Date]=tbl_Case_mins[[#This Row],[Surgery Start Date]]),-(tbl_Case_mins[Theatre]=tbl_Case_mins[[#This Row],[Theatre]])),INDEX(Poss_Time,MATCH(TEXT(tbl_Case_mins[[#This Row],[Surgery Start Date]],"ddd"),Day,0)),0)</f>
        <v>#REF!</v>
      </c>
      <c r="BS36" s="9" t="e">
        <f>tbl_Case_mins[[#This Row],[Core_Time]]*Util_Goal</f>
        <v>#REF!</v>
      </c>
      <c r="BT36" s="9" t="e" cm="1">
        <f t="array" ref="BT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 s="9" t="e" cm="1">
        <f t="array" ref="BU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 s="9" t="e">
        <f>IF(tbl_Case_mins[[#This Row],[Surgery End Date]]&gt;tbl_Case_mins[[#This Row],[Surgery Start Date]],tbl_Case_mins[[#This Row],[Anaesth End]]-1440,0)</f>
        <v>#REF!</v>
      </c>
      <c r="BY36" s="9" t="e">
        <f>tbl_Case_mins[[#This Row],[Total_NonCore]]-tbl_Case_mins[[#This Row],[NextDay_NonCore]]</f>
        <v>#REF!</v>
      </c>
      <c r="BZ36" s="10" t="e">
        <f>tbl_Case_mins[[#This Row],[InCoreUse]]/60</f>
        <v>#REF!</v>
      </c>
      <c r="CA36" s="10" t="e">
        <f>tbl_Case_mins[[#This Row],[Total_NonCore]]/60</f>
        <v>#REF!</v>
      </c>
      <c r="CB36" t="e" cm="1">
        <f t="array" ref="CB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 s="9" t="e" cm="1">
        <f t="array" ref="CC3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 s="9" t="e" cm="1">
        <f t="array" ref="CD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 s="9" t="e" cm="1">
        <f t="array" ref="CE3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 s="9" cm="1">
        <f t="array" ref="CF36">IFERROR(_xlfn.AGGREGATE(14,6,(tbl_Case_mins[Rank_AnaEnd])/((tbl_Case_mins[Surgery Start Date]=tbl_Case_mins[[#This Row],[Surgery Start Date]])*(tbl_Case_mins[Theatre]=tbl_Case_mins[[#This Row],[Theatre]])*(tbl_Case_mins[NoInCoreTime]=0)),1),-1)</f>
        <v>-1</v>
      </c>
      <c r="CG36" s="9" cm="1">
        <f t="array" ref="CG36">IFERROR(_xlfn.AGGREGATE(15,6,(tbl_Case_mins[Rank_AnaSt])/((tbl_Case_mins[Surgery Start Date]=tbl_Case_mins[[#This Row],[Surgery Start Date]])*(tbl_Case_mins[Theatre]=tbl_Case_mins[[#This Row],[Theatre]])*(tbl_Case_mins[NoInCoreTime]=0)),1),-1)</f>
        <v>-1</v>
      </c>
      <c r="CH3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 t="e" cm="1">
        <f t="array" ref="CJ3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 s="9" cm="1">
        <f t="array" ref="CO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 s="9" cm="1">
        <f t="array" ref="CP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 s="9" cm="1">
        <f t="array" ref="CQ36">IFERROR(IF(AND(tbl_Case_mins[[#This Row],[FirstAMCase]]=0,tbl_Case_mins[[#This Row],[Rank]]=_xlfn.AGGREGATE(14,6,(tbl_Case_mins[Rank])/((tbl_Case_mins[Surgery Start Date]=tbl_Case_mins[[#This Row],[Surgery Start Date]])*(tbl_Case_mins[Theatre]=tbl_Case_mins[[#This Row],[Theatre]])*(tbl_Case_mins[AmCase]=1)),1)),1,0),0)</f>
        <v>0</v>
      </c>
      <c r="CR36" s="9" cm="1">
        <f t="array" ref="CR3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 s="9" t="e" cm="1">
        <f t="array" ref="CS3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 s="9" cm="1">
        <f t="array" ref="CT36">IFERROR(IF(tbl_Case_mins[[#This Row],[Rank]]=_xlfn.AGGREGATE(15,6,(tbl_Case_mins[Rank])/((tbl_Case_mins[Surgery Start Date]=tbl_Case_mins[[#This Row],[Surgery Start Date]])*(tbl_Case_mins[Theatre]=tbl_Case_mins[[#This Row],[Theatre]])*(tbl_Case_mins[PmCase]=1)),1),1,0),0)</f>
        <v>0</v>
      </c>
      <c r="CU36">
        <f>IFERROR(#REF!,0)</f>
        <v>0</v>
      </c>
      <c r="CV36" s="9" t="e" cm="1">
        <f t="array" ref="CV3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 s="9">
        <f>IFERROR(IF(ISBLANK(INDEX(Bay_AmClose,MATCH(1,INDEX((tbl_Case_mins[[#This Row],[Bay]]=BayNo)*(tbl_Case_mins[[#This Row],[Surgery Start Date]]=BDate),0,1),0))*1440),0,INDEX(Bay_AmClose,MATCH(1,INDEX((tbl_Case_mins[[#This Row],[Bay]]=BayNo)*(tbl_Case_mins[[#This Row],[Surgery Start Date]]=BDate),0,1),0))*1440),0)</f>
        <v>0</v>
      </c>
      <c r="CX36" s="9" cm="1">
        <f t="array" ref="CX36">IFERROR(IF(ISBLANK(INDEX(Bay_PmOpen,MATCH(1,INDEX((tbl_Case_mins[[#This Row],[Bay]]=BayNo)*(tbl_Case_mins[[#This Row],[Surgery Start Date]]=BDate),0,1),0))*1440),0,INDEX(Bay_PmOpen,MATCH(1,INDEX((tbl_Case_mins[[#This Row],[Bay]]=BayNo)*(tbl_Case_mins[[#This Row],[Surgery Start Date]]=BDate),0,1),0))*1440),0)</f>
        <v>0</v>
      </c>
      <c r="CY3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 s="9"/>
    </row>
    <row r="37" spans="1:104" x14ac:dyDescent="0.2">
      <c r="A37">
        <v>36</v>
      </c>
      <c r="B37" t="e">
        <f>#REF!</f>
        <v>#REF!</v>
      </c>
      <c r="C37" t="e">
        <f>#REF!</f>
        <v>#REF!</v>
      </c>
      <c r="D37" t="e">
        <f>#REF!</f>
        <v>#REF!</v>
      </c>
      <c r="E37" t="e">
        <f>#REF!</f>
        <v>#REF!</v>
      </c>
      <c r="F37" t="e">
        <f>#REF!</f>
        <v>#REF!</v>
      </c>
      <c r="G37" t="e">
        <f>#REF!</f>
        <v>#REF!</v>
      </c>
      <c r="H37" t="e">
        <f>#REF!</f>
        <v>#REF!</v>
      </c>
      <c r="I37" t="e">
        <f>IF(#REF!="Case Cancelled",1,IF(#REF!="No Cases",2,0))</f>
        <v>#REF!</v>
      </c>
      <c r="J37" t="e">
        <f>#REF!</f>
        <v>#REF!</v>
      </c>
      <c r="K37" s="4" t="e">
        <f>#REF!</f>
        <v>#REF!</v>
      </c>
      <c r="L37" t="e">
        <f>"Wk "&amp;WEEKNUM(tbl_Case_mins[[#This Row],[Surgery Start Date]],21)</f>
        <v>#REF!</v>
      </c>
      <c r="M37" t="e">
        <f>TEXT(tbl_Case_mins[[#This Row],[Surgery Start Date]],"ddd")</f>
        <v>#REF!</v>
      </c>
      <c r="N37" s="9" t="e">
        <f>(#REF!-TIME(0,0,0))*1440</f>
        <v>#REF!</v>
      </c>
      <c r="O37" t="e">
        <f>IF(AND(ROUND((#REF!-TIME(0,0,0))*1440,0)&gt;0,ROUND((#REF!-TIME(0,0,0))*1440,0)&lt;tbl_Case_mins[[#This Row],[Patient Called]],tbl_Case_mins[[#This Row],[Surgery End Date]]&gt;tbl_Case_mins[[#This Row],[Surgery Start Date]]),ROUND((#REF!-TIME(0,0,0))*1440,0)+1440,ROUND((#REF!-TIME(0,0,0))*1440,0))</f>
        <v>#REF!</v>
      </c>
      <c r="P37" s="9" t="e">
        <f>IF(AND(ROUND((#REF!-TIME(0,0,0))*1440,0)&gt;0,ROUND((#REF!-TIME(0,0,0))*1440,0)&lt;tbl_Case_mins[[#This Row],[Arrival]],tbl_Case_mins[[#This Row],[Surgery End Date]]&gt;tbl_Case_mins[[#This Row],[Surgery Start Date]]),ROUND((#REF!-TIME(0,0,0))*1440,0)+1440,ROUND((#REF!-TIME(0,0,0))*1440,0))</f>
        <v>#REF!</v>
      </c>
      <c r="Q37" s="9" t="e">
        <f>IF(AND(ROUND((#REF!-TIME(0,0,0))*1440,0)&gt;0,ROUND((#REF!-TIME(0,0,0))*1440,0)&lt;tbl_Case_mins[[#This Row],[Into Th or AR]],tbl_Case_mins[[#This Row],[Surgery End Date]]&gt;tbl_Case_mins[[#This Row],[Surgery Start Date]]),ROUND((#REF!-TIME(0,0,0))*1440,0)+1440,ROUND((#REF!-TIME(0,0,0))*1440,0))</f>
        <v>#REF!</v>
      </c>
      <c r="R37" s="9" t="e">
        <f>IF(AND(ROUND((#REF!-TIME(0,0,0))*1440,0)&gt;0,ROUND((#REF!-TIME(0,0,0))*1440,0)&lt;tbl_Case_mins[[#This Row],[AnaesthStart]],tbl_Case_mins[[#This Row],[Surgery End Date]]&gt;tbl_Case_mins[[#This Row],[Surgery Start Date]]),ROUND((#REF!-TIME(0,0,0))*1440,0)+1440,ROUND((#REF!-TIME(0,0,0))*1440,0))</f>
        <v>#REF!</v>
      </c>
      <c r="S37" s="9" t="e">
        <f>IF(AND(ROUND((#REF!-TIME(0,0,0))*1440,0),ROUND((#REF!-TIME(0,0,0))*1440,0)&lt;tbl_Case_mins[[#This Row],[Surgery Start]],tbl_Case_mins[[#This Row],[Surgery End Date]]&gt;tbl_Case_mins[[#This Row],[Surgery Start Date]]),ROUND((#REF!-TIME(0,0,0))*1440,0)+1440,ROUND((#REF!-TIME(0,0,0))*1440,0))</f>
        <v>#REF!</v>
      </c>
      <c r="T37" s="9" t="e">
        <f>IF(AND(ROUND((#REF!-TIME(0,0,0))*1440,0)&gt;0,ROUND((#REF!-TIME(0,0,0))*1440,0)&lt;tbl_Case_mins[[#This Row],[Surgery Finish]],tbl_Case_mins[[#This Row],[Surgery End Date]]&gt;tbl_Case_mins[[#This Row],[Surgery Start Date]]),ROUND((#REF!-TIME(0,0,0))*1440,0)+1440,ROUND((#REF!-TIME(0,0,0))*1440,0))</f>
        <v>#REF!</v>
      </c>
      <c r="U37" s="9" t="e">
        <f>IF(AND(ROUND((#REF!-TIME(0,0,0))*1440,0)&gt;0,ROUND((#REF!-TIME(0,0,0))*1440,0)&lt;tbl_Case_mins[[#This Row],[Anaesth End]],tbl_Case_mins[[#This Row],[Surgery End Date]]&gt;tbl_Case_mins[[#This Row],[Surgery Start Date]]),ROUND((#REF!-TIME(0,0,0))*1440,0)+1440,ROUND((#REF!-TIME(0,0,0))*1440,0))</f>
        <v>#REF!</v>
      </c>
      <c r="V37" s="9" t="e">
        <f>IF(AND(ROUND((#REF!-TIME(0,0,0))*1440,0)&gt;0,ROUND((#REF!-TIME(0,0,0))*1440,0)&lt;tbl_Case_mins[[#This Row],[Into Recov]],tbl_Case_mins[[#This Row],[Surgery End Date]]&gt;tbl_Case_mins[[#This Row],[Surgery Start Date]]),ROUND((#REF!-TIME(0,0,0))*1440,0)+1440,ROUND((#REF!-TIME(0,0,0))*1440,0))</f>
        <v>#REF!</v>
      </c>
      <c r="W37" s="9" t="e">
        <f>IF(AND(ROUND((#REF!-TIME(0,0,0))*1440,0)&gt;0,ROUND((#REF!-TIME(0,0,0))*1440,0)&lt;tbl_Case_mins[[#This Row],[Ward Called]],tbl_Case_mins[[#This Row],[Surgery End Date]]&gt;tbl_Case_mins[[#This Row],[Surgery Start Date]]),ROUND((#REF!-TIME(0,0,0))*1440,0)+1440,ROUND((#REF!-TIME(0,0,0))*1440,0))</f>
        <v>#REF!</v>
      </c>
      <c r="X37" s="4" t="e">
        <f>IF(ISBLANK(#REF!),tbl_Case_mins[[#This Row],[Surgery Start Date]],#REF!)</f>
        <v>#REF!</v>
      </c>
      <c r="Y37">
        <f>IFERROR(IF(VLOOKUP(tbl_Case_mins[[#This Row],[Theatre]],'Mng Theatres'!$C$7:$G$12,3,FALSE)="Yes","Yes","No"),0)</f>
        <v>0</v>
      </c>
      <c r="Z37" s="9" t="e" cm="1">
        <f t="array" ref="Z3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 s="9" t="e" cm="1">
        <f t="array" ref="AA3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 s="9" t="e">
        <f>IF(tbl_Case_mins[[#This Row],[Case Type]]="Unsch",1,0)</f>
        <v>#REF!</v>
      </c>
      <c r="AD37" s="9" t="e">
        <f>IF(tbl_Case_mins[[#This Row],[Case Type]]="Sch",1,0)</f>
        <v>#REF!</v>
      </c>
      <c r="AE3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 s="9">
        <f>IFERROR(IF(ISBLANK(INDEX(Am_Close,MATCH(1,INDEX((tbl_Case_mins[[#This Row],[Theatre]]=Theatre_No)*(tbl_Case_mins[[#This Row],[Surgery Start Date]]=Date),0,1),0))*1440),0,INDEX(Am_Close,MATCH(1,INDEX((tbl_Case_mins[[#This Row],[Theatre]]=Theatre_No)*(tbl_Case_mins[[#This Row],[Surgery Start Date]]=Date),0,1),0))*1440),0)</f>
        <v>0</v>
      </c>
      <c r="AG37" s="9">
        <f>IFERROR(IF(ISBLANK(INDEX(PM_Open,MATCH(1,INDEX((tbl_Case_mins[[#This Row],[Theatre]]=Theatre_No)*(tbl_Case_mins[[#This Row],[Surgery Start Date]]=Date),0,1),0))*1440),0,INDEX(PM_Open,MATCH(1,INDEX((tbl_Case_mins[[#This Row],[Theatre]]=Theatre_No)*(tbl_Case_mins[[#This Row],[Surgery Start Date]]=Date),0,1),0))*1440),0)</f>
        <v>0</v>
      </c>
      <c r="AH3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 s="9" t="e">
        <f>IF(tbl_Case_mins[[#This Row],[ThOpenAm]]=0,tbl_Case_mins[[#This Row],[ThOpenPM]],tbl_Case_mins[[#This Row],[ThOpenAm]])</f>
        <v>#REF!</v>
      </c>
      <c r="AJ37" s="9" t="e">
        <f>IF(tbl_Case_mins[[#This Row],[ThCloseAm]]&gt;0,IF(tbl_Case_mins[[#This Row],[ThOpenPM]]&gt;0,tbl_Case_mins[[#This Row],[ThClosePm]],tbl_Case_mins[[#This Row],[ThCloseAm]]),tbl_Case_mins[[#This Row],[ThClosePm]])</f>
        <v>#REF!</v>
      </c>
      <c r="AK37" s="9" t="e">
        <f>IF(tbl_Case_mins[[#This Row],[TOT]]&gt;0,1,0)</f>
        <v>#REF!</v>
      </c>
      <c r="AL3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 s="9" t="e">
        <f>IF(AND(tbl_Case_mins[[#This Row],[Surgery Status]]&lt;&gt;2,tbl_Case_mins[[#This Row],[InCoreCase]]=0,tbl_Case_mins[[#This Row],[CancelledCase]]=0),1,0)</f>
        <v>#REF!</v>
      </c>
      <c r="AN37" s="9" t="e">
        <f>IF(tbl_Case_mins[[#This Row],[Surgery Status]]=1,1,0)</f>
        <v>#REF!</v>
      </c>
      <c r="AO3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 s="9" t="e">
        <f>IF(AND(tbl_Case_mins[[#This Row],[NonCoreCase]]=1,tbl_Case_mins[[#This Row],[NoInCoreTime]]=0),1,0)</f>
        <v>#REF!</v>
      </c>
      <c r="AQ37" s="9" t="e">
        <f>IF(tbl_Case_mins[[#This Row],[Rank_AnaEnd]]&lt;tbl_Case_mins[[#This Row],[Rank_AnaSt]],1,0)</f>
        <v>#REF!</v>
      </c>
      <c r="AR37" s="9" t="e">
        <f>IF(AND(tbl_Case_mins[[#This Row],[InCoreCase]]=1,tbl_Case_mins[[#This Row],[Sch]]=1),1,0)</f>
        <v>#REF!</v>
      </c>
      <c r="AS37" s="9" t="e">
        <f>IF(AND(tbl_Case_mins[[#This Row],[InCoreCase]]=1,tbl_Case_mins[[#This Row],[Unsch]]=1),1,0)</f>
        <v>#REF!</v>
      </c>
      <c r="AT3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 s="9" t="e">
        <f>IF(tbl_Case_mins[[#This Row],[Surgery Status]]=0,(tbl_Case_mins[[#This Row],[Anaesth End]]-tbl_Case_mins[[#This Row],[AnaesthStart]]),0)</f>
        <v>#REF!</v>
      </c>
      <c r="AX37" s="9" t="e">
        <f>IF(tbl_Case_mins[[#This Row],[Surgery Status]]=0,(tbl_Case_mins[[#This Row],[Surgery Finish]]-tbl_Case_mins[[#This Row],[Surgery Start]]),0)</f>
        <v>#REF!</v>
      </c>
      <c r="AY37" s="9" t="e">
        <f>tbl_Case_mins[[#This Row],[Surgery Start]]-tbl_Case_mins[[#This Row],[AnaesthStart]]</f>
        <v>#REF!</v>
      </c>
      <c r="AZ37" s="9" t="e">
        <f>tbl_Case_mins[[#This Row],[Anaesth End]]-tbl_Case_mins[[#This Row],[Surgery Finish]]</f>
        <v>#REF!</v>
      </c>
      <c r="BA3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 s="16" cm="1">
        <f t="array" ref="BC3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 s="16" t="e">
        <f>IF(AND(tbl_Case_mins[[#This Row],[FirstAMCase]]=1,tbl_Case_mins[[#This Row],[CancelledCase]]=0,OR(tbl_Case_mins[[#This Row],[EarlyStartAM]]&gt;0,tbl_Case_mins[[#This Row],[AnaesthStart]]=tbl_Case_mins[[#This Row],[ThOpenAm]])),1,0)</f>
        <v>#REF!</v>
      </c>
      <c r="BE37" s="16" t="e">
        <f>IF(AND(tbl_Case_mins[[#This Row],[Rank_AnaSt]]=tbl_Case_mins[[#This Row],[Min_RankAnaSt]],tbl_Case_mins[[#This Row],[Anaesth End]]&gt;=tbl_Case_mins[[#This Row],[ThOpenAm]],tbl_Case_mins[[#This Row],[PmCase]]=0),1,0)</f>
        <v>#REF!</v>
      </c>
      <c r="BF3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 s="9" t="e" cm="1">
        <f t="array" ref="BH3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 s="9" t="e">
        <f>IF(AND(tbl_Case_mins[[#This Row],[ThOpenPM]]&gt;0,tbl_Case_mins[[#This Row],[AnaesthStart]]&gt;tbl_Case_mins[[#This Row],[ThOpenPM]],tbl_Case_mins[[#This Row],[First PM Case]]=1),tbl_Case_mins[[#This Row],[AnaesthStart]]-tbl_Case_mins[[#This Row],[ThOpenPM]],0)</f>
        <v>#REF!</v>
      </c>
      <c r="BL3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 s="9" t="e" cm="1">
        <f t="array" ref="BN3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 s="9" t="e">
        <f>IF(AND(tbl_Case_mins[[#This Row],[ThClosePm]]&gt;0,tbl_Case_mins[[#This Row],[Anaesth End]]&gt;tbl_Case_mins[[#This Row],[ThClosePm]],tbl_Case_mins[[#This Row],[AnaesthStart]]&gt;tbl_Case_mins[[#This Row],[ThClosePm]]),tbl_Case_mins[[#This Row],[Into Recov]]-tbl_Case_mins[[#This Row],[AnaesthStart]],0)</f>
        <v>#REF!</v>
      </c>
      <c r="BP37" s="9" t="e">
        <f>IF(AND(tbl_Case_mins[[#This Row],[AnaesthStart]]&lt;tbl_Case_mins[[#This Row],[ThClosePm]],tbl_Case_mins[[#This Row],[Anaesth End]]&gt;tbl_Case_mins[[#This Row],[ThClosePm]]),tbl_Case_mins[[#This Row],[Anaesth End]]-tbl_Case_mins[[#This Row],[ThClosePm]],0)</f>
        <v>#REF!</v>
      </c>
      <c r="BQ37" s="9" t="e" cm="1">
        <f t="array" ref="BQ3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 s="9" t="e" cm="1">
        <f t="array" ref="BR37">IF(tbl_Case_mins[[#This Row],[Rank_Adjust]]=SUMPRODUCT(-(tbl_Case_mins[Surgery Start Date]=tbl_Case_mins[[#This Row],[Surgery Start Date]]),-(tbl_Case_mins[Theatre]=tbl_Case_mins[[#This Row],[Theatre]])),INDEX(Poss_Time,MATCH(TEXT(tbl_Case_mins[[#This Row],[Surgery Start Date]],"ddd"),Day,0)),0)</f>
        <v>#REF!</v>
      </c>
      <c r="BS37" s="9" t="e">
        <f>tbl_Case_mins[[#This Row],[Core_Time]]*Util_Goal</f>
        <v>#REF!</v>
      </c>
      <c r="BT37" s="9" t="e" cm="1">
        <f t="array" ref="BT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 s="9" t="e" cm="1">
        <f t="array" ref="BU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 s="9" t="e">
        <f>IF(tbl_Case_mins[[#This Row],[Surgery End Date]]&gt;tbl_Case_mins[[#This Row],[Surgery Start Date]],tbl_Case_mins[[#This Row],[Anaesth End]]-1440,0)</f>
        <v>#REF!</v>
      </c>
      <c r="BY37" s="9" t="e">
        <f>tbl_Case_mins[[#This Row],[Total_NonCore]]-tbl_Case_mins[[#This Row],[NextDay_NonCore]]</f>
        <v>#REF!</v>
      </c>
      <c r="BZ37" s="10" t="e">
        <f>tbl_Case_mins[[#This Row],[InCoreUse]]/60</f>
        <v>#REF!</v>
      </c>
      <c r="CA37" s="10" t="e">
        <f>tbl_Case_mins[[#This Row],[Total_NonCore]]/60</f>
        <v>#REF!</v>
      </c>
      <c r="CB37" t="e" cm="1">
        <f t="array" ref="CB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 s="9" t="e" cm="1">
        <f t="array" ref="CC3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 s="9" t="e" cm="1">
        <f t="array" ref="CD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 s="9" t="e" cm="1">
        <f t="array" ref="CE3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 s="9" cm="1">
        <f t="array" ref="CF37">IFERROR(_xlfn.AGGREGATE(14,6,(tbl_Case_mins[Rank_AnaEnd])/((tbl_Case_mins[Surgery Start Date]=tbl_Case_mins[[#This Row],[Surgery Start Date]])*(tbl_Case_mins[Theatre]=tbl_Case_mins[[#This Row],[Theatre]])*(tbl_Case_mins[NoInCoreTime]=0)),1),-1)</f>
        <v>-1</v>
      </c>
      <c r="CG37" s="9" cm="1">
        <f t="array" ref="CG37">IFERROR(_xlfn.AGGREGATE(15,6,(tbl_Case_mins[Rank_AnaSt])/((tbl_Case_mins[Surgery Start Date]=tbl_Case_mins[[#This Row],[Surgery Start Date]])*(tbl_Case_mins[Theatre]=tbl_Case_mins[[#This Row],[Theatre]])*(tbl_Case_mins[NoInCoreTime]=0)),1),-1)</f>
        <v>-1</v>
      </c>
      <c r="CH3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 t="e" cm="1">
        <f t="array" ref="CJ3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 s="9" cm="1">
        <f t="array" ref="CO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 s="9" cm="1">
        <f t="array" ref="CP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 s="9" cm="1">
        <f t="array" ref="CQ37">IFERROR(IF(AND(tbl_Case_mins[[#This Row],[FirstAMCase]]=0,tbl_Case_mins[[#This Row],[Rank]]=_xlfn.AGGREGATE(14,6,(tbl_Case_mins[Rank])/((tbl_Case_mins[Surgery Start Date]=tbl_Case_mins[[#This Row],[Surgery Start Date]])*(tbl_Case_mins[Theatre]=tbl_Case_mins[[#This Row],[Theatre]])*(tbl_Case_mins[AmCase]=1)),1)),1,0),0)</f>
        <v>0</v>
      </c>
      <c r="CR37" s="9" cm="1">
        <f t="array" ref="CR3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 s="9" t="e" cm="1">
        <f t="array" ref="CS3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 s="9" cm="1">
        <f t="array" ref="CT37">IFERROR(IF(tbl_Case_mins[[#This Row],[Rank]]=_xlfn.AGGREGATE(15,6,(tbl_Case_mins[Rank])/((tbl_Case_mins[Surgery Start Date]=tbl_Case_mins[[#This Row],[Surgery Start Date]])*(tbl_Case_mins[Theatre]=tbl_Case_mins[[#This Row],[Theatre]])*(tbl_Case_mins[PmCase]=1)),1),1,0),0)</f>
        <v>0</v>
      </c>
      <c r="CU37">
        <f>IFERROR(#REF!,0)</f>
        <v>0</v>
      </c>
      <c r="CV37" s="9" t="e" cm="1">
        <f t="array" ref="CV3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 s="9">
        <f>IFERROR(IF(ISBLANK(INDEX(Bay_AmClose,MATCH(1,INDEX((tbl_Case_mins[[#This Row],[Bay]]=BayNo)*(tbl_Case_mins[[#This Row],[Surgery Start Date]]=BDate),0,1),0))*1440),0,INDEX(Bay_AmClose,MATCH(1,INDEX((tbl_Case_mins[[#This Row],[Bay]]=BayNo)*(tbl_Case_mins[[#This Row],[Surgery Start Date]]=BDate),0,1),0))*1440),0)</f>
        <v>0</v>
      </c>
      <c r="CX37" s="9" cm="1">
        <f t="array" ref="CX37">IFERROR(IF(ISBLANK(INDEX(Bay_PmOpen,MATCH(1,INDEX((tbl_Case_mins[[#This Row],[Bay]]=BayNo)*(tbl_Case_mins[[#This Row],[Surgery Start Date]]=BDate),0,1),0))*1440),0,INDEX(Bay_PmOpen,MATCH(1,INDEX((tbl_Case_mins[[#This Row],[Bay]]=BayNo)*(tbl_Case_mins[[#This Row],[Surgery Start Date]]=BDate),0,1),0))*1440),0)</f>
        <v>0</v>
      </c>
      <c r="CY3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 s="9"/>
    </row>
    <row r="38" spans="1:104" x14ac:dyDescent="0.2">
      <c r="A38">
        <v>37</v>
      </c>
      <c r="B38" t="e">
        <f>#REF!</f>
        <v>#REF!</v>
      </c>
      <c r="C38" t="e">
        <f>#REF!</f>
        <v>#REF!</v>
      </c>
      <c r="D38" t="e">
        <f>#REF!</f>
        <v>#REF!</v>
      </c>
      <c r="E38" t="e">
        <f>#REF!</f>
        <v>#REF!</v>
      </c>
      <c r="F38" t="e">
        <f>#REF!</f>
        <v>#REF!</v>
      </c>
      <c r="G38" t="e">
        <f>#REF!</f>
        <v>#REF!</v>
      </c>
      <c r="H38" t="e">
        <f>#REF!</f>
        <v>#REF!</v>
      </c>
      <c r="I38" t="e">
        <f>IF(#REF!="Case Cancelled",1,IF(#REF!="No Cases",2,0))</f>
        <v>#REF!</v>
      </c>
      <c r="J38" t="e">
        <f>#REF!</f>
        <v>#REF!</v>
      </c>
      <c r="K38" s="4" t="e">
        <f>#REF!</f>
        <v>#REF!</v>
      </c>
      <c r="L38" t="e">
        <f>"Wk "&amp;WEEKNUM(tbl_Case_mins[[#This Row],[Surgery Start Date]],21)</f>
        <v>#REF!</v>
      </c>
      <c r="M38" t="e">
        <f>TEXT(tbl_Case_mins[[#This Row],[Surgery Start Date]],"ddd")</f>
        <v>#REF!</v>
      </c>
      <c r="N38" s="9" t="e">
        <f>(#REF!-TIME(0,0,0))*1440</f>
        <v>#REF!</v>
      </c>
      <c r="O38" t="e">
        <f>IF(AND(ROUND((#REF!-TIME(0,0,0))*1440,0)&gt;0,ROUND((#REF!-TIME(0,0,0))*1440,0)&lt;tbl_Case_mins[[#This Row],[Patient Called]],tbl_Case_mins[[#This Row],[Surgery End Date]]&gt;tbl_Case_mins[[#This Row],[Surgery Start Date]]),ROUND((#REF!-TIME(0,0,0))*1440,0)+1440,ROUND((#REF!-TIME(0,0,0))*1440,0))</f>
        <v>#REF!</v>
      </c>
      <c r="P38" s="9" t="e">
        <f>IF(AND(ROUND((#REF!-TIME(0,0,0))*1440,0)&gt;0,ROUND((#REF!-TIME(0,0,0))*1440,0)&lt;tbl_Case_mins[[#This Row],[Arrival]],tbl_Case_mins[[#This Row],[Surgery End Date]]&gt;tbl_Case_mins[[#This Row],[Surgery Start Date]]),ROUND((#REF!-TIME(0,0,0))*1440,0)+1440,ROUND((#REF!-TIME(0,0,0))*1440,0))</f>
        <v>#REF!</v>
      </c>
      <c r="Q38" s="9" t="e">
        <f>IF(AND(ROUND((#REF!-TIME(0,0,0))*1440,0)&gt;0,ROUND((#REF!-TIME(0,0,0))*1440,0)&lt;tbl_Case_mins[[#This Row],[Into Th or AR]],tbl_Case_mins[[#This Row],[Surgery End Date]]&gt;tbl_Case_mins[[#This Row],[Surgery Start Date]]),ROUND((#REF!-TIME(0,0,0))*1440,0)+1440,ROUND((#REF!-TIME(0,0,0))*1440,0))</f>
        <v>#REF!</v>
      </c>
      <c r="R38" s="9" t="e">
        <f>IF(AND(ROUND((#REF!-TIME(0,0,0))*1440,0)&gt;0,ROUND((#REF!-TIME(0,0,0))*1440,0)&lt;tbl_Case_mins[[#This Row],[AnaesthStart]],tbl_Case_mins[[#This Row],[Surgery End Date]]&gt;tbl_Case_mins[[#This Row],[Surgery Start Date]]),ROUND((#REF!-TIME(0,0,0))*1440,0)+1440,ROUND((#REF!-TIME(0,0,0))*1440,0))</f>
        <v>#REF!</v>
      </c>
      <c r="S38" s="9" t="e">
        <f>IF(AND(ROUND((#REF!-TIME(0,0,0))*1440,0),ROUND((#REF!-TIME(0,0,0))*1440,0)&lt;tbl_Case_mins[[#This Row],[Surgery Start]],tbl_Case_mins[[#This Row],[Surgery End Date]]&gt;tbl_Case_mins[[#This Row],[Surgery Start Date]]),ROUND((#REF!-TIME(0,0,0))*1440,0)+1440,ROUND((#REF!-TIME(0,0,0))*1440,0))</f>
        <v>#REF!</v>
      </c>
      <c r="T38" s="9" t="e">
        <f>IF(AND(ROUND((#REF!-TIME(0,0,0))*1440,0)&gt;0,ROUND((#REF!-TIME(0,0,0))*1440,0)&lt;tbl_Case_mins[[#This Row],[Surgery Finish]],tbl_Case_mins[[#This Row],[Surgery End Date]]&gt;tbl_Case_mins[[#This Row],[Surgery Start Date]]),ROUND((#REF!-TIME(0,0,0))*1440,0)+1440,ROUND((#REF!-TIME(0,0,0))*1440,0))</f>
        <v>#REF!</v>
      </c>
      <c r="U38" s="9" t="e">
        <f>IF(AND(ROUND((#REF!-TIME(0,0,0))*1440,0)&gt;0,ROUND((#REF!-TIME(0,0,0))*1440,0)&lt;tbl_Case_mins[[#This Row],[Anaesth End]],tbl_Case_mins[[#This Row],[Surgery End Date]]&gt;tbl_Case_mins[[#This Row],[Surgery Start Date]]),ROUND((#REF!-TIME(0,0,0))*1440,0)+1440,ROUND((#REF!-TIME(0,0,0))*1440,0))</f>
        <v>#REF!</v>
      </c>
      <c r="V38" s="9" t="e">
        <f>IF(AND(ROUND((#REF!-TIME(0,0,0))*1440,0)&gt;0,ROUND((#REF!-TIME(0,0,0))*1440,0)&lt;tbl_Case_mins[[#This Row],[Into Recov]],tbl_Case_mins[[#This Row],[Surgery End Date]]&gt;tbl_Case_mins[[#This Row],[Surgery Start Date]]),ROUND((#REF!-TIME(0,0,0))*1440,0)+1440,ROUND((#REF!-TIME(0,0,0))*1440,0))</f>
        <v>#REF!</v>
      </c>
      <c r="W38" s="9" t="e">
        <f>IF(AND(ROUND((#REF!-TIME(0,0,0))*1440,0)&gt;0,ROUND((#REF!-TIME(0,0,0))*1440,0)&lt;tbl_Case_mins[[#This Row],[Ward Called]],tbl_Case_mins[[#This Row],[Surgery End Date]]&gt;tbl_Case_mins[[#This Row],[Surgery Start Date]]),ROUND((#REF!-TIME(0,0,0))*1440,0)+1440,ROUND((#REF!-TIME(0,0,0))*1440,0))</f>
        <v>#REF!</v>
      </c>
      <c r="X38" s="4" t="e">
        <f>IF(ISBLANK(#REF!),tbl_Case_mins[[#This Row],[Surgery Start Date]],#REF!)</f>
        <v>#REF!</v>
      </c>
      <c r="Y38">
        <f>IFERROR(IF(VLOOKUP(tbl_Case_mins[[#This Row],[Theatre]],'Mng Theatres'!$C$7:$G$12,3,FALSE)="Yes","Yes","No"),0)</f>
        <v>0</v>
      </c>
      <c r="Z38" s="9" t="e" cm="1">
        <f t="array" ref="Z3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 s="9" t="e" cm="1">
        <f t="array" ref="AA3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 s="9" t="e">
        <f>IF(tbl_Case_mins[[#This Row],[Case Type]]="Unsch",1,0)</f>
        <v>#REF!</v>
      </c>
      <c r="AD38" s="9" t="e">
        <f>IF(tbl_Case_mins[[#This Row],[Case Type]]="Sch",1,0)</f>
        <v>#REF!</v>
      </c>
      <c r="AE3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 s="9">
        <f>IFERROR(IF(ISBLANK(INDEX(Am_Close,MATCH(1,INDEX((tbl_Case_mins[[#This Row],[Theatre]]=Theatre_No)*(tbl_Case_mins[[#This Row],[Surgery Start Date]]=Date),0,1),0))*1440),0,INDEX(Am_Close,MATCH(1,INDEX((tbl_Case_mins[[#This Row],[Theatre]]=Theatre_No)*(tbl_Case_mins[[#This Row],[Surgery Start Date]]=Date),0,1),0))*1440),0)</f>
        <v>0</v>
      </c>
      <c r="AG38" s="9">
        <f>IFERROR(IF(ISBLANK(INDEX(PM_Open,MATCH(1,INDEX((tbl_Case_mins[[#This Row],[Theatre]]=Theatre_No)*(tbl_Case_mins[[#This Row],[Surgery Start Date]]=Date),0,1),0))*1440),0,INDEX(PM_Open,MATCH(1,INDEX((tbl_Case_mins[[#This Row],[Theatre]]=Theatre_No)*(tbl_Case_mins[[#This Row],[Surgery Start Date]]=Date),0,1),0))*1440),0)</f>
        <v>0</v>
      </c>
      <c r="AH3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 s="9" t="e">
        <f>IF(tbl_Case_mins[[#This Row],[ThOpenAm]]=0,tbl_Case_mins[[#This Row],[ThOpenPM]],tbl_Case_mins[[#This Row],[ThOpenAm]])</f>
        <v>#REF!</v>
      </c>
      <c r="AJ38" s="9" t="e">
        <f>IF(tbl_Case_mins[[#This Row],[ThCloseAm]]&gt;0,IF(tbl_Case_mins[[#This Row],[ThOpenPM]]&gt;0,tbl_Case_mins[[#This Row],[ThClosePm]],tbl_Case_mins[[#This Row],[ThCloseAm]]),tbl_Case_mins[[#This Row],[ThClosePm]])</f>
        <v>#REF!</v>
      </c>
      <c r="AK38" s="9" t="e">
        <f>IF(tbl_Case_mins[[#This Row],[TOT]]&gt;0,1,0)</f>
        <v>#REF!</v>
      </c>
      <c r="AL3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 s="9" t="e">
        <f>IF(AND(tbl_Case_mins[[#This Row],[Surgery Status]]&lt;&gt;2,tbl_Case_mins[[#This Row],[InCoreCase]]=0,tbl_Case_mins[[#This Row],[CancelledCase]]=0),1,0)</f>
        <v>#REF!</v>
      </c>
      <c r="AN38" s="9" t="e">
        <f>IF(tbl_Case_mins[[#This Row],[Surgery Status]]=1,1,0)</f>
        <v>#REF!</v>
      </c>
      <c r="AO3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 s="9" t="e">
        <f>IF(AND(tbl_Case_mins[[#This Row],[NonCoreCase]]=1,tbl_Case_mins[[#This Row],[NoInCoreTime]]=0),1,0)</f>
        <v>#REF!</v>
      </c>
      <c r="AQ38" s="9" t="e">
        <f>IF(tbl_Case_mins[[#This Row],[Rank_AnaEnd]]&lt;tbl_Case_mins[[#This Row],[Rank_AnaSt]],1,0)</f>
        <v>#REF!</v>
      </c>
      <c r="AR38" s="9" t="e">
        <f>IF(AND(tbl_Case_mins[[#This Row],[InCoreCase]]=1,tbl_Case_mins[[#This Row],[Sch]]=1),1,0)</f>
        <v>#REF!</v>
      </c>
      <c r="AS38" s="9" t="e">
        <f>IF(AND(tbl_Case_mins[[#This Row],[InCoreCase]]=1,tbl_Case_mins[[#This Row],[Unsch]]=1),1,0)</f>
        <v>#REF!</v>
      </c>
      <c r="AT3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 s="9" t="e">
        <f>IF(tbl_Case_mins[[#This Row],[Surgery Status]]=0,(tbl_Case_mins[[#This Row],[Anaesth End]]-tbl_Case_mins[[#This Row],[AnaesthStart]]),0)</f>
        <v>#REF!</v>
      </c>
      <c r="AX38" s="9" t="e">
        <f>IF(tbl_Case_mins[[#This Row],[Surgery Status]]=0,(tbl_Case_mins[[#This Row],[Surgery Finish]]-tbl_Case_mins[[#This Row],[Surgery Start]]),0)</f>
        <v>#REF!</v>
      </c>
      <c r="AY38" s="9" t="e">
        <f>tbl_Case_mins[[#This Row],[Surgery Start]]-tbl_Case_mins[[#This Row],[AnaesthStart]]</f>
        <v>#REF!</v>
      </c>
      <c r="AZ38" s="9" t="e">
        <f>tbl_Case_mins[[#This Row],[Anaesth End]]-tbl_Case_mins[[#This Row],[Surgery Finish]]</f>
        <v>#REF!</v>
      </c>
      <c r="BA3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 s="16" cm="1">
        <f t="array" ref="BC3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 s="16" t="e">
        <f>IF(AND(tbl_Case_mins[[#This Row],[FirstAMCase]]=1,tbl_Case_mins[[#This Row],[CancelledCase]]=0,OR(tbl_Case_mins[[#This Row],[EarlyStartAM]]&gt;0,tbl_Case_mins[[#This Row],[AnaesthStart]]=tbl_Case_mins[[#This Row],[ThOpenAm]])),1,0)</f>
        <v>#REF!</v>
      </c>
      <c r="BE38" s="16" t="e">
        <f>IF(AND(tbl_Case_mins[[#This Row],[Rank_AnaSt]]=tbl_Case_mins[[#This Row],[Min_RankAnaSt]],tbl_Case_mins[[#This Row],[Anaesth End]]&gt;=tbl_Case_mins[[#This Row],[ThOpenAm]],tbl_Case_mins[[#This Row],[PmCase]]=0),1,0)</f>
        <v>#REF!</v>
      </c>
      <c r="BF3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 s="9" t="e" cm="1">
        <f t="array" ref="BH3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 s="9" t="e">
        <f>IF(AND(tbl_Case_mins[[#This Row],[ThOpenPM]]&gt;0,tbl_Case_mins[[#This Row],[AnaesthStart]]&gt;tbl_Case_mins[[#This Row],[ThOpenPM]],tbl_Case_mins[[#This Row],[First PM Case]]=1),tbl_Case_mins[[#This Row],[AnaesthStart]]-tbl_Case_mins[[#This Row],[ThOpenPM]],0)</f>
        <v>#REF!</v>
      </c>
      <c r="BL3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 s="9" t="e" cm="1">
        <f t="array" ref="BN3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 s="9" t="e">
        <f>IF(AND(tbl_Case_mins[[#This Row],[ThClosePm]]&gt;0,tbl_Case_mins[[#This Row],[Anaesth End]]&gt;tbl_Case_mins[[#This Row],[ThClosePm]],tbl_Case_mins[[#This Row],[AnaesthStart]]&gt;tbl_Case_mins[[#This Row],[ThClosePm]]),tbl_Case_mins[[#This Row],[Into Recov]]-tbl_Case_mins[[#This Row],[AnaesthStart]],0)</f>
        <v>#REF!</v>
      </c>
      <c r="BP38" s="9" t="e">
        <f>IF(AND(tbl_Case_mins[[#This Row],[AnaesthStart]]&lt;tbl_Case_mins[[#This Row],[ThClosePm]],tbl_Case_mins[[#This Row],[Anaesth End]]&gt;tbl_Case_mins[[#This Row],[ThClosePm]]),tbl_Case_mins[[#This Row],[Anaesth End]]-tbl_Case_mins[[#This Row],[ThClosePm]],0)</f>
        <v>#REF!</v>
      </c>
      <c r="BQ38" s="9" t="e" cm="1">
        <f t="array" ref="BQ3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 s="9" t="e" cm="1">
        <f t="array" ref="BR38">IF(tbl_Case_mins[[#This Row],[Rank_Adjust]]=SUMPRODUCT(-(tbl_Case_mins[Surgery Start Date]=tbl_Case_mins[[#This Row],[Surgery Start Date]]),-(tbl_Case_mins[Theatre]=tbl_Case_mins[[#This Row],[Theatre]])),INDEX(Poss_Time,MATCH(TEXT(tbl_Case_mins[[#This Row],[Surgery Start Date]],"ddd"),Day,0)),0)</f>
        <v>#REF!</v>
      </c>
      <c r="BS38" s="9" t="e">
        <f>tbl_Case_mins[[#This Row],[Core_Time]]*Util_Goal</f>
        <v>#REF!</v>
      </c>
      <c r="BT38" s="9" t="e" cm="1">
        <f t="array" ref="BT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 s="9" t="e" cm="1">
        <f t="array" ref="BU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 s="9" t="e">
        <f>IF(tbl_Case_mins[[#This Row],[Surgery End Date]]&gt;tbl_Case_mins[[#This Row],[Surgery Start Date]],tbl_Case_mins[[#This Row],[Anaesth End]]-1440,0)</f>
        <v>#REF!</v>
      </c>
      <c r="BY38" s="9" t="e">
        <f>tbl_Case_mins[[#This Row],[Total_NonCore]]-tbl_Case_mins[[#This Row],[NextDay_NonCore]]</f>
        <v>#REF!</v>
      </c>
      <c r="BZ38" s="10" t="e">
        <f>tbl_Case_mins[[#This Row],[InCoreUse]]/60</f>
        <v>#REF!</v>
      </c>
      <c r="CA38" s="10" t="e">
        <f>tbl_Case_mins[[#This Row],[Total_NonCore]]/60</f>
        <v>#REF!</v>
      </c>
      <c r="CB38" t="e" cm="1">
        <f t="array" ref="CB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 s="9" t="e" cm="1">
        <f t="array" ref="CC3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 s="9" t="e" cm="1">
        <f t="array" ref="CD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 s="9" t="e" cm="1">
        <f t="array" ref="CE3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 s="9" cm="1">
        <f t="array" ref="CF38">IFERROR(_xlfn.AGGREGATE(14,6,(tbl_Case_mins[Rank_AnaEnd])/((tbl_Case_mins[Surgery Start Date]=tbl_Case_mins[[#This Row],[Surgery Start Date]])*(tbl_Case_mins[Theatre]=tbl_Case_mins[[#This Row],[Theatre]])*(tbl_Case_mins[NoInCoreTime]=0)),1),-1)</f>
        <v>-1</v>
      </c>
      <c r="CG38" s="9" cm="1">
        <f t="array" ref="CG38">IFERROR(_xlfn.AGGREGATE(15,6,(tbl_Case_mins[Rank_AnaSt])/((tbl_Case_mins[Surgery Start Date]=tbl_Case_mins[[#This Row],[Surgery Start Date]])*(tbl_Case_mins[Theatre]=tbl_Case_mins[[#This Row],[Theatre]])*(tbl_Case_mins[NoInCoreTime]=0)),1),-1)</f>
        <v>-1</v>
      </c>
      <c r="CH3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 t="e" cm="1">
        <f t="array" ref="CJ3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 s="9" cm="1">
        <f t="array" ref="CO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 s="9" cm="1">
        <f t="array" ref="CP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 s="9" cm="1">
        <f t="array" ref="CQ38">IFERROR(IF(AND(tbl_Case_mins[[#This Row],[FirstAMCase]]=0,tbl_Case_mins[[#This Row],[Rank]]=_xlfn.AGGREGATE(14,6,(tbl_Case_mins[Rank])/((tbl_Case_mins[Surgery Start Date]=tbl_Case_mins[[#This Row],[Surgery Start Date]])*(tbl_Case_mins[Theatre]=tbl_Case_mins[[#This Row],[Theatre]])*(tbl_Case_mins[AmCase]=1)),1)),1,0),0)</f>
        <v>0</v>
      </c>
      <c r="CR38" s="9" cm="1">
        <f t="array" ref="CR3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 s="9" t="e" cm="1">
        <f t="array" ref="CS3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 s="9" cm="1">
        <f t="array" ref="CT38">IFERROR(IF(tbl_Case_mins[[#This Row],[Rank]]=_xlfn.AGGREGATE(15,6,(tbl_Case_mins[Rank])/((tbl_Case_mins[Surgery Start Date]=tbl_Case_mins[[#This Row],[Surgery Start Date]])*(tbl_Case_mins[Theatre]=tbl_Case_mins[[#This Row],[Theatre]])*(tbl_Case_mins[PmCase]=1)),1),1,0),0)</f>
        <v>0</v>
      </c>
      <c r="CU38">
        <f>IFERROR(#REF!,0)</f>
        <v>0</v>
      </c>
      <c r="CV38" s="9" t="e" cm="1">
        <f t="array" ref="CV3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 s="9">
        <f>IFERROR(IF(ISBLANK(INDEX(Bay_AmClose,MATCH(1,INDEX((tbl_Case_mins[[#This Row],[Bay]]=BayNo)*(tbl_Case_mins[[#This Row],[Surgery Start Date]]=BDate),0,1),0))*1440),0,INDEX(Bay_AmClose,MATCH(1,INDEX((tbl_Case_mins[[#This Row],[Bay]]=BayNo)*(tbl_Case_mins[[#This Row],[Surgery Start Date]]=BDate),0,1),0))*1440),0)</f>
        <v>0</v>
      </c>
      <c r="CX38" s="9" cm="1">
        <f t="array" ref="CX38">IFERROR(IF(ISBLANK(INDEX(Bay_PmOpen,MATCH(1,INDEX((tbl_Case_mins[[#This Row],[Bay]]=BayNo)*(tbl_Case_mins[[#This Row],[Surgery Start Date]]=BDate),0,1),0))*1440),0,INDEX(Bay_PmOpen,MATCH(1,INDEX((tbl_Case_mins[[#This Row],[Bay]]=BayNo)*(tbl_Case_mins[[#This Row],[Surgery Start Date]]=BDate),0,1),0))*1440),0)</f>
        <v>0</v>
      </c>
      <c r="CY3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 s="9"/>
    </row>
    <row r="39" spans="1:104" x14ac:dyDescent="0.2">
      <c r="A39">
        <v>38</v>
      </c>
      <c r="B39" t="e">
        <f>#REF!</f>
        <v>#REF!</v>
      </c>
      <c r="C39" t="e">
        <f>#REF!</f>
        <v>#REF!</v>
      </c>
      <c r="D39" t="e">
        <f>#REF!</f>
        <v>#REF!</v>
      </c>
      <c r="E39" t="e">
        <f>#REF!</f>
        <v>#REF!</v>
      </c>
      <c r="F39" t="e">
        <f>#REF!</f>
        <v>#REF!</v>
      </c>
      <c r="G39" t="e">
        <f>#REF!</f>
        <v>#REF!</v>
      </c>
      <c r="H39" t="e">
        <f>#REF!</f>
        <v>#REF!</v>
      </c>
      <c r="I39" t="e">
        <f>IF(#REF!="Case Cancelled",1,IF(#REF!="No Cases",2,0))</f>
        <v>#REF!</v>
      </c>
      <c r="J39" t="e">
        <f>#REF!</f>
        <v>#REF!</v>
      </c>
      <c r="K39" s="4" t="e">
        <f>#REF!</f>
        <v>#REF!</v>
      </c>
      <c r="L39" t="e">
        <f>"Wk "&amp;WEEKNUM(tbl_Case_mins[[#This Row],[Surgery Start Date]],21)</f>
        <v>#REF!</v>
      </c>
      <c r="M39" t="e">
        <f>TEXT(tbl_Case_mins[[#This Row],[Surgery Start Date]],"ddd")</f>
        <v>#REF!</v>
      </c>
      <c r="N39" s="9" t="e">
        <f>(#REF!-TIME(0,0,0))*1440</f>
        <v>#REF!</v>
      </c>
      <c r="O39" t="e">
        <f>IF(AND(ROUND((#REF!-TIME(0,0,0))*1440,0)&gt;0,ROUND((#REF!-TIME(0,0,0))*1440,0)&lt;tbl_Case_mins[[#This Row],[Patient Called]],tbl_Case_mins[[#This Row],[Surgery End Date]]&gt;tbl_Case_mins[[#This Row],[Surgery Start Date]]),ROUND((#REF!-TIME(0,0,0))*1440,0)+1440,ROUND((#REF!-TIME(0,0,0))*1440,0))</f>
        <v>#REF!</v>
      </c>
      <c r="P39" s="9" t="e">
        <f>IF(AND(ROUND((#REF!-TIME(0,0,0))*1440,0)&gt;0,ROUND((#REF!-TIME(0,0,0))*1440,0)&lt;tbl_Case_mins[[#This Row],[Arrival]],tbl_Case_mins[[#This Row],[Surgery End Date]]&gt;tbl_Case_mins[[#This Row],[Surgery Start Date]]),ROUND((#REF!-TIME(0,0,0))*1440,0)+1440,ROUND((#REF!-TIME(0,0,0))*1440,0))</f>
        <v>#REF!</v>
      </c>
      <c r="Q39" s="9" t="e">
        <f>IF(AND(ROUND((#REF!-TIME(0,0,0))*1440,0)&gt;0,ROUND((#REF!-TIME(0,0,0))*1440,0)&lt;tbl_Case_mins[[#This Row],[Into Th or AR]],tbl_Case_mins[[#This Row],[Surgery End Date]]&gt;tbl_Case_mins[[#This Row],[Surgery Start Date]]),ROUND((#REF!-TIME(0,0,0))*1440,0)+1440,ROUND((#REF!-TIME(0,0,0))*1440,0))</f>
        <v>#REF!</v>
      </c>
      <c r="R39" s="9" t="e">
        <f>IF(AND(ROUND((#REF!-TIME(0,0,0))*1440,0)&gt;0,ROUND((#REF!-TIME(0,0,0))*1440,0)&lt;tbl_Case_mins[[#This Row],[AnaesthStart]],tbl_Case_mins[[#This Row],[Surgery End Date]]&gt;tbl_Case_mins[[#This Row],[Surgery Start Date]]),ROUND((#REF!-TIME(0,0,0))*1440,0)+1440,ROUND((#REF!-TIME(0,0,0))*1440,0))</f>
        <v>#REF!</v>
      </c>
      <c r="S39" s="9" t="e">
        <f>IF(AND(ROUND((#REF!-TIME(0,0,0))*1440,0),ROUND((#REF!-TIME(0,0,0))*1440,0)&lt;tbl_Case_mins[[#This Row],[Surgery Start]],tbl_Case_mins[[#This Row],[Surgery End Date]]&gt;tbl_Case_mins[[#This Row],[Surgery Start Date]]),ROUND((#REF!-TIME(0,0,0))*1440,0)+1440,ROUND((#REF!-TIME(0,0,0))*1440,0))</f>
        <v>#REF!</v>
      </c>
      <c r="T39" s="9" t="e">
        <f>IF(AND(ROUND((#REF!-TIME(0,0,0))*1440,0)&gt;0,ROUND((#REF!-TIME(0,0,0))*1440,0)&lt;tbl_Case_mins[[#This Row],[Surgery Finish]],tbl_Case_mins[[#This Row],[Surgery End Date]]&gt;tbl_Case_mins[[#This Row],[Surgery Start Date]]),ROUND((#REF!-TIME(0,0,0))*1440,0)+1440,ROUND((#REF!-TIME(0,0,0))*1440,0))</f>
        <v>#REF!</v>
      </c>
      <c r="U39" s="9" t="e">
        <f>IF(AND(ROUND((#REF!-TIME(0,0,0))*1440,0)&gt;0,ROUND((#REF!-TIME(0,0,0))*1440,0)&lt;tbl_Case_mins[[#This Row],[Anaesth End]],tbl_Case_mins[[#This Row],[Surgery End Date]]&gt;tbl_Case_mins[[#This Row],[Surgery Start Date]]),ROUND((#REF!-TIME(0,0,0))*1440,0)+1440,ROUND((#REF!-TIME(0,0,0))*1440,0))</f>
        <v>#REF!</v>
      </c>
      <c r="V39" s="9" t="e">
        <f>IF(AND(ROUND((#REF!-TIME(0,0,0))*1440,0)&gt;0,ROUND((#REF!-TIME(0,0,0))*1440,0)&lt;tbl_Case_mins[[#This Row],[Into Recov]],tbl_Case_mins[[#This Row],[Surgery End Date]]&gt;tbl_Case_mins[[#This Row],[Surgery Start Date]]),ROUND((#REF!-TIME(0,0,0))*1440,0)+1440,ROUND((#REF!-TIME(0,0,0))*1440,0))</f>
        <v>#REF!</v>
      </c>
      <c r="W39" s="9" t="e">
        <f>IF(AND(ROUND((#REF!-TIME(0,0,0))*1440,0)&gt;0,ROUND((#REF!-TIME(0,0,0))*1440,0)&lt;tbl_Case_mins[[#This Row],[Ward Called]],tbl_Case_mins[[#This Row],[Surgery End Date]]&gt;tbl_Case_mins[[#This Row],[Surgery Start Date]]),ROUND((#REF!-TIME(0,0,0))*1440,0)+1440,ROUND((#REF!-TIME(0,0,0))*1440,0))</f>
        <v>#REF!</v>
      </c>
      <c r="X39" s="4" t="e">
        <f>IF(ISBLANK(#REF!),tbl_Case_mins[[#This Row],[Surgery Start Date]],#REF!)</f>
        <v>#REF!</v>
      </c>
      <c r="Y39">
        <f>IFERROR(IF(VLOOKUP(tbl_Case_mins[[#This Row],[Theatre]],'Mng Theatres'!$C$7:$G$12,3,FALSE)="Yes","Yes","No"),0)</f>
        <v>0</v>
      </c>
      <c r="Z39" s="9" t="e" cm="1">
        <f t="array" ref="Z3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 s="9" t="e" cm="1">
        <f t="array" ref="AA3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 s="9" t="e">
        <f>IF(tbl_Case_mins[[#This Row],[Case Type]]="Unsch",1,0)</f>
        <v>#REF!</v>
      </c>
      <c r="AD39" s="9" t="e">
        <f>IF(tbl_Case_mins[[#This Row],[Case Type]]="Sch",1,0)</f>
        <v>#REF!</v>
      </c>
      <c r="AE3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 s="9">
        <f>IFERROR(IF(ISBLANK(INDEX(Am_Close,MATCH(1,INDEX((tbl_Case_mins[[#This Row],[Theatre]]=Theatre_No)*(tbl_Case_mins[[#This Row],[Surgery Start Date]]=Date),0,1),0))*1440),0,INDEX(Am_Close,MATCH(1,INDEX((tbl_Case_mins[[#This Row],[Theatre]]=Theatre_No)*(tbl_Case_mins[[#This Row],[Surgery Start Date]]=Date),0,1),0))*1440),0)</f>
        <v>0</v>
      </c>
      <c r="AG39" s="9">
        <f>IFERROR(IF(ISBLANK(INDEX(PM_Open,MATCH(1,INDEX((tbl_Case_mins[[#This Row],[Theatre]]=Theatre_No)*(tbl_Case_mins[[#This Row],[Surgery Start Date]]=Date),0,1),0))*1440),0,INDEX(PM_Open,MATCH(1,INDEX((tbl_Case_mins[[#This Row],[Theatre]]=Theatre_No)*(tbl_Case_mins[[#This Row],[Surgery Start Date]]=Date),0,1),0))*1440),0)</f>
        <v>0</v>
      </c>
      <c r="AH3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 s="9" t="e">
        <f>IF(tbl_Case_mins[[#This Row],[ThOpenAm]]=0,tbl_Case_mins[[#This Row],[ThOpenPM]],tbl_Case_mins[[#This Row],[ThOpenAm]])</f>
        <v>#REF!</v>
      </c>
      <c r="AJ39" s="9" t="e">
        <f>IF(tbl_Case_mins[[#This Row],[ThCloseAm]]&gt;0,IF(tbl_Case_mins[[#This Row],[ThOpenPM]]&gt;0,tbl_Case_mins[[#This Row],[ThClosePm]],tbl_Case_mins[[#This Row],[ThCloseAm]]),tbl_Case_mins[[#This Row],[ThClosePm]])</f>
        <v>#REF!</v>
      </c>
      <c r="AK39" s="9" t="e">
        <f>IF(tbl_Case_mins[[#This Row],[TOT]]&gt;0,1,0)</f>
        <v>#REF!</v>
      </c>
      <c r="AL3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 s="9" t="e">
        <f>IF(AND(tbl_Case_mins[[#This Row],[Surgery Status]]&lt;&gt;2,tbl_Case_mins[[#This Row],[InCoreCase]]=0,tbl_Case_mins[[#This Row],[CancelledCase]]=0),1,0)</f>
        <v>#REF!</v>
      </c>
      <c r="AN39" s="9" t="e">
        <f>IF(tbl_Case_mins[[#This Row],[Surgery Status]]=1,1,0)</f>
        <v>#REF!</v>
      </c>
      <c r="AO3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 s="9" t="e">
        <f>IF(AND(tbl_Case_mins[[#This Row],[NonCoreCase]]=1,tbl_Case_mins[[#This Row],[NoInCoreTime]]=0),1,0)</f>
        <v>#REF!</v>
      </c>
      <c r="AQ39" s="9" t="e">
        <f>IF(tbl_Case_mins[[#This Row],[Rank_AnaEnd]]&lt;tbl_Case_mins[[#This Row],[Rank_AnaSt]],1,0)</f>
        <v>#REF!</v>
      </c>
      <c r="AR39" s="9" t="e">
        <f>IF(AND(tbl_Case_mins[[#This Row],[InCoreCase]]=1,tbl_Case_mins[[#This Row],[Sch]]=1),1,0)</f>
        <v>#REF!</v>
      </c>
      <c r="AS39" s="9" t="e">
        <f>IF(AND(tbl_Case_mins[[#This Row],[InCoreCase]]=1,tbl_Case_mins[[#This Row],[Unsch]]=1),1,0)</f>
        <v>#REF!</v>
      </c>
      <c r="AT3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 s="9" t="e">
        <f>IF(tbl_Case_mins[[#This Row],[Surgery Status]]=0,(tbl_Case_mins[[#This Row],[Anaesth End]]-tbl_Case_mins[[#This Row],[AnaesthStart]]),0)</f>
        <v>#REF!</v>
      </c>
      <c r="AX39" s="9" t="e">
        <f>IF(tbl_Case_mins[[#This Row],[Surgery Status]]=0,(tbl_Case_mins[[#This Row],[Surgery Finish]]-tbl_Case_mins[[#This Row],[Surgery Start]]),0)</f>
        <v>#REF!</v>
      </c>
      <c r="AY39" s="9" t="e">
        <f>tbl_Case_mins[[#This Row],[Surgery Start]]-tbl_Case_mins[[#This Row],[AnaesthStart]]</f>
        <v>#REF!</v>
      </c>
      <c r="AZ39" s="9" t="e">
        <f>tbl_Case_mins[[#This Row],[Anaesth End]]-tbl_Case_mins[[#This Row],[Surgery Finish]]</f>
        <v>#REF!</v>
      </c>
      <c r="BA3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 s="16" cm="1">
        <f t="array" ref="BC3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 s="16" t="e">
        <f>IF(AND(tbl_Case_mins[[#This Row],[FirstAMCase]]=1,tbl_Case_mins[[#This Row],[CancelledCase]]=0,OR(tbl_Case_mins[[#This Row],[EarlyStartAM]]&gt;0,tbl_Case_mins[[#This Row],[AnaesthStart]]=tbl_Case_mins[[#This Row],[ThOpenAm]])),1,0)</f>
        <v>#REF!</v>
      </c>
      <c r="BE39" s="16" t="e">
        <f>IF(AND(tbl_Case_mins[[#This Row],[Rank_AnaSt]]=tbl_Case_mins[[#This Row],[Min_RankAnaSt]],tbl_Case_mins[[#This Row],[Anaesth End]]&gt;=tbl_Case_mins[[#This Row],[ThOpenAm]],tbl_Case_mins[[#This Row],[PmCase]]=0),1,0)</f>
        <v>#REF!</v>
      </c>
      <c r="BF3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 s="9" t="e" cm="1">
        <f t="array" ref="BH3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 s="9" t="e">
        <f>IF(AND(tbl_Case_mins[[#This Row],[ThOpenPM]]&gt;0,tbl_Case_mins[[#This Row],[AnaesthStart]]&gt;tbl_Case_mins[[#This Row],[ThOpenPM]],tbl_Case_mins[[#This Row],[First PM Case]]=1),tbl_Case_mins[[#This Row],[AnaesthStart]]-tbl_Case_mins[[#This Row],[ThOpenPM]],0)</f>
        <v>#REF!</v>
      </c>
      <c r="BL3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 s="9" t="e" cm="1">
        <f t="array" ref="BN3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 s="9" t="e">
        <f>IF(AND(tbl_Case_mins[[#This Row],[ThClosePm]]&gt;0,tbl_Case_mins[[#This Row],[Anaesth End]]&gt;tbl_Case_mins[[#This Row],[ThClosePm]],tbl_Case_mins[[#This Row],[AnaesthStart]]&gt;tbl_Case_mins[[#This Row],[ThClosePm]]),tbl_Case_mins[[#This Row],[Into Recov]]-tbl_Case_mins[[#This Row],[AnaesthStart]],0)</f>
        <v>#REF!</v>
      </c>
      <c r="BP39" s="9" t="e">
        <f>IF(AND(tbl_Case_mins[[#This Row],[AnaesthStart]]&lt;tbl_Case_mins[[#This Row],[ThClosePm]],tbl_Case_mins[[#This Row],[Anaesth End]]&gt;tbl_Case_mins[[#This Row],[ThClosePm]]),tbl_Case_mins[[#This Row],[Anaesth End]]-tbl_Case_mins[[#This Row],[ThClosePm]],0)</f>
        <v>#REF!</v>
      </c>
      <c r="BQ39" s="9" t="e" cm="1">
        <f t="array" ref="BQ3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 s="9" t="e" cm="1">
        <f t="array" ref="BR39">IF(tbl_Case_mins[[#This Row],[Rank_Adjust]]=SUMPRODUCT(-(tbl_Case_mins[Surgery Start Date]=tbl_Case_mins[[#This Row],[Surgery Start Date]]),-(tbl_Case_mins[Theatre]=tbl_Case_mins[[#This Row],[Theatre]])),INDEX(Poss_Time,MATCH(TEXT(tbl_Case_mins[[#This Row],[Surgery Start Date]],"ddd"),Day,0)),0)</f>
        <v>#REF!</v>
      </c>
      <c r="BS39" s="9" t="e">
        <f>tbl_Case_mins[[#This Row],[Core_Time]]*Util_Goal</f>
        <v>#REF!</v>
      </c>
      <c r="BT39" s="9" t="e" cm="1">
        <f t="array" ref="BT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 s="9" t="e" cm="1">
        <f t="array" ref="BU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 s="9" t="e">
        <f>IF(tbl_Case_mins[[#This Row],[Surgery End Date]]&gt;tbl_Case_mins[[#This Row],[Surgery Start Date]],tbl_Case_mins[[#This Row],[Anaesth End]]-1440,0)</f>
        <v>#REF!</v>
      </c>
      <c r="BY39" s="9" t="e">
        <f>tbl_Case_mins[[#This Row],[Total_NonCore]]-tbl_Case_mins[[#This Row],[NextDay_NonCore]]</f>
        <v>#REF!</v>
      </c>
      <c r="BZ39" s="10" t="e">
        <f>tbl_Case_mins[[#This Row],[InCoreUse]]/60</f>
        <v>#REF!</v>
      </c>
      <c r="CA39" s="10" t="e">
        <f>tbl_Case_mins[[#This Row],[Total_NonCore]]/60</f>
        <v>#REF!</v>
      </c>
      <c r="CB39" t="e" cm="1">
        <f t="array" ref="CB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 s="9" t="e" cm="1">
        <f t="array" ref="CC3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 s="9" t="e" cm="1">
        <f t="array" ref="CD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 s="9" t="e" cm="1">
        <f t="array" ref="CE3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 s="9" cm="1">
        <f t="array" ref="CF39">IFERROR(_xlfn.AGGREGATE(14,6,(tbl_Case_mins[Rank_AnaEnd])/((tbl_Case_mins[Surgery Start Date]=tbl_Case_mins[[#This Row],[Surgery Start Date]])*(tbl_Case_mins[Theatre]=tbl_Case_mins[[#This Row],[Theatre]])*(tbl_Case_mins[NoInCoreTime]=0)),1),-1)</f>
        <v>-1</v>
      </c>
      <c r="CG39" s="9" cm="1">
        <f t="array" ref="CG39">IFERROR(_xlfn.AGGREGATE(15,6,(tbl_Case_mins[Rank_AnaSt])/((tbl_Case_mins[Surgery Start Date]=tbl_Case_mins[[#This Row],[Surgery Start Date]])*(tbl_Case_mins[Theatre]=tbl_Case_mins[[#This Row],[Theatre]])*(tbl_Case_mins[NoInCoreTime]=0)),1),-1)</f>
        <v>-1</v>
      </c>
      <c r="CH3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 t="e" cm="1">
        <f t="array" ref="CJ3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 s="9" cm="1">
        <f t="array" ref="CO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 s="9" cm="1">
        <f t="array" ref="CP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 s="9" cm="1">
        <f t="array" ref="CQ39">IFERROR(IF(AND(tbl_Case_mins[[#This Row],[FirstAMCase]]=0,tbl_Case_mins[[#This Row],[Rank]]=_xlfn.AGGREGATE(14,6,(tbl_Case_mins[Rank])/((tbl_Case_mins[Surgery Start Date]=tbl_Case_mins[[#This Row],[Surgery Start Date]])*(tbl_Case_mins[Theatre]=tbl_Case_mins[[#This Row],[Theatre]])*(tbl_Case_mins[AmCase]=1)),1)),1,0),0)</f>
        <v>0</v>
      </c>
      <c r="CR39" s="9" cm="1">
        <f t="array" ref="CR3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 s="9" t="e" cm="1">
        <f t="array" ref="CS3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 s="9" cm="1">
        <f t="array" ref="CT39">IFERROR(IF(tbl_Case_mins[[#This Row],[Rank]]=_xlfn.AGGREGATE(15,6,(tbl_Case_mins[Rank])/((tbl_Case_mins[Surgery Start Date]=tbl_Case_mins[[#This Row],[Surgery Start Date]])*(tbl_Case_mins[Theatre]=tbl_Case_mins[[#This Row],[Theatre]])*(tbl_Case_mins[PmCase]=1)),1),1,0),0)</f>
        <v>0</v>
      </c>
      <c r="CU39">
        <f>IFERROR(#REF!,0)</f>
        <v>0</v>
      </c>
      <c r="CV39" s="9" t="e" cm="1">
        <f t="array" ref="CV3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 s="9">
        <f>IFERROR(IF(ISBLANK(INDEX(Bay_AmClose,MATCH(1,INDEX((tbl_Case_mins[[#This Row],[Bay]]=BayNo)*(tbl_Case_mins[[#This Row],[Surgery Start Date]]=BDate),0,1),0))*1440),0,INDEX(Bay_AmClose,MATCH(1,INDEX((tbl_Case_mins[[#This Row],[Bay]]=BayNo)*(tbl_Case_mins[[#This Row],[Surgery Start Date]]=BDate),0,1),0))*1440),0)</f>
        <v>0</v>
      </c>
      <c r="CX39" s="9" cm="1">
        <f t="array" ref="CX39">IFERROR(IF(ISBLANK(INDEX(Bay_PmOpen,MATCH(1,INDEX((tbl_Case_mins[[#This Row],[Bay]]=BayNo)*(tbl_Case_mins[[#This Row],[Surgery Start Date]]=BDate),0,1),0))*1440),0,INDEX(Bay_PmOpen,MATCH(1,INDEX((tbl_Case_mins[[#This Row],[Bay]]=BayNo)*(tbl_Case_mins[[#This Row],[Surgery Start Date]]=BDate),0,1),0))*1440),0)</f>
        <v>0</v>
      </c>
      <c r="CY3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 s="9"/>
    </row>
    <row r="40" spans="1:104" x14ac:dyDescent="0.2">
      <c r="A40">
        <v>39</v>
      </c>
      <c r="B40" t="e">
        <f>#REF!</f>
        <v>#REF!</v>
      </c>
      <c r="C40" t="e">
        <f>#REF!</f>
        <v>#REF!</v>
      </c>
      <c r="D40" t="e">
        <f>#REF!</f>
        <v>#REF!</v>
      </c>
      <c r="E40" t="e">
        <f>#REF!</f>
        <v>#REF!</v>
      </c>
      <c r="F40" t="e">
        <f>#REF!</f>
        <v>#REF!</v>
      </c>
      <c r="G40" t="e">
        <f>#REF!</f>
        <v>#REF!</v>
      </c>
      <c r="H40" t="e">
        <f>#REF!</f>
        <v>#REF!</v>
      </c>
      <c r="I40" t="e">
        <f>IF(#REF!="Case Cancelled",1,IF(#REF!="No Cases",2,0))</f>
        <v>#REF!</v>
      </c>
      <c r="J40" t="e">
        <f>#REF!</f>
        <v>#REF!</v>
      </c>
      <c r="K40" s="4" t="e">
        <f>#REF!</f>
        <v>#REF!</v>
      </c>
      <c r="L40" t="e">
        <f>"Wk "&amp;WEEKNUM(tbl_Case_mins[[#This Row],[Surgery Start Date]],21)</f>
        <v>#REF!</v>
      </c>
      <c r="M40" t="e">
        <f>TEXT(tbl_Case_mins[[#This Row],[Surgery Start Date]],"ddd")</f>
        <v>#REF!</v>
      </c>
      <c r="N40" s="9" t="e">
        <f>(#REF!-TIME(0,0,0))*1440</f>
        <v>#REF!</v>
      </c>
      <c r="O40" t="e">
        <f>IF(AND(ROUND((#REF!-TIME(0,0,0))*1440,0)&gt;0,ROUND((#REF!-TIME(0,0,0))*1440,0)&lt;tbl_Case_mins[[#This Row],[Patient Called]],tbl_Case_mins[[#This Row],[Surgery End Date]]&gt;tbl_Case_mins[[#This Row],[Surgery Start Date]]),ROUND((#REF!-TIME(0,0,0))*1440,0)+1440,ROUND((#REF!-TIME(0,0,0))*1440,0))</f>
        <v>#REF!</v>
      </c>
      <c r="P40" s="9" t="e">
        <f>IF(AND(ROUND((#REF!-TIME(0,0,0))*1440,0)&gt;0,ROUND((#REF!-TIME(0,0,0))*1440,0)&lt;tbl_Case_mins[[#This Row],[Arrival]],tbl_Case_mins[[#This Row],[Surgery End Date]]&gt;tbl_Case_mins[[#This Row],[Surgery Start Date]]),ROUND((#REF!-TIME(0,0,0))*1440,0)+1440,ROUND((#REF!-TIME(0,0,0))*1440,0))</f>
        <v>#REF!</v>
      </c>
      <c r="Q40" s="9" t="e">
        <f>IF(AND(ROUND((#REF!-TIME(0,0,0))*1440,0)&gt;0,ROUND((#REF!-TIME(0,0,0))*1440,0)&lt;tbl_Case_mins[[#This Row],[Into Th or AR]],tbl_Case_mins[[#This Row],[Surgery End Date]]&gt;tbl_Case_mins[[#This Row],[Surgery Start Date]]),ROUND((#REF!-TIME(0,0,0))*1440,0)+1440,ROUND((#REF!-TIME(0,0,0))*1440,0))</f>
        <v>#REF!</v>
      </c>
      <c r="R40" s="9" t="e">
        <f>IF(AND(ROUND((#REF!-TIME(0,0,0))*1440,0)&gt;0,ROUND((#REF!-TIME(0,0,0))*1440,0)&lt;tbl_Case_mins[[#This Row],[AnaesthStart]],tbl_Case_mins[[#This Row],[Surgery End Date]]&gt;tbl_Case_mins[[#This Row],[Surgery Start Date]]),ROUND((#REF!-TIME(0,0,0))*1440,0)+1440,ROUND((#REF!-TIME(0,0,0))*1440,0))</f>
        <v>#REF!</v>
      </c>
      <c r="S40" s="9" t="e">
        <f>IF(AND(ROUND((#REF!-TIME(0,0,0))*1440,0),ROUND((#REF!-TIME(0,0,0))*1440,0)&lt;tbl_Case_mins[[#This Row],[Surgery Start]],tbl_Case_mins[[#This Row],[Surgery End Date]]&gt;tbl_Case_mins[[#This Row],[Surgery Start Date]]),ROUND((#REF!-TIME(0,0,0))*1440,0)+1440,ROUND((#REF!-TIME(0,0,0))*1440,0))</f>
        <v>#REF!</v>
      </c>
      <c r="T40" s="9" t="e">
        <f>IF(AND(ROUND((#REF!-TIME(0,0,0))*1440,0)&gt;0,ROUND((#REF!-TIME(0,0,0))*1440,0)&lt;tbl_Case_mins[[#This Row],[Surgery Finish]],tbl_Case_mins[[#This Row],[Surgery End Date]]&gt;tbl_Case_mins[[#This Row],[Surgery Start Date]]),ROUND((#REF!-TIME(0,0,0))*1440,0)+1440,ROUND((#REF!-TIME(0,0,0))*1440,0))</f>
        <v>#REF!</v>
      </c>
      <c r="U40" s="9" t="e">
        <f>IF(AND(ROUND((#REF!-TIME(0,0,0))*1440,0)&gt;0,ROUND((#REF!-TIME(0,0,0))*1440,0)&lt;tbl_Case_mins[[#This Row],[Anaesth End]],tbl_Case_mins[[#This Row],[Surgery End Date]]&gt;tbl_Case_mins[[#This Row],[Surgery Start Date]]),ROUND((#REF!-TIME(0,0,0))*1440,0)+1440,ROUND((#REF!-TIME(0,0,0))*1440,0))</f>
        <v>#REF!</v>
      </c>
      <c r="V40" s="9" t="e">
        <f>IF(AND(ROUND((#REF!-TIME(0,0,0))*1440,0)&gt;0,ROUND((#REF!-TIME(0,0,0))*1440,0)&lt;tbl_Case_mins[[#This Row],[Into Recov]],tbl_Case_mins[[#This Row],[Surgery End Date]]&gt;tbl_Case_mins[[#This Row],[Surgery Start Date]]),ROUND((#REF!-TIME(0,0,0))*1440,0)+1440,ROUND((#REF!-TIME(0,0,0))*1440,0))</f>
        <v>#REF!</v>
      </c>
      <c r="W40" s="9" t="e">
        <f>IF(AND(ROUND((#REF!-TIME(0,0,0))*1440,0)&gt;0,ROUND((#REF!-TIME(0,0,0))*1440,0)&lt;tbl_Case_mins[[#This Row],[Ward Called]],tbl_Case_mins[[#This Row],[Surgery End Date]]&gt;tbl_Case_mins[[#This Row],[Surgery Start Date]]),ROUND((#REF!-TIME(0,0,0))*1440,0)+1440,ROUND((#REF!-TIME(0,0,0))*1440,0))</f>
        <v>#REF!</v>
      </c>
      <c r="X40" s="4" t="e">
        <f>IF(ISBLANK(#REF!),tbl_Case_mins[[#This Row],[Surgery Start Date]],#REF!)</f>
        <v>#REF!</v>
      </c>
      <c r="Y40">
        <f>IFERROR(IF(VLOOKUP(tbl_Case_mins[[#This Row],[Theatre]],'Mng Theatres'!$C$7:$G$12,3,FALSE)="Yes","Yes","No"),0)</f>
        <v>0</v>
      </c>
      <c r="Z40" s="9" t="e" cm="1">
        <f t="array" ref="Z4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 s="9" t="e" cm="1">
        <f t="array" ref="AA4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 s="9" t="e">
        <f>IF(tbl_Case_mins[[#This Row],[Case Type]]="Unsch",1,0)</f>
        <v>#REF!</v>
      </c>
      <c r="AD40" s="9" t="e">
        <f>IF(tbl_Case_mins[[#This Row],[Case Type]]="Sch",1,0)</f>
        <v>#REF!</v>
      </c>
      <c r="AE4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 s="9">
        <f>IFERROR(IF(ISBLANK(INDEX(Am_Close,MATCH(1,INDEX((tbl_Case_mins[[#This Row],[Theatre]]=Theatre_No)*(tbl_Case_mins[[#This Row],[Surgery Start Date]]=Date),0,1),0))*1440),0,INDEX(Am_Close,MATCH(1,INDEX((tbl_Case_mins[[#This Row],[Theatre]]=Theatre_No)*(tbl_Case_mins[[#This Row],[Surgery Start Date]]=Date),0,1),0))*1440),0)</f>
        <v>0</v>
      </c>
      <c r="AG40" s="9">
        <f>IFERROR(IF(ISBLANK(INDEX(PM_Open,MATCH(1,INDEX((tbl_Case_mins[[#This Row],[Theatre]]=Theatre_No)*(tbl_Case_mins[[#This Row],[Surgery Start Date]]=Date),0,1),0))*1440),0,INDEX(PM_Open,MATCH(1,INDEX((tbl_Case_mins[[#This Row],[Theatre]]=Theatre_No)*(tbl_Case_mins[[#This Row],[Surgery Start Date]]=Date),0,1),0))*1440),0)</f>
        <v>0</v>
      </c>
      <c r="AH4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 s="9" t="e">
        <f>IF(tbl_Case_mins[[#This Row],[ThOpenAm]]=0,tbl_Case_mins[[#This Row],[ThOpenPM]],tbl_Case_mins[[#This Row],[ThOpenAm]])</f>
        <v>#REF!</v>
      </c>
      <c r="AJ40" s="9" t="e">
        <f>IF(tbl_Case_mins[[#This Row],[ThCloseAm]]&gt;0,IF(tbl_Case_mins[[#This Row],[ThOpenPM]]&gt;0,tbl_Case_mins[[#This Row],[ThClosePm]],tbl_Case_mins[[#This Row],[ThCloseAm]]),tbl_Case_mins[[#This Row],[ThClosePm]])</f>
        <v>#REF!</v>
      </c>
      <c r="AK40" s="9" t="e">
        <f>IF(tbl_Case_mins[[#This Row],[TOT]]&gt;0,1,0)</f>
        <v>#REF!</v>
      </c>
      <c r="AL4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 s="9" t="e">
        <f>IF(AND(tbl_Case_mins[[#This Row],[Surgery Status]]&lt;&gt;2,tbl_Case_mins[[#This Row],[InCoreCase]]=0,tbl_Case_mins[[#This Row],[CancelledCase]]=0),1,0)</f>
        <v>#REF!</v>
      </c>
      <c r="AN40" s="9" t="e">
        <f>IF(tbl_Case_mins[[#This Row],[Surgery Status]]=1,1,0)</f>
        <v>#REF!</v>
      </c>
      <c r="AO4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 s="9" t="e">
        <f>IF(AND(tbl_Case_mins[[#This Row],[NonCoreCase]]=1,tbl_Case_mins[[#This Row],[NoInCoreTime]]=0),1,0)</f>
        <v>#REF!</v>
      </c>
      <c r="AQ40" s="9" t="e">
        <f>IF(tbl_Case_mins[[#This Row],[Rank_AnaEnd]]&lt;tbl_Case_mins[[#This Row],[Rank_AnaSt]],1,0)</f>
        <v>#REF!</v>
      </c>
      <c r="AR40" s="9" t="e">
        <f>IF(AND(tbl_Case_mins[[#This Row],[InCoreCase]]=1,tbl_Case_mins[[#This Row],[Sch]]=1),1,0)</f>
        <v>#REF!</v>
      </c>
      <c r="AS40" s="9" t="e">
        <f>IF(AND(tbl_Case_mins[[#This Row],[InCoreCase]]=1,tbl_Case_mins[[#This Row],[Unsch]]=1),1,0)</f>
        <v>#REF!</v>
      </c>
      <c r="AT4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 s="9" t="e">
        <f>IF(tbl_Case_mins[[#This Row],[Surgery Status]]=0,(tbl_Case_mins[[#This Row],[Anaesth End]]-tbl_Case_mins[[#This Row],[AnaesthStart]]),0)</f>
        <v>#REF!</v>
      </c>
      <c r="AX40" s="9" t="e">
        <f>IF(tbl_Case_mins[[#This Row],[Surgery Status]]=0,(tbl_Case_mins[[#This Row],[Surgery Finish]]-tbl_Case_mins[[#This Row],[Surgery Start]]),0)</f>
        <v>#REF!</v>
      </c>
      <c r="AY40" s="9" t="e">
        <f>tbl_Case_mins[[#This Row],[Surgery Start]]-tbl_Case_mins[[#This Row],[AnaesthStart]]</f>
        <v>#REF!</v>
      </c>
      <c r="AZ40" s="9" t="e">
        <f>tbl_Case_mins[[#This Row],[Anaesth End]]-tbl_Case_mins[[#This Row],[Surgery Finish]]</f>
        <v>#REF!</v>
      </c>
      <c r="BA4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 s="16" cm="1">
        <f t="array" ref="BC4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 s="16" t="e">
        <f>IF(AND(tbl_Case_mins[[#This Row],[FirstAMCase]]=1,tbl_Case_mins[[#This Row],[CancelledCase]]=0,OR(tbl_Case_mins[[#This Row],[EarlyStartAM]]&gt;0,tbl_Case_mins[[#This Row],[AnaesthStart]]=tbl_Case_mins[[#This Row],[ThOpenAm]])),1,0)</f>
        <v>#REF!</v>
      </c>
      <c r="BE40" s="16" t="e">
        <f>IF(AND(tbl_Case_mins[[#This Row],[Rank_AnaSt]]=tbl_Case_mins[[#This Row],[Min_RankAnaSt]],tbl_Case_mins[[#This Row],[Anaesth End]]&gt;=tbl_Case_mins[[#This Row],[ThOpenAm]],tbl_Case_mins[[#This Row],[PmCase]]=0),1,0)</f>
        <v>#REF!</v>
      </c>
      <c r="BF4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 s="9" t="e" cm="1">
        <f t="array" ref="BH4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 s="9" t="e">
        <f>IF(AND(tbl_Case_mins[[#This Row],[ThOpenPM]]&gt;0,tbl_Case_mins[[#This Row],[AnaesthStart]]&gt;tbl_Case_mins[[#This Row],[ThOpenPM]],tbl_Case_mins[[#This Row],[First PM Case]]=1),tbl_Case_mins[[#This Row],[AnaesthStart]]-tbl_Case_mins[[#This Row],[ThOpenPM]],0)</f>
        <v>#REF!</v>
      </c>
      <c r="BL4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 s="9" t="e" cm="1">
        <f t="array" ref="BN4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 s="9" t="e">
        <f>IF(AND(tbl_Case_mins[[#This Row],[ThClosePm]]&gt;0,tbl_Case_mins[[#This Row],[Anaesth End]]&gt;tbl_Case_mins[[#This Row],[ThClosePm]],tbl_Case_mins[[#This Row],[AnaesthStart]]&gt;tbl_Case_mins[[#This Row],[ThClosePm]]),tbl_Case_mins[[#This Row],[Into Recov]]-tbl_Case_mins[[#This Row],[AnaesthStart]],0)</f>
        <v>#REF!</v>
      </c>
      <c r="BP40" s="9" t="e">
        <f>IF(AND(tbl_Case_mins[[#This Row],[AnaesthStart]]&lt;tbl_Case_mins[[#This Row],[ThClosePm]],tbl_Case_mins[[#This Row],[Anaesth End]]&gt;tbl_Case_mins[[#This Row],[ThClosePm]]),tbl_Case_mins[[#This Row],[Anaesth End]]-tbl_Case_mins[[#This Row],[ThClosePm]],0)</f>
        <v>#REF!</v>
      </c>
      <c r="BQ40" s="9" t="e" cm="1">
        <f t="array" ref="BQ4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 s="9" t="e" cm="1">
        <f t="array" ref="BR40">IF(tbl_Case_mins[[#This Row],[Rank_Adjust]]=SUMPRODUCT(-(tbl_Case_mins[Surgery Start Date]=tbl_Case_mins[[#This Row],[Surgery Start Date]]),-(tbl_Case_mins[Theatre]=tbl_Case_mins[[#This Row],[Theatre]])),INDEX(Poss_Time,MATCH(TEXT(tbl_Case_mins[[#This Row],[Surgery Start Date]],"ddd"),Day,0)),0)</f>
        <v>#REF!</v>
      </c>
      <c r="BS40" s="9" t="e">
        <f>tbl_Case_mins[[#This Row],[Core_Time]]*Util_Goal</f>
        <v>#REF!</v>
      </c>
      <c r="BT40" s="9" t="e" cm="1">
        <f t="array" ref="BT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 s="9" t="e" cm="1">
        <f t="array" ref="BU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 s="9" t="e">
        <f>IF(tbl_Case_mins[[#This Row],[Surgery End Date]]&gt;tbl_Case_mins[[#This Row],[Surgery Start Date]],tbl_Case_mins[[#This Row],[Anaesth End]]-1440,0)</f>
        <v>#REF!</v>
      </c>
      <c r="BY40" s="9" t="e">
        <f>tbl_Case_mins[[#This Row],[Total_NonCore]]-tbl_Case_mins[[#This Row],[NextDay_NonCore]]</f>
        <v>#REF!</v>
      </c>
      <c r="BZ40" s="10" t="e">
        <f>tbl_Case_mins[[#This Row],[InCoreUse]]/60</f>
        <v>#REF!</v>
      </c>
      <c r="CA40" s="10" t="e">
        <f>tbl_Case_mins[[#This Row],[Total_NonCore]]/60</f>
        <v>#REF!</v>
      </c>
      <c r="CB40" t="e" cm="1">
        <f t="array" ref="CB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 s="9" t="e" cm="1">
        <f t="array" ref="CC4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 s="9" t="e" cm="1">
        <f t="array" ref="CD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 s="9" t="e" cm="1">
        <f t="array" ref="CE4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 s="9" cm="1">
        <f t="array" ref="CF40">IFERROR(_xlfn.AGGREGATE(14,6,(tbl_Case_mins[Rank_AnaEnd])/((tbl_Case_mins[Surgery Start Date]=tbl_Case_mins[[#This Row],[Surgery Start Date]])*(tbl_Case_mins[Theatre]=tbl_Case_mins[[#This Row],[Theatre]])*(tbl_Case_mins[NoInCoreTime]=0)),1),-1)</f>
        <v>-1</v>
      </c>
      <c r="CG40" s="9" cm="1">
        <f t="array" ref="CG40">IFERROR(_xlfn.AGGREGATE(15,6,(tbl_Case_mins[Rank_AnaSt])/((tbl_Case_mins[Surgery Start Date]=tbl_Case_mins[[#This Row],[Surgery Start Date]])*(tbl_Case_mins[Theatre]=tbl_Case_mins[[#This Row],[Theatre]])*(tbl_Case_mins[NoInCoreTime]=0)),1),-1)</f>
        <v>-1</v>
      </c>
      <c r="CH4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 t="e" cm="1">
        <f t="array" ref="CJ4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 s="9" cm="1">
        <f t="array" ref="CO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 s="9" cm="1">
        <f t="array" ref="CP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 s="9" cm="1">
        <f t="array" ref="CQ40">IFERROR(IF(AND(tbl_Case_mins[[#This Row],[FirstAMCase]]=0,tbl_Case_mins[[#This Row],[Rank]]=_xlfn.AGGREGATE(14,6,(tbl_Case_mins[Rank])/((tbl_Case_mins[Surgery Start Date]=tbl_Case_mins[[#This Row],[Surgery Start Date]])*(tbl_Case_mins[Theatre]=tbl_Case_mins[[#This Row],[Theatre]])*(tbl_Case_mins[AmCase]=1)),1)),1,0),0)</f>
        <v>0</v>
      </c>
      <c r="CR40" s="9" cm="1">
        <f t="array" ref="CR4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 s="9" t="e" cm="1">
        <f t="array" ref="CS4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 s="9" cm="1">
        <f t="array" ref="CT40">IFERROR(IF(tbl_Case_mins[[#This Row],[Rank]]=_xlfn.AGGREGATE(15,6,(tbl_Case_mins[Rank])/((tbl_Case_mins[Surgery Start Date]=tbl_Case_mins[[#This Row],[Surgery Start Date]])*(tbl_Case_mins[Theatre]=tbl_Case_mins[[#This Row],[Theatre]])*(tbl_Case_mins[PmCase]=1)),1),1,0),0)</f>
        <v>0</v>
      </c>
      <c r="CU40">
        <f>IFERROR(#REF!,0)</f>
        <v>0</v>
      </c>
      <c r="CV40" s="9" t="e" cm="1">
        <f t="array" ref="CV4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 s="9">
        <f>IFERROR(IF(ISBLANK(INDEX(Bay_AmClose,MATCH(1,INDEX((tbl_Case_mins[[#This Row],[Bay]]=BayNo)*(tbl_Case_mins[[#This Row],[Surgery Start Date]]=BDate),0,1),0))*1440),0,INDEX(Bay_AmClose,MATCH(1,INDEX((tbl_Case_mins[[#This Row],[Bay]]=BayNo)*(tbl_Case_mins[[#This Row],[Surgery Start Date]]=BDate),0,1),0))*1440),0)</f>
        <v>0</v>
      </c>
      <c r="CX40" s="9" cm="1">
        <f t="array" ref="CX40">IFERROR(IF(ISBLANK(INDEX(Bay_PmOpen,MATCH(1,INDEX((tbl_Case_mins[[#This Row],[Bay]]=BayNo)*(tbl_Case_mins[[#This Row],[Surgery Start Date]]=BDate),0,1),0))*1440),0,INDEX(Bay_PmOpen,MATCH(1,INDEX((tbl_Case_mins[[#This Row],[Bay]]=BayNo)*(tbl_Case_mins[[#This Row],[Surgery Start Date]]=BDate),0,1),0))*1440),0)</f>
        <v>0</v>
      </c>
      <c r="CY4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 s="9"/>
    </row>
    <row r="41" spans="1:104" x14ac:dyDescent="0.2">
      <c r="A41">
        <v>40</v>
      </c>
      <c r="B41" t="e">
        <f>#REF!</f>
        <v>#REF!</v>
      </c>
      <c r="C41" t="e">
        <f>#REF!</f>
        <v>#REF!</v>
      </c>
      <c r="D41" t="e">
        <f>#REF!</f>
        <v>#REF!</v>
      </c>
      <c r="E41" t="e">
        <f>#REF!</f>
        <v>#REF!</v>
      </c>
      <c r="F41" t="e">
        <f>#REF!</f>
        <v>#REF!</v>
      </c>
      <c r="G41" t="e">
        <f>#REF!</f>
        <v>#REF!</v>
      </c>
      <c r="H41" t="e">
        <f>#REF!</f>
        <v>#REF!</v>
      </c>
      <c r="I41" t="e">
        <f>IF(#REF!="Case Cancelled",1,IF(#REF!="No Cases",2,0))</f>
        <v>#REF!</v>
      </c>
      <c r="J41" t="e">
        <f>#REF!</f>
        <v>#REF!</v>
      </c>
      <c r="K41" s="4" t="e">
        <f>#REF!</f>
        <v>#REF!</v>
      </c>
      <c r="L41" t="e">
        <f>"Wk "&amp;WEEKNUM(tbl_Case_mins[[#This Row],[Surgery Start Date]],21)</f>
        <v>#REF!</v>
      </c>
      <c r="M41" t="e">
        <f>TEXT(tbl_Case_mins[[#This Row],[Surgery Start Date]],"ddd")</f>
        <v>#REF!</v>
      </c>
      <c r="N41" s="9" t="e">
        <f>(#REF!-TIME(0,0,0))*1440</f>
        <v>#REF!</v>
      </c>
      <c r="O41" t="e">
        <f>IF(AND(ROUND((#REF!-TIME(0,0,0))*1440,0)&gt;0,ROUND((#REF!-TIME(0,0,0))*1440,0)&lt;tbl_Case_mins[[#This Row],[Patient Called]],tbl_Case_mins[[#This Row],[Surgery End Date]]&gt;tbl_Case_mins[[#This Row],[Surgery Start Date]]),ROUND((#REF!-TIME(0,0,0))*1440,0)+1440,ROUND((#REF!-TIME(0,0,0))*1440,0))</f>
        <v>#REF!</v>
      </c>
      <c r="P41" s="9" t="e">
        <f>IF(AND(ROUND((#REF!-TIME(0,0,0))*1440,0)&gt;0,ROUND((#REF!-TIME(0,0,0))*1440,0)&lt;tbl_Case_mins[[#This Row],[Arrival]],tbl_Case_mins[[#This Row],[Surgery End Date]]&gt;tbl_Case_mins[[#This Row],[Surgery Start Date]]),ROUND((#REF!-TIME(0,0,0))*1440,0)+1440,ROUND((#REF!-TIME(0,0,0))*1440,0))</f>
        <v>#REF!</v>
      </c>
      <c r="Q41" s="9" t="e">
        <f>IF(AND(ROUND((#REF!-TIME(0,0,0))*1440,0)&gt;0,ROUND((#REF!-TIME(0,0,0))*1440,0)&lt;tbl_Case_mins[[#This Row],[Into Th or AR]],tbl_Case_mins[[#This Row],[Surgery End Date]]&gt;tbl_Case_mins[[#This Row],[Surgery Start Date]]),ROUND((#REF!-TIME(0,0,0))*1440,0)+1440,ROUND((#REF!-TIME(0,0,0))*1440,0))</f>
        <v>#REF!</v>
      </c>
      <c r="R41" s="9" t="e">
        <f>IF(AND(ROUND((#REF!-TIME(0,0,0))*1440,0)&gt;0,ROUND((#REF!-TIME(0,0,0))*1440,0)&lt;tbl_Case_mins[[#This Row],[AnaesthStart]],tbl_Case_mins[[#This Row],[Surgery End Date]]&gt;tbl_Case_mins[[#This Row],[Surgery Start Date]]),ROUND((#REF!-TIME(0,0,0))*1440,0)+1440,ROUND((#REF!-TIME(0,0,0))*1440,0))</f>
        <v>#REF!</v>
      </c>
      <c r="S41" s="9" t="e">
        <f>IF(AND(ROUND((#REF!-TIME(0,0,0))*1440,0),ROUND((#REF!-TIME(0,0,0))*1440,0)&lt;tbl_Case_mins[[#This Row],[Surgery Start]],tbl_Case_mins[[#This Row],[Surgery End Date]]&gt;tbl_Case_mins[[#This Row],[Surgery Start Date]]),ROUND((#REF!-TIME(0,0,0))*1440,0)+1440,ROUND((#REF!-TIME(0,0,0))*1440,0))</f>
        <v>#REF!</v>
      </c>
      <c r="T41" s="9" t="e">
        <f>IF(AND(ROUND((#REF!-TIME(0,0,0))*1440,0)&gt;0,ROUND((#REF!-TIME(0,0,0))*1440,0)&lt;tbl_Case_mins[[#This Row],[Surgery Finish]],tbl_Case_mins[[#This Row],[Surgery End Date]]&gt;tbl_Case_mins[[#This Row],[Surgery Start Date]]),ROUND((#REF!-TIME(0,0,0))*1440,0)+1440,ROUND((#REF!-TIME(0,0,0))*1440,0))</f>
        <v>#REF!</v>
      </c>
      <c r="U41" s="9" t="e">
        <f>IF(AND(ROUND((#REF!-TIME(0,0,0))*1440,0)&gt;0,ROUND((#REF!-TIME(0,0,0))*1440,0)&lt;tbl_Case_mins[[#This Row],[Anaesth End]],tbl_Case_mins[[#This Row],[Surgery End Date]]&gt;tbl_Case_mins[[#This Row],[Surgery Start Date]]),ROUND((#REF!-TIME(0,0,0))*1440,0)+1440,ROUND((#REF!-TIME(0,0,0))*1440,0))</f>
        <v>#REF!</v>
      </c>
      <c r="V41" s="9" t="e">
        <f>IF(AND(ROUND((#REF!-TIME(0,0,0))*1440,0)&gt;0,ROUND((#REF!-TIME(0,0,0))*1440,0)&lt;tbl_Case_mins[[#This Row],[Into Recov]],tbl_Case_mins[[#This Row],[Surgery End Date]]&gt;tbl_Case_mins[[#This Row],[Surgery Start Date]]),ROUND((#REF!-TIME(0,0,0))*1440,0)+1440,ROUND((#REF!-TIME(0,0,0))*1440,0))</f>
        <v>#REF!</v>
      </c>
      <c r="W41" s="9" t="e">
        <f>IF(AND(ROUND((#REF!-TIME(0,0,0))*1440,0)&gt;0,ROUND((#REF!-TIME(0,0,0))*1440,0)&lt;tbl_Case_mins[[#This Row],[Ward Called]],tbl_Case_mins[[#This Row],[Surgery End Date]]&gt;tbl_Case_mins[[#This Row],[Surgery Start Date]]),ROUND((#REF!-TIME(0,0,0))*1440,0)+1440,ROUND((#REF!-TIME(0,0,0))*1440,0))</f>
        <v>#REF!</v>
      </c>
      <c r="X41" s="4" t="e">
        <f>IF(ISBLANK(#REF!),tbl_Case_mins[[#This Row],[Surgery Start Date]],#REF!)</f>
        <v>#REF!</v>
      </c>
      <c r="Y41">
        <f>IFERROR(IF(VLOOKUP(tbl_Case_mins[[#This Row],[Theatre]],'Mng Theatres'!$C$7:$G$12,3,FALSE)="Yes","Yes","No"),0)</f>
        <v>0</v>
      </c>
      <c r="Z41" s="9" t="e" cm="1">
        <f t="array" ref="Z4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 s="9" t="e" cm="1">
        <f t="array" ref="AA4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 s="9" t="e">
        <f>IF(tbl_Case_mins[[#This Row],[Case Type]]="Unsch",1,0)</f>
        <v>#REF!</v>
      </c>
      <c r="AD41" s="9" t="e">
        <f>IF(tbl_Case_mins[[#This Row],[Case Type]]="Sch",1,0)</f>
        <v>#REF!</v>
      </c>
      <c r="AE4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 s="9">
        <f>IFERROR(IF(ISBLANK(INDEX(Am_Close,MATCH(1,INDEX((tbl_Case_mins[[#This Row],[Theatre]]=Theatre_No)*(tbl_Case_mins[[#This Row],[Surgery Start Date]]=Date),0,1),0))*1440),0,INDEX(Am_Close,MATCH(1,INDEX((tbl_Case_mins[[#This Row],[Theatre]]=Theatre_No)*(tbl_Case_mins[[#This Row],[Surgery Start Date]]=Date),0,1),0))*1440),0)</f>
        <v>0</v>
      </c>
      <c r="AG41" s="9">
        <f>IFERROR(IF(ISBLANK(INDEX(PM_Open,MATCH(1,INDEX((tbl_Case_mins[[#This Row],[Theatre]]=Theatre_No)*(tbl_Case_mins[[#This Row],[Surgery Start Date]]=Date),0,1),0))*1440),0,INDEX(PM_Open,MATCH(1,INDEX((tbl_Case_mins[[#This Row],[Theatre]]=Theatre_No)*(tbl_Case_mins[[#This Row],[Surgery Start Date]]=Date),0,1),0))*1440),0)</f>
        <v>0</v>
      </c>
      <c r="AH4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 s="9" t="e">
        <f>IF(tbl_Case_mins[[#This Row],[ThOpenAm]]=0,tbl_Case_mins[[#This Row],[ThOpenPM]],tbl_Case_mins[[#This Row],[ThOpenAm]])</f>
        <v>#REF!</v>
      </c>
      <c r="AJ41" s="9" t="e">
        <f>IF(tbl_Case_mins[[#This Row],[ThCloseAm]]&gt;0,IF(tbl_Case_mins[[#This Row],[ThOpenPM]]&gt;0,tbl_Case_mins[[#This Row],[ThClosePm]],tbl_Case_mins[[#This Row],[ThCloseAm]]),tbl_Case_mins[[#This Row],[ThClosePm]])</f>
        <v>#REF!</v>
      </c>
      <c r="AK41" s="9" t="e">
        <f>IF(tbl_Case_mins[[#This Row],[TOT]]&gt;0,1,0)</f>
        <v>#REF!</v>
      </c>
      <c r="AL4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 s="9" t="e">
        <f>IF(AND(tbl_Case_mins[[#This Row],[Surgery Status]]&lt;&gt;2,tbl_Case_mins[[#This Row],[InCoreCase]]=0,tbl_Case_mins[[#This Row],[CancelledCase]]=0),1,0)</f>
        <v>#REF!</v>
      </c>
      <c r="AN41" s="9" t="e">
        <f>IF(tbl_Case_mins[[#This Row],[Surgery Status]]=1,1,0)</f>
        <v>#REF!</v>
      </c>
      <c r="AO4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 s="9" t="e">
        <f>IF(AND(tbl_Case_mins[[#This Row],[NonCoreCase]]=1,tbl_Case_mins[[#This Row],[NoInCoreTime]]=0),1,0)</f>
        <v>#REF!</v>
      </c>
      <c r="AQ41" s="9" t="e">
        <f>IF(tbl_Case_mins[[#This Row],[Rank_AnaEnd]]&lt;tbl_Case_mins[[#This Row],[Rank_AnaSt]],1,0)</f>
        <v>#REF!</v>
      </c>
      <c r="AR41" s="9" t="e">
        <f>IF(AND(tbl_Case_mins[[#This Row],[InCoreCase]]=1,tbl_Case_mins[[#This Row],[Sch]]=1),1,0)</f>
        <v>#REF!</v>
      </c>
      <c r="AS41" s="9" t="e">
        <f>IF(AND(tbl_Case_mins[[#This Row],[InCoreCase]]=1,tbl_Case_mins[[#This Row],[Unsch]]=1),1,0)</f>
        <v>#REF!</v>
      </c>
      <c r="AT4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 s="9" t="e">
        <f>IF(tbl_Case_mins[[#This Row],[Surgery Status]]=0,(tbl_Case_mins[[#This Row],[Anaesth End]]-tbl_Case_mins[[#This Row],[AnaesthStart]]),0)</f>
        <v>#REF!</v>
      </c>
      <c r="AX41" s="9" t="e">
        <f>IF(tbl_Case_mins[[#This Row],[Surgery Status]]=0,(tbl_Case_mins[[#This Row],[Surgery Finish]]-tbl_Case_mins[[#This Row],[Surgery Start]]),0)</f>
        <v>#REF!</v>
      </c>
      <c r="AY41" s="9" t="e">
        <f>tbl_Case_mins[[#This Row],[Surgery Start]]-tbl_Case_mins[[#This Row],[AnaesthStart]]</f>
        <v>#REF!</v>
      </c>
      <c r="AZ41" s="9" t="e">
        <f>tbl_Case_mins[[#This Row],[Anaesth End]]-tbl_Case_mins[[#This Row],[Surgery Finish]]</f>
        <v>#REF!</v>
      </c>
      <c r="BA4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 s="16" cm="1">
        <f t="array" ref="BC4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 s="16" t="e">
        <f>IF(AND(tbl_Case_mins[[#This Row],[FirstAMCase]]=1,tbl_Case_mins[[#This Row],[CancelledCase]]=0,OR(tbl_Case_mins[[#This Row],[EarlyStartAM]]&gt;0,tbl_Case_mins[[#This Row],[AnaesthStart]]=tbl_Case_mins[[#This Row],[ThOpenAm]])),1,0)</f>
        <v>#REF!</v>
      </c>
      <c r="BE41" s="16" t="e">
        <f>IF(AND(tbl_Case_mins[[#This Row],[Rank_AnaSt]]=tbl_Case_mins[[#This Row],[Min_RankAnaSt]],tbl_Case_mins[[#This Row],[Anaesth End]]&gt;=tbl_Case_mins[[#This Row],[ThOpenAm]],tbl_Case_mins[[#This Row],[PmCase]]=0),1,0)</f>
        <v>#REF!</v>
      </c>
      <c r="BF4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 s="9" t="e" cm="1">
        <f t="array" ref="BH4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 s="9" t="e">
        <f>IF(AND(tbl_Case_mins[[#This Row],[ThOpenPM]]&gt;0,tbl_Case_mins[[#This Row],[AnaesthStart]]&gt;tbl_Case_mins[[#This Row],[ThOpenPM]],tbl_Case_mins[[#This Row],[First PM Case]]=1),tbl_Case_mins[[#This Row],[AnaesthStart]]-tbl_Case_mins[[#This Row],[ThOpenPM]],0)</f>
        <v>#REF!</v>
      </c>
      <c r="BL4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 s="9" t="e" cm="1">
        <f t="array" ref="BN4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 s="9" t="e">
        <f>IF(AND(tbl_Case_mins[[#This Row],[ThClosePm]]&gt;0,tbl_Case_mins[[#This Row],[Anaesth End]]&gt;tbl_Case_mins[[#This Row],[ThClosePm]],tbl_Case_mins[[#This Row],[AnaesthStart]]&gt;tbl_Case_mins[[#This Row],[ThClosePm]]),tbl_Case_mins[[#This Row],[Into Recov]]-tbl_Case_mins[[#This Row],[AnaesthStart]],0)</f>
        <v>#REF!</v>
      </c>
      <c r="BP41" s="9" t="e">
        <f>IF(AND(tbl_Case_mins[[#This Row],[AnaesthStart]]&lt;tbl_Case_mins[[#This Row],[ThClosePm]],tbl_Case_mins[[#This Row],[Anaesth End]]&gt;tbl_Case_mins[[#This Row],[ThClosePm]]),tbl_Case_mins[[#This Row],[Anaesth End]]-tbl_Case_mins[[#This Row],[ThClosePm]],0)</f>
        <v>#REF!</v>
      </c>
      <c r="BQ41" s="9" t="e" cm="1">
        <f t="array" ref="BQ4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 s="9" t="e" cm="1">
        <f t="array" ref="BR41">IF(tbl_Case_mins[[#This Row],[Rank_Adjust]]=SUMPRODUCT(-(tbl_Case_mins[Surgery Start Date]=tbl_Case_mins[[#This Row],[Surgery Start Date]]),-(tbl_Case_mins[Theatre]=tbl_Case_mins[[#This Row],[Theatre]])),INDEX(Poss_Time,MATCH(TEXT(tbl_Case_mins[[#This Row],[Surgery Start Date]],"ddd"),Day,0)),0)</f>
        <v>#REF!</v>
      </c>
      <c r="BS41" s="9" t="e">
        <f>tbl_Case_mins[[#This Row],[Core_Time]]*Util_Goal</f>
        <v>#REF!</v>
      </c>
      <c r="BT41" s="9" t="e" cm="1">
        <f t="array" ref="BT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 s="9" t="e" cm="1">
        <f t="array" ref="BU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 s="9" t="e">
        <f>IF(tbl_Case_mins[[#This Row],[Surgery End Date]]&gt;tbl_Case_mins[[#This Row],[Surgery Start Date]],tbl_Case_mins[[#This Row],[Anaesth End]]-1440,0)</f>
        <v>#REF!</v>
      </c>
      <c r="BY41" s="9" t="e">
        <f>tbl_Case_mins[[#This Row],[Total_NonCore]]-tbl_Case_mins[[#This Row],[NextDay_NonCore]]</f>
        <v>#REF!</v>
      </c>
      <c r="BZ41" s="10" t="e">
        <f>tbl_Case_mins[[#This Row],[InCoreUse]]/60</f>
        <v>#REF!</v>
      </c>
      <c r="CA41" s="10" t="e">
        <f>tbl_Case_mins[[#This Row],[Total_NonCore]]/60</f>
        <v>#REF!</v>
      </c>
      <c r="CB41" t="e" cm="1">
        <f t="array" ref="CB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 s="9" t="e" cm="1">
        <f t="array" ref="CC4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 s="9" t="e" cm="1">
        <f t="array" ref="CD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 s="9" t="e" cm="1">
        <f t="array" ref="CE4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 s="9" cm="1">
        <f t="array" ref="CF41">IFERROR(_xlfn.AGGREGATE(14,6,(tbl_Case_mins[Rank_AnaEnd])/((tbl_Case_mins[Surgery Start Date]=tbl_Case_mins[[#This Row],[Surgery Start Date]])*(tbl_Case_mins[Theatre]=tbl_Case_mins[[#This Row],[Theatre]])*(tbl_Case_mins[NoInCoreTime]=0)),1),-1)</f>
        <v>-1</v>
      </c>
      <c r="CG41" s="9" cm="1">
        <f t="array" ref="CG41">IFERROR(_xlfn.AGGREGATE(15,6,(tbl_Case_mins[Rank_AnaSt])/((tbl_Case_mins[Surgery Start Date]=tbl_Case_mins[[#This Row],[Surgery Start Date]])*(tbl_Case_mins[Theatre]=tbl_Case_mins[[#This Row],[Theatre]])*(tbl_Case_mins[NoInCoreTime]=0)),1),-1)</f>
        <v>-1</v>
      </c>
      <c r="CH4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 t="e" cm="1">
        <f t="array" ref="CJ4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 s="9" cm="1">
        <f t="array" ref="CO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 s="9" cm="1">
        <f t="array" ref="CP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 s="9" cm="1">
        <f t="array" ref="CQ41">IFERROR(IF(AND(tbl_Case_mins[[#This Row],[FirstAMCase]]=0,tbl_Case_mins[[#This Row],[Rank]]=_xlfn.AGGREGATE(14,6,(tbl_Case_mins[Rank])/((tbl_Case_mins[Surgery Start Date]=tbl_Case_mins[[#This Row],[Surgery Start Date]])*(tbl_Case_mins[Theatre]=tbl_Case_mins[[#This Row],[Theatre]])*(tbl_Case_mins[AmCase]=1)),1)),1,0),0)</f>
        <v>0</v>
      </c>
      <c r="CR41" s="9" cm="1">
        <f t="array" ref="CR4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 s="9" t="e" cm="1">
        <f t="array" ref="CS4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 s="9" cm="1">
        <f t="array" ref="CT41">IFERROR(IF(tbl_Case_mins[[#This Row],[Rank]]=_xlfn.AGGREGATE(15,6,(tbl_Case_mins[Rank])/((tbl_Case_mins[Surgery Start Date]=tbl_Case_mins[[#This Row],[Surgery Start Date]])*(tbl_Case_mins[Theatre]=tbl_Case_mins[[#This Row],[Theatre]])*(tbl_Case_mins[PmCase]=1)),1),1,0),0)</f>
        <v>0</v>
      </c>
      <c r="CU41">
        <f>IFERROR(#REF!,0)</f>
        <v>0</v>
      </c>
      <c r="CV41" s="9" t="e" cm="1">
        <f t="array" ref="CV4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 s="9">
        <f>IFERROR(IF(ISBLANK(INDEX(Bay_AmClose,MATCH(1,INDEX((tbl_Case_mins[[#This Row],[Bay]]=BayNo)*(tbl_Case_mins[[#This Row],[Surgery Start Date]]=BDate),0,1),0))*1440),0,INDEX(Bay_AmClose,MATCH(1,INDEX((tbl_Case_mins[[#This Row],[Bay]]=BayNo)*(tbl_Case_mins[[#This Row],[Surgery Start Date]]=BDate),0,1),0))*1440),0)</f>
        <v>0</v>
      </c>
      <c r="CX41" s="9" cm="1">
        <f t="array" ref="CX41">IFERROR(IF(ISBLANK(INDEX(Bay_PmOpen,MATCH(1,INDEX((tbl_Case_mins[[#This Row],[Bay]]=BayNo)*(tbl_Case_mins[[#This Row],[Surgery Start Date]]=BDate),0,1),0))*1440),0,INDEX(Bay_PmOpen,MATCH(1,INDEX((tbl_Case_mins[[#This Row],[Bay]]=BayNo)*(tbl_Case_mins[[#This Row],[Surgery Start Date]]=BDate),0,1),0))*1440),0)</f>
        <v>0</v>
      </c>
      <c r="CY4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 s="9"/>
    </row>
    <row r="42" spans="1:104" x14ac:dyDescent="0.2">
      <c r="A42">
        <v>41</v>
      </c>
      <c r="B42" t="e">
        <f>#REF!</f>
        <v>#REF!</v>
      </c>
      <c r="C42" t="e">
        <f>#REF!</f>
        <v>#REF!</v>
      </c>
      <c r="D42" t="e">
        <f>#REF!</f>
        <v>#REF!</v>
      </c>
      <c r="E42" t="e">
        <f>#REF!</f>
        <v>#REF!</v>
      </c>
      <c r="F42" t="e">
        <f>#REF!</f>
        <v>#REF!</v>
      </c>
      <c r="G42" t="e">
        <f>#REF!</f>
        <v>#REF!</v>
      </c>
      <c r="H42" t="e">
        <f>#REF!</f>
        <v>#REF!</v>
      </c>
      <c r="I42" t="e">
        <f>IF(#REF!="Case Cancelled",1,IF(#REF!="No Cases",2,0))</f>
        <v>#REF!</v>
      </c>
      <c r="J42" t="e">
        <f>#REF!</f>
        <v>#REF!</v>
      </c>
      <c r="K42" s="4" t="e">
        <f>#REF!</f>
        <v>#REF!</v>
      </c>
      <c r="L42" t="e">
        <f>"Wk "&amp;WEEKNUM(tbl_Case_mins[[#This Row],[Surgery Start Date]],21)</f>
        <v>#REF!</v>
      </c>
      <c r="M42" t="e">
        <f>TEXT(tbl_Case_mins[[#This Row],[Surgery Start Date]],"ddd")</f>
        <v>#REF!</v>
      </c>
      <c r="N42" s="9" t="e">
        <f>(#REF!-TIME(0,0,0))*1440</f>
        <v>#REF!</v>
      </c>
      <c r="O42" t="e">
        <f>IF(AND(ROUND((#REF!-TIME(0,0,0))*1440,0)&gt;0,ROUND((#REF!-TIME(0,0,0))*1440,0)&lt;tbl_Case_mins[[#This Row],[Patient Called]],tbl_Case_mins[[#This Row],[Surgery End Date]]&gt;tbl_Case_mins[[#This Row],[Surgery Start Date]]),ROUND((#REF!-TIME(0,0,0))*1440,0)+1440,ROUND((#REF!-TIME(0,0,0))*1440,0))</f>
        <v>#REF!</v>
      </c>
      <c r="P42" s="9" t="e">
        <f>IF(AND(ROUND((#REF!-TIME(0,0,0))*1440,0)&gt;0,ROUND((#REF!-TIME(0,0,0))*1440,0)&lt;tbl_Case_mins[[#This Row],[Arrival]],tbl_Case_mins[[#This Row],[Surgery End Date]]&gt;tbl_Case_mins[[#This Row],[Surgery Start Date]]),ROUND((#REF!-TIME(0,0,0))*1440,0)+1440,ROUND((#REF!-TIME(0,0,0))*1440,0))</f>
        <v>#REF!</v>
      </c>
      <c r="Q42" s="9" t="e">
        <f>IF(AND(ROUND((#REF!-TIME(0,0,0))*1440,0)&gt;0,ROUND((#REF!-TIME(0,0,0))*1440,0)&lt;tbl_Case_mins[[#This Row],[Into Th or AR]],tbl_Case_mins[[#This Row],[Surgery End Date]]&gt;tbl_Case_mins[[#This Row],[Surgery Start Date]]),ROUND((#REF!-TIME(0,0,0))*1440,0)+1440,ROUND((#REF!-TIME(0,0,0))*1440,0))</f>
        <v>#REF!</v>
      </c>
      <c r="R42" s="9" t="e">
        <f>IF(AND(ROUND((#REF!-TIME(0,0,0))*1440,0)&gt;0,ROUND((#REF!-TIME(0,0,0))*1440,0)&lt;tbl_Case_mins[[#This Row],[AnaesthStart]],tbl_Case_mins[[#This Row],[Surgery End Date]]&gt;tbl_Case_mins[[#This Row],[Surgery Start Date]]),ROUND((#REF!-TIME(0,0,0))*1440,0)+1440,ROUND((#REF!-TIME(0,0,0))*1440,0))</f>
        <v>#REF!</v>
      </c>
      <c r="S42" s="9" t="e">
        <f>IF(AND(ROUND((#REF!-TIME(0,0,0))*1440,0),ROUND((#REF!-TIME(0,0,0))*1440,0)&lt;tbl_Case_mins[[#This Row],[Surgery Start]],tbl_Case_mins[[#This Row],[Surgery End Date]]&gt;tbl_Case_mins[[#This Row],[Surgery Start Date]]),ROUND((#REF!-TIME(0,0,0))*1440,0)+1440,ROUND((#REF!-TIME(0,0,0))*1440,0))</f>
        <v>#REF!</v>
      </c>
      <c r="T42" s="9" t="e">
        <f>IF(AND(ROUND((#REF!-TIME(0,0,0))*1440,0)&gt;0,ROUND((#REF!-TIME(0,0,0))*1440,0)&lt;tbl_Case_mins[[#This Row],[Surgery Finish]],tbl_Case_mins[[#This Row],[Surgery End Date]]&gt;tbl_Case_mins[[#This Row],[Surgery Start Date]]),ROUND((#REF!-TIME(0,0,0))*1440,0)+1440,ROUND((#REF!-TIME(0,0,0))*1440,0))</f>
        <v>#REF!</v>
      </c>
      <c r="U42" s="9" t="e">
        <f>IF(AND(ROUND((#REF!-TIME(0,0,0))*1440,0)&gt;0,ROUND((#REF!-TIME(0,0,0))*1440,0)&lt;tbl_Case_mins[[#This Row],[Anaesth End]],tbl_Case_mins[[#This Row],[Surgery End Date]]&gt;tbl_Case_mins[[#This Row],[Surgery Start Date]]),ROUND((#REF!-TIME(0,0,0))*1440,0)+1440,ROUND((#REF!-TIME(0,0,0))*1440,0))</f>
        <v>#REF!</v>
      </c>
      <c r="V42" s="9" t="e">
        <f>IF(AND(ROUND((#REF!-TIME(0,0,0))*1440,0)&gt;0,ROUND((#REF!-TIME(0,0,0))*1440,0)&lt;tbl_Case_mins[[#This Row],[Into Recov]],tbl_Case_mins[[#This Row],[Surgery End Date]]&gt;tbl_Case_mins[[#This Row],[Surgery Start Date]]),ROUND((#REF!-TIME(0,0,0))*1440,0)+1440,ROUND((#REF!-TIME(0,0,0))*1440,0))</f>
        <v>#REF!</v>
      </c>
      <c r="W42" s="9" t="e">
        <f>IF(AND(ROUND((#REF!-TIME(0,0,0))*1440,0)&gt;0,ROUND((#REF!-TIME(0,0,0))*1440,0)&lt;tbl_Case_mins[[#This Row],[Ward Called]],tbl_Case_mins[[#This Row],[Surgery End Date]]&gt;tbl_Case_mins[[#This Row],[Surgery Start Date]]),ROUND((#REF!-TIME(0,0,0))*1440,0)+1440,ROUND((#REF!-TIME(0,0,0))*1440,0))</f>
        <v>#REF!</v>
      </c>
      <c r="X42" s="4" t="e">
        <f>IF(ISBLANK(#REF!),tbl_Case_mins[[#This Row],[Surgery Start Date]],#REF!)</f>
        <v>#REF!</v>
      </c>
      <c r="Y42">
        <f>IFERROR(IF(VLOOKUP(tbl_Case_mins[[#This Row],[Theatre]],'Mng Theatres'!$C$7:$G$12,3,FALSE)="Yes","Yes","No"),0)</f>
        <v>0</v>
      </c>
      <c r="Z42" s="9" t="e" cm="1">
        <f t="array" ref="Z4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 s="9" t="e" cm="1">
        <f t="array" ref="AA4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 s="9" t="e">
        <f>IF(tbl_Case_mins[[#This Row],[Case Type]]="Unsch",1,0)</f>
        <v>#REF!</v>
      </c>
      <c r="AD42" s="9" t="e">
        <f>IF(tbl_Case_mins[[#This Row],[Case Type]]="Sch",1,0)</f>
        <v>#REF!</v>
      </c>
      <c r="AE4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 s="9">
        <f>IFERROR(IF(ISBLANK(INDEX(Am_Close,MATCH(1,INDEX((tbl_Case_mins[[#This Row],[Theatre]]=Theatre_No)*(tbl_Case_mins[[#This Row],[Surgery Start Date]]=Date),0,1),0))*1440),0,INDEX(Am_Close,MATCH(1,INDEX((tbl_Case_mins[[#This Row],[Theatre]]=Theatre_No)*(tbl_Case_mins[[#This Row],[Surgery Start Date]]=Date),0,1),0))*1440),0)</f>
        <v>0</v>
      </c>
      <c r="AG42" s="9">
        <f>IFERROR(IF(ISBLANK(INDEX(PM_Open,MATCH(1,INDEX((tbl_Case_mins[[#This Row],[Theatre]]=Theatre_No)*(tbl_Case_mins[[#This Row],[Surgery Start Date]]=Date),0,1),0))*1440),0,INDEX(PM_Open,MATCH(1,INDEX((tbl_Case_mins[[#This Row],[Theatre]]=Theatre_No)*(tbl_Case_mins[[#This Row],[Surgery Start Date]]=Date),0,1),0))*1440),0)</f>
        <v>0</v>
      </c>
      <c r="AH4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 s="9" t="e">
        <f>IF(tbl_Case_mins[[#This Row],[ThOpenAm]]=0,tbl_Case_mins[[#This Row],[ThOpenPM]],tbl_Case_mins[[#This Row],[ThOpenAm]])</f>
        <v>#REF!</v>
      </c>
      <c r="AJ42" s="9" t="e">
        <f>IF(tbl_Case_mins[[#This Row],[ThCloseAm]]&gt;0,IF(tbl_Case_mins[[#This Row],[ThOpenPM]]&gt;0,tbl_Case_mins[[#This Row],[ThClosePm]],tbl_Case_mins[[#This Row],[ThCloseAm]]),tbl_Case_mins[[#This Row],[ThClosePm]])</f>
        <v>#REF!</v>
      </c>
      <c r="AK42" s="9" t="e">
        <f>IF(tbl_Case_mins[[#This Row],[TOT]]&gt;0,1,0)</f>
        <v>#REF!</v>
      </c>
      <c r="AL4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 s="9" t="e">
        <f>IF(AND(tbl_Case_mins[[#This Row],[Surgery Status]]&lt;&gt;2,tbl_Case_mins[[#This Row],[InCoreCase]]=0,tbl_Case_mins[[#This Row],[CancelledCase]]=0),1,0)</f>
        <v>#REF!</v>
      </c>
      <c r="AN42" s="9" t="e">
        <f>IF(tbl_Case_mins[[#This Row],[Surgery Status]]=1,1,0)</f>
        <v>#REF!</v>
      </c>
      <c r="AO4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 s="9" t="e">
        <f>IF(AND(tbl_Case_mins[[#This Row],[NonCoreCase]]=1,tbl_Case_mins[[#This Row],[NoInCoreTime]]=0),1,0)</f>
        <v>#REF!</v>
      </c>
      <c r="AQ42" s="9" t="e">
        <f>IF(tbl_Case_mins[[#This Row],[Rank_AnaEnd]]&lt;tbl_Case_mins[[#This Row],[Rank_AnaSt]],1,0)</f>
        <v>#REF!</v>
      </c>
      <c r="AR42" s="9" t="e">
        <f>IF(AND(tbl_Case_mins[[#This Row],[InCoreCase]]=1,tbl_Case_mins[[#This Row],[Sch]]=1),1,0)</f>
        <v>#REF!</v>
      </c>
      <c r="AS42" s="9" t="e">
        <f>IF(AND(tbl_Case_mins[[#This Row],[InCoreCase]]=1,tbl_Case_mins[[#This Row],[Unsch]]=1),1,0)</f>
        <v>#REF!</v>
      </c>
      <c r="AT4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 s="9" t="e">
        <f>IF(tbl_Case_mins[[#This Row],[Surgery Status]]=0,(tbl_Case_mins[[#This Row],[Anaesth End]]-tbl_Case_mins[[#This Row],[AnaesthStart]]),0)</f>
        <v>#REF!</v>
      </c>
      <c r="AX42" s="9" t="e">
        <f>IF(tbl_Case_mins[[#This Row],[Surgery Status]]=0,(tbl_Case_mins[[#This Row],[Surgery Finish]]-tbl_Case_mins[[#This Row],[Surgery Start]]),0)</f>
        <v>#REF!</v>
      </c>
      <c r="AY42" s="9" t="e">
        <f>tbl_Case_mins[[#This Row],[Surgery Start]]-tbl_Case_mins[[#This Row],[AnaesthStart]]</f>
        <v>#REF!</v>
      </c>
      <c r="AZ42" s="9" t="e">
        <f>tbl_Case_mins[[#This Row],[Anaesth End]]-tbl_Case_mins[[#This Row],[Surgery Finish]]</f>
        <v>#REF!</v>
      </c>
      <c r="BA4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 s="16" cm="1">
        <f t="array" ref="BC4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 s="16" t="e">
        <f>IF(AND(tbl_Case_mins[[#This Row],[FirstAMCase]]=1,tbl_Case_mins[[#This Row],[CancelledCase]]=0,OR(tbl_Case_mins[[#This Row],[EarlyStartAM]]&gt;0,tbl_Case_mins[[#This Row],[AnaesthStart]]=tbl_Case_mins[[#This Row],[ThOpenAm]])),1,0)</f>
        <v>#REF!</v>
      </c>
      <c r="BE42" s="16" t="e">
        <f>IF(AND(tbl_Case_mins[[#This Row],[Rank_AnaSt]]=tbl_Case_mins[[#This Row],[Min_RankAnaSt]],tbl_Case_mins[[#This Row],[Anaesth End]]&gt;=tbl_Case_mins[[#This Row],[ThOpenAm]],tbl_Case_mins[[#This Row],[PmCase]]=0),1,0)</f>
        <v>#REF!</v>
      </c>
      <c r="BF4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 s="9" t="e" cm="1">
        <f t="array" ref="BH4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 s="9" t="e">
        <f>IF(AND(tbl_Case_mins[[#This Row],[ThOpenPM]]&gt;0,tbl_Case_mins[[#This Row],[AnaesthStart]]&gt;tbl_Case_mins[[#This Row],[ThOpenPM]],tbl_Case_mins[[#This Row],[First PM Case]]=1),tbl_Case_mins[[#This Row],[AnaesthStart]]-tbl_Case_mins[[#This Row],[ThOpenPM]],0)</f>
        <v>#REF!</v>
      </c>
      <c r="BL4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 s="9" t="e" cm="1">
        <f t="array" ref="BN4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 s="9" t="e">
        <f>IF(AND(tbl_Case_mins[[#This Row],[ThClosePm]]&gt;0,tbl_Case_mins[[#This Row],[Anaesth End]]&gt;tbl_Case_mins[[#This Row],[ThClosePm]],tbl_Case_mins[[#This Row],[AnaesthStart]]&gt;tbl_Case_mins[[#This Row],[ThClosePm]]),tbl_Case_mins[[#This Row],[Into Recov]]-tbl_Case_mins[[#This Row],[AnaesthStart]],0)</f>
        <v>#REF!</v>
      </c>
      <c r="BP42" s="9" t="e">
        <f>IF(AND(tbl_Case_mins[[#This Row],[AnaesthStart]]&lt;tbl_Case_mins[[#This Row],[ThClosePm]],tbl_Case_mins[[#This Row],[Anaesth End]]&gt;tbl_Case_mins[[#This Row],[ThClosePm]]),tbl_Case_mins[[#This Row],[Anaesth End]]-tbl_Case_mins[[#This Row],[ThClosePm]],0)</f>
        <v>#REF!</v>
      </c>
      <c r="BQ42" s="9" t="e" cm="1">
        <f t="array" ref="BQ4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 s="9" t="e" cm="1">
        <f t="array" ref="BR42">IF(tbl_Case_mins[[#This Row],[Rank_Adjust]]=SUMPRODUCT(-(tbl_Case_mins[Surgery Start Date]=tbl_Case_mins[[#This Row],[Surgery Start Date]]),-(tbl_Case_mins[Theatre]=tbl_Case_mins[[#This Row],[Theatre]])),INDEX(Poss_Time,MATCH(TEXT(tbl_Case_mins[[#This Row],[Surgery Start Date]],"ddd"),Day,0)),0)</f>
        <v>#REF!</v>
      </c>
      <c r="BS42" s="9" t="e">
        <f>tbl_Case_mins[[#This Row],[Core_Time]]*Util_Goal</f>
        <v>#REF!</v>
      </c>
      <c r="BT42" s="9" t="e" cm="1">
        <f t="array" ref="BT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 s="9" t="e" cm="1">
        <f t="array" ref="BU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 s="9" t="e">
        <f>IF(tbl_Case_mins[[#This Row],[Surgery End Date]]&gt;tbl_Case_mins[[#This Row],[Surgery Start Date]],tbl_Case_mins[[#This Row],[Anaesth End]]-1440,0)</f>
        <v>#REF!</v>
      </c>
      <c r="BY42" s="9" t="e">
        <f>tbl_Case_mins[[#This Row],[Total_NonCore]]-tbl_Case_mins[[#This Row],[NextDay_NonCore]]</f>
        <v>#REF!</v>
      </c>
      <c r="BZ42" s="10" t="e">
        <f>tbl_Case_mins[[#This Row],[InCoreUse]]/60</f>
        <v>#REF!</v>
      </c>
      <c r="CA42" s="10" t="e">
        <f>tbl_Case_mins[[#This Row],[Total_NonCore]]/60</f>
        <v>#REF!</v>
      </c>
      <c r="CB42" t="e" cm="1">
        <f t="array" ref="CB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 s="9" t="e" cm="1">
        <f t="array" ref="CC4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 s="9" t="e" cm="1">
        <f t="array" ref="CD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 s="9" t="e" cm="1">
        <f t="array" ref="CE4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 s="9" cm="1">
        <f t="array" ref="CF42">IFERROR(_xlfn.AGGREGATE(14,6,(tbl_Case_mins[Rank_AnaEnd])/((tbl_Case_mins[Surgery Start Date]=tbl_Case_mins[[#This Row],[Surgery Start Date]])*(tbl_Case_mins[Theatre]=tbl_Case_mins[[#This Row],[Theatre]])*(tbl_Case_mins[NoInCoreTime]=0)),1),-1)</f>
        <v>-1</v>
      </c>
      <c r="CG42" s="9" cm="1">
        <f t="array" ref="CG42">IFERROR(_xlfn.AGGREGATE(15,6,(tbl_Case_mins[Rank_AnaSt])/((tbl_Case_mins[Surgery Start Date]=tbl_Case_mins[[#This Row],[Surgery Start Date]])*(tbl_Case_mins[Theatre]=tbl_Case_mins[[#This Row],[Theatre]])*(tbl_Case_mins[NoInCoreTime]=0)),1),-1)</f>
        <v>-1</v>
      </c>
      <c r="CH4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 t="e" cm="1">
        <f t="array" ref="CJ4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 s="9" cm="1">
        <f t="array" ref="CO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 s="9" cm="1">
        <f t="array" ref="CP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 s="9" cm="1">
        <f t="array" ref="CQ42">IFERROR(IF(AND(tbl_Case_mins[[#This Row],[FirstAMCase]]=0,tbl_Case_mins[[#This Row],[Rank]]=_xlfn.AGGREGATE(14,6,(tbl_Case_mins[Rank])/((tbl_Case_mins[Surgery Start Date]=tbl_Case_mins[[#This Row],[Surgery Start Date]])*(tbl_Case_mins[Theatre]=tbl_Case_mins[[#This Row],[Theatre]])*(tbl_Case_mins[AmCase]=1)),1)),1,0),0)</f>
        <v>0</v>
      </c>
      <c r="CR42" s="9" cm="1">
        <f t="array" ref="CR4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 s="9" t="e" cm="1">
        <f t="array" ref="CS4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 s="9" cm="1">
        <f t="array" ref="CT42">IFERROR(IF(tbl_Case_mins[[#This Row],[Rank]]=_xlfn.AGGREGATE(15,6,(tbl_Case_mins[Rank])/((tbl_Case_mins[Surgery Start Date]=tbl_Case_mins[[#This Row],[Surgery Start Date]])*(tbl_Case_mins[Theatre]=tbl_Case_mins[[#This Row],[Theatre]])*(tbl_Case_mins[PmCase]=1)),1),1,0),0)</f>
        <v>0</v>
      </c>
      <c r="CU42">
        <f>IFERROR(#REF!,0)</f>
        <v>0</v>
      </c>
      <c r="CV42" s="9" t="e" cm="1">
        <f t="array" ref="CV4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 s="9">
        <f>IFERROR(IF(ISBLANK(INDEX(Bay_AmClose,MATCH(1,INDEX((tbl_Case_mins[[#This Row],[Bay]]=BayNo)*(tbl_Case_mins[[#This Row],[Surgery Start Date]]=BDate),0,1),0))*1440),0,INDEX(Bay_AmClose,MATCH(1,INDEX((tbl_Case_mins[[#This Row],[Bay]]=BayNo)*(tbl_Case_mins[[#This Row],[Surgery Start Date]]=BDate),0,1),0))*1440),0)</f>
        <v>0</v>
      </c>
      <c r="CX42" s="9" cm="1">
        <f t="array" ref="CX42">IFERROR(IF(ISBLANK(INDEX(Bay_PmOpen,MATCH(1,INDEX((tbl_Case_mins[[#This Row],[Bay]]=BayNo)*(tbl_Case_mins[[#This Row],[Surgery Start Date]]=BDate),0,1),0))*1440),0,INDEX(Bay_PmOpen,MATCH(1,INDEX((tbl_Case_mins[[#This Row],[Bay]]=BayNo)*(tbl_Case_mins[[#This Row],[Surgery Start Date]]=BDate),0,1),0))*1440),0)</f>
        <v>0</v>
      </c>
      <c r="CY4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 s="9"/>
    </row>
    <row r="43" spans="1:104" x14ac:dyDescent="0.2">
      <c r="A43">
        <v>42</v>
      </c>
      <c r="B43" t="e">
        <f>#REF!</f>
        <v>#REF!</v>
      </c>
      <c r="C43" t="e">
        <f>#REF!</f>
        <v>#REF!</v>
      </c>
      <c r="D43" t="e">
        <f>#REF!</f>
        <v>#REF!</v>
      </c>
      <c r="E43" t="e">
        <f>#REF!</f>
        <v>#REF!</v>
      </c>
      <c r="F43" t="e">
        <f>#REF!</f>
        <v>#REF!</v>
      </c>
      <c r="G43" t="e">
        <f>#REF!</f>
        <v>#REF!</v>
      </c>
      <c r="H43" t="e">
        <f>#REF!</f>
        <v>#REF!</v>
      </c>
      <c r="I43" t="e">
        <f>IF(#REF!="Case Cancelled",1,IF(#REF!="No Cases",2,0))</f>
        <v>#REF!</v>
      </c>
      <c r="J43" t="e">
        <f>#REF!</f>
        <v>#REF!</v>
      </c>
      <c r="K43" s="4" t="e">
        <f>#REF!</f>
        <v>#REF!</v>
      </c>
      <c r="L43" t="e">
        <f>"Wk "&amp;WEEKNUM(tbl_Case_mins[[#This Row],[Surgery Start Date]],21)</f>
        <v>#REF!</v>
      </c>
      <c r="M43" t="e">
        <f>TEXT(tbl_Case_mins[[#This Row],[Surgery Start Date]],"ddd")</f>
        <v>#REF!</v>
      </c>
      <c r="N43" s="9" t="e">
        <f>(#REF!-TIME(0,0,0))*1440</f>
        <v>#REF!</v>
      </c>
      <c r="O43" t="e">
        <f>IF(AND(ROUND((#REF!-TIME(0,0,0))*1440,0)&gt;0,ROUND((#REF!-TIME(0,0,0))*1440,0)&lt;tbl_Case_mins[[#This Row],[Patient Called]],tbl_Case_mins[[#This Row],[Surgery End Date]]&gt;tbl_Case_mins[[#This Row],[Surgery Start Date]]),ROUND((#REF!-TIME(0,0,0))*1440,0)+1440,ROUND((#REF!-TIME(0,0,0))*1440,0))</f>
        <v>#REF!</v>
      </c>
      <c r="P43" s="9" t="e">
        <f>IF(AND(ROUND((#REF!-TIME(0,0,0))*1440,0)&gt;0,ROUND((#REF!-TIME(0,0,0))*1440,0)&lt;tbl_Case_mins[[#This Row],[Arrival]],tbl_Case_mins[[#This Row],[Surgery End Date]]&gt;tbl_Case_mins[[#This Row],[Surgery Start Date]]),ROUND((#REF!-TIME(0,0,0))*1440,0)+1440,ROUND((#REF!-TIME(0,0,0))*1440,0))</f>
        <v>#REF!</v>
      </c>
      <c r="Q43" s="9" t="e">
        <f>IF(AND(ROUND((#REF!-TIME(0,0,0))*1440,0)&gt;0,ROUND((#REF!-TIME(0,0,0))*1440,0)&lt;tbl_Case_mins[[#This Row],[Into Th or AR]],tbl_Case_mins[[#This Row],[Surgery End Date]]&gt;tbl_Case_mins[[#This Row],[Surgery Start Date]]),ROUND((#REF!-TIME(0,0,0))*1440,0)+1440,ROUND((#REF!-TIME(0,0,0))*1440,0))</f>
        <v>#REF!</v>
      </c>
      <c r="R43" s="9" t="e">
        <f>IF(AND(ROUND((#REF!-TIME(0,0,0))*1440,0)&gt;0,ROUND((#REF!-TIME(0,0,0))*1440,0)&lt;tbl_Case_mins[[#This Row],[AnaesthStart]],tbl_Case_mins[[#This Row],[Surgery End Date]]&gt;tbl_Case_mins[[#This Row],[Surgery Start Date]]),ROUND((#REF!-TIME(0,0,0))*1440,0)+1440,ROUND((#REF!-TIME(0,0,0))*1440,0))</f>
        <v>#REF!</v>
      </c>
      <c r="S43" s="9" t="e">
        <f>IF(AND(ROUND((#REF!-TIME(0,0,0))*1440,0),ROUND((#REF!-TIME(0,0,0))*1440,0)&lt;tbl_Case_mins[[#This Row],[Surgery Start]],tbl_Case_mins[[#This Row],[Surgery End Date]]&gt;tbl_Case_mins[[#This Row],[Surgery Start Date]]),ROUND((#REF!-TIME(0,0,0))*1440,0)+1440,ROUND((#REF!-TIME(0,0,0))*1440,0))</f>
        <v>#REF!</v>
      </c>
      <c r="T43" s="9" t="e">
        <f>IF(AND(ROUND((#REF!-TIME(0,0,0))*1440,0)&gt;0,ROUND((#REF!-TIME(0,0,0))*1440,0)&lt;tbl_Case_mins[[#This Row],[Surgery Finish]],tbl_Case_mins[[#This Row],[Surgery End Date]]&gt;tbl_Case_mins[[#This Row],[Surgery Start Date]]),ROUND((#REF!-TIME(0,0,0))*1440,0)+1440,ROUND((#REF!-TIME(0,0,0))*1440,0))</f>
        <v>#REF!</v>
      </c>
      <c r="U43" s="9" t="e">
        <f>IF(AND(ROUND((#REF!-TIME(0,0,0))*1440,0)&gt;0,ROUND((#REF!-TIME(0,0,0))*1440,0)&lt;tbl_Case_mins[[#This Row],[Anaesth End]],tbl_Case_mins[[#This Row],[Surgery End Date]]&gt;tbl_Case_mins[[#This Row],[Surgery Start Date]]),ROUND((#REF!-TIME(0,0,0))*1440,0)+1440,ROUND((#REF!-TIME(0,0,0))*1440,0))</f>
        <v>#REF!</v>
      </c>
      <c r="V43" s="9" t="e">
        <f>IF(AND(ROUND((#REF!-TIME(0,0,0))*1440,0)&gt;0,ROUND((#REF!-TIME(0,0,0))*1440,0)&lt;tbl_Case_mins[[#This Row],[Into Recov]],tbl_Case_mins[[#This Row],[Surgery End Date]]&gt;tbl_Case_mins[[#This Row],[Surgery Start Date]]),ROUND((#REF!-TIME(0,0,0))*1440,0)+1440,ROUND((#REF!-TIME(0,0,0))*1440,0))</f>
        <v>#REF!</v>
      </c>
      <c r="W43" s="9" t="e">
        <f>IF(AND(ROUND((#REF!-TIME(0,0,0))*1440,0)&gt;0,ROUND((#REF!-TIME(0,0,0))*1440,0)&lt;tbl_Case_mins[[#This Row],[Ward Called]],tbl_Case_mins[[#This Row],[Surgery End Date]]&gt;tbl_Case_mins[[#This Row],[Surgery Start Date]]),ROUND((#REF!-TIME(0,0,0))*1440,0)+1440,ROUND((#REF!-TIME(0,0,0))*1440,0))</f>
        <v>#REF!</v>
      </c>
      <c r="X43" s="4" t="e">
        <f>IF(ISBLANK(#REF!),tbl_Case_mins[[#This Row],[Surgery Start Date]],#REF!)</f>
        <v>#REF!</v>
      </c>
      <c r="Y43">
        <f>IFERROR(IF(VLOOKUP(tbl_Case_mins[[#This Row],[Theatre]],'Mng Theatres'!$C$7:$G$12,3,FALSE)="Yes","Yes","No"),0)</f>
        <v>0</v>
      </c>
      <c r="Z43" s="9" t="e" cm="1">
        <f t="array" ref="Z4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 s="9" t="e" cm="1">
        <f t="array" ref="AA4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 s="9" t="e">
        <f>IF(tbl_Case_mins[[#This Row],[Case Type]]="Unsch",1,0)</f>
        <v>#REF!</v>
      </c>
      <c r="AD43" s="9" t="e">
        <f>IF(tbl_Case_mins[[#This Row],[Case Type]]="Sch",1,0)</f>
        <v>#REF!</v>
      </c>
      <c r="AE4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 s="9">
        <f>IFERROR(IF(ISBLANK(INDEX(Am_Close,MATCH(1,INDEX((tbl_Case_mins[[#This Row],[Theatre]]=Theatre_No)*(tbl_Case_mins[[#This Row],[Surgery Start Date]]=Date),0,1),0))*1440),0,INDEX(Am_Close,MATCH(1,INDEX((tbl_Case_mins[[#This Row],[Theatre]]=Theatre_No)*(tbl_Case_mins[[#This Row],[Surgery Start Date]]=Date),0,1),0))*1440),0)</f>
        <v>0</v>
      </c>
      <c r="AG43" s="9">
        <f>IFERROR(IF(ISBLANK(INDEX(PM_Open,MATCH(1,INDEX((tbl_Case_mins[[#This Row],[Theatre]]=Theatre_No)*(tbl_Case_mins[[#This Row],[Surgery Start Date]]=Date),0,1),0))*1440),0,INDEX(PM_Open,MATCH(1,INDEX((tbl_Case_mins[[#This Row],[Theatre]]=Theatre_No)*(tbl_Case_mins[[#This Row],[Surgery Start Date]]=Date),0,1),0))*1440),0)</f>
        <v>0</v>
      </c>
      <c r="AH4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 s="9" t="e">
        <f>IF(tbl_Case_mins[[#This Row],[ThOpenAm]]=0,tbl_Case_mins[[#This Row],[ThOpenPM]],tbl_Case_mins[[#This Row],[ThOpenAm]])</f>
        <v>#REF!</v>
      </c>
      <c r="AJ43" s="9" t="e">
        <f>IF(tbl_Case_mins[[#This Row],[ThCloseAm]]&gt;0,IF(tbl_Case_mins[[#This Row],[ThOpenPM]]&gt;0,tbl_Case_mins[[#This Row],[ThClosePm]],tbl_Case_mins[[#This Row],[ThCloseAm]]),tbl_Case_mins[[#This Row],[ThClosePm]])</f>
        <v>#REF!</v>
      </c>
      <c r="AK43" s="9" t="e">
        <f>IF(tbl_Case_mins[[#This Row],[TOT]]&gt;0,1,0)</f>
        <v>#REF!</v>
      </c>
      <c r="AL4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 s="9" t="e">
        <f>IF(AND(tbl_Case_mins[[#This Row],[Surgery Status]]&lt;&gt;2,tbl_Case_mins[[#This Row],[InCoreCase]]=0,tbl_Case_mins[[#This Row],[CancelledCase]]=0),1,0)</f>
        <v>#REF!</v>
      </c>
      <c r="AN43" s="9" t="e">
        <f>IF(tbl_Case_mins[[#This Row],[Surgery Status]]=1,1,0)</f>
        <v>#REF!</v>
      </c>
      <c r="AO4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 s="9" t="e">
        <f>IF(AND(tbl_Case_mins[[#This Row],[NonCoreCase]]=1,tbl_Case_mins[[#This Row],[NoInCoreTime]]=0),1,0)</f>
        <v>#REF!</v>
      </c>
      <c r="AQ43" s="9" t="e">
        <f>IF(tbl_Case_mins[[#This Row],[Rank_AnaEnd]]&lt;tbl_Case_mins[[#This Row],[Rank_AnaSt]],1,0)</f>
        <v>#REF!</v>
      </c>
      <c r="AR43" s="9" t="e">
        <f>IF(AND(tbl_Case_mins[[#This Row],[InCoreCase]]=1,tbl_Case_mins[[#This Row],[Sch]]=1),1,0)</f>
        <v>#REF!</v>
      </c>
      <c r="AS43" s="9" t="e">
        <f>IF(AND(tbl_Case_mins[[#This Row],[InCoreCase]]=1,tbl_Case_mins[[#This Row],[Unsch]]=1),1,0)</f>
        <v>#REF!</v>
      </c>
      <c r="AT4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 s="9" t="e">
        <f>IF(tbl_Case_mins[[#This Row],[Surgery Status]]=0,(tbl_Case_mins[[#This Row],[Anaesth End]]-tbl_Case_mins[[#This Row],[AnaesthStart]]),0)</f>
        <v>#REF!</v>
      </c>
      <c r="AX43" s="9" t="e">
        <f>IF(tbl_Case_mins[[#This Row],[Surgery Status]]=0,(tbl_Case_mins[[#This Row],[Surgery Finish]]-tbl_Case_mins[[#This Row],[Surgery Start]]),0)</f>
        <v>#REF!</v>
      </c>
      <c r="AY43" s="9" t="e">
        <f>tbl_Case_mins[[#This Row],[Surgery Start]]-tbl_Case_mins[[#This Row],[AnaesthStart]]</f>
        <v>#REF!</v>
      </c>
      <c r="AZ43" s="9" t="e">
        <f>tbl_Case_mins[[#This Row],[Anaesth End]]-tbl_Case_mins[[#This Row],[Surgery Finish]]</f>
        <v>#REF!</v>
      </c>
      <c r="BA4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 s="16" cm="1">
        <f t="array" ref="BC4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 s="16" t="e">
        <f>IF(AND(tbl_Case_mins[[#This Row],[FirstAMCase]]=1,tbl_Case_mins[[#This Row],[CancelledCase]]=0,OR(tbl_Case_mins[[#This Row],[EarlyStartAM]]&gt;0,tbl_Case_mins[[#This Row],[AnaesthStart]]=tbl_Case_mins[[#This Row],[ThOpenAm]])),1,0)</f>
        <v>#REF!</v>
      </c>
      <c r="BE43" s="16" t="e">
        <f>IF(AND(tbl_Case_mins[[#This Row],[Rank_AnaSt]]=tbl_Case_mins[[#This Row],[Min_RankAnaSt]],tbl_Case_mins[[#This Row],[Anaesth End]]&gt;=tbl_Case_mins[[#This Row],[ThOpenAm]],tbl_Case_mins[[#This Row],[PmCase]]=0),1,0)</f>
        <v>#REF!</v>
      </c>
      <c r="BF4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 s="9" t="e" cm="1">
        <f t="array" ref="BH4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 s="9" t="e">
        <f>IF(AND(tbl_Case_mins[[#This Row],[ThOpenPM]]&gt;0,tbl_Case_mins[[#This Row],[AnaesthStart]]&gt;tbl_Case_mins[[#This Row],[ThOpenPM]],tbl_Case_mins[[#This Row],[First PM Case]]=1),tbl_Case_mins[[#This Row],[AnaesthStart]]-tbl_Case_mins[[#This Row],[ThOpenPM]],0)</f>
        <v>#REF!</v>
      </c>
      <c r="BL4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 s="9" t="e" cm="1">
        <f t="array" ref="BN4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 s="9" t="e">
        <f>IF(AND(tbl_Case_mins[[#This Row],[ThClosePm]]&gt;0,tbl_Case_mins[[#This Row],[Anaesth End]]&gt;tbl_Case_mins[[#This Row],[ThClosePm]],tbl_Case_mins[[#This Row],[AnaesthStart]]&gt;tbl_Case_mins[[#This Row],[ThClosePm]]),tbl_Case_mins[[#This Row],[Into Recov]]-tbl_Case_mins[[#This Row],[AnaesthStart]],0)</f>
        <v>#REF!</v>
      </c>
      <c r="BP43" s="9" t="e">
        <f>IF(AND(tbl_Case_mins[[#This Row],[AnaesthStart]]&lt;tbl_Case_mins[[#This Row],[ThClosePm]],tbl_Case_mins[[#This Row],[Anaesth End]]&gt;tbl_Case_mins[[#This Row],[ThClosePm]]),tbl_Case_mins[[#This Row],[Anaesth End]]-tbl_Case_mins[[#This Row],[ThClosePm]],0)</f>
        <v>#REF!</v>
      </c>
      <c r="BQ43" s="9" t="e" cm="1">
        <f t="array" ref="BQ4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 s="9" t="e" cm="1">
        <f t="array" ref="BR43">IF(tbl_Case_mins[[#This Row],[Rank_Adjust]]=SUMPRODUCT(-(tbl_Case_mins[Surgery Start Date]=tbl_Case_mins[[#This Row],[Surgery Start Date]]),-(tbl_Case_mins[Theatre]=tbl_Case_mins[[#This Row],[Theatre]])),INDEX(Poss_Time,MATCH(TEXT(tbl_Case_mins[[#This Row],[Surgery Start Date]],"ddd"),Day,0)),0)</f>
        <v>#REF!</v>
      </c>
      <c r="BS43" s="9" t="e">
        <f>tbl_Case_mins[[#This Row],[Core_Time]]*Util_Goal</f>
        <v>#REF!</v>
      </c>
      <c r="BT43" s="9" t="e" cm="1">
        <f t="array" ref="BT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 s="9" t="e" cm="1">
        <f t="array" ref="BU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 s="9" t="e">
        <f>IF(tbl_Case_mins[[#This Row],[Surgery End Date]]&gt;tbl_Case_mins[[#This Row],[Surgery Start Date]],tbl_Case_mins[[#This Row],[Anaesth End]]-1440,0)</f>
        <v>#REF!</v>
      </c>
      <c r="BY43" s="9" t="e">
        <f>tbl_Case_mins[[#This Row],[Total_NonCore]]-tbl_Case_mins[[#This Row],[NextDay_NonCore]]</f>
        <v>#REF!</v>
      </c>
      <c r="BZ43" s="10" t="e">
        <f>tbl_Case_mins[[#This Row],[InCoreUse]]/60</f>
        <v>#REF!</v>
      </c>
      <c r="CA43" s="10" t="e">
        <f>tbl_Case_mins[[#This Row],[Total_NonCore]]/60</f>
        <v>#REF!</v>
      </c>
      <c r="CB43" t="e" cm="1">
        <f t="array" ref="CB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 s="9" t="e" cm="1">
        <f t="array" ref="CC4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 s="9" t="e" cm="1">
        <f t="array" ref="CD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 s="9" t="e" cm="1">
        <f t="array" ref="CE4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 s="9" cm="1">
        <f t="array" ref="CF43">IFERROR(_xlfn.AGGREGATE(14,6,(tbl_Case_mins[Rank_AnaEnd])/((tbl_Case_mins[Surgery Start Date]=tbl_Case_mins[[#This Row],[Surgery Start Date]])*(tbl_Case_mins[Theatre]=tbl_Case_mins[[#This Row],[Theatre]])*(tbl_Case_mins[NoInCoreTime]=0)),1),-1)</f>
        <v>-1</v>
      </c>
      <c r="CG43" s="9" cm="1">
        <f t="array" ref="CG43">IFERROR(_xlfn.AGGREGATE(15,6,(tbl_Case_mins[Rank_AnaSt])/((tbl_Case_mins[Surgery Start Date]=tbl_Case_mins[[#This Row],[Surgery Start Date]])*(tbl_Case_mins[Theatre]=tbl_Case_mins[[#This Row],[Theatre]])*(tbl_Case_mins[NoInCoreTime]=0)),1),-1)</f>
        <v>-1</v>
      </c>
      <c r="CH4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 t="e" cm="1">
        <f t="array" ref="CJ4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 s="9" cm="1">
        <f t="array" ref="CO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 s="9" cm="1">
        <f t="array" ref="CP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 s="9" cm="1">
        <f t="array" ref="CQ43">IFERROR(IF(AND(tbl_Case_mins[[#This Row],[FirstAMCase]]=0,tbl_Case_mins[[#This Row],[Rank]]=_xlfn.AGGREGATE(14,6,(tbl_Case_mins[Rank])/((tbl_Case_mins[Surgery Start Date]=tbl_Case_mins[[#This Row],[Surgery Start Date]])*(tbl_Case_mins[Theatre]=tbl_Case_mins[[#This Row],[Theatre]])*(tbl_Case_mins[AmCase]=1)),1)),1,0),0)</f>
        <v>0</v>
      </c>
      <c r="CR43" s="9" cm="1">
        <f t="array" ref="CR4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 s="9" t="e" cm="1">
        <f t="array" ref="CS4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 s="9" cm="1">
        <f t="array" ref="CT43">IFERROR(IF(tbl_Case_mins[[#This Row],[Rank]]=_xlfn.AGGREGATE(15,6,(tbl_Case_mins[Rank])/((tbl_Case_mins[Surgery Start Date]=tbl_Case_mins[[#This Row],[Surgery Start Date]])*(tbl_Case_mins[Theatre]=tbl_Case_mins[[#This Row],[Theatre]])*(tbl_Case_mins[PmCase]=1)),1),1,0),0)</f>
        <v>0</v>
      </c>
      <c r="CU43">
        <f>IFERROR(#REF!,0)</f>
        <v>0</v>
      </c>
      <c r="CV43" s="9" t="e" cm="1">
        <f t="array" ref="CV4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 s="9">
        <f>IFERROR(IF(ISBLANK(INDEX(Bay_AmClose,MATCH(1,INDEX((tbl_Case_mins[[#This Row],[Bay]]=BayNo)*(tbl_Case_mins[[#This Row],[Surgery Start Date]]=BDate),0,1),0))*1440),0,INDEX(Bay_AmClose,MATCH(1,INDEX((tbl_Case_mins[[#This Row],[Bay]]=BayNo)*(tbl_Case_mins[[#This Row],[Surgery Start Date]]=BDate),0,1),0))*1440),0)</f>
        <v>0</v>
      </c>
      <c r="CX43" s="9" cm="1">
        <f t="array" ref="CX43">IFERROR(IF(ISBLANK(INDEX(Bay_PmOpen,MATCH(1,INDEX((tbl_Case_mins[[#This Row],[Bay]]=BayNo)*(tbl_Case_mins[[#This Row],[Surgery Start Date]]=BDate),0,1),0))*1440),0,INDEX(Bay_PmOpen,MATCH(1,INDEX((tbl_Case_mins[[#This Row],[Bay]]=BayNo)*(tbl_Case_mins[[#This Row],[Surgery Start Date]]=BDate),0,1),0))*1440),0)</f>
        <v>0</v>
      </c>
      <c r="CY4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 s="9"/>
    </row>
    <row r="44" spans="1:104" x14ac:dyDescent="0.2">
      <c r="A44">
        <v>43</v>
      </c>
      <c r="B44" t="e">
        <f>#REF!</f>
        <v>#REF!</v>
      </c>
      <c r="C44" t="e">
        <f>#REF!</f>
        <v>#REF!</v>
      </c>
      <c r="D44" t="e">
        <f>#REF!</f>
        <v>#REF!</v>
      </c>
      <c r="E44" t="e">
        <f>#REF!</f>
        <v>#REF!</v>
      </c>
      <c r="F44" t="e">
        <f>#REF!</f>
        <v>#REF!</v>
      </c>
      <c r="G44" t="e">
        <f>#REF!</f>
        <v>#REF!</v>
      </c>
      <c r="H44" t="e">
        <f>#REF!</f>
        <v>#REF!</v>
      </c>
      <c r="I44" t="e">
        <f>IF(#REF!="Case Cancelled",1,IF(#REF!="No Cases",2,0))</f>
        <v>#REF!</v>
      </c>
      <c r="J44" t="e">
        <f>#REF!</f>
        <v>#REF!</v>
      </c>
      <c r="K44" s="4" t="e">
        <f>#REF!</f>
        <v>#REF!</v>
      </c>
      <c r="L44" t="e">
        <f>"Wk "&amp;WEEKNUM(tbl_Case_mins[[#This Row],[Surgery Start Date]],21)</f>
        <v>#REF!</v>
      </c>
      <c r="M44" t="e">
        <f>TEXT(tbl_Case_mins[[#This Row],[Surgery Start Date]],"ddd")</f>
        <v>#REF!</v>
      </c>
      <c r="N44" s="9" t="e">
        <f>(#REF!-TIME(0,0,0))*1440</f>
        <v>#REF!</v>
      </c>
      <c r="O44" t="e">
        <f>IF(AND(ROUND((#REF!-TIME(0,0,0))*1440,0)&gt;0,ROUND((#REF!-TIME(0,0,0))*1440,0)&lt;tbl_Case_mins[[#This Row],[Patient Called]],tbl_Case_mins[[#This Row],[Surgery End Date]]&gt;tbl_Case_mins[[#This Row],[Surgery Start Date]]),ROUND((#REF!-TIME(0,0,0))*1440,0)+1440,ROUND((#REF!-TIME(0,0,0))*1440,0))</f>
        <v>#REF!</v>
      </c>
      <c r="P44" s="9" t="e">
        <f>IF(AND(ROUND((#REF!-TIME(0,0,0))*1440,0)&gt;0,ROUND((#REF!-TIME(0,0,0))*1440,0)&lt;tbl_Case_mins[[#This Row],[Arrival]],tbl_Case_mins[[#This Row],[Surgery End Date]]&gt;tbl_Case_mins[[#This Row],[Surgery Start Date]]),ROUND((#REF!-TIME(0,0,0))*1440,0)+1440,ROUND((#REF!-TIME(0,0,0))*1440,0))</f>
        <v>#REF!</v>
      </c>
      <c r="Q44" s="9" t="e">
        <f>IF(AND(ROUND((#REF!-TIME(0,0,0))*1440,0)&gt;0,ROUND((#REF!-TIME(0,0,0))*1440,0)&lt;tbl_Case_mins[[#This Row],[Into Th or AR]],tbl_Case_mins[[#This Row],[Surgery End Date]]&gt;tbl_Case_mins[[#This Row],[Surgery Start Date]]),ROUND((#REF!-TIME(0,0,0))*1440,0)+1440,ROUND((#REF!-TIME(0,0,0))*1440,0))</f>
        <v>#REF!</v>
      </c>
      <c r="R44" s="9" t="e">
        <f>IF(AND(ROUND((#REF!-TIME(0,0,0))*1440,0)&gt;0,ROUND((#REF!-TIME(0,0,0))*1440,0)&lt;tbl_Case_mins[[#This Row],[AnaesthStart]],tbl_Case_mins[[#This Row],[Surgery End Date]]&gt;tbl_Case_mins[[#This Row],[Surgery Start Date]]),ROUND((#REF!-TIME(0,0,0))*1440,0)+1440,ROUND((#REF!-TIME(0,0,0))*1440,0))</f>
        <v>#REF!</v>
      </c>
      <c r="S44" s="9" t="e">
        <f>IF(AND(ROUND((#REF!-TIME(0,0,0))*1440,0),ROUND((#REF!-TIME(0,0,0))*1440,0)&lt;tbl_Case_mins[[#This Row],[Surgery Start]],tbl_Case_mins[[#This Row],[Surgery End Date]]&gt;tbl_Case_mins[[#This Row],[Surgery Start Date]]),ROUND((#REF!-TIME(0,0,0))*1440,0)+1440,ROUND((#REF!-TIME(0,0,0))*1440,0))</f>
        <v>#REF!</v>
      </c>
      <c r="T44" s="9" t="e">
        <f>IF(AND(ROUND((#REF!-TIME(0,0,0))*1440,0)&gt;0,ROUND((#REF!-TIME(0,0,0))*1440,0)&lt;tbl_Case_mins[[#This Row],[Surgery Finish]],tbl_Case_mins[[#This Row],[Surgery End Date]]&gt;tbl_Case_mins[[#This Row],[Surgery Start Date]]),ROUND((#REF!-TIME(0,0,0))*1440,0)+1440,ROUND((#REF!-TIME(0,0,0))*1440,0))</f>
        <v>#REF!</v>
      </c>
      <c r="U44" s="9" t="e">
        <f>IF(AND(ROUND((#REF!-TIME(0,0,0))*1440,0)&gt;0,ROUND((#REF!-TIME(0,0,0))*1440,0)&lt;tbl_Case_mins[[#This Row],[Anaesth End]],tbl_Case_mins[[#This Row],[Surgery End Date]]&gt;tbl_Case_mins[[#This Row],[Surgery Start Date]]),ROUND((#REF!-TIME(0,0,0))*1440,0)+1440,ROUND((#REF!-TIME(0,0,0))*1440,0))</f>
        <v>#REF!</v>
      </c>
      <c r="V44" s="9" t="e">
        <f>IF(AND(ROUND((#REF!-TIME(0,0,0))*1440,0)&gt;0,ROUND((#REF!-TIME(0,0,0))*1440,0)&lt;tbl_Case_mins[[#This Row],[Into Recov]],tbl_Case_mins[[#This Row],[Surgery End Date]]&gt;tbl_Case_mins[[#This Row],[Surgery Start Date]]),ROUND((#REF!-TIME(0,0,0))*1440,0)+1440,ROUND((#REF!-TIME(0,0,0))*1440,0))</f>
        <v>#REF!</v>
      </c>
      <c r="W44" s="9" t="e">
        <f>IF(AND(ROUND((#REF!-TIME(0,0,0))*1440,0)&gt;0,ROUND((#REF!-TIME(0,0,0))*1440,0)&lt;tbl_Case_mins[[#This Row],[Ward Called]],tbl_Case_mins[[#This Row],[Surgery End Date]]&gt;tbl_Case_mins[[#This Row],[Surgery Start Date]]),ROUND((#REF!-TIME(0,0,0))*1440,0)+1440,ROUND((#REF!-TIME(0,0,0))*1440,0))</f>
        <v>#REF!</v>
      </c>
      <c r="X44" s="4" t="e">
        <f>IF(ISBLANK(#REF!),tbl_Case_mins[[#This Row],[Surgery Start Date]],#REF!)</f>
        <v>#REF!</v>
      </c>
      <c r="Y44">
        <f>IFERROR(IF(VLOOKUP(tbl_Case_mins[[#This Row],[Theatre]],'Mng Theatres'!$C$7:$G$12,3,FALSE)="Yes","Yes","No"),0)</f>
        <v>0</v>
      </c>
      <c r="Z44" s="9" t="e" cm="1">
        <f t="array" ref="Z4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4" s="9" t="e" cm="1">
        <f t="array" ref="AA4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4" s="9" t="e">
        <f>IF(tbl_Case_mins[[#This Row],[Case Type]]="Unsch",1,0)</f>
        <v>#REF!</v>
      </c>
      <c r="AD44" s="9" t="e">
        <f>IF(tbl_Case_mins[[#This Row],[Case Type]]="Sch",1,0)</f>
        <v>#REF!</v>
      </c>
      <c r="AE4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4" s="9">
        <f>IFERROR(IF(ISBLANK(INDEX(Am_Close,MATCH(1,INDEX((tbl_Case_mins[[#This Row],[Theatre]]=Theatre_No)*(tbl_Case_mins[[#This Row],[Surgery Start Date]]=Date),0,1),0))*1440),0,INDEX(Am_Close,MATCH(1,INDEX((tbl_Case_mins[[#This Row],[Theatre]]=Theatre_No)*(tbl_Case_mins[[#This Row],[Surgery Start Date]]=Date),0,1),0))*1440),0)</f>
        <v>0</v>
      </c>
      <c r="AG44" s="9">
        <f>IFERROR(IF(ISBLANK(INDEX(PM_Open,MATCH(1,INDEX((tbl_Case_mins[[#This Row],[Theatre]]=Theatre_No)*(tbl_Case_mins[[#This Row],[Surgery Start Date]]=Date),0,1),0))*1440),0,INDEX(PM_Open,MATCH(1,INDEX((tbl_Case_mins[[#This Row],[Theatre]]=Theatre_No)*(tbl_Case_mins[[#This Row],[Surgery Start Date]]=Date),0,1),0))*1440),0)</f>
        <v>0</v>
      </c>
      <c r="AH4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4" s="9" t="e">
        <f>IF(tbl_Case_mins[[#This Row],[ThOpenAm]]=0,tbl_Case_mins[[#This Row],[ThOpenPM]],tbl_Case_mins[[#This Row],[ThOpenAm]])</f>
        <v>#REF!</v>
      </c>
      <c r="AJ44" s="9" t="e">
        <f>IF(tbl_Case_mins[[#This Row],[ThCloseAm]]&gt;0,IF(tbl_Case_mins[[#This Row],[ThOpenPM]]&gt;0,tbl_Case_mins[[#This Row],[ThClosePm]],tbl_Case_mins[[#This Row],[ThCloseAm]]),tbl_Case_mins[[#This Row],[ThClosePm]])</f>
        <v>#REF!</v>
      </c>
      <c r="AK44" s="9" t="e">
        <f>IF(tbl_Case_mins[[#This Row],[TOT]]&gt;0,1,0)</f>
        <v>#REF!</v>
      </c>
      <c r="AL4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4" s="9" t="e">
        <f>IF(AND(tbl_Case_mins[[#This Row],[Surgery Status]]&lt;&gt;2,tbl_Case_mins[[#This Row],[InCoreCase]]=0,tbl_Case_mins[[#This Row],[CancelledCase]]=0),1,0)</f>
        <v>#REF!</v>
      </c>
      <c r="AN44" s="9" t="e">
        <f>IF(tbl_Case_mins[[#This Row],[Surgery Status]]=1,1,0)</f>
        <v>#REF!</v>
      </c>
      <c r="AO4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4" s="9" t="e">
        <f>IF(AND(tbl_Case_mins[[#This Row],[NonCoreCase]]=1,tbl_Case_mins[[#This Row],[NoInCoreTime]]=0),1,0)</f>
        <v>#REF!</v>
      </c>
      <c r="AQ44" s="9" t="e">
        <f>IF(tbl_Case_mins[[#This Row],[Rank_AnaEnd]]&lt;tbl_Case_mins[[#This Row],[Rank_AnaSt]],1,0)</f>
        <v>#REF!</v>
      </c>
      <c r="AR44" s="9" t="e">
        <f>IF(AND(tbl_Case_mins[[#This Row],[InCoreCase]]=1,tbl_Case_mins[[#This Row],[Sch]]=1),1,0)</f>
        <v>#REF!</v>
      </c>
      <c r="AS44" s="9" t="e">
        <f>IF(AND(tbl_Case_mins[[#This Row],[InCoreCase]]=1,tbl_Case_mins[[#This Row],[Unsch]]=1),1,0)</f>
        <v>#REF!</v>
      </c>
      <c r="AT4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4" s="9" t="e">
        <f>IF(tbl_Case_mins[[#This Row],[Surgery Status]]=0,(tbl_Case_mins[[#This Row],[Anaesth End]]-tbl_Case_mins[[#This Row],[AnaesthStart]]),0)</f>
        <v>#REF!</v>
      </c>
      <c r="AX44" s="9" t="e">
        <f>IF(tbl_Case_mins[[#This Row],[Surgery Status]]=0,(tbl_Case_mins[[#This Row],[Surgery Finish]]-tbl_Case_mins[[#This Row],[Surgery Start]]),0)</f>
        <v>#REF!</v>
      </c>
      <c r="AY44" s="9" t="e">
        <f>tbl_Case_mins[[#This Row],[Surgery Start]]-tbl_Case_mins[[#This Row],[AnaesthStart]]</f>
        <v>#REF!</v>
      </c>
      <c r="AZ44" s="9" t="e">
        <f>tbl_Case_mins[[#This Row],[Anaesth End]]-tbl_Case_mins[[#This Row],[Surgery Finish]]</f>
        <v>#REF!</v>
      </c>
      <c r="BA4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4" s="16" cm="1">
        <f t="array" ref="BC4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4" s="16" t="e">
        <f>IF(AND(tbl_Case_mins[[#This Row],[FirstAMCase]]=1,tbl_Case_mins[[#This Row],[CancelledCase]]=0,OR(tbl_Case_mins[[#This Row],[EarlyStartAM]]&gt;0,tbl_Case_mins[[#This Row],[AnaesthStart]]=tbl_Case_mins[[#This Row],[ThOpenAm]])),1,0)</f>
        <v>#REF!</v>
      </c>
      <c r="BE44" s="16" t="e">
        <f>IF(AND(tbl_Case_mins[[#This Row],[Rank_AnaSt]]=tbl_Case_mins[[#This Row],[Min_RankAnaSt]],tbl_Case_mins[[#This Row],[Anaesth End]]&gt;=tbl_Case_mins[[#This Row],[ThOpenAm]],tbl_Case_mins[[#This Row],[PmCase]]=0),1,0)</f>
        <v>#REF!</v>
      </c>
      <c r="BF4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4" s="9" t="e" cm="1">
        <f t="array" ref="BH4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4" s="9" t="e">
        <f>IF(AND(tbl_Case_mins[[#This Row],[ThOpenPM]]&gt;0,tbl_Case_mins[[#This Row],[AnaesthStart]]&gt;tbl_Case_mins[[#This Row],[ThOpenPM]],tbl_Case_mins[[#This Row],[First PM Case]]=1),tbl_Case_mins[[#This Row],[AnaesthStart]]-tbl_Case_mins[[#This Row],[ThOpenPM]],0)</f>
        <v>#REF!</v>
      </c>
      <c r="BL4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4" s="9" t="e" cm="1">
        <f t="array" ref="BN4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4" s="9" t="e">
        <f>IF(AND(tbl_Case_mins[[#This Row],[ThClosePm]]&gt;0,tbl_Case_mins[[#This Row],[Anaesth End]]&gt;tbl_Case_mins[[#This Row],[ThClosePm]],tbl_Case_mins[[#This Row],[AnaesthStart]]&gt;tbl_Case_mins[[#This Row],[ThClosePm]]),tbl_Case_mins[[#This Row],[Into Recov]]-tbl_Case_mins[[#This Row],[AnaesthStart]],0)</f>
        <v>#REF!</v>
      </c>
      <c r="BP44" s="9" t="e">
        <f>IF(AND(tbl_Case_mins[[#This Row],[AnaesthStart]]&lt;tbl_Case_mins[[#This Row],[ThClosePm]],tbl_Case_mins[[#This Row],[Anaesth End]]&gt;tbl_Case_mins[[#This Row],[ThClosePm]]),tbl_Case_mins[[#This Row],[Anaesth End]]-tbl_Case_mins[[#This Row],[ThClosePm]],0)</f>
        <v>#REF!</v>
      </c>
      <c r="BQ44" s="9" t="e" cm="1">
        <f t="array" ref="BQ4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4" s="9" t="e" cm="1">
        <f t="array" ref="BR44">IF(tbl_Case_mins[[#This Row],[Rank_Adjust]]=SUMPRODUCT(-(tbl_Case_mins[Surgery Start Date]=tbl_Case_mins[[#This Row],[Surgery Start Date]]),-(tbl_Case_mins[Theatre]=tbl_Case_mins[[#This Row],[Theatre]])),INDEX(Poss_Time,MATCH(TEXT(tbl_Case_mins[[#This Row],[Surgery Start Date]],"ddd"),Day,0)),0)</f>
        <v>#REF!</v>
      </c>
      <c r="BS44" s="9" t="e">
        <f>tbl_Case_mins[[#This Row],[Core_Time]]*Util_Goal</f>
        <v>#REF!</v>
      </c>
      <c r="BT44" s="9" t="e" cm="1">
        <f t="array" ref="BT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4" s="9" t="e" cm="1">
        <f t="array" ref="BU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4" s="9" t="e">
        <f>IF(tbl_Case_mins[[#This Row],[Surgery End Date]]&gt;tbl_Case_mins[[#This Row],[Surgery Start Date]],tbl_Case_mins[[#This Row],[Anaesth End]]-1440,0)</f>
        <v>#REF!</v>
      </c>
      <c r="BY44" s="9" t="e">
        <f>tbl_Case_mins[[#This Row],[Total_NonCore]]-tbl_Case_mins[[#This Row],[NextDay_NonCore]]</f>
        <v>#REF!</v>
      </c>
      <c r="BZ44" s="10" t="e">
        <f>tbl_Case_mins[[#This Row],[InCoreUse]]/60</f>
        <v>#REF!</v>
      </c>
      <c r="CA44" s="10" t="e">
        <f>tbl_Case_mins[[#This Row],[Total_NonCore]]/60</f>
        <v>#REF!</v>
      </c>
      <c r="CB44" t="e" cm="1">
        <f t="array" ref="CB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4" s="9" t="e" cm="1">
        <f t="array" ref="CC4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4" s="9" t="e" cm="1">
        <f t="array" ref="CD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4" s="9" t="e" cm="1">
        <f t="array" ref="CE4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4" s="9" cm="1">
        <f t="array" ref="CF44">IFERROR(_xlfn.AGGREGATE(14,6,(tbl_Case_mins[Rank_AnaEnd])/((tbl_Case_mins[Surgery Start Date]=tbl_Case_mins[[#This Row],[Surgery Start Date]])*(tbl_Case_mins[Theatre]=tbl_Case_mins[[#This Row],[Theatre]])*(tbl_Case_mins[NoInCoreTime]=0)),1),-1)</f>
        <v>-1</v>
      </c>
      <c r="CG44" s="9" cm="1">
        <f t="array" ref="CG44">IFERROR(_xlfn.AGGREGATE(15,6,(tbl_Case_mins[Rank_AnaSt])/((tbl_Case_mins[Surgery Start Date]=tbl_Case_mins[[#This Row],[Surgery Start Date]])*(tbl_Case_mins[Theatre]=tbl_Case_mins[[#This Row],[Theatre]])*(tbl_Case_mins[NoInCoreTime]=0)),1),-1)</f>
        <v>-1</v>
      </c>
      <c r="CH4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4" t="e" cm="1">
        <f t="array" ref="CJ4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4" s="9" cm="1">
        <f t="array" ref="CO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4" s="9" cm="1">
        <f t="array" ref="CP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4" s="9" cm="1">
        <f t="array" ref="CQ44">IFERROR(IF(AND(tbl_Case_mins[[#This Row],[FirstAMCase]]=0,tbl_Case_mins[[#This Row],[Rank]]=_xlfn.AGGREGATE(14,6,(tbl_Case_mins[Rank])/((tbl_Case_mins[Surgery Start Date]=tbl_Case_mins[[#This Row],[Surgery Start Date]])*(tbl_Case_mins[Theatre]=tbl_Case_mins[[#This Row],[Theatre]])*(tbl_Case_mins[AmCase]=1)),1)),1,0),0)</f>
        <v>0</v>
      </c>
      <c r="CR44" s="9" cm="1">
        <f t="array" ref="CR4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4" s="9" t="e" cm="1">
        <f t="array" ref="CS4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4" s="9" cm="1">
        <f t="array" ref="CT44">IFERROR(IF(tbl_Case_mins[[#This Row],[Rank]]=_xlfn.AGGREGATE(15,6,(tbl_Case_mins[Rank])/((tbl_Case_mins[Surgery Start Date]=tbl_Case_mins[[#This Row],[Surgery Start Date]])*(tbl_Case_mins[Theatre]=tbl_Case_mins[[#This Row],[Theatre]])*(tbl_Case_mins[PmCase]=1)),1),1,0),0)</f>
        <v>0</v>
      </c>
      <c r="CU44">
        <f>IFERROR(#REF!,0)</f>
        <v>0</v>
      </c>
      <c r="CV44" s="9" t="e" cm="1">
        <f t="array" ref="CV4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4" s="9">
        <f>IFERROR(IF(ISBLANK(INDEX(Bay_AmClose,MATCH(1,INDEX((tbl_Case_mins[[#This Row],[Bay]]=BayNo)*(tbl_Case_mins[[#This Row],[Surgery Start Date]]=BDate),0,1),0))*1440),0,INDEX(Bay_AmClose,MATCH(1,INDEX((tbl_Case_mins[[#This Row],[Bay]]=BayNo)*(tbl_Case_mins[[#This Row],[Surgery Start Date]]=BDate),0,1),0))*1440),0)</f>
        <v>0</v>
      </c>
      <c r="CX44" s="9" cm="1">
        <f t="array" ref="CX44">IFERROR(IF(ISBLANK(INDEX(Bay_PmOpen,MATCH(1,INDEX((tbl_Case_mins[[#This Row],[Bay]]=BayNo)*(tbl_Case_mins[[#This Row],[Surgery Start Date]]=BDate),0,1),0))*1440),0,INDEX(Bay_PmOpen,MATCH(1,INDEX((tbl_Case_mins[[#This Row],[Bay]]=BayNo)*(tbl_Case_mins[[#This Row],[Surgery Start Date]]=BDate),0,1),0))*1440),0)</f>
        <v>0</v>
      </c>
      <c r="CY4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4" s="9"/>
    </row>
    <row r="45" spans="1:104" x14ac:dyDescent="0.2">
      <c r="A45">
        <v>44</v>
      </c>
      <c r="B45" t="e">
        <f>#REF!</f>
        <v>#REF!</v>
      </c>
      <c r="C45" t="e">
        <f>#REF!</f>
        <v>#REF!</v>
      </c>
      <c r="D45" t="e">
        <f>#REF!</f>
        <v>#REF!</v>
      </c>
      <c r="E45" t="e">
        <f>#REF!</f>
        <v>#REF!</v>
      </c>
      <c r="F45" t="e">
        <f>#REF!</f>
        <v>#REF!</v>
      </c>
      <c r="G45" t="e">
        <f>#REF!</f>
        <v>#REF!</v>
      </c>
      <c r="H45" t="e">
        <f>#REF!</f>
        <v>#REF!</v>
      </c>
      <c r="I45" t="e">
        <f>IF(#REF!="Case Cancelled",1,IF(#REF!="No Cases",2,0))</f>
        <v>#REF!</v>
      </c>
      <c r="J45" t="e">
        <f>#REF!</f>
        <v>#REF!</v>
      </c>
      <c r="K45" s="4" t="e">
        <f>#REF!</f>
        <v>#REF!</v>
      </c>
      <c r="L45" t="e">
        <f>"Wk "&amp;WEEKNUM(tbl_Case_mins[[#This Row],[Surgery Start Date]],21)</f>
        <v>#REF!</v>
      </c>
      <c r="M45" t="e">
        <f>TEXT(tbl_Case_mins[[#This Row],[Surgery Start Date]],"ddd")</f>
        <v>#REF!</v>
      </c>
      <c r="N45" s="9" t="e">
        <f>(#REF!-TIME(0,0,0))*1440</f>
        <v>#REF!</v>
      </c>
      <c r="O45" t="e">
        <f>IF(AND(ROUND((#REF!-TIME(0,0,0))*1440,0)&gt;0,ROUND((#REF!-TIME(0,0,0))*1440,0)&lt;tbl_Case_mins[[#This Row],[Patient Called]],tbl_Case_mins[[#This Row],[Surgery End Date]]&gt;tbl_Case_mins[[#This Row],[Surgery Start Date]]),ROUND((#REF!-TIME(0,0,0))*1440,0)+1440,ROUND((#REF!-TIME(0,0,0))*1440,0))</f>
        <v>#REF!</v>
      </c>
      <c r="P45" s="9" t="e">
        <f>IF(AND(ROUND((#REF!-TIME(0,0,0))*1440,0)&gt;0,ROUND((#REF!-TIME(0,0,0))*1440,0)&lt;tbl_Case_mins[[#This Row],[Arrival]],tbl_Case_mins[[#This Row],[Surgery End Date]]&gt;tbl_Case_mins[[#This Row],[Surgery Start Date]]),ROUND((#REF!-TIME(0,0,0))*1440,0)+1440,ROUND((#REF!-TIME(0,0,0))*1440,0))</f>
        <v>#REF!</v>
      </c>
      <c r="Q45" s="9" t="e">
        <f>IF(AND(ROUND((#REF!-TIME(0,0,0))*1440,0)&gt;0,ROUND((#REF!-TIME(0,0,0))*1440,0)&lt;tbl_Case_mins[[#This Row],[Into Th or AR]],tbl_Case_mins[[#This Row],[Surgery End Date]]&gt;tbl_Case_mins[[#This Row],[Surgery Start Date]]),ROUND((#REF!-TIME(0,0,0))*1440,0)+1440,ROUND((#REF!-TIME(0,0,0))*1440,0))</f>
        <v>#REF!</v>
      </c>
      <c r="R45" s="9" t="e">
        <f>IF(AND(ROUND((#REF!-TIME(0,0,0))*1440,0)&gt;0,ROUND((#REF!-TIME(0,0,0))*1440,0)&lt;tbl_Case_mins[[#This Row],[AnaesthStart]],tbl_Case_mins[[#This Row],[Surgery End Date]]&gt;tbl_Case_mins[[#This Row],[Surgery Start Date]]),ROUND((#REF!-TIME(0,0,0))*1440,0)+1440,ROUND((#REF!-TIME(0,0,0))*1440,0))</f>
        <v>#REF!</v>
      </c>
      <c r="S45" s="9" t="e">
        <f>IF(AND(ROUND((#REF!-TIME(0,0,0))*1440,0),ROUND((#REF!-TIME(0,0,0))*1440,0)&lt;tbl_Case_mins[[#This Row],[Surgery Start]],tbl_Case_mins[[#This Row],[Surgery End Date]]&gt;tbl_Case_mins[[#This Row],[Surgery Start Date]]),ROUND((#REF!-TIME(0,0,0))*1440,0)+1440,ROUND((#REF!-TIME(0,0,0))*1440,0))</f>
        <v>#REF!</v>
      </c>
      <c r="T45" s="9" t="e">
        <f>IF(AND(ROUND((#REF!-TIME(0,0,0))*1440,0)&gt;0,ROUND((#REF!-TIME(0,0,0))*1440,0)&lt;tbl_Case_mins[[#This Row],[Surgery Finish]],tbl_Case_mins[[#This Row],[Surgery End Date]]&gt;tbl_Case_mins[[#This Row],[Surgery Start Date]]),ROUND((#REF!-TIME(0,0,0))*1440,0)+1440,ROUND((#REF!-TIME(0,0,0))*1440,0))</f>
        <v>#REF!</v>
      </c>
      <c r="U45" s="9" t="e">
        <f>IF(AND(ROUND((#REF!-TIME(0,0,0))*1440,0)&gt;0,ROUND((#REF!-TIME(0,0,0))*1440,0)&lt;tbl_Case_mins[[#This Row],[Anaesth End]],tbl_Case_mins[[#This Row],[Surgery End Date]]&gt;tbl_Case_mins[[#This Row],[Surgery Start Date]]),ROUND((#REF!-TIME(0,0,0))*1440,0)+1440,ROUND((#REF!-TIME(0,0,0))*1440,0))</f>
        <v>#REF!</v>
      </c>
      <c r="V45" s="9" t="e">
        <f>IF(AND(ROUND((#REF!-TIME(0,0,0))*1440,0)&gt;0,ROUND((#REF!-TIME(0,0,0))*1440,0)&lt;tbl_Case_mins[[#This Row],[Into Recov]],tbl_Case_mins[[#This Row],[Surgery End Date]]&gt;tbl_Case_mins[[#This Row],[Surgery Start Date]]),ROUND((#REF!-TIME(0,0,0))*1440,0)+1440,ROUND((#REF!-TIME(0,0,0))*1440,0))</f>
        <v>#REF!</v>
      </c>
      <c r="W45" s="9" t="e">
        <f>IF(AND(ROUND((#REF!-TIME(0,0,0))*1440,0)&gt;0,ROUND((#REF!-TIME(0,0,0))*1440,0)&lt;tbl_Case_mins[[#This Row],[Ward Called]],tbl_Case_mins[[#This Row],[Surgery End Date]]&gt;tbl_Case_mins[[#This Row],[Surgery Start Date]]),ROUND((#REF!-TIME(0,0,0))*1440,0)+1440,ROUND((#REF!-TIME(0,0,0))*1440,0))</f>
        <v>#REF!</v>
      </c>
      <c r="X45" s="4" t="e">
        <f>IF(ISBLANK(#REF!),tbl_Case_mins[[#This Row],[Surgery Start Date]],#REF!)</f>
        <v>#REF!</v>
      </c>
      <c r="Y45">
        <f>IFERROR(IF(VLOOKUP(tbl_Case_mins[[#This Row],[Theatre]],'Mng Theatres'!$C$7:$G$12,3,FALSE)="Yes","Yes","No"),0)</f>
        <v>0</v>
      </c>
      <c r="Z45" s="9" t="e" cm="1">
        <f t="array" ref="Z4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5" s="9" t="e" cm="1">
        <f t="array" ref="AA4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5" s="9" t="e">
        <f>IF(tbl_Case_mins[[#This Row],[Case Type]]="Unsch",1,0)</f>
        <v>#REF!</v>
      </c>
      <c r="AD45" s="9" t="e">
        <f>IF(tbl_Case_mins[[#This Row],[Case Type]]="Sch",1,0)</f>
        <v>#REF!</v>
      </c>
      <c r="AE4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5" s="9">
        <f>IFERROR(IF(ISBLANK(INDEX(Am_Close,MATCH(1,INDEX((tbl_Case_mins[[#This Row],[Theatre]]=Theatre_No)*(tbl_Case_mins[[#This Row],[Surgery Start Date]]=Date),0,1),0))*1440),0,INDEX(Am_Close,MATCH(1,INDEX((tbl_Case_mins[[#This Row],[Theatre]]=Theatre_No)*(tbl_Case_mins[[#This Row],[Surgery Start Date]]=Date),0,1),0))*1440),0)</f>
        <v>0</v>
      </c>
      <c r="AG45" s="9">
        <f>IFERROR(IF(ISBLANK(INDEX(PM_Open,MATCH(1,INDEX((tbl_Case_mins[[#This Row],[Theatre]]=Theatre_No)*(tbl_Case_mins[[#This Row],[Surgery Start Date]]=Date),0,1),0))*1440),0,INDEX(PM_Open,MATCH(1,INDEX((tbl_Case_mins[[#This Row],[Theatre]]=Theatre_No)*(tbl_Case_mins[[#This Row],[Surgery Start Date]]=Date),0,1),0))*1440),0)</f>
        <v>0</v>
      </c>
      <c r="AH4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5" s="9" t="e">
        <f>IF(tbl_Case_mins[[#This Row],[ThOpenAm]]=0,tbl_Case_mins[[#This Row],[ThOpenPM]],tbl_Case_mins[[#This Row],[ThOpenAm]])</f>
        <v>#REF!</v>
      </c>
      <c r="AJ45" s="9" t="e">
        <f>IF(tbl_Case_mins[[#This Row],[ThCloseAm]]&gt;0,IF(tbl_Case_mins[[#This Row],[ThOpenPM]]&gt;0,tbl_Case_mins[[#This Row],[ThClosePm]],tbl_Case_mins[[#This Row],[ThCloseAm]]),tbl_Case_mins[[#This Row],[ThClosePm]])</f>
        <v>#REF!</v>
      </c>
      <c r="AK45" s="9" t="e">
        <f>IF(tbl_Case_mins[[#This Row],[TOT]]&gt;0,1,0)</f>
        <v>#REF!</v>
      </c>
      <c r="AL4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5" s="9" t="e">
        <f>IF(AND(tbl_Case_mins[[#This Row],[Surgery Status]]&lt;&gt;2,tbl_Case_mins[[#This Row],[InCoreCase]]=0,tbl_Case_mins[[#This Row],[CancelledCase]]=0),1,0)</f>
        <v>#REF!</v>
      </c>
      <c r="AN45" s="9" t="e">
        <f>IF(tbl_Case_mins[[#This Row],[Surgery Status]]=1,1,0)</f>
        <v>#REF!</v>
      </c>
      <c r="AO4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5" s="9" t="e">
        <f>IF(AND(tbl_Case_mins[[#This Row],[NonCoreCase]]=1,tbl_Case_mins[[#This Row],[NoInCoreTime]]=0),1,0)</f>
        <v>#REF!</v>
      </c>
      <c r="AQ45" s="9" t="e">
        <f>IF(tbl_Case_mins[[#This Row],[Rank_AnaEnd]]&lt;tbl_Case_mins[[#This Row],[Rank_AnaSt]],1,0)</f>
        <v>#REF!</v>
      </c>
      <c r="AR45" s="9" t="e">
        <f>IF(AND(tbl_Case_mins[[#This Row],[InCoreCase]]=1,tbl_Case_mins[[#This Row],[Sch]]=1),1,0)</f>
        <v>#REF!</v>
      </c>
      <c r="AS45" s="9" t="e">
        <f>IF(AND(tbl_Case_mins[[#This Row],[InCoreCase]]=1,tbl_Case_mins[[#This Row],[Unsch]]=1),1,0)</f>
        <v>#REF!</v>
      </c>
      <c r="AT4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5" s="9" t="e">
        <f>IF(tbl_Case_mins[[#This Row],[Surgery Status]]=0,(tbl_Case_mins[[#This Row],[Anaesth End]]-tbl_Case_mins[[#This Row],[AnaesthStart]]),0)</f>
        <v>#REF!</v>
      </c>
      <c r="AX45" s="9" t="e">
        <f>IF(tbl_Case_mins[[#This Row],[Surgery Status]]=0,(tbl_Case_mins[[#This Row],[Surgery Finish]]-tbl_Case_mins[[#This Row],[Surgery Start]]),0)</f>
        <v>#REF!</v>
      </c>
      <c r="AY45" s="9" t="e">
        <f>tbl_Case_mins[[#This Row],[Surgery Start]]-tbl_Case_mins[[#This Row],[AnaesthStart]]</f>
        <v>#REF!</v>
      </c>
      <c r="AZ45" s="9" t="e">
        <f>tbl_Case_mins[[#This Row],[Anaesth End]]-tbl_Case_mins[[#This Row],[Surgery Finish]]</f>
        <v>#REF!</v>
      </c>
      <c r="BA4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5" s="16" cm="1">
        <f t="array" ref="BC4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5" s="16" t="e">
        <f>IF(AND(tbl_Case_mins[[#This Row],[FirstAMCase]]=1,tbl_Case_mins[[#This Row],[CancelledCase]]=0,OR(tbl_Case_mins[[#This Row],[EarlyStartAM]]&gt;0,tbl_Case_mins[[#This Row],[AnaesthStart]]=tbl_Case_mins[[#This Row],[ThOpenAm]])),1,0)</f>
        <v>#REF!</v>
      </c>
      <c r="BE45" s="16" t="e">
        <f>IF(AND(tbl_Case_mins[[#This Row],[Rank_AnaSt]]=tbl_Case_mins[[#This Row],[Min_RankAnaSt]],tbl_Case_mins[[#This Row],[Anaesth End]]&gt;=tbl_Case_mins[[#This Row],[ThOpenAm]],tbl_Case_mins[[#This Row],[PmCase]]=0),1,0)</f>
        <v>#REF!</v>
      </c>
      <c r="BF4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5" s="9" t="e" cm="1">
        <f t="array" ref="BH4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5" s="9" t="e">
        <f>IF(AND(tbl_Case_mins[[#This Row],[ThOpenPM]]&gt;0,tbl_Case_mins[[#This Row],[AnaesthStart]]&gt;tbl_Case_mins[[#This Row],[ThOpenPM]],tbl_Case_mins[[#This Row],[First PM Case]]=1),tbl_Case_mins[[#This Row],[AnaesthStart]]-tbl_Case_mins[[#This Row],[ThOpenPM]],0)</f>
        <v>#REF!</v>
      </c>
      <c r="BL4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5" s="9" t="e" cm="1">
        <f t="array" ref="BN4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5" s="9" t="e">
        <f>IF(AND(tbl_Case_mins[[#This Row],[ThClosePm]]&gt;0,tbl_Case_mins[[#This Row],[Anaesth End]]&gt;tbl_Case_mins[[#This Row],[ThClosePm]],tbl_Case_mins[[#This Row],[AnaesthStart]]&gt;tbl_Case_mins[[#This Row],[ThClosePm]]),tbl_Case_mins[[#This Row],[Into Recov]]-tbl_Case_mins[[#This Row],[AnaesthStart]],0)</f>
        <v>#REF!</v>
      </c>
      <c r="BP45" s="9" t="e">
        <f>IF(AND(tbl_Case_mins[[#This Row],[AnaesthStart]]&lt;tbl_Case_mins[[#This Row],[ThClosePm]],tbl_Case_mins[[#This Row],[Anaesth End]]&gt;tbl_Case_mins[[#This Row],[ThClosePm]]),tbl_Case_mins[[#This Row],[Anaesth End]]-tbl_Case_mins[[#This Row],[ThClosePm]],0)</f>
        <v>#REF!</v>
      </c>
      <c r="BQ45" s="9" t="e" cm="1">
        <f t="array" ref="BQ4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5" s="9" t="e" cm="1">
        <f t="array" ref="BR45">IF(tbl_Case_mins[[#This Row],[Rank_Adjust]]=SUMPRODUCT(-(tbl_Case_mins[Surgery Start Date]=tbl_Case_mins[[#This Row],[Surgery Start Date]]),-(tbl_Case_mins[Theatre]=tbl_Case_mins[[#This Row],[Theatre]])),INDEX(Poss_Time,MATCH(TEXT(tbl_Case_mins[[#This Row],[Surgery Start Date]],"ddd"),Day,0)),0)</f>
        <v>#REF!</v>
      </c>
      <c r="BS45" s="9" t="e">
        <f>tbl_Case_mins[[#This Row],[Core_Time]]*Util_Goal</f>
        <v>#REF!</v>
      </c>
      <c r="BT45" s="9" t="e" cm="1">
        <f t="array" ref="BT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5" s="9" t="e" cm="1">
        <f t="array" ref="BU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5" s="9" t="e">
        <f>IF(tbl_Case_mins[[#This Row],[Surgery End Date]]&gt;tbl_Case_mins[[#This Row],[Surgery Start Date]],tbl_Case_mins[[#This Row],[Anaesth End]]-1440,0)</f>
        <v>#REF!</v>
      </c>
      <c r="BY45" s="9" t="e">
        <f>tbl_Case_mins[[#This Row],[Total_NonCore]]-tbl_Case_mins[[#This Row],[NextDay_NonCore]]</f>
        <v>#REF!</v>
      </c>
      <c r="BZ45" s="10" t="e">
        <f>tbl_Case_mins[[#This Row],[InCoreUse]]/60</f>
        <v>#REF!</v>
      </c>
      <c r="CA45" s="10" t="e">
        <f>tbl_Case_mins[[#This Row],[Total_NonCore]]/60</f>
        <v>#REF!</v>
      </c>
      <c r="CB45" t="e" cm="1">
        <f t="array" ref="CB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5" s="9" t="e" cm="1">
        <f t="array" ref="CC4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5" s="9" t="e" cm="1">
        <f t="array" ref="CD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5" s="9" t="e" cm="1">
        <f t="array" ref="CE4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5" s="9" cm="1">
        <f t="array" ref="CF45">IFERROR(_xlfn.AGGREGATE(14,6,(tbl_Case_mins[Rank_AnaEnd])/((tbl_Case_mins[Surgery Start Date]=tbl_Case_mins[[#This Row],[Surgery Start Date]])*(tbl_Case_mins[Theatre]=tbl_Case_mins[[#This Row],[Theatre]])*(tbl_Case_mins[NoInCoreTime]=0)),1),-1)</f>
        <v>-1</v>
      </c>
      <c r="CG45" s="9" cm="1">
        <f t="array" ref="CG45">IFERROR(_xlfn.AGGREGATE(15,6,(tbl_Case_mins[Rank_AnaSt])/((tbl_Case_mins[Surgery Start Date]=tbl_Case_mins[[#This Row],[Surgery Start Date]])*(tbl_Case_mins[Theatre]=tbl_Case_mins[[#This Row],[Theatre]])*(tbl_Case_mins[NoInCoreTime]=0)),1),-1)</f>
        <v>-1</v>
      </c>
      <c r="CH4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5" t="e" cm="1">
        <f t="array" ref="CJ4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5" s="9" cm="1">
        <f t="array" ref="CO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5" s="9" cm="1">
        <f t="array" ref="CP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5" s="9" cm="1">
        <f t="array" ref="CQ45">IFERROR(IF(AND(tbl_Case_mins[[#This Row],[FirstAMCase]]=0,tbl_Case_mins[[#This Row],[Rank]]=_xlfn.AGGREGATE(14,6,(tbl_Case_mins[Rank])/((tbl_Case_mins[Surgery Start Date]=tbl_Case_mins[[#This Row],[Surgery Start Date]])*(tbl_Case_mins[Theatre]=tbl_Case_mins[[#This Row],[Theatre]])*(tbl_Case_mins[AmCase]=1)),1)),1,0),0)</f>
        <v>0</v>
      </c>
      <c r="CR45" s="9" cm="1">
        <f t="array" ref="CR4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5" s="9" t="e" cm="1">
        <f t="array" ref="CS4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5" s="9" cm="1">
        <f t="array" ref="CT45">IFERROR(IF(tbl_Case_mins[[#This Row],[Rank]]=_xlfn.AGGREGATE(15,6,(tbl_Case_mins[Rank])/((tbl_Case_mins[Surgery Start Date]=tbl_Case_mins[[#This Row],[Surgery Start Date]])*(tbl_Case_mins[Theatre]=tbl_Case_mins[[#This Row],[Theatre]])*(tbl_Case_mins[PmCase]=1)),1),1,0),0)</f>
        <v>0</v>
      </c>
      <c r="CU45">
        <f>IFERROR(#REF!,0)</f>
        <v>0</v>
      </c>
      <c r="CV45" s="9" t="e" cm="1">
        <f t="array" ref="CV4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5" s="9">
        <f>IFERROR(IF(ISBLANK(INDEX(Bay_AmClose,MATCH(1,INDEX((tbl_Case_mins[[#This Row],[Bay]]=BayNo)*(tbl_Case_mins[[#This Row],[Surgery Start Date]]=BDate),0,1),0))*1440),0,INDEX(Bay_AmClose,MATCH(1,INDEX((tbl_Case_mins[[#This Row],[Bay]]=BayNo)*(tbl_Case_mins[[#This Row],[Surgery Start Date]]=BDate),0,1),0))*1440),0)</f>
        <v>0</v>
      </c>
      <c r="CX45" s="9" cm="1">
        <f t="array" ref="CX45">IFERROR(IF(ISBLANK(INDEX(Bay_PmOpen,MATCH(1,INDEX((tbl_Case_mins[[#This Row],[Bay]]=BayNo)*(tbl_Case_mins[[#This Row],[Surgery Start Date]]=BDate),0,1),0))*1440),0,INDEX(Bay_PmOpen,MATCH(1,INDEX((tbl_Case_mins[[#This Row],[Bay]]=BayNo)*(tbl_Case_mins[[#This Row],[Surgery Start Date]]=BDate),0,1),0))*1440),0)</f>
        <v>0</v>
      </c>
      <c r="CY4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5" s="9"/>
    </row>
    <row r="46" spans="1:104" x14ac:dyDescent="0.2">
      <c r="A46">
        <v>45</v>
      </c>
      <c r="B46" t="e">
        <f>#REF!</f>
        <v>#REF!</v>
      </c>
      <c r="C46" t="e">
        <f>#REF!</f>
        <v>#REF!</v>
      </c>
      <c r="D46" t="e">
        <f>#REF!</f>
        <v>#REF!</v>
      </c>
      <c r="E46" t="e">
        <f>#REF!</f>
        <v>#REF!</v>
      </c>
      <c r="F46" t="e">
        <f>#REF!</f>
        <v>#REF!</v>
      </c>
      <c r="G46" t="e">
        <f>#REF!</f>
        <v>#REF!</v>
      </c>
      <c r="H46" t="e">
        <f>#REF!</f>
        <v>#REF!</v>
      </c>
      <c r="I46" t="e">
        <f>IF(#REF!="Case Cancelled",1,IF(#REF!="No Cases",2,0))</f>
        <v>#REF!</v>
      </c>
      <c r="J46" t="e">
        <f>#REF!</f>
        <v>#REF!</v>
      </c>
      <c r="K46" s="4" t="e">
        <f>#REF!</f>
        <v>#REF!</v>
      </c>
      <c r="L46" t="e">
        <f>"Wk "&amp;WEEKNUM(tbl_Case_mins[[#This Row],[Surgery Start Date]],21)</f>
        <v>#REF!</v>
      </c>
      <c r="M46" t="e">
        <f>TEXT(tbl_Case_mins[[#This Row],[Surgery Start Date]],"ddd")</f>
        <v>#REF!</v>
      </c>
      <c r="N46" s="9" t="e">
        <f>(#REF!-TIME(0,0,0))*1440</f>
        <v>#REF!</v>
      </c>
      <c r="O46" t="e">
        <f>IF(AND(ROUND((#REF!-TIME(0,0,0))*1440,0)&gt;0,ROUND((#REF!-TIME(0,0,0))*1440,0)&lt;tbl_Case_mins[[#This Row],[Patient Called]],tbl_Case_mins[[#This Row],[Surgery End Date]]&gt;tbl_Case_mins[[#This Row],[Surgery Start Date]]),ROUND((#REF!-TIME(0,0,0))*1440,0)+1440,ROUND((#REF!-TIME(0,0,0))*1440,0))</f>
        <v>#REF!</v>
      </c>
      <c r="P46" s="9" t="e">
        <f>IF(AND(ROUND((#REF!-TIME(0,0,0))*1440,0)&gt;0,ROUND((#REF!-TIME(0,0,0))*1440,0)&lt;tbl_Case_mins[[#This Row],[Arrival]],tbl_Case_mins[[#This Row],[Surgery End Date]]&gt;tbl_Case_mins[[#This Row],[Surgery Start Date]]),ROUND((#REF!-TIME(0,0,0))*1440,0)+1440,ROUND((#REF!-TIME(0,0,0))*1440,0))</f>
        <v>#REF!</v>
      </c>
      <c r="Q46" s="9" t="e">
        <f>IF(AND(ROUND((#REF!-TIME(0,0,0))*1440,0)&gt;0,ROUND((#REF!-TIME(0,0,0))*1440,0)&lt;tbl_Case_mins[[#This Row],[Into Th or AR]],tbl_Case_mins[[#This Row],[Surgery End Date]]&gt;tbl_Case_mins[[#This Row],[Surgery Start Date]]),ROUND((#REF!-TIME(0,0,0))*1440,0)+1440,ROUND((#REF!-TIME(0,0,0))*1440,0))</f>
        <v>#REF!</v>
      </c>
      <c r="R46" s="9" t="e">
        <f>IF(AND(ROUND((#REF!-TIME(0,0,0))*1440,0)&gt;0,ROUND((#REF!-TIME(0,0,0))*1440,0)&lt;tbl_Case_mins[[#This Row],[AnaesthStart]],tbl_Case_mins[[#This Row],[Surgery End Date]]&gt;tbl_Case_mins[[#This Row],[Surgery Start Date]]),ROUND((#REF!-TIME(0,0,0))*1440,0)+1440,ROUND((#REF!-TIME(0,0,0))*1440,0))</f>
        <v>#REF!</v>
      </c>
      <c r="S46" s="9" t="e">
        <f>IF(AND(ROUND((#REF!-TIME(0,0,0))*1440,0),ROUND((#REF!-TIME(0,0,0))*1440,0)&lt;tbl_Case_mins[[#This Row],[Surgery Start]],tbl_Case_mins[[#This Row],[Surgery End Date]]&gt;tbl_Case_mins[[#This Row],[Surgery Start Date]]),ROUND((#REF!-TIME(0,0,0))*1440,0)+1440,ROUND((#REF!-TIME(0,0,0))*1440,0))</f>
        <v>#REF!</v>
      </c>
      <c r="T46" s="9" t="e">
        <f>IF(AND(ROUND((#REF!-TIME(0,0,0))*1440,0)&gt;0,ROUND((#REF!-TIME(0,0,0))*1440,0)&lt;tbl_Case_mins[[#This Row],[Surgery Finish]],tbl_Case_mins[[#This Row],[Surgery End Date]]&gt;tbl_Case_mins[[#This Row],[Surgery Start Date]]),ROUND((#REF!-TIME(0,0,0))*1440,0)+1440,ROUND((#REF!-TIME(0,0,0))*1440,0))</f>
        <v>#REF!</v>
      </c>
      <c r="U46" s="9" t="e">
        <f>IF(AND(ROUND((#REF!-TIME(0,0,0))*1440,0)&gt;0,ROUND((#REF!-TIME(0,0,0))*1440,0)&lt;tbl_Case_mins[[#This Row],[Anaesth End]],tbl_Case_mins[[#This Row],[Surgery End Date]]&gt;tbl_Case_mins[[#This Row],[Surgery Start Date]]),ROUND((#REF!-TIME(0,0,0))*1440,0)+1440,ROUND((#REF!-TIME(0,0,0))*1440,0))</f>
        <v>#REF!</v>
      </c>
      <c r="V46" s="9" t="e">
        <f>IF(AND(ROUND((#REF!-TIME(0,0,0))*1440,0)&gt;0,ROUND((#REF!-TIME(0,0,0))*1440,0)&lt;tbl_Case_mins[[#This Row],[Into Recov]],tbl_Case_mins[[#This Row],[Surgery End Date]]&gt;tbl_Case_mins[[#This Row],[Surgery Start Date]]),ROUND((#REF!-TIME(0,0,0))*1440,0)+1440,ROUND((#REF!-TIME(0,0,0))*1440,0))</f>
        <v>#REF!</v>
      </c>
      <c r="W46" s="9" t="e">
        <f>IF(AND(ROUND((#REF!-TIME(0,0,0))*1440,0)&gt;0,ROUND((#REF!-TIME(0,0,0))*1440,0)&lt;tbl_Case_mins[[#This Row],[Ward Called]],tbl_Case_mins[[#This Row],[Surgery End Date]]&gt;tbl_Case_mins[[#This Row],[Surgery Start Date]]),ROUND((#REF!-TIME(0,0,0))*1440,0)+1440,ROUND((#REF!-TIME(0,0,0))*1440,0))</f>
        <v>#REF!</v>
      </c>
      <c r="X46" s="4" t="e">
        <f>IF(ISBLANK(#REF!),tbl_Case_mins[[#This Row],[Surgery Start Date]],#REF!)</f>
        <v>#REF!</v>
      </c>
      <c r="Y46">
        <f>IFERROR(IF(VLOOKUP(tbl_Case_mins[[#This Row],[Theatre]],'Mng Theatres'!$C$7:$G$12,3,FALSE)="Yes","Yes","No"),0)</f>
        <v>0</v>
      </c>
      <c r="Z46" s="9" t="e" cm="1">
        <f t="array" ref="Z4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6" s="9" t="e" cm="1">
        <f t="array" ref="AA4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6" s="9" t="e">
        <f>IF(tbl_Case_mins[[#This Row],[Case Type]]="Unsch",1,0)</f>
        <v>#REF!</v>
      </c>
      <c r="AD46" s="9" t="e">
        <f>IF(tbl_Case_mins[[#This Row],[Case Type]]="Sch",1,0)</f>
        <v>#REF!</v>
      </c>
      <c r="AE4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6" s="9">
        <f>IFERROR(IF(ISBLANK(INDEX(Am_Close,MATCH(1,INDEX((tbl_Case_mins[[#This Row],[Theatre]]=Theatre_No)*(tbl_Case_mins[[#This Row],[Surgery Start Date]]=Date),0,1),0))*1440),0,INDEX(Am_Close,MATCH(1,INDEX((tbl_Case_mins[[#This Row],[Theatre]]=Theatre_No)*(tbl_Case_mins[[#This Row],[Surgery Start Date]]=Date),0,1),0))*1440),0)</f>
        <v>0</v>
      </c>
      <c r="AG46" s="9">
        <f>IFERROR(IF(ISBLANK(INDEX(PM_Open,MATCH(1,INDEX((tbl_Case_mins[[#This Row],[Theatre]]=Theatre_No)*(tbl_Case_mins[[#This Row],[Surgery Start Date]]=Date),0,1),0))*1440),0,INDEX(PM_Open,MATCH(1,INDEX((tbl_Case_mins[[#This Row],[Theatre]]=Theatre_No)*(tbl_Case_mins[[#This Row],[Surgery Start Date]]=Date),0,1),0))*1440),0)</f>
        <v>0</v>
      </c>
      <c r="AH4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6" s="9" t="e">
        <f>IF(tbl_Case_mins[[#This Row],[ThOpenAm]]=0,tbl_Case_mins[[#This Row],[ThOpenPM]],tbl_Case_mins[[#This Row],[ThOpenAm]])</f>
        <v>#REF!</v>
      </c>
      <c r="AJ46" s="9" t="e">
        <f>IF(tbl_Case_mins[[#This Row],[ThCloseAm]]&gt;0,IF(tbl_Case_mins[[#This Row],[ThOpenPM]]&gt;0,tbl_Case_mins[[#This Row],[ThClosePm]],tbl_Case_mins[[#This Row],[ThCloseAm]]),tbl_Case_mins[[#This Row],[ThClosePm]])</f>
        <v>#REF!</v>
      </c>
      <c r="AK46" s="9" t="e">
        <f>IF(tbl_Case_mins[[#This Row],[TOT]]&gt;0,1,0)</f>
        <v>#REF!</v>
      </c>
      <c r="AL4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6" s="9" t="e">
        <f>IF(AND(tbl_Case_mins[[#This Row],[Surgery Status]]&lt;&gt;2,tbl_Case_mins[[#This Row],[InCoreCase]]=0,tbl_Case_mins[[#This Row],[CancelledCase]]=0),1,0)</f>
        <v>#REF!</v>
      </c>
      <c r="AN46" s="9" t="e">
        <f>IF(tbl_Case_mins[[#This Row],[Surgery Status]]=1,1,0)</f>
        <v>#REF!</v>
      </c>
      <c r="AO4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6" s="9" t="e">
        <f>IF(AND(tbl_Case_mins[[#This Row],[NonCoreCase]]=1,tbl_Case_mins[[#This Row],[NoInCoreTime]]=0),1,0)</f>
        <v>#REF!</v>
      </c>
      <c r="AQ46" s="9" t="e">
        <f>IF(tbl_Case_mins[[#This Row],[Rank_AnaEnd]]&lt;tbl_Case_mins[[#This Row],[Rank_AnaSt]],1,0)</f>
        <v>#REF!</v>
      </c>
      <c r="AR46" s="9" t="e">
        <f>IF(AND(tbl_Case_mins[[#This Row],[InCoreCase]]=1,tbl_Case_mins[[#This Row],[Sch]]=1),1,0)</f>
        <v>#REF!</v>
      </c>
      <c r="AS46" s="9" t="e">
        <f>IF(AND(tbl_Case_mins[[#This Row],[InCoreCase]]=1,tbl_Case_mins[[#This Row],[Unsch]]=1),1,0)</f>
        <v>#REF!</v>
      </c>
      <c r="AT4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6" s="9" t="e">
        <f>IF(tbl_Case_mins[[#This Row],[Surgery Status]]=0,(tbl_Case_mins[[#This Row],[Anaesth End]]-tbl_Case_mins[[#This Row],[AnaesthStart]]),0)</f>
        <v>#REF!</v>
      </c>
      <c r="AX46" s="9" t="e">
        <f>IF(tbl_Case_mins[[#This Row],[Surgery Status]]=0,(tbl_Case_mins[[#This Row],[Surgery Finish]]-tbl_Case_mins[[#This Row],[Surgery Start]]),0)</f>
        <v>#REF!</v>
      </c>
      <c r="AY46" s="9" t="e">
        <f>tbl_Case_mins[[#This Row],[Surgery Start]]-tbl_Case_mins[[#This Row],[AnaesthStart]]</f>
        <v>#REF!</v>
      </c>
      <c r="AZ46" s="9" t="e">
        <f>tbl_Case_mins[[#This Row],[Anaesth End]]-tbl_Case_mins[[#This Row],[Surgery Finish]]</f>
        <v>#REF!</v>
      </c>
      <c r="BA4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6" s="16" cm="1">
        <f t="array" ref="BC4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6" s="16" t="e">
        <f>IF(AND(tbl_Case_mins[[#This Row],[FirstAMCase]]=1,tbl_Case_mins[[#This Row],[CancelledCase]]=0,OR(tbl_Case_mins[[#This Row],[EarlyStartAM]]&gt;0,tbl_Case_mins[[#This Row],[AnaesthStart]]=tbl_Case_mins[[#This Row],[ThOpenAm]])),1,0)</f>
        <v>#REF!</v>
      </c>
      <c r="BE46" s="16" t="e">
        <f>IF(AND(tbl_Case_mins[[#This Row],[Rank_AnaSt]]=tbl_Case_mins[[#This Row],[Min_RankAnaSt]],tbl_Case_mins[[#This Row],[Anaesth End]]&gt;=tbl_Case_mins[[#This Row],[ThOpenAm]],tbl_Case_mins[[#This Row],[PmCase]]=0),1,0)</f>
        <v>#REF!</v>
      </c>
      <c r="BF4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6" s="9" t="e" cm="1">
        <f t="array" ref="BH4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6" s="9" t="e">
        <f>IF(AND(tbl_Case_mins[[#This Row],[ThOpenPM]]&gt;0,tbl_Case_mins[[#This Row],[AnaesthStart]]&gt;tbl_Case_mins[[#This Row],[ThOpenPM]],tbl_Case_mins[[#This Row],[First PM Case]]=1),tbl_Case_mins[[#This Row],[AnaesthStart]]-tbl_Case_mins[[#This Row],[ThOpenPM]],0)</f>
        <v>#REF!</v>
      </c>
      <c r="BL4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6" s="9" t="e" cm="1">
        <f t="array" ref="BN4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6" s="9" t="e">
        <f>IF(AND(tbl_Case_mins[[#This Row],[ThClosePm]]&gt;0,tbl_Case_mins[[#This Row],[Anaesth End]]&gt;tbl_Case_mins[[#This Row],[ThClosePm]],tbl_Case_mins[[#This Row],[AnaesthStart]]&gt;tbl_Case_mins[[#This Row],[ThClosePm]]),tbl_Case_mins[[#This Row],[Into Recov]]-tbl_Case_mins[[#This Row],[AnaesthStart]],0)</f>
        <v>#REF!</v>
      </c>
      <c r="BP46" s="9" t="e">
        <f>IF(AND(tbl_Case_mins[[#This Row],[AnaesthStart]]&lt;tbl_Case_mins[[#This Row],[ThClosePm]],tbl_Case_mins[[#This Row],[Anaesth End]]&gt;tbl_Case_mins[[#This Row],[ThClosePm]]),tbl_Case_mins[[#This Row],[Anaesth End]]-tbl_Case_mins[[#This Row],[ThClosePm]],0)</f>
        <v>#REF!</v>
      </c>
      <c r="BQ46" s="9" t="e" cm="1">
        <f t="array" ref="BQ4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6" s="9" t="e" cm="1">
        <f t="array" ref="BR46">IF(tbl_Case_mins[[#This Row],[Rank_Adjust]]=SUMPRODUCT(-(tbl_Case_mins[Surgery Start Date]=tbl_Case_mins[[#This Row],[Surgery Start Date]]),-(tbl_Case_mins[Theatre]=tbl_Case_mins[[#This Row],[Theatre]])),INDEX(Poss_Time,MATCH(TEXT(tbl_Case_mins[[#This Row],[Surgery Start Date]],"ddd"),Day,0)),0)</f>
        <v>#REF!</v>
      </c>
      <c r="BS46" s="9" t="e">
        <f>tbl_Case_mins[[#This Row],[Core_Time]]*Util_Goal</f>
        <v>#REF!</v>
      </c>
      <c r="BT46" s="9" t="e" cm="1">
        <f t="array" ref="BT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6" s="9" t="e" cm="1">
        <f t="array" ref="BU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6" s="9" t="e">
        <f>IF(tbl_Case_mins[[#This Row],[Surgery End Date]]&gt;tbl_Case_mins[[#This Row],[Surgery Start Date]],tbl_Case_mins[[#This Row],[Anaesth End]]-1440,0)</f>
        <v>#REF!</v>
      </c>
      <c r="BY46" s="9" t="e">
        <f>tbl_Case_mins[[#This Row],[Total_NonCore]]-tbl_Case_mins[[#This Row],[NextDay_NonCore]]</f>
        <v>#REF!</v>
      </c>
      <c r="BZ46" s="10" t="e">
        <f>tbl_Case_mins[[#This Row],[InCoreUse]]/60</f>
        <v>#REF!</v>
      </c>
      <c r="CA46" s="10" t="e">
        <f>tbl_Case_mins[[#This Row],[Total_NonCore]]/60</f>
        <v>#REF!</v>
      </c>
      <c r="CB46" t="e" cm="1">
        <f t="array" ref="CB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6" s="9" t="e" cm="1">
        <f t="array" ref="CC4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6" s="9" t="e" cm="1">
        <f t="array" ref="CD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6" s="9" t="e" cm="1">
        <f t="array" ref="CE4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6" s="9" cm="1">
        <f t="array" ref="CF46">IFERROR(_xlfn.AGGREGATE(14,6,(tbl_Case_mins[Rank_AnaEnd])/((tbl_Case_mins[Surgery Start Date]=tbl_Case_mins[[#This Row],[Surgery Start Date]])*(tbl_Case_mins[Theatre]=tbl_Case_mins[[#This Row],[Theatre]])*(tbl_Case_mins[NoInCoreTime]=0)),1),-1)</f>
        <v>-1</v>
      </c>
      <c r="CG46" s="9" cm="1">
        <f t="array" ref="CG46">IFERROR(_xlfn.AGGREGATE(15,6,(tbl_Case_mins[Rank_AnaSt])/((tbl_Case_mins[Surgery Start Date]=tbl_Case_mins[[#This Row],[Surgery Start Date]])*(tbl_Case_mins[Theatre]=tbl_Case_mins[[#This Row],[Theatre]])*(tbl_Case_mins[NoInCoreTime]=0)),1),-1)</f>
        <v>-1</v>
      </c>
      <c r="CH4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6" t="e" cm="1">
        <f t="array" ref="CJ4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6" s="9" cm="1">
        <f t="array" ref="CO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6" s="9" cm="1">
        <f t="array" ref="CP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6" s="9" cm="1">
        <f t="array" ref="CQ46">IFERROR(IF(AND(tbl_Case_mins[[#This Row],[FirstAMCase]]=0,tbl_Case_mins[[#This Row],[Rank]]=_xlfn.AGGREGATE(14,6,(tbl_Case_mins[Rank])/((tbl_Case_mins[Surgery Start Date]=tbl_Case_mins[[#This Row],[Surgery Start Date]])*(tbl_Case_mins[Theatre]=tbl_Case_mins[[#This Row],[Theatre]])*(tbl_Case_mins[AmCase]=1)),1)),1,0),0)</f>
        <v>0</v>
      </c>
      <c r="CR46" s="9" cm="1">
        <f t="array" ref="CR4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6" s="9" t="e" cm="1">
        <f t="array" ref="CS4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6" s="9" cm="1">
        <f t="array" ref="CT46">IFERROR(IF(tbl_Case_mins[[#This Row],[Rank]]=_xlfn.AGGREGATE(15,6,(tbl_Case_mins[Rank])/((tbl_Case_mins[Surgery Start Date]=tbl_Case_mins[[#This Row],[Surgery Start Date]])*(tbl_Case_mins[Theatre]=tbl_Case_mins[[#This Row],[Theatre]])*(tbl_Case_mins[PmCase]=1)),1),1,0),0)</f>
        <v>0</v>
      </c>
      <c r="CU46">
        <f>IFERROR(#REF!,0)</f>
        <v>0</v>
      </c>
      <c r="CV46" s="9" t="e" cm="1">
        <f t="array" ref="CV4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6" s="9">
        <f>IFERROR(IF(ISBLANK(INDEX(Bay_AmClose,MATCH(1,INDEX((tbl_Case_mins[[#This Row],[Bay]]=BayNo)*(tbl_Case_mins[[#This Row],[Surgery Start Date]]=BDate),0,1),0))*1440),0,INDEX(Bay_AmClose,MATCH(1,INDEX((tbl_Case_mins[[#This Row],[Bay]]=BayNo)*(tbl_Case_mins[[#This Row],[Surgery Start Date]]=BDate),0,1),0))*1440),0)</f>
        <v>0</v>
      </c>
      <c r="CX46" s="9" cm="1">
        <f t="array" ref="CX46">IFERROR(IF(ISBLANK(INDEX(Bay_PmOpen,MATCH(1,INDEX((tbl_Case_mins[[#This Row],[Bay]]=BayNo)*(tbl_Case_mins[[#This Row],[Surgery Start Date]]=BDate),0,1),0))*1440),0,INDEX(Bay_PmOpen,MATCH(1,INDEX((tbl_Case_mins[[#This Row],[Bay]]=BayNo)*(tbl_Case_mins[[#This Row],[Surgery Start Date]]=BDate),0,1),0))*1440),0)</f>
        <v>0</v>
      </c>
      <c r="CY4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6" s="9"/>
    </row>
    <row r="47" spans="1:104" x14ac:dyDescent="0.2">
      <c r="A47">
        <v>46</v>
      </c>
      <c r="B47" t="e">
        <f>#REF!</f>
        <v>#REF!</v>
      </c>
      <c r="C47" t="e">
        <f>#REF!</f>
        <v>#REF!</v>
      </c>
      <c r="D47" t="e">
        <f>#REF!</f>
        <v>#REF!</v>
      </c>
      <c r="E47" t="e">
        <f>#REF!</f>
        <v>#REF!</v>
      </c>
      <c r="F47" t="e">
        <f>#REF!</f>
        <v>#REF!</v>
      </c>
      <c r="G47" t="e">
        <f>#REF!</f>
        <v>#REF!</v>
      </c>
      <c r="H47" t="e">
        <f>#REF!</f>
        <v>#REF!</v>
      </c>
      <c r="I47" t="e">
        <f>IF(#REF!="Case Cancelled",1,IF(#REF!="No Cases",2,0))</f>
        <v>#REF!</v>
      </c>
      <c r="J47" t="e">
        <f>#REF!</f>
        <v>#REF!</v>
      </c>
      <c r="K47" s="4" t="e">
        <f>#REF!</f>
        <v>#REF!</v>
      </c>
      <c r="L47" t="e">
        <f>"Wk "&amp;WEEKNUM(tbl_Case_mins[[#This Row],[Surgery Start Date]],21)</f>
        <v>#REF!</v>
      </c>
      <c r="M47" t="e">
        <f>TEXT(tbl_Case_mins[[#This Row],[Surgery Start Date]],"ddd")</f>
        <v>#REF!</v>
      </c>
      <c r="N47" s="9" t="e">
        <f>(#REF!-TIME(0,0,0))*1440</f>
        <v>#REF!</v>
      </c>
      <c r="O47" t="e">
        <f>IF(AND(ROUND((#REF!-TIME(0,0,0))*1440,0)&gt;0,ROUND((#REF!-TIME(0,0,0))*1440,0)&lt;tbl_Case_mins[[#This Row],[Patient Called]],tbl_Case_mins[[#This Row],[Surgery End Date]]&gt;tbl_Case_mins[[#This Row],[Surgery Start Date]]),ROUND((#REF!-TIME(0,0,0))*1440,0)+1440,ROUND((#REF!-TIME(0,0,0))*1440,0))</f>
        <v>#REF!</v>
      </c>
      <c r="P47" s="9" t="e">
        <f>IF(AND(ROUND((#REF!-TIME(0,0,0))*1440,0)&gt;0,ROUND((#REF!-TIME(0,0,0))*1440,0)&lt;tbl_Case_mins[[#This Row],[Arrival]],tbl_Case_mins[[#This Row],[Surgery End Date]]&gt;tbl_Case_mins[[#This Row],[Surgery Start Date]]),ROUND((#REF!-TIME(0,0,0))*1440,0)+1440,ROUND((#REF!-TIME(0,0,0))*1440,0))</f>
        <v>#REF!</v>
      </c>
      <c r="Q47" s="9" t="e">
        <f>IF(AND(ROUND((#REF!-TIME(0,0,0))*1440,0)&gt;0,ROUND((#REF!-TIME(0,0,0))*1440,0)&lt;tbl_Case_mins[[#This Row],[Into Th or AR]],tbl_Case_mins[[#This Row],[Surgery End Date]]&gt;tbl_Case_mins[[#This Row],[Surgery Start Date]]),ROUND((#REF!-TIME(0,0,0))*1440,0)+1440,ROUND((#REF!-TIME(0,0,0))*1440,0))</f>
        <v>#REF!</v>
      </c>
      <c r="R47" s="9" t="e">
        <f>IF(AND(ROUND((#REF!-TIME(0,0,0))*1440,0)&gt;0,ROUND((#REF!-TIME(0,0,0))*1440,0)&lt;tbl_Case_mins[[#This Row],[AnaesthStart]],tbl_Case_mins[[#This Row],[Surgery End Date]]&gt;tbl_Case_mins[[#This Row],[Surgery Start Date]]),ROUND((#REF!-TIME(0,0,0))*1440,0)+1440,ROUND((#REF!-TIME(0,0,0))*1440,0))</f>
        <v>#REF!</v>
      </c>
      <c r="S47" s="9" t="e">
        <f>IF(AND(ROUND((#REF!-TIME(0,0,0))*1440,0),ROUND((#REF!-TIME(0,0,0))*1440,0)&lt;tbl_Case_mins[[#This Row],[Surgery Start]],tbl_Case_mins[[#This Row],[Surgery End Date]]&gt;tbl_Case_mins[[#This Row],[Surgery Start Date]]),ROUND((#REF!-TIME(0,0,0))*1440,0)+1440,ROUND((#REF!-TIME(0,0,0))*1440,0))</f>
        <v>#REF!</v>
      </c>
      <c r="T47" s="9" t="e">
        <f>IF(AND(ROUND((#REF!-TIME(0,0,0))*1440,0)&gt;0,ROUND((#REF!-TIME(0,0,0))*1440,0)&lt;tbl_Case_mins[[#This Row],[Surgery Finish]],tbl_Case_mins[[#This Row],[Surgery End Date]]&gt;tbl_Case_mins[[#This Row],[Surgery Start Date]]),ROUND((#REF!-TIME(0,0,0))*1440,0)+1440,ROUND((#REF!-TIME(0,0,0))*1440,0))</f>
        <v>#REF!</v>
      </c>
      <c r="U47" s="9" t="e">
        <f>IF(AND(ROUND((#REF!-TIME(0,0,0))*1440,0)&gt;0,ROUND((#REF!-TIME(0,0,0))*1440,0)&lt;tbl_Case_mins[[#This Row],[Anaesth End]],tbl_Case_mins[[#This Row],[Surgery End Date]]&gt;tbl_Case_mins[[#This Row],[Surgery Start Date]]),ROUND((#REF!-TIME(0,0,0))*1440,0)+1440,ROUND((#REF!-TIME(0,0,0))*1440,0))</f>
        <v>#REF!</v>
      </c>
      <c r="V47" s="9" t="e">
        <f>IF(AND(ROUND((#REF!-TIME(0,0,0))*1440,0)&gt;0,ROUND((#REF!-TIME(0,0,0))*1440,0)&lt;tbl_Case_mins[[#This Row],[Into Recov]],tbl_Case_mins[[#This Row],[Surgery End Date]]&gt;tbl_Case_mins[[#This Row],[Surgery Start Date]]),ROUND((#REF!-TIME(0,0,0))*1440,0)+1440,ROUND((#REF!-TIME(0,0,0))*1440,0))</f>
        <v>#REF!</v>
      </c>
      <c r="W47" s="9" t="e">
        <f>IF(AND(ROUND((#REF!-TIME(0,0,0))*1440,0)&gt;0,ROUND((#REF!-TIME(0,0,0))*1440,0)&lt;tbl_Case_mins[[#This Row],[Ward Called]],tbl_Case_mins[[#This Row],[Surgery End Date]]&gt;tbl_Case_mins[[#This Row],[Surgery Start Date]]),ROUND((#REF!-TIME(0,0,0))*1440,0)+1440,ROUND((#REF!-TIME(0,0,0))*1440,0))</f>
        <v>#REF!</v>
      </c>
      <c r="X47" s="4" t="e">
        <f>IF(ISBLANK(#REF!),tbl_Case_mins[[#This Row],[Surgery Start Date]],#REF!)</f>
        <v>#REF!</v>
      </c>
      <c r="Y47">
        <f>IFERROR(IF(VLOOKUP(tbl_Case_mins[[#This Row],[Theatre]],'Mng Theatres'!$C$7:$G$12,3,FALSE)="Yes","Yes","No"),0)</f>
        <v>0</v>
      </c>
      <c r="Z47" s="9" t="e" cm="1">
        <f t="array" ref="Z4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7" s="9" t="e" cm="1">
        <f t="array" ref="AA4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7" s="9" t="e">
        <f>IF(tbl_Case_mins[[#This Row],[Case Type]]="Unsch",1,0)</f>
        <v>#REF!</v>
      </c>
      <c r="AD47" s="9" t="e">
        <f>IF(tbl_Case_mins[[#This Row],[Case Type]]="Sch",1,0)</f>
        <v>#REF!</v>
      </c>
      <c r="AE4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7" s="9">
        <f>IFERROR(IF(ISBLANK(INDEX(Am_Close,MATCH(1,INDEX((tbl_Case_mins[[#This Row],[Theatre]]=Theatre_No)*(tbl_Case_mins[[#This Row],[Surgery Start Date]]=Date),0,1),0))*1440),0,INDEX(Am_Close,MATCH(1,INDEX((tbl_Case_mins[[#This Row],[Theatre]]=Theatre_No)*(tbl_Case_mins[[#This Row],[Surgery Start Date]]=Date),0,1),0))*1440),0)</f>
        <v>0</v>
      </c>
      <c r="AG47" s="9">
        <f>IFERROR(IF(ISBLANK(INDEX(PM_Open,MATCH(1,INDEX((tbl_Case_mins[[#This Row],[Theatre]]=Theatre_No)*(tbl_Case_mins[[#This Row],[Surgery Start Date]]=Date),0,1),0))*1440),0,INDEX(PM_Open,MATCH(1,INDEX((tbl_Case_mins[[#This Row],[Theatre]]=Theatre_No)*(tbl_Case_mins[[#This Row],[Surgery Start Date]]=Date),0,1),0))*1440),0)</f>
        <v>0</v>
      </c>
      <c r="AH4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7" s="9" t="e">
        <f>IF(tbl_Case_mins[[#This Row],[ThOpenAm]]=0,tbl_Case_mins[[#This Row],[ThOpenPM]],tbl_Case_mins[[#This Row],[ThOpenAm]])</f>
        <v>#REF!</v>
      </c>
      <c r="AJ47" s="9" t="e">
        <f>IF(tbl_Case_mins[[#This Row],[ThCloseAm]]&gt;0,IF(tbl_Case_mins[[#This Row],[ThOpenPM]]&gt;0,tbl_Case_mins[[#This Row],[ThClosePm]],tbl_Case_mins[[#This Row],[ThCloseAm]]),tbl_Case_mins[[#This Row],[ThClosePm]])</f>
        <v>#REF!</v>
      </c>
      <c r="AK47" s="9" t="e">
        <f>IF(tbl_Case_mins[[#This Row],[TOT]]&gt;0,1,0)</f>
        <v>#REF!</v>
      </c>
      <c r="AL4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7" s="9" t="e">
        <f>IF(AND(tbl_Case_mins[[#This Row],[Surgery Status]]&lt;&gt;2,tbl_Case_mins[[#This Row],[InCoreCase]]=0,tbl_Case_mins[[#This Row],[CancelledCase]]=0),1,0)</f>
        <v>#REF!</v>
      </c>
      <c r="AN47" s="9" t="e">
        <f>IF(tbl_Case_mins[[#This Row],[Surgery Status]]=1,1,0)</f>
        <v>#REF!</v>
      </c>
      <c r="AO4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7" s="9" t="e">
        <f>IF(AND(tbl_Case_mins[[#This Row],[NonCoreCase]]=1,tbl_Case_mins[[#This Row],[NoInCoreTime]]=0),1,0)</f>
        <v>#REF!</v>
      </c>
      <c r="AQ47" s="9" t="e">
        <f>IF(tbl_Case_mins[[#This Row],[Rank_AnaEnd]]&lt;tbl_Case_mins[[#This Row],[Rank_AnaSt]],1,0)</f>
        <v>#REF!</v>
      </c>
      <c r="AR47" s="9" t="e">
        <f>IF(AND(tbl_Case_mins[[#This Row],[InCoreCase]]=1,tbl_Case_mins[[#This Row],[Sch]]=1),1,0)</f>
        <v>#REF!</v>
      </c>
      <c r="AS47" s="9" t="e">
        <f>IF(AND(tbl_Case_mins[[#This Row],[InCoreCase]]=1,tbl_Case_mins[[#This Row],[Unsch]]=1),1,0)</f>
        <v>#REF!</v>
      </c>
      <c r="AT4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7" s="9" t="e">
        <f>IF(tbl_Case_mins[[#This Row],[Surgery Status]]=0,(tbl_Case_mins[[#This Row],[Anaesth End]]-tbl_Case_mins[[#This Row],[AnaesthStart]]),0)</f>
        <v>#REF!</v>
      </c>
      <c r="AX47" s="9" t="e">
        <f>IF(tbl_Case_mins[[#This Row],[Surgery Status]]=0,(tbl_Case_mins[[#This Row],[Surgery Finish]]-tbl_Case_mins[[#This Row],[Surgery Start]]),0)</f>
        <v>#REF!</v>
      </c>
      <c r="AY47" s="9" t="e">
        <f>tbl_Case_mins[[#This Row],[Surgery Start]]-tbl_Case_mins[[#This Row],[AnaesthStart]]</f>
        <v>#REF!</v>
      </c>
      <c r="AZ47" s="9" t="e">
        <f>tbl_Case_mins[[#This Row],[Anaesth End]]-tbl_Case_mins[[#This Row],[Surgery Finish]]</f>
        <v>#REF!</v>
      </c>
      <c r="BA4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7" s="16" cm="1">
        <f t="array" ref="BC4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7" s="16" t="e">
        <f>IF(AND(tbl_Case_mins[[#This Row],[FirstAMCase]]=1,tbl_Case_mins[[#This Row],[CancelledCase]]=0,OR(tbl_Case_mins[[#This Row],[EarlyStartAM]]&gt;0,tbl_Case_mins[[#This Row],[AnaesthStart]]=tbl_Case_mins[[#This Row],[ThOpenAm]])),1,0)</f>
        <v>#REF!</v>
      </c>
      <c r="BE47" s="16" t="e">
        <f>IF(AND(tbl_Case_mins[[#This Row],[Rank_AnaSt]]=tbl_Case_mins[[#This Row],[Min_RankAnaSt]],tbl_Case_mins[[#This Row],[Anaesth End]]&gt;=tbl_Case_mins[[#This Row],[ThOpenAm]],tbl_Case_mins[[#This Row],[PmCase]]=0),1,0)</f>
        <v>#REF!</v>
      </c>
      <c r="BF4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7" s="9" t="e" cm="1">
        <f t="array" ref="BH4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7" s="9" t="e">
        <f>IF(AND(tbl_Case_mins[[#This Row],[ThOpenPM]]&gt;0,tbl_Case_mins[[#This Row],[AnaesthStart]]&gt;tbl_Case_mins[[#This Row],[ThOpenPM]],tbl_Case_mins[[#This Row],[First PM Case]]=1),tbl_Case_mins[[#This Row],[AnaesthStart]]-tbl_Case_mins[[#This Row],[ThOpenPM]],0)</f>
        <v>#REF!</v>
      </c>
      <c r="BL4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7" s="9" t="e" cm="1">
        <f t="array" ref="BN4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7" s="9" t="e">
        <f>IF(AND(tbl_Case_mins[[#This Row],[ThClosePm]]&gt;0,tbl_Case_mins[[#This Row],[Anaesth End]]&gt;tbl_Case_mins[[#This Row],[ThClosePm]],tbl_Case_mins[[#This Row],[AnaesthStart]]&gt;tbl_Case_mins[[#This Row],[ThClosePm]]),tbl_Case_mins[[#This Row],[Into Recov]]-tbl_Case_mins[[#This Row],[AnaesthStart]],0)</f>
        <v>#REF!</v>
      </c>
      <c r="BP47" s="9" t="e">
        <f>IF(AND(tbl_Case_mins[[#This Row],[AnaesthStart]]&lt;tbl_Case_mins[[#This Row],[ThClosePm]],tbl_Case_mins[[#This Row],[Anaesth End]]&gt;tbl_Case_mins[[#This Row],[ThClosePm]]),tbl_Case_mins[[#This Row],[Anaesth End]]-tbl_Case_mins[[#This Row],[ThClosePm]],0)</f>
        <v>#REF!</v>
      </c>
      <c r="BQ47" s="9" t="e" cm="1">
        <f t="array" ref="BQ4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7" s="9" t="e" cm="1">
        <f t="array" ref="BR47">IF(tbl_Case_mins[[#This Row],[Rank_Adjust]]=SUMPRODUCT(-(tbl_Case_mins[Surgery Start Date]=tbl_Case_mins[[#This Row],[Surgery Start Date]]),-(tbl_Case_mins[Theatre]=tbl_Case_mins[[#This Row],[Theatre]])),INDEX(Poss_Time,MATCH(TEXT(tbl_Case_mins[[#This Row],[Surgery Start Date]],"ddd"),Day,0)),0)</f>
        <v>#REF!</v>
      </c>
      <c r="BS47" s="9" t="e">
        <f>tbl_Case_mins[[#This Row],[Core_Time]]*Util_Goal</f>
        <v>#REF!</v>
      </c>
      <c r="BT47" s="9" t="e" cm="1">
        <f t="array" ref="BT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7" s="9" t="e" cm="1">
        <f t="array" ref="BU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7" s="9" t="e">
        <f>IF(tbl_Case_mins[[#This Row],[Surgery End Date]]&gt;tbl_Case_mins[[#This Row],[Surgery Start Date]],tbl_Case_mins[[#This Row],[Anaesth End]]-1440,0)</f>
        <v>#REF!</v>
      </c>
      <c r="BY47" s="9" t="e">
        <f>tbl_Case_mins[[#This Row],[Total_NonCore]]-tbl_Case_mins[[#This Row],[NextDay_NonCore]]</f>
        <v>#REF!</v>
      </c>
      <c r="BZ47" s="10" t="e">
        <f>tbl_Case_mins[[#This Row],[InCoreUse]]/60</f>
        <v>#REF!</v>
      </c>
      <c r="CA47" s="10" t="e">
        <f>tbl_Case_mins[[#This Row],[Total_NonCore]]/60</f>
        <v>#REF!</v>
      </c>
      <c r="CB47" t="e" cm="1">
        <f t="array" ref="CB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7" s="9" t="e" cm="1">
        <f t="array" ref="CC4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7" s="9" t="e" cm="1">
        <f t="array" ref="CD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7" s="9" t="e" cm="1">
        <f t="array" ref="CE4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7" s="9" cm="1">
        <f t="array" ref="CF47">IFERROR(_xlfn.AGGREGATE(14,6,(tbl_Case_mins[Rank_AnaEnd])/((tbl_Case_mins[Surgery Start Date]=tbl_Case_mins[[#This Row],[Surgery Start Date]])*(tbl_Case_mins[Theatre]=tbl_Case_mins[[#This Row],[Theatre]])*(tbl_Case_mins[NoInCoreTime]=0)),1),-1)</f>
        <v>-1</v>
      </c>
      <c r="CG47" s="9" cm="1">
        <f t="array" ref="CG47">IFERROR(_xlfn.AGGREGATE(15,6,(tbl_Case_mins[Rank_AnaSt])/((tbl_Case_mins[Surgery Start Date]=tbl_Case_mins[[#This Row],[Surgery Start Date]])*(tbl_Case_mins[Theatre]=tbl_Case_mins[[#This Row],[Theatre]])*(tbl_Case_mins[NoInCoreTime]=0)),1),-1)</f>
        <v>-1</v>
      </c>
      <c r="CH4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7" t="e" cm="1">
        <f t="array" ref="CJ4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7" s="9" cm="1">
        <f t="array" ref="CO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7" s="9" cm="1">
        <f t="array" ref="CP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7" s="9" cm="1">
        <f t="array" ref="CQ47">IFERROR(IF(AND(tbl_Case_mins[[#This Row],[FirstAMCase]]=0,tbl_Case_mins[[#This Row],[Rank]]=_xlfn.AGGREGATE(14,6,(tbl_Case_mins[Rank])/((tbl_Case_mins[Surgery Start Date]=tbl_Case_mins[[#This Row],[Surgery Start Date]])*(tbl_Case_mins[Theatre]=tbl_Case_mins[[#This Row],[Theatre]])*(tbl_Case_mins[AmCase]=1)),1)),1,0),0)</f>
        <v>0</v>
      </c>
      <c r="CR47" s="9" cm="1">
        <f t="array" ref="CR4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7" s="9" t="e" cm="1">
        <f t="array" ref="CS4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7" s="9" cm="1">
        <f t="array" ref="CT47">IFERROR(IF(tbl_Case_mins[[#This Row],[Rank]]=_xlfn.AGGREGATE(15,6,(tbl_Case_mins[Rank])/((tbl_Case_mins[Surgery Start Date]=tbl_Case_mins[[#This Row],[Surgery Start Date]])*(tbl_Case_mins[Theatre]=tbl_Case_mins[[#This Row],[Theatre]])*(tbl_Case_mins[PmCase]=1)),1),1,0),0)</f>
        <v>0</v>
      </c>
      <c r="CU47">
        <f>IFERROR(#REF!,0)</f>
        <v>0</v>
      </c>
      <c r="CV47" s="9" t="e" cm="1">
        <f t="array" ref="CV4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7" s="9">
        <f>IFERROR(IF(ISBLANK(INDEX(Bay_AmClose,MATCH(1,INDEX((tbl_Case_mins[[#This Row],[Bay]]=BayNo)*(tbl_Case_mins[[#This Row],[Surgery Start Date]]=BDate),0,1),0))*1440),0,INDEX(Bay_AmClose,MATCH(1,INDEX((tbl_Case_mins[[#This Row],[Bay]]=BayNo)*(tbl_Case_mins[[#This Row],[Surgery Start Date]]=BDate),0,1),0))*1440),0)</f>
        <v>0</v>
      </c>
      <c r="CX47" s="9" cm="1">
        <f t="array" ref="CX47">IFERROR(IF(ISBLANK(INDEX(Bay_PmOpen,MATCH(1,INDEX((tbl_Case_mins[[#This Row],[Bay]]=BayNo)*(tbl_Case_mins[[#This Row],[Surgery Start Date]]=BDate),0,1),0))*1440),0,INDEX(Bay_PmOpen,MATCH(1,INDEX((tbl_Case_mins[[#This Row],[Bay]]=BayNo)*(tbl_Case_mins[[#This Row],[Surgery Start Date]]=BDate),0,1),0))*1440),0)</f>
        <v>0</v>
      </c>
      <c r="CY4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7" s="9"/>
    </row>
    <row r="48" spans="1:104" x14ac:dyDescent="0.2">
      <c r="A48">
        <v>47</v>
      </c>
      <c r="B48" t="e">
        <f>#REF!</f>
        <v>#REF!</v>
      </c>
      <c r="C48" t="e">
        <f>#REF!</f>
        <v>#REF!</v>
      </c>
      <c r="D48" t="e">
        <f>#REF!</f>
        <v>#REF!</v>
      </c>
      <c r="E48" t="e">
        <f>#REF!</f>
        <v>#REF!</v>
      </c>
      <c r="F48" t="e">
        <f>#REF!</f>
        <v>#REF!</v>
      </c>
      <c r="G48" t="e">
        <f>#REF!</f>
        <v>#REF!</v>
      </c>
      <c r="H48" t="e">
        <f>#REF!</f>
        <v>#REF!</v>
      </c>
      <c r="I48" t="e">
        <f>IF(#REF!="Case Cancelled",1,IF(#REF!="No Cases",2,0))</f>
        <v>#REF!</v>
      </c>
      <c r="J48" t="e">
        <f>#REF!</f>
        <v>#REF!</v>
      </c>
      <c r="K48" s="4" t="e">
        <f>#REF!</f>
        <v>#REF!</v>
      </c>
      <c r="L48" t="e">
        <f>"Wk "&amp;WEEKNUM(tbl_Case_mins[[#This Row],[Surgery Start Date]],21)</f>
        <v>#REF!</v>
      </c>
      <c r="M48" t="e">
        <f>TEXT(tbl_Case_mins[[#This Row],[Surgery Start Date]],"ddd")</f>
        <v>#REF!</v>
      </c>
      <c r="N48" s="9" t="e">
        <f>(#REF!-TIME(0,0,0))*1440</f>
        <v>#REF!</v>
      </c>
      <c r="O48" t="e">
        <f>IF(AND(ROUND((#REF!-TIME(0,0,0))*1440,0)&gt;0,ROUND((#REF!-TIME(0,0,0))*1440,0)&lt;tbl_Case_mins[[#This Row],[Patient Called]],tbl_Case_mins[[#This Row],[Surgery End Date]]&gt;tbl_Case_mins[[#This Row],[Surgery Start Date]]),ROUND((#REF!-TIME(0,0,0))*1440,0)+1440,ROUND((#REF!-TIME(0,0,0))*1440,0))</f>
        <v>#REF!</v>
      </c>
      <c r="P48" s="9" t="e">
        <f>IF(AND(ROUND((#REF!-TIME(0,0,0))*1440,0)&gt;0,ROUND((#REF!-TIME(0,0,0))*1440,0)&lt;tbl_Case_mins[[#This Row],[Arrival]],tbl_Case_mins[[#This Row],[Surgery End Date]]&gt;tbl_Case_mins[[#This Row],[Surgery Start Date]]),ROUND((#REF!-TIME(0,0,0))*1440,0)+1440,ROUND((#REF!-TIME(0,0,0))*1440,0))</f>
        <v>#REF!</v>
      </c>
      <c r="Q48" s="9" t="e">
        <f>IF(AND(ROUND((#REF!-TIME(0,0,0))*1440,0)&gt;0,ROUND((#REF!-TIME(0,0,0))*1440,0)&lt;tbl_Case_mins[[#This Row],[Into Th or AR]],tbl_Case_mins[[#This Row],[Surgery End Date]]&gt;tbl_Case_mins[[#This Row],[Surgery Start Date]]),ROUND((#REF!-TIME(0,0,0))*1440,0)+1440,ROUND((#REF!-TIME(0,0,0))*1440,0))</f>
        <v>#REF!</v>
      </c>
      <c r="R48" s="9" t="e">
        <f>IF(AND(ROUND((#REF!-TIME(0,0,0))*1440,0)&gt;0,ROUND((#REF!-TIME(0,0,0))*1440,0)&lt;tbl_Case_mins[[#This Row],[AnaesthStart]],tbl_Case_mins[[#This Row],[Surgery End Date]]&gt;tbl_Case_mins[[#This Row],[Surgery Start Date]]),ROUND((#REF!-TIME(0,0,0))*1440,0)+1440,ROUND((#REF!-TIME(0,0,0))*1440,0))</f>
        <v>#REF!</v>
      </c>
      <c r="S48" s="9" t="e">
        <f>IF(AND(ROUND((#REF!-TIME(0,0,0))*1440,0),ROUND((#REF!-TIME(0,0,0))*1440,0)&lt;tbl_Case_mins[[#This Row],[Surgery Start]],tbl_Case_mins[[#This Row],[Surgery End Date]]&gt;tbl_Case_mins[[#This Row],[Surgery Start Date]]),ROUND((#REF!-TIME(0,0,0))*1440,0)+1440,ROUND((#REF!-TIME(0,0,0))*1440,0))</f>
        <v>#REF!</v>
      </c>
      <c r="T48" s="9" t="e">
        <f>IF(AND(ROUND((#REF!-TIME(0,0,0))*1440,0)&gt;0,ROUND((#REF!-TIME(0,0,0))*1440,0)&lt;tbl_Case_mins[[#This Row],[Surgery Finish]],tbl_Case_mins[[#This Row],[Surgery End Date]]&gt;tbl_Case_mins[[#This Row],[Surgery Start Date]]),ROUND((#REF!-TIME(0,0,0))*1440,0)+1440,ROUND((#REF!-TIME(0,0,0))*1440,0))</f>
        <v>#REF!</v>
      </c>
      <c r="U48" s="9" t="e">
        <f>IF(AND(ROUND((#REF!-TIME(0,0,0))*1440,0)&gt;0,ROUND((#REF!-TIME(0,0,0))*1440,0)&lt;tbl_Case_mins[[#This Row],[Anaesth End]],tbl_Case_mins[[#This Row],[Surgery End Date]]&gt;tbl_Case_mins[[#This Row],[Surgery Start Date]]),ROUND((#REF!-TIME(0,0,0))*1440,0)+1440,ROUND((#REF!-TIME(0,0,0))*1440,0))</f>
        <v>#REF!</v>
      </c>
      <c r="V48" s="9" t="e">
        <f>IF(AND(ROUND((#REF!-TIME(0,0,0))*1440,0)&gt;0,ROUND((#REF!-TIME(0,0,0))*1440,0)&lt;tbl_Case_mins[[#This Row],[Into Recov]],tbl_Case_mins[[#This Row],[Surgery End Date]]&gt;tbl_Case_mins[[#This Row],[Surgery Start Date]]),ROUND((#REF!-TIME(0,0,0))*1440,0)+1440,ROUND((#REF!-TIME(0,0,0))*1440,0))</f>
        <v>#REF!</v>
      </c>
      <c r="W48" s="9" t="e">
        <f>IF(AND(ROUND((#REF!-TIME(0,0,0))*1440,0)&gt;0,ROUND((#REF!-TIME(0,0,0))*1440,0)&lt;tbl_Case_mins[[#This Row],[Ward Called]],tbl_Case_mins[[#This Row],[Surgery End Date]]&gt;tbl_Case_mins[[#This Row],[Surgery Start Date]]),ROUND((#REF!-TIME(0,0,0))*1440,0)+1440,ROUND((#REF!-TIME(0,0,0))*1440,0))</f>
        <v>#REF!</v>
      </c>
      <c r="X48" s="4" t="e">
        <f>IF(ISBLANK(#REF!),tbl_Case_mins[[#This Row],[Surgery Start Date]],#REF!)</f>
        <v>#REF!</v>
      </c>
      <c r="Y48">
        <f>IFERROR(IF(VLOOKUP(tbl_Case_mins[[#This Row],[Theatre]],'Mng Theatres'!$C$7:$G$12,3,FALSE)="Yes","Yes","No"),0)</f>
        <v>0</v>
      </c>
      <c r="Z48" s="9" t="e" cm="1">
        <f t="array" ref="Z4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8" s="9" t="e" cm="1">
        <f t="array" ref="AA4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8" s="9" t="e">
        <f>IF(tbl_Case_mins[[#This Row],[Case Type]]="Unsch",1,0)</f>
        <v>#REF!</v>
      </c>
      <c r="AD48" s="9" t="e">
        <f>IF(tbl_Case_mins[[#This Row],[Case Type]]="Sch",1,0)</f>
        <v>#REF!</v>
      </c>
      <c r="AE4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8" s="9">
        <f>IFERROR(IF(ISBLANK(INDEX(Am_Close,MATCH(1,INDEX((tbl_Case_mins[[#This Row],[Theatre]]=Theatre_No)*(tbl_Case_mins[[#This Row],[Surgery Start Date]]=Date),0,1),0))*1440),0,INDEX(Am_Close,MATCH(1,INDEX((tbl_Case_mins[[#This Row],[Theatre]]=Theatre_No)*(tbl_Case_mins[[#This Row],[Surgery Start Date]]=Date),0,1),0))*1440),0)</f>
        <v>0</v>
      </c>
      <c r="AG48" s="9">
        <f>IFERROR(IF(ISBLANK(INDEX(PM_Open,MATCH(1,INDEX((tbl_Case_mins[[#This Row],[Theatre]]=Theatre_No)*(tbl_Case_mins[[#This Row],[Surgery Start Date]]=Date),0,1),0))*1440),0,INDEX(PM_Open,MATCH(1,INDEX((tbl_Case_mins[[#This Row],[Theatre]]=Theatre_No)*(tbl_Case_mins[[#This Row],[Surgery Start Date]]=Date),0,1),0))*1440),0)</f>
        <v>0</v>
      </c>
      <c r="AH4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8" s="9" t="e">
        <f>IF(tbl_Case_mins[[#This Row],[ThOpenAm]]=0,tbl_Case_mins[[#This Row],[ThOpenPM]],tbl_Case_mins[[#This Row],[ThOpenAm]])</f>
        <v>#REF!</v>
      </c>
      <c r="AJ48" s="9" t="e">
        <f>IF(tbl_Case_mins[[#This Row],[ThCloseAm]]&gt;0,IF(tbl_Case_mins[[#This Row],[ThOpenPM]]&gt;0,tbl_Case_mins[[#This Row],[ThClosePm]],tbl_Case_mins[[#This Row],[ThCloseAm]]),tbl_Case_mins[[#This Row],[ThClosePm]])</f>
        <v>#REF!</v>
      </c>
      <c r="AK48" s="9" t="e">
        <f>IF(tbl_Case_mins[[#This Row],[TOT]]&gt;0,1,0)</f>
        <v>#REF!</v>
      </c>
      <c r="AL4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8" s="9" t="e">
        <f>IF(AND(tbl_Case_mins[[#This Row],[Surgery Status]]&lt;&gt;2,tbl_Case_mins[[#This Row],[InCoreCase]]=0,tbl_Case_mins[[#This Row],[CancelledCase]]=0),1,0)</f>
        <v>#REF!</v>
      </c>
      <c r="AN48" s="9" t="e">
        <f>IF(tbl_Case_mins[[#This Row],[Surgery Status]]=1,1,0)</f>
        <v>#REF!</v>
      </c>
      <c r="AO4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8" s="9" t="e">
        <f>IF(AND(tbl_Case_mins[[#This Row],[NonCoreCase]]=1,tbl_Case_mins[[#This Row],[NoInCoreTime]]=0),1,0)</f>
        <v>#REF!</v>
      </c>
      <c r="AQ48" s="9" t="e">
        <f>IF(tbl_Case_mins[[#This Row],[Rank_AnaEnd]]&lt;tbl_Case_mins[[#This Row],[Rank_AnaSt]],1,0)</f>
        <v>#REF!</v>
      </c>
      <c r="AR48" s="9" t="e">
        <f>IF(AND(tbl_Case_mins[[#This Row],[InCoreCase]]=1,tbl_Case_mins[[#This Row],[Sch]]=1),1,0)</f>
        <v>#REF!</v>
      </c>
      <c r="AS48" s="9" t="e">
        <f>IF(AND(tbl_Case_mins[[#This Row],[InCoreCase]]=1,tbl_Case_mins[[#This Row],[Unsch]]=1),1,0)</f>
        <v>#REF!</v>
      </c>
      <c r="AT4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8" s="9" t="e">
        <f>IF(tbl_Case_mins[[#This Row],[Surgery Status]]=0,(tbl_Case_mins[[#This Row],[Anaesth End]]-tbl_Case_mins[[#This Row],[AnaesthStart]]),0)</f>
        <v>#REF!</v>
      </c>
      <c r="AX48" s="9" t="e">
        <f>IF(tbl_Case_mins[[#This Row],[Surgery Status]]=0,(tbl_Case_mins[[#This Row],[Surgery Finish]]-tbl_Case_mins[[#This Row],[Surgery Start]]),0)</f>
        <v>#REF!</v>
      </c>
      <c r="AY48" s="9" t="e">
        <f>tbl_Case_mins[[#This Row],[Surgery Start]]-tbl_Case_mins[[#This Row],[AnaesthStart]]</f>
        <v>#REF!</v>
      </c>
      <c r="AZ48" s="9" t="e">
        <f>tbl_Case_mins[[#This Row],[Anaesth End]]-tbl_Case_mins[[#This Row],[Surgery Finish]]</f>
        <v>#REF!</v>
      </c>
      <c r="BA4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8" s="16" cm="1">
        <f t="array" ref="BC4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8" s="16" t="e">
        <f>IF(AND(tbl_Case_mins[[#This Row],[FirstAMCase]]=1,tbl_Case_mins[[#This Row],[CancelledCase]]=0,OR(tbl_Case_mins[[#This Row],[EarlyStartAM]]&gt;0,tbl_Case_mins[[#This Row],[AnaesthStart]]=tbl_Case_mins[[#This Row],[ThOpenAm]])),1,0)</f>
        <v>#REF!</v>
      </c>
      <c r="BE48" s="16" t="e">
        <f>IF(AND(tbl_Case_mins[[#This Row],[Rank_AnaSt]]=tbl_Case_mins[[#This Row],[Min_RankAnaSt]],tbl_Case_mins[[#This Row],[Anaesth End]]&gt;=tbl_Case_mins[[#This Row],[ThOpenAm]],tbl_Case_mins[[#This Row],[PmCase]]=0),1,0)</f>
        <v>#REF!</v>
      </c>
      <c r="BF4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8" s="9" t="e" cm="1">
        <f t="array" ref="BH4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8" s="9" t="e">
        <f>IF(AND(tbl_Case_mins[[#This Row],[ThOpenPM]]&gt;0,tbl_Case_mins[[#This Row],[AnaesthStart]]&gt;tbl_Case_mins[[#This Row],[ThOpenPM]],tbl_Case_mins[[#This Row],[First PM Case]]=1),tbl_Case_mins[[#This Row],[AnaesthStart]]-tbl_Case_mins[[#This Row],[ThOpenPM]],0)</f>
        <v>#REF!</v>
      </c>
      <c r="BL4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8" s="9" t="e" cm="1">
        <f t="array" ref="BN4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8" s="9" t="e">
        <f>IF(AND(tbl_Case_mins[[#This Row],[ThClosePm]]&gt;0,tbl_Case_mins[[#This Row],[Anaesth End]]&gt;tbl_Case_mins[[#This Row],[ThClosePm]],tbl_Case_mins[[#This Row],[AnaesthStart]]&gt;tbl_Case_mins[[#This Row],[ThClosePm]]),tbl_Case_mins[[#This Row],[Into Recov]]-tbl_Case_mins[[#This Row],[AnaesthStart]],0)</f>
        <v>#REF!</v>
      </c>
      <c r="BP48" s="9" t="e">
        <f>IF(AND(tbl_Case_mins[[#This Row],[AnaesthStart]]&lt;tbl_Case_mins[[#This Row],[ThClosePm]],tbl_Case_mins[[#This Row],[Anaesth End]]&gt;tbl_Case_mins[[#This Row],[ThClosePm]]),tbl_Case_mins[[#This Row],[Anaesth End]]-tbl_Case_mins[[#This Row],[ThClosePm]],0)</f>
        <v>#REF!</v>
      </c>
      <c r="BQ48" s="9" t="e" cm="1">
        <f t="array" ref="BQ4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8" s="9" t="e" cm="1">
        <f t="array" ref="BR48">IF(tbl_Case_mins[[#This Row],[Rank_Adjust]]=SUMPRODUCT(-(tbl_Case_mins[Surgery Start Date]=tbl_Case_mins[[#This Row],[Surgery Start Date]]),-(tbl_Case_mins[Theatre]=tbl_Case_mins[[#This Row],[Theatre]])),INDEX(Poss_Time,MATCH(TEXT(tbl_Case_mins[[#This Row],[Surgery Start Date]],"ddd"),Day,0)),0)</f>
        <v>#REF!</v>
      </c>
      <c r="BS48" s="9" t="e">
        <f>tbl_Case_mins[[#This Row],[Core_Time]]*Util_Goal</f>
        <v>#REF!</v>
      </c>
      <c r="BT48" s="9" t="e" cm="1">
        <f t="array" ref="BT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8" s="9" t="e" cm="1">
        <f t="array" ref="BU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8" s="9" t="e">
        <f>IF(tbl_Case_mins[[#This Row],[Surgery End Date]]&gt;tbl_Case_mins[[#This Row],[Surgery Start Date]],tbl_Case_mins[[#This Row],[Anaesth End]]-1440,0)</f>
        <v>#REF!</v>
      </c>
      <c r="BY48" s="9" t="e">
        <f>tbl_Case_mins[[#This Row],[Total_NonCore]]-tbl_Case_mins[[#This Row],[NextDay_NonCore]]</f>
        <v>#REF!</v>
      </c>
      <c r="BZ48" s="10" t="e">
        <f>tbl_Case_mins[[#This Row],[InCoreUse]]/60</f>
        <v>#REF!</v>
      </c>
      <c r="CA48" s="10" t="e">
        <f>tbl_Case_mins[[#This Row],[Total_NonCore]]/60</f>
        <v>#REF!</v>
      </c>
      <c r="CB48" t="e" cm="1">
        <f t="array" ref="CB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8" s="9" t="e" cm="1">
        <f t="array" ref="CC4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8" s="9" t="e" cm="1">
        <f t="array" ref="CD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8" s="9" t="e" cm="1">
        <f t="array" ref="CE4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8" s="9" cm="1">
        <f t="array" ref="CF48">IFERROR(_xlfn.AGGREGATE(14,6,(tbl_Case_mins[Rank_AnaEnd])/((tbl_Case_mins[Surgery Start Date]=tbl_Case_mins[[#This Row],[Surgery Start Date]])*(tbl_Case_mins[Theatre]=tbl_Case_mins[[#This Row],[Theatre]])*(tbl_Case_mins[NoInCoreTime]=0)),1),-1)</f>
        <v>-1</v>
      </c>
      <c r="CG48" s="9" cm="1">
        <f t="array" ref="CG48">IFERROR(_xlfn.AGGREGATE(15,6,(tbl_Case_mins[Rank_AnaSt])/((tbl_Case_mins[Surgery Start Date]=tbl_Case_mins[[#This Row],[Surgery Start Date]])*(tbl_Case_mins[Theatre]=tbl_Case_mins[[#This Row],[Theatre]])*(tbl_Case_mins[NoInCoreTime]=0)),1),-1)</f>
        <v>-1</v>
      </c>
      <c r="CH4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8" t="e" cm="1">
        <f t="array" ref="CJ4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8" s="9" cm="1">
        <f t="array" ref="CO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8" s="9" cm="1">
        <f t="array" ref="CP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8" s="9" cm="1">
        <f t="array" ref="CQ48">IFERROR(IF(AND(tbl_Case_mins[[#This Row],[FirstAMCase]]=0,tbl_Case_mins[[#This Row],[Rank]]=_xlfn.AGGREGATE(14,6,(tbl_Case_mins[Rank])/((tbl_Case_mins[Surgery Start Date]=tbl_Case_mins[[#This Row],[Surgery Start Date]])*(tbl_Case_mins[Theatre]=tbl_Case_mins[[#This Row],[Theatre]])*(tbl_Case_mins[AmCase]=1)),1)),1,0),0)</f>
        <v>0</v>
      </c>
      <c r="CR48" s="9" cm="1">
        <f t="array" ref="CR4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8" s="9" t="e" cm="1">
        <f t="array" ref="CS4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8" s="9" cm="1">
        <f t="array" ref="CT48">IFERROR(IF(tbl_Case_mins[[#This Row],[Rank]]=_xlfn.AGGREGATE(15,6,(tbl_Case_mins[Rank])/((tbl_Case_mins[Surgery Start Date]=tbl_Case_mins[[#This Row],[Surgery Start Date]])*(tbl_Case_mins[Theatre]=tbl_Case_mins[[#This Row],[Theatre]])*(tbl_Case_mins[PmCase]=1)),1),1,0),0)</f>
        <v>0</v>
      </c>
      <c r="CU48">
        <f>IFERROR(#REF!,0)</f>
        <v>0</v>
      </c>
      <c r="CV48" s="9" t="e" cm="1">
        <f t="array" ref="CV4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8" s="9">
        <f>IFERROR(IF(ISBLANK(INDEX(Bay_AmClose,MATCH(1,INDEX((tbl_Case_mins[[#This Row],[Bay]]=BayNo)*(tbl_Case_mins[[#This Row],[Surgery Start Date]]=BDate),0,1),0))*1440),0,INDEX(Bay_AmClose,MATCH(1,INDEX((tbl_Case_mins[[#This Row],[Bay]]=BayNo)*(tbl_Case_mins[[#This Row],[Surgery Start Date]]=BDate),0,1),0))*1440),0)</f>
        <v>0</v>
      </c>
      <c r="CX48" s="9" cm="1">
        <f t="array" ref="CX48">IFERROR(IF(ISBLANK(INDEX(Bay_PmOpen,MATCH(1,INDEX((tbl_Case_mins[[#This Row],[Bay]]=BayNo)*(tbl_Case_mins[[#This Row],[Surgery Start Date]]=BDate),0,1),0))*1440),0,INDEX(Bay_PmOpen,MATCH(1,INDEX((tbl_Case_mins[[#This Row],[Bay]]=BayNo)*(tbl_Case_mins[[#This Row],[Surgery Start Date]]=BDate),0,1),0))*1440),0)</f>
        <v>0</v>
      </c>
      <c r="CY4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8" s="9"/>
    </row>
    <row r="49" spans="1:104" x14ac:dyDescent="0.2">
      <c r="A49">
        <v>48</v>
      </c>
      <c r="B49" t="e">
        <f>#REF!</f>
        <v>#REF!</v>
      </c>
      <c r="C49" t="e">
        <f>#REF!</f>
        <v>#REF!</v>
      </c>
      <c r="D49" t="e">
        <f>#REF!</f>
        <v>#REF!</v>
      </c>
      <c r="E49" t="e">
        <f>#REF!</f>
        <v>#REF!</v>
      </c>
      <c r="F49" t="e">
        <f>#REF!</f>
        <v>#REF!</v>
      </c>
      <c r="G49" t="e">
        <f>#REF!</f>
        <v>#REF!</v>
      </c>
      <c r="H49" t="e">
        <f>#REF!</f>
        <v>#REF!</v>
      </c>
      <c r="I49" t="e">
        <f>IF(#REF!="Case Cancelled",1,IF(#REF!="No Cases",2,0))</f>
        <v>#REF!</v>
      </c>
      <c r="J49" t="e">
        <f>#REF!</f>
        <v>#REF!</v>
      </c>
      <c r="K49" s="4" t="e">
        <f>#REF!</f>
        <v>#REF!</v>
      </c>
      <c r="L49" t="e">
        <f>"Wk "&amp;WEEKNUM(tbl_Case_mins[[#This Row],[Surgery Start Date]],21)</f>
        <v>#REF!</v>
      </c>
      <c r="M49" t="e">
        <f>TEXT(tbl_Case_mins[[#This Row],[Surgery Start Date]],"ddd")</f>
        <v>#REF!</v>
      </c>
      <c r="N49" s="9" t="e">
        <f>(#REF!-TIME(0,0,0))*1440</f>
        <v>#REF!</v>
      </c>
      <c r="O49" t="e">
        <f>IF(AND(ROUND((#REF!-TIME(0,0,0))*1440,0)&gt;0,ROUND((#REF!-TIME(0,0,0))*1440,0)&lt;tbl_Case_mins[[#This Row],[Patient Called]],tbl_Case_mins[[#This Row],[Surgery End Date]]&gt;tbl_Case_mins[[#This Row],[Surgery Start Date]]),ROUND((#REF!-TIME(0,0,0))*1440,0)+1440,ROUND((#REF!-TIME(0,0,0))*1440,0))</f>
        <v>#REF!</v>
      </c>
      <c r="P49" s="9" t="e">
        <f>IF(AND(ROUND((#REF!-TIME(0,0,0))*1440,0)&gt;0,ROUND((#REF!-TIME(0,0,0))*1440,0)&lt;tbl_Case_mins[[#This Row],[Arrival]],tbl_Case_mins[[#This Row],[Surgery End Date]]&gt;tbl_Case_mins[[#This Row],[Surgery Start Date]]),ROUND((#REF!-TIME(0,0,0))*1440,0)+1440,ROUND((#REF!-TIME(0,0,0))*1440,0))</f>
        <v>#REF!</v>
      </c>
      <c r="Q49" s="9" t="e">
        <f>IF(AND(ROUND((#REF!-TIME(0,0,0))*1440,0)&gt;0,ROUND((#REF!-TIME(0,0,0))*1440,0)&lt;tbl_Case_mins[[#This Row],[Into Th or AR]],tbl_Case_mins[[#This Row],[Surgery End Date]]&gt;tbl_Case_mins[[#This Row],[Surgery Start Date]]),ROUND((#REF!-TIME(0,0,0))*1440,0)+1440,ROUND((#REF!-TIME(0,0,0))*1440,0))</f>
        <v>#REF!</v>
      </c>
      <c r="R49" s="9" t="e">
        <f>IF(AND(ROUND((#REF!-TIME(0,0,0))*1440,0)&gt;0,ROUND((#REF!-TIME(0,0,0))*1440,0)&lt;tbl_Case_mins[[#This Row],[AnaesthStart]],tbl_Case_mins[[#This Row],[Surgery End Date]]&gt;tbl_Case_mins[[#This Row],[Surgery Start Date]]),ROUND((#REF!-TIME(0,0,0))*1440,0)+1440,ROUND((#REF!-TIME(0,0,0))*1440,0))</f>
        <v>#REF!</v>
      </c>
      <c r="S49" s="9" t="e">
        <f>IF(AND(ROUND((#REF!-TIME(0,0,0))*1440,0),ROUND((#REF!-TIME(0,0,0))*1440,0)&lt;tbl_Case_mins[[#This Row],[Surgery Start]],tbl_Case_mins[[#This Row],[Surgery End Date]]&gt;tbl_Case_mins[[#This Row],[Surgery Start Date]]),ROUND((#REF!-TIME(0,0,0))*1440,0)+1440,ROUND((#REF!-TIME(0,0,0))*1440,0))</f>
        <v>#REF!</v>
      </c>
      <c r="T49" s="9" t="e">
        <f>IF(AND(ROUND((#REF!-TIME(0,0,0))*1440,0)&gt;0,ROUND((#REF!-TIME(0,0,0))*1440,0)&lt;tbl_Case_mins[[#This Row],[Surgery Finish]],tbl_Case_mins[[#This Row],[Surgery End Date]]&gt;tbl_Case_mins[[#This Row],[Surgery Start Date]]),ROUND((#REF!-TIME(0,0,0))*1440,0)+1440,ROUND((#REF!-TIME(0,0,0))*1440,0))</f>
        <v>#REF!</v>
      </c>
      <c r="U49" s="9" t="e">
        <f>IF(AND(ROUND((#REF!-TIME(0,0,0))*1440,0)&gt;0,ROUND((#REF!-TIME(0,0,0))*1440,0)&lt;tbl_Case_mins[[#This Row],[Anaesth End]],tbl_Case_mins[[#This Row],[Surgery End Date]]&gt;tbl_Case_mins[[#This Row],[Surgery Start Date]]),ROUND((#REF!-TIME(0,0,0))*1440,0)+1440,ROUND((#REF!-TIME(0,0,0))*1440,0))</f>
        <v>#REF!</v>
      </c>
      <c r="V49" s="9" t="e">
        <f>IF(AND(ROUND((#REF!-TIME(0,0,0))*1440,0)&gt;0,ROUND((#REF!-TIME(0,0,0))*1440,0)&lt;tbl_Case_mins[[#This Row],[Into Recov]],tbl_Case_mins[[#This Row],[Surgery End Date]]&gt;tbl_Case_mins[[#This Row],[Surgery Start Date]]),ROUND((#REF!-TIME(0,0,0))*1440,0)+1440,ROUND((#REF!-TIME(0,0,0))*1440,0))</f>
        <v>#REF!</v>
      </c>
      <c r="W49" s="9" t="e">
        <f>IF(AND(ROUND((#REF!-TIME(0,0,0))*1440,0)&gt;0,ROUND((#REF!-TIME(0,0,0))*1440,0)&lt;tbl_Case_mins[[#This Row],[Ward Called]],tbl_Case_mins[[#This Row],[Surgery End Date]]&gt;tbl_Case_mins[[#This Row],[Surgery Start Date]]),ROUND((#REF!-TIME(0,0,0))*1440,0)+1440,ROUND((#REF!-TIME(0,0,0))*1440,0))</f>
        <v>#REF!</v>
      </c>
      <c r="X49" s="4" t="e">
        <f>IF(ISBLANK(#REF!),tbl_Case_mins[[#This Row],[Surgery Start Date]],#REF!)</f>
        <v>#REF!</v>
      </c>
      <c r="Y49">
        <f>IFERROR(IF(VLOOKUP(tbl_Case_mins[[#This Row],[Theatre]],'Mng Theatres'!$C$7:$G$12,3,FALSE)="Yes","Yes","No"),0)</f>
        <v>0</v>
      </c>
      <c r="Z49" s="9" t="e" cm="1">
        <f t="array" ref="Z4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9" s="9" t="e" cm="1">
        <f t="array" ref="AA4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9" s="9" t="e">
        <f>IF(tbl_Case_mins[[#This Row],[Case Type]]="Unsch",1,0)</f>
        <v>#REF!</v>
      </c>
      <c r="AD49" s="9" t="e">
        <f>IF(tbl_Case_mins[[#This Row],[Case Type]]="Sch",1,0)</f>
        <v>#REF!</v>
      </c>
      <c r="AE4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9" s="9">
        <f>IFERROR(IF(ISBLANK(INDEX(Am_Close,MATCH(1,INDEX((tbl_Case_mins[[#This Row],[Theatre]]=Theatre_No)*(tbl_Case_mins[[#This Row],[Surgery Start Date]]=Date),0,1),0))*1440),0,INDEX(Am_Close,MATCH(1,INDEX((tbl_Case_mins[[#This Row],[Theatre]]=Theatre_No)*(tbl_Case_mins[[#This Row],[Surgery Start Date]]=Date),0,1),0))*1440),0)</f>
        <v>0</v>
      </c>
      <c r="AG49" s="9">
        <f>IFERROR(IF(ISBLANK(INDEX(PM_Open,MATCH(1,INDEX((tbl_Case_mins[[#This Row],[Theatre]]=Theatre_No)*(tbl_Case_mins[[#This Row],[Surgery Start Date]]=Date),0,1),0))*1440),0,INDEX(PM_Open,MATCH(1,INDEX((tbl_Case_mins[[#This Row],[Theatre]]=Theatre_No)*(tbl_Case_mins[[#This Row],[Surgery Start Date]]=Date),0,1),0))*1440),0)</f>
        <v>0</v>
      </c>
      <c r="AH4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9" s="9" t="e">
        <f>IF(tbl_Case_mins[[#This Row],[ThOpenAm]]=0,tbl_Case_mins[[#This Row],[ThOpenPM]],tbl_Case_mins[[#This Row],[ThOpenAm]])</f>
        <v>#REF!</v>
      </c>
      <c r="AJ49" s="9" t="e">
        <f>IF(tbl_Case_mins[[#This Row],[ThCloseAm]]&gt;0,IF(tbl_Case_mins[[#This Row],[ThOpenPM]]&gt;0,tbl_Case_mins[[#This Row],[ThClosePm]],tbl_Case_mins[[#This Row],[ThCloseAm]]),tbl_Case_mins[[#This Row],[ThClosePm]])</f>
        <v>#REF!</v>
      </c>
      <c r="AK49" s="9" t="e">
        <f>IF(tbl_Case_mins[[#This Row],[TOT]]&gt;0,1,0)</f>
        <v>#REF!</v>
      </c>
      <c r="AL4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9" s="9" t="e">
        <f>IF(AND(tbl_Case_mins[[#This Row],[Surgery Status]]&lt;&gt;2,tbl_Case_mins[[#This Row],[InCoreCase]]=0,tbl_Case_mins[[#This Row],[CancelledCase]]=0),1,0)</f>
        <v>#REF!</v>
      </c>
      <c r="AN49" s="9" t="e">
        <f>IF(tbl_Case_mins[[#This Row],[Surgery Status]]=1,1,0)</f>
        <v>#REF!</v>
      </c>
      <c r="AO4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9" s="9" t="e">
        <f>IF(AND(tbl_Case_mins[[#This Row],[NonCoreCase]]=1,tbl_Case_mins[[#This Row],[NoInCoreTime]]=0),1,0)</f>
        <v>#REF!</v>
      </c>
      <c r="AQ49" s="9" t="e">
        <f>IF(tbl_Case_mins[[#This Row],[Rank_AnaEnd]]&lt;tbl_Case_mins[[#This Row],[Rank_AnaSt]],1,0)</f>
        <v>#REF!</v>
      </c>
      <c r="AR49" s="9" t="e">
        <f>IF(AND(tbl_Case_mins[[#This Row],[InCoreCase]]=1,tbl_Case_mins[[#This Row],[Sch]]=1),1,0)</f>
        <v>#REF!</v>
      </c>
      <c r="AS49" s="9" t="e">
        <f>IF(AND(tbl_Case_mins[[#This Row],[InCoreCase]]=1,tbl_Case_mins[[#This Row],[Unsch]]=1),1,0)</f>
        <v>#REF!</v>
      </c>
      <c r="AT4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9" s="9" t="e">
        <f>IF(tbl_Case_mins[[#This Row],[Surgery Status]]=0,(tbl_Case_mins[[#This Row],[Anaesth End]]-tbl_Case_mins[[#This Row],[AnaesthStart]]),0)</f>
        <v>#REF!</v>
      </c>
      <c r="AX49" s="9" t="e">
        <f>IF(tbl_Case_mins[[#This Row],[Surgery Status]]=0,(tbl_Case_mins[[#This Row],[Surgery Finish]]-tbl_Case_mins[[#This Row],[Surgery Start]]),0)</f>
        <v>#REF!</v>
      </c>
      <c r="AY49" s="9" t="e">
        <f>tbl_Case_mins[[#This Row],[Surgery Start]]-tbl_Case_mins[[#This Row],[AnaesthStart]]</f>
        <v>#REF!</v>
      </c>
      <c r="AZ49" s="9" t="e">
        <f>tbl_Case_mins[[#This Row],[Anaesth End]]-tbl_Case_mins[[#This Row],[Surgery Finish]]</f>
        <v>#REF!</v>
      </c>
      <c r="BA4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9" s="16" cm="1">
        <f t="array" ref="BC4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9" s="16" t="e">
        <f>IF(AND(tbl_Case_mins[[#This Row],[FirstAMCase]]=1,tbl_Case_mins[[#This Row],[CancelledCase]]=0,OR(tbl_Case_mins[[#This Row],[EarlyStartAM]]&gt;0,tbl_Case_mins[[#This Row],[AnaesthStart]]=tbl_Case_mins[[#This Row],[ThOpenAm]])),1,0)</f>
        <v>#REF!</v>
      </c>
      <c r="BE49" s="16" t="e">
        <f>IF(AND(tbl_Case_mins[[#This Row],[Rank_AnaSt]]=tbl_Case_mins[[#This Row],[Min_RankAnaSt]],tbl_Case_mins[[#This Row],[Anaesth End]]&gt;=tbl_Case_mins[[#This Row],[ThOpenAm]],tbl_Case_mins[[#This Row],[PmCase]]=0),1,0)</f>
        <v>#REF!</v>
      </c>
      <c r="BF4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9" s="9" t="e" cm="1">
        <f t="array" ref="BH4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9" s="9" t="e">
        <f>IF(AND(tbl_Case_mins[[#This Row],[ThOpenPM]]&gt;0,tbl_Case_mins[[#This Row],[AnaesthStart]]&gt;tbl_Case_mins[[#This Row],[ThOpenPM]],tbl_Case_mins[[#This Row],[First PM Case]]=1),tbl_Case_mins[[#This Row],[AnaesthStart]]-tbl_Case_mins[[#This Row],[ThOpenPM]],0)</f>
        <v>#REF!</v>
      </c>
      <c r="BL4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9" s="9" t="e" cm="1">
        <f t="array" ref="BN4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9" s="9" t="e">
        <f>IF(AND(tbl_Case_mins[[#This Row],[ThClosePm]]&gt;0,tbl_Case_mins[[#This Row],[Anaesth End]]&gt;tbl_Case_mins[[#This Row],[ThClosePm]],tbl_Case_mins[[#This Row],[AnaesthStart]]&gt;tbl_Case_mins[[#This Row],[ThClosePm]]),tbl_Case_mins[[#This Row],[Into Recov]]-tbl_Case_mins[[#This Row],[AnaesthStart]],0)</f>
        <v>#REF!</v>
      </c>
      <c r="BP49" s="9" t="e">
        <f>IF(AND(tbl_Case_mins[[#This Row],[AnaesthStart]]&lt;tbl_Case_mins[[#This Row],[ThClosePm]],tbl_Case_mins[[#This Row],[Anaesth End]]&gt;tbl_Case_mins[[#This Row],[ThClosePm]]),tbl_Case_mins[[#This Row],[Anaesth End]]-tbl_Case_mins[[#This Row],[ThClosePm]],0)</f>
        <v>#REF!</v>
      </c>
      <c r="BQ49" s="9" t="e" cm="1">
        <f t="array" ref="BQ4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9" s="9" t="e" cm="1">
        <f t="array" ref="BR49">IF(tbl_Case_mins[[#This Row],[Rank_Adjust]]=SUMPRODUCT(-(tbl_Case_mins[Surgery Start Date]=tbl_Case_mins[[#This Row],[Surgery Start Date]]),-(tbl_Case_mins[Theatre]=tbl_Case_mins[[#This Row],[Theatre]])),INDEX(Poss_Time,MATCH(TEXT(tbl_Case_mins[[#This Row],[Surgery Start Date]],"ddd"),Day,0)),0)</f>
        <v>#REF!</v>
      </c>
      <c r="BS49" s="9" t="e">
        <f>tbl_Case_mins[[#This Row],[Core_Time]]*Util_Goal</f>
        <v>#REF!</v>
      </c>
      <c r="BT49" s="9" t="e" cm="1">
        <f t="array" ref="BT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9" s="9" t="e" cm="1">
        <f t="array" ref="BU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9" s="9" t="e">
        <f>IF(tbl_Case_mins[[#This Row],[Surgery End Date]]&gt;tbl_Case_mins[[#This Row],[Surgery Start Date]],tbl_Case_mins[[#This Row],[Anaesth End]]-1440,0)</f>
        <v>#REF!</v>
      </c>
      <c r="BY49" s="9" t="e">
        <f>tbl_Case_mins[[#This Row],[Total_NonCore]]-tbl_Case_mins[[#This Row],[NextDay_NonCore]]</f>
        <v>#REF!</v>
      </c>
      <c r="BZ49" s="10" t="e">
        <f>tbl_Case_mins[[#This Row],[InCoreUse]]/60</f>
        <v>#REF!</v>
      </c>
      <c r="CA49" s="10" t="e">
        <f>tbl_Case_mins[[#This Row],[Total_NonCore]]/60</f>
        <v>#REF!</v>
      </c>
      <c r="CB49" t="e" cm="1">
        <f t="array" ref="CB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9" s="9" t="e" cm="1">
        <f t="array" ref="CC4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9" s="9" t="e" cm="1">
        <f t="array" ref="CD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9" s="9" t="e" cm="1">
        <f t="array" ref="CE4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9" s="9" cm="1">
        <f t="array" ref="CF49">IFERROR(_xlfn.AGGREGATE(14,6,(tbl_Case_mins[Rank_AnaEnd])/((tbl_Case_mins[Surgery Start Date]=tbl_Case_mins[[#This Row],[Surgery Start Date]])*(tbl_Case_mins[Theatre]=tbl_Case_mins[[#This Row],[Theatre]])*(tbl_Case_mins[NoInCoreTime]=0)),1),-1)</f>
        <v>-1</v>
      </c>
      <c r="CG49" s="9" cm="1">
        <f t="array" ref="CG49">IFERROR(_xlfn.AGGREGATE(15,6,(tbl_Case_mins[Rank_AnaSt])/((tbl_Case_mins[Surgery Start Date]=tbl_Case_mins[[#This Row],[Surgery Start Date]])*(tbl_Case_mins[Theatre]=tbl_Case_mins[[#This Row],[Theatre]])*(tbl_Case_mins[NoInCoreTime]=0)),1),-1)</f>
        <v>-1</v>
      </c>
      <c r="CH4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9" t="e" cm="1">
        <f t="array" ref="CJ4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9" s="9" cm="1">
        <f t="array" ref="CO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9" s="9" cm="1">
        <f t="array" ref="CP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9" s="9" cm="1">
        <f t="array" ref="CQ49">IFERROR(IF(AND(tbl_Case_mins[[#This Row],[FirstAMCase]]=0,tbl_Case_mins[[#This Row],[Rank]]=_xlfn.AGGREGATE(14,6,(tbl_Case_mins[Rank])/((tbl_Case_mins[Surgery Start Date]=tbl_Case_mins[[#This Row],[Surgery Start Date]])*(tbl_Case_mins[Theatre]=tbl_Case_mins[[#This Row],[Theatre]])*(tbl_Case_mins[AmCase]=1)),1)),1,0),0)</f>
        <v>0</v>
      </c>
      <c r="CR49" s="9" cm="1">
        <f t="array" ref="CR4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9" s="9" t="e" cm="1">
        <f t="array" ref="CS4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9" s="9" cm="1">
        <f t="array" ref="CT49">IFERROR(IF(tbl_Case_mins[[#This Row],[Rank]]=_xlfn.AGGREGATE(15,6,(tbl_Case_mins[Rank])/((tbl_Case_mins[Surgery Start Date]=tbl_Case_mins[[#This Row],[Surgery Start Date]])*(tbl_Case_mins[Theatre]=tbl_Case_mins[[#This Row],[Theatre]])*(tbl_Case_mins[PmCase]=1)),1),1,0),0)</f>
        <v>0</v>
      </c>
      <c r="CU49">
        <f>IFERROR(#REF!,0)</f>
        <v>0</v>
      </c>
      <c r="CV49" s="9" t="e" cm="1">
        <f t="array" ref="CV4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9" s="9">
        <f>IFERROR(IF(ISBLANK(INDEX(Bay_AmClose,MATCH(1,INDEX((tbl_Case_mins[[#This Row],[Bay]]=BayNo)*(tbl_Case_mins[[#This Row],[Surgery Start Date]]=BDate),0,1),0))*1440),0,INDEX(Bay_AmClose,MATCH(1,INDEX((tbl_Case_mins[[#This Row],[Bay]]=BayNo)*(tbl_Case_mins[[#This Row],[Surgery Start Date]]=BDate),0,1),0))*1440),0)</f>
        <v>0</v>
      </c>
      <c r="CX49" s="9" cm="1">
        <f t="array" ref="CX49">IFERROR(IF(ISBLANK(INDEX(Bay_PmOpen,MATCH(1,INDEX((tbl_Case_mins[[#This Row],[Bay]]=BayNo)*(tbl_Case_mins[[#This Row],[Surgery Start Date]]=BDate),0,1),0))*1440),0,INDEX(Bay_PmOpen,MATCH(1,INDEX((tbl_Case_mins[[#This Row],[Bay]]=BayNo)*(tbl_Case_mins[[#This Row],[Surgery Start Date]]=BDate),0,1),0))*1440),0)</f>
        <v>0</v>
      </c>
      <c r="CY4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9" s="9"/>
    </row>
    <row r="50" spans="1:104" x14ac:dyDescent="0.2">
      <c r="A50">
        <v>49</v>
      </c>
      <c r="B50" t="e">
        <f>#REF!</f>
        <v>#REF!</v>
      </c>
      <c r="C50" t="e">
        <f>#REF!</f>
        <v>#REF!</v>
      </c>
      <c r="D50" t="e">
        <f>#REF!</f>
        <v>#REF!</v>
      </c>
      <c r="E50" t="e">
        <f>#REF!</f>
        <v>#REF!</v>
      </c>
      <c r="F50" t="e">
        <f>#REF!</f>
        <v>#REF!</v>
      </c>
      <c r="G50" t="e">
        <f>#REF!</f>
        <v>#REF!</v>
      </c>
      <c r="H50" t="e">
        <f>#REF!</f>
        <v>#REF!</v>
      </c>
      <c r="I50" t="e">
        <f>IF(#REF!="Case Cancelled",1,IF(#REF!="No Cases",2,0))</f>
        <v>#REF!</v>
      </c>
      <c r="J50" t="e">
        <f>#REF!</f>
        <v>#REF!</v>
      </c>
      <c r="K50" s="4" t="e">
        <f>#REF!</f>
        <v>#REF!</v>
      </c>
      <c r="L50" t="e">
        <f>"Wk "&amp;WEEKNUM(tbl_Case_mins[[#This Row],[Surgery Start Date]],21)</f>
        <v>#REF!</v>
      </c>
      <c r="M50" t="e">
        <f>TEXT(tbl_Case_mins[[#This Row],[Surgery Start Date]],"ddd")</f>
        <v>#REF!</v>
      </c>
      <c r="N50" s="9" t="e">
        <f>(#REF!-TIME(0,0,0))*1440</f>
        <v>#REF!</v>
      </c>
      <c r="O50" t="e">
        <f>IF(AND(ROUND((#REF!-TIME(0,0,0))*1440,0)&gt;0,ROUND((#REF!-TIME(0,0,0))*1440,0)&lt;tbl_Case_mins[[#This Row],[Patient Called]],tbl_Case_mins[[#This Row],[Surgery End Date]]&gt;tbl_Case_mins[[#This Row],[Surgery Start Date]]),ROUND((#REF!-TIME(0,0,0))*1440,0)+1440,ROUND((#REF!-TIME(0,0,0))*1440,0))</f>
        <v>#REF!</v>
      </c>
      <c r="P50" s="9" t="e">
        <f>IF(AND(ROUND((#REF!-TIME(0,0,0))*1440,0)&gt;0,ROUND((#REF!-TIME(0,0,0))*1440,0)&lt;tbl_Case_mins[[#This Row],[Arrival]],tbl_Case_mins[[#This Row],[Surgery End Date]]&gt;tbl_Case_mins[[#This Row],[Surgery Start Date]]),ROUND((#REF!-TIME(0,0,0))*1440,0)+1440,ROUND((#REF!-TIME(0,0,0))*1440,0))</f>
        <v>#REF!</v>
      </c>
      <c r="Q50" s="9" t="e">
        <f>IF(AND(ROUND((#REF!-TIME(0,0,0))*1440,0)&gt;0,ROUND((#REF!-TIME(0,0,0))*1440,0)&lt;tbl_Case_mins[[#This Row],[Into Th or AR]],tbl_Case_mins[[#This Row],[Surgery End Date]]&gt;tbl_Case_mins[[#This Row],[Surgery Start Date]]),ROUND((#REF!-TIME(0,0,0))*1440,0)+1440,ROUND((#REF!-TIME(0,0,0))*1440,0))</f>
        <v>#REF!</v>
      </c>
      <c r="R50" s="9" t="e">
        <f>IF(AND(ROUND((#REF!-TIME(0,0,0))*1440,0)&gt;0,ROUND((#REF!-TIME(0,0,0))*1440,0)&lt;tbl_Case_mins[[#This Row],[AnaesthStart]],tbl_Case_mins[[#This Row],[Surgery End Date]]&gt;tbl_Case_mins[[#This Row],[Surgery Start Date]]),ROUND((#REF!-TIME(0,0,0))*1440,0)+1440,ROUND((#REF!-TIME(0,0,0))*1440,0))</f>
        <v>#REF!</v>
      </c>
      <c r="S50" s="9" t="e">
        <f>IF(AND(ROUND((#REF!-TIME(0,0,0))*1440,0),ROUND((#REF!-TIME(0,0,0))*1440,0)&lt;tbl_Case_mins[[#This Row],[Surgery Start]],tbl_Case_mins[[#This Row],[Surgery End Date]]&gt;tbl_Case_mins[[#This Row],[Surgery Start Date]]),ROUND((#REF!-TIME(0,0,0))*1440,0)+1440,ROUND((#REF!-TIME(0,0,0))*1440,0))</f>
        <v>#REF!</v>
      </c>
      <c r="T50" s="9" t="e">
        <f>IF(AND(ROUND((#REF!-TIME(0,0,0))*1440,0)&gt;0,ROUND((#REF!-TIME(0,0,0))*1440,0)&lt;tbl_Case_mins[[#This Row],[Surgery Finish]],tbl_Case_mins[[#This Row],[Surgery End Date]]&gt;tbl_Case_mins[[#This Row],[Surgery Start Date]]),ROUND((#REF!-TIME(0,0,0))*1440,0)+1440,ROUND((#REF!-TIME(0,0,0))*1440,0))</f>
        <v>#REF!</v>
      </c>
      <c r="U50" s="9" t="e">
        <f>IF(AND(ROUND((#REF!-TIME(0,0,0))*1440,0)&gt;0,ROUND((#REF!-TIME(0,0,0))*1440,0)&lt;tbl_Case_mins[[#This Row],[Anaesth End]],tbl_Case_mins[[#This Row],[Surgery End Date]]&gt;tbl_Case_mins[[#This Row],[Surgery Start Date]]),ROUND((#REF!-TIME(0,0,0))*1440,0)+1440,ROUND((#REF!-TIME(0,0,0))*1440,0))</f>
        <v>#REF!</v>
      </c>
      <c r="V50" s="9" t="e">
        <f>IF(AND(ROUND((#REF!-TIME(0,0,0))*1440,0)&gt;0,ROUND((#REF!-TIME(0,0,0))*1440,0)&lt;tbl_Case_mins[[#This Row],[Into Recov]],tbl_Case_mins[[#This Row],[Surgery End Date]]&gt;tbl_Case_mins[[#This Row],[Surgery Start Date]]),ROUND((#REF!-TIME(0,0,0))*1440,0)+1440,ROUND((#REF!-TIME(0,0,0))*1440,0))</f>
        <v>#REF!</v>
      </c>
      <c r="W50" s="9" t="e">
        <f>IF(AND(ROUND((#REF!-TIME(0,0,0))*1440,0)&gt;0,ROUND((#REF!-TIME(0,0,0))*1440,0)&lt;tbl_Case_mins[[#This Row],[Ward Called]],tbl_Case_mins[[#This Row],[Surgery End Date]]&gt;tbl_Case_mins[[#This Row],[Surgery Start Date]]),ROUND((#REF!-TIME(0,0,0))*1440,0)+1440,ROUND((#REF!-TIME(0,0,0))*1440,0))</f>
        <v>#REF!</v>
      </c>
      <c r="X50" s="4" t="e">
        <f>IF(ISBLANK(#REF!),tbl_Case_mins[[#This Row],[Surgery Start Date]],#REF!)</f>
        <v>#REF!</v>
      </c>
      <c r="Y50">
        <f>IFERROR(IF(VLOOKUP(tbl_Case_mins[[#This Row],[Theatre]],'Mng Theatres'!$C$7:$G$12,3,FALSE)="Yes","Yes","No"),0)</f>
        <v>0</v>
      </c>
      <c r="Z50" s="9" t="e" cm="1">
        <f t="array" ref="Z5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0" s="9" t="e" cm="1">
        <f t="array" ref="AA5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0" s="9" t="e">
        <f>IF(tbl_Case_mins[[#This Row],[Case Type]]="Unsch",1,0)</f>
        <v>#REF!</v>
      </c>
      <c r="AD50" s="9" t="e">
        <f>IF(tbl_Case_mins[[#This Row],[Case Type]]="Sch",1,0)</f>
        <v>#REF!</v>
      </c>
      <c r="AE5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0" s="9">
        <f>IFERROR(IF(ISBLANK(INDEX(Am_Close,MATCH(1,INDEX((tbl_Case_mins[[#This Row],[Theatre]]=Theatre_No)*(tbl_Case_mins[[#This Row],[Surgery Start Date]]=Date),0,1),0))*1440),0,INDEX(Am_Close,MATCH(1,INDEX((tbl_Case_mins[[#This Row],[Theatre]]=Theatre_No)*(tbl_Case_mins[[#This Row],[Surgery Start Date]]=Date),0,1),0))*1440),0)</f>
        <v>0</v>
      </c>
      <c r="AG50" s="9">
        <f>IFERROR(IF(ISBLANK(INDEX(PM_Open,MATCH(1,INDEX((tbl_Case_mins[[#This Row],[Theatre]]=Theatre_No)*(tbl_Case_mins[[#This Row],[Surgery Start Date]]=Date),0,1),0))*1440),0,INDEX(PM_Open,MATCH(1,INDEX((tbl_Case_mins[[#This Row],[Theatre]]=Theatre_No)*(tbl_Case_mins[[#This Row],[Surgery Start Date]]=Date),0,1),0))*1440),0)</f>
        <v>0</v>
      </c>
      <c r="AH5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0" s="9" t="e">
        <f>IF(tbl_Case_mins[[#This Row],[ThOpenAm]]=0,tbl_Case_mins[[#This Row],[ThOpenPM]],tbl_Case_mins[[#This Row],[ThOpenAm]])</f>
        <v>#REF!</v>
      </c>
      <c r="AJ50" s="9" t="e">
        <f>IF(tbl_Case_mins[[#This Row],[ThCloseAm]]&gt;0,IF(tbl_Case_mins[[#This Row],[ThOpenPM]]&gt;0,tbl_Case_mins[[#This Row],[ThClosePm]],tbl_Case_mins[[#This Row],[ThCloseAm]]),tbl_Case_mins[[#This Row],[ThClosePm]])</f>
        <v>#REF!</v>
      </c>
      <c r="AK50" s="9" t="e">
        <f>IF(tbl_Case_mins[[#This Row],[TOT]]&gt;0,1,0)</f>
        <v>#REF!</v>
      </c>
      <c r="AL5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0" s="9" t="e">
        <f>IF(AND(tbl_Case_mins[[#This Row],[Surgery Status]]&lt;&gt;2,tbl_Case_mins[[#This Row],[InCoreCase]]=0,tbl_Case_mins[[#This Row],[CancelledCase]]=0),1,0)</f>
        <v>#REF!</v>
      </c>
      <c r="AN50" s="9" t="e">
        <f>IF(tbl_Case_mins[[#This Row],[Surgery Status]]=1,1,0)</f>
        <v>#REF!</v>
      </c>
      <c r="AO5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0" s="9" t="e">
        <f>IF(AND(tbl_Case_mins[[#This Row],[NonCoreCase]]=1,tbl_Case_mins[[#This Row],[NoInCoreTime]]=0),1,0)</f>
        <v>#REF!</v>
      </c>
      <c r="AQ50" s="9" t="e">
        <f>IF(tbl_Case_mins[[#This Row],[Rank_AnaEnd]]&lt;tbl_Case_mins[[#This Row],[Rank_AnaSt]],1,0)</f>
        <v>#REF!</v>
      </c>
      <c r="AR50" s="9" t="e">
        <f>IF(AND(tbl_Case_mins[[#This Row],[InCoreCase]]=1,tbl_Case_mins[[#This Row],[Sch]]=1),1,0)</f>
        <v>#REF!</v>
      </c>
      <c r="AS50" s="9" t="e">
        <f>IF(AND(tbl_Case_mins[[#This Row],[InCoreCase]]=1,tbl_Case_mins[[#This Row],[Unsch]]=1),1,0)</f>
        <v>#REF!</v>
      </c>
      <c r="AT5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0" s="9" t="e">
        <f>IF(tbl_Case_mins[[#This Row],[Surgery Status]]=0,(tbl_Case_mins[[#This Row],[Anaesth End]]-tbl_Case_mins[[#This Row],[AnaesthStart]]),0)</f>
        <v>#REF!</v>
      </c>
      <c r="AX50" s="9" t="e">
        <f>IF(tbl_Case_mins[[#This Row],[Surgery Status]]=0,(tbl_Case_mins[[#This Row],[Surgery Finish]]-tbl_Case_mins[[#This Row],[Surgery Start]]),0)</f>
        <v>#REF!</v>
      </c>
      <c r="AY50" s="9" t="e">
        <f>tbl_Case_mins[[#This Row],[Surgery Start]]-tbl_Case_mins[[#This Row],[AnaesthStart]]</f>
        <v>#REF!</v>
      </c>
      <c r="AZ50" s="9" t="e">
        <f>tbl_Case_mins[[#This Row],[Anaesth End]]-tbl_Case_mins[[#This Row],[Surgery Finish]]</f>
        <v>#REF!</v>
      </c>
      <c r="BA5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0" s="16" cm="1">
        <f t="array" ref="BC5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0" s="16" t="e">
        <f>IF(AND(tbl_Case_mins[[#This Row],[FirstAMCase]]=1,tbl_Case_mins[[#This Row],[CancelledCase]]=0,OR(tbl_Case_mins[[#This Row],[EarlyStartAM]]&gt;0,tbl_Case_mins[[#This Row],[AnaesthStart]]=tbl_Case_mins[[#This Row],[ThOpenAm]])),1,0)</f>
        <v>#REF!</v>
      </c>
      <c r="BE50" s="16" t="e">
        <f>IF(AND(tbl_Case_mins[[#This Row],[Rank_AnaSt]]=tbl_Case_mins[[#This Row],[Min_RankAnaSt]],tbl_Case_mins[[#This Row],[Anaesth End]]&gt;=tbl_Case_mins[[#This Row],[ThOpenAm]],tbl_Case_mins[[#This Row],[PmCase]]=0),1,0)</f>
        <v>#REF!</v>
      </c>
      <c r="BF5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0" s="9" t="e" cm="1">
        <f t="array" ref="BH5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0" s="9" t="e">
        <f>IF(AND(tbl_Case_mins[[#This Row],[ThOpenPM]]&gt;0,tbl_Case_mins[[#This Row],[AnaesthStart]]&gt;tbl_Case_mins[[#This Row],[ThOpenPM]],tbl_Case_mins[[#This Row],[First PM Case]]=1),tbl_Case_mins[[#This Row],[AnaesthStart]]-tbl_Case_mins[[#This Row],[ThOpenPM]],0)</f>
        <v>#REF!</v>
      </c>
      <c r="BL5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0" s="9" t="e" cm="1">
        <f t="array" ref="BN5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0" s="9" t="e">
        <f>IF(AND(tbl_Case_mins[[#This Row],[ThClosePm]]&gt;0,tbl_Case_mins[[#This Row],[Anaesth End]]&gt;tbl_Case_mins[[#This Row],[ThClosePm]],tbl_Case_mins[[#This Row],[AnaesthStart]]&gt;tbl_Case_mins[[#This Row],[ThClosePm]]),tbl_Case_mins[[#This Row],[Into Recov]]-tbl_Case_mins[[#This Row],[AnaesthStart]],0)</f>
        <v>#REF!</v>
      </c>
      <c r="BP50" s="9" t="e">
        <f>IF(AND(tbl_Case_mins[[#This Row],[AnaesthStart]]&lt;tbl_Case_mins[[#This Row],[ThClosePm]],tbl_Case_mins[[#This Row],[Anaesth End]]&gt;tbl_Case_mins[[#This Row],[ThClosePm]]),tbl_Case_mins[[#This Row],[Anaesth End]]-tbl_Case_mins[[#This Row],[ThClosePm]],0)</f>
        <v>#REF!</v>
      </c>
      <c r="BQ50" s="9" t="e" cm="1">
        <f t="array" ref="BQ5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0" s="9" t="e" cm="1">
        <f t="array" ref="BR50">IF(tbl_Case_mins[[#This Row],[Rank_Adjust]]=SUMPRODUCT(-(tbl_Case_mins[Surgery Start Date]=tbl_Case_mins[[#This Row],[Surgery Start Date]]),-(tbl_Case_mins[Theatre]=tbl_Case_mins[[#This Row],[Theatre]])),INDEX(Poss_Time,MATCH(TEXT(tbl_Case_mins[[#This Row],[Surgery Start Date]],"ddd"),Day,0)),0)</f>
        <v>#REF!</v>
      </c>
      <c r="BS50" s="9" t="e">
        <f>tbl_Case_mins[[#This Row],[Core_Time]]*Util_Goal</f>
        <v>#REF!</v>
      </c>
      <c r="BT50" s="9" t="e" cm="1">
        <f t="array" ref="BT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0" s="9" t="e" cm="1">
        <f t="array" ref="BU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0" s="9" t="e">
        <f>IF(tbl_Case_mins[[#This Row],[Surgery End Date]]&gt;tbl_Case_mins[[#This Row],[Surgery Start Date]],tbl_Case_mins[[#This Row],[Anaesth End]]-1440,0)</f>
        <v>#REF!</v>
      </c>
      <c r="BY50" s="9" t="e">
        <f>tbl_Case_mins[[#This Row],[Total_NonCore]]-tbl_Case_mins[[#This Row],[NextDay_NonCore]]</f>
        <v>#REF!</v>
      </c>
      <c r="BZ50" s="10" t="e">
        <f>tbl_Case_mins[[#This Row],[InCoreUse]]/60</f>
        <v>#REF!</v>
      </c>
      <c r="CA50" s="10" t="e">
        <f>tbl_Case_mins[[#This Row],[Total_NonCore]]/60</f>
        <v>#REF!</v>
      </c>
      <c r="CB50" t="e" cm="1">
        <f t="array" ref="CB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0" s="9" t="e" cm="1">
        <f t="array" ref="CC5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0" s="9" t="e" cm="1">
        <f t="array" ref="CD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0" s="9" t="e" cm="1">
        <f t="array" ref="CE5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0" s="9" cm="1">
        <f t="array" ref="CF50">IFERROR(_xlfn.AGGREGATE(14,6,(tbl_Case_mins[Rank_AnaEnd])/((tbl_Case_mins[Surgery Start Date]=tbl_Case_mins[[#This Row],[Surgery Start Date]])*(tbl_Case_mins[Theatre]=tbl_Case_mins[[#This Row],[Theatre]])*(tbl_Case_mins[NoInCoreTime]=0)),1),-1)</f>
        <v>-1</v>
      </c>
      <c r="CG50" s="9" cm="1">
        <f t="array" ref="CG50">IFERROR(_xlfn.AGGREGATE(15,6,(tbl_Case_mins[Rank_AnaSt])/((tbl_Case_mins[Surgery Start Date]=tbl_Case_mins[[#This Row],[Surgery Start Date]])*(tbl_Case_mins[Theatre]=tbl_Case_mins[[#This Row],[Theatre]])*(tbl_Case_mins[NoInCoreTime]=0)),1),-1)</f>
        <v>-1</v>
      </c>
      <c r="CH5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0" t="e" cm="1">
        <f t="array" ref="CJ5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0" s="9" cm="1">
        <f t="array" ref="CO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0" s="9" cm="1">
        <f t="array" ref="CP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0" s="9" cm="1">
        <f t="array" ref="CQ50">IFERROR(IF(AND(tbl_Case_mins[[#This Row],[FirstAMCase]]=0,tbl_Case_mins[[#This Row],[Rank]]=_xlfn.AGGREGATE(14,6,(tbl_Case_mins[Rank])/((tbl_Case_mins[Surgery Start Date]=tbl_Case_mins[[#This Row],[Surgery Start Date]])*(tbl_Case_mins[Theatre]=tbl_Case_mins[[#This Row],[Theatre]])*(tbl_Case_mins[AmCase]=1)),1)),1,0),0)</f>
        <v>0</v>
      </c>
      <c r="CR50" s="9" cm="1">
        <f t="array" ref="CR5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0" s="9" t="e" cm="1">
        <f t="array" ref="CS5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0" s="9" cm="1">
        <f t="array" ref="CT50">IFERROR(IF(tbl_Case_mins[[#This Row],[Rank]]=_xlfn.AGGREGATE(15,6,(tbl_Case_mins[Rank])/((tbl_Case_mins[Surgery Start Date]=tbl_Case_mins[[#This Row],[Surgery Start Date]])*(tbl_Case_mins[Theatre]=tbl_Case_mins[[#This Row],[Theatre]])*(tbl_Case_mins[PmCase]=1)),1),1,0),0)</f>
        <v>0</v>
      </c>
      <c r="CU50">
        <f>IFERROR(#REF!,0)</f>
        <v>0</v>
      </c>
      <c r="CV50" s="9" t="e" cm="1">
        <f t="array" ref="CV5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0" s="9">
        <f>IFERROR(IF(ISBLANK(INDEX(Bay_AmClose,MATCH(1,INDEX((tbl_Case_mins[[#This Row],[Bay]]=BayNo)*(tbl_Case_mins[[#This Row],[Surgery Start Date]]=BDate),0,1),0))*1440),0,INDEX(Bay_AmClose,MATCH(1,INDEX((tbl_Case_mins[[#This Row],[Bay]]=BayNo)*(tbl_Case_mins[[#This Row],[Surgery Start Date]]=BDate),0,1),0))*1440),0)</f>
        <v>0</v>
      </c>
      <c r="CX50" s="9" cm="1">
        <f t="array" ref="CX50">IFERROR(IF(ISBLANK(INDEX(Bay_PmOpen,MATCH(1,INDEX((tbl_Case_mins[[#This Row],[Bay]]=BayNo)*(tbl_Case_mins[[#This Row],[Surgery Start Date]]=BDate),0,1),0))*1440),0,INDEX(Bay_PmOpen,MATCH(1,INDEX((tbl_Case_mins[[#This Row],[Bay]]=BayNo)*(tbl_Case_mins[[#This Row],[Surgery Start Date]]=BDate),0,1),0))*1440),0)</f>
        <v>0</v>
      </c>
      <c r="CY5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0" s="9"/>
    </row>
    <row r="51" spans="1:104" x14ac:dyDescent="0.2">
      <c r="A51">
        <v>50</v>
      </c>
      <c r="B51" t="e">
        <f>#REF!</f>
        <v>#REF!</v>
      </c>
      <c r="C51" t="e">
        <f>#REF!</f>
        <v>#REF!</v>
      </c>
      <c r="D51" t="e">
        <f>#REF!</f>
        <v>#REF!</v>
      </c>
      <c r="E51" t="e">
        <f>#REF!</f>
        <v>#REF!</v>
      </c>
      <c r="F51" t="e">
        <f>#REF!</f>
        <v>#REF!</v>
      </c>
      <c r="G51" t="e">
        <f>#REF!</f>
        <v>#REF!</v>
      </c>
      <c r="H51" t="e">
        <f>#REF!</f>
        <v>#REF!</v>
      </c>
      <c r="I51" t="e">
        <f>IF(#REF!="Case Cancelled",1,IF(#REF!="No Cases",2,0))</f>
        <v>#REF!</v>
      </c>
      <c r="J51" t="e">
        <f>#REF!</f>
        <v>#REF!</v>
      </c>
      <c r="K51" s="4" t="e">
        <f>#REF!</f>
        <v>#REF!</v>
      </c>
      <c r="L51" t="e">
        <f>"Wk "&amp;WEEKNUM(tbl_Case_mins[[#This Row],[Surgery Start Date]],21)</f>
        <v>#REF!</v>
      </c>
      <c r="M51" t="e">
        <f>TEXT(tbl_Case_mins[[#This Row],[Surgery Start Date]],"ddd")</f>
        <v>#REF!</v>
      </c>
      <c r="N51" s="9" t="e">
        <f>(#REF!-TIME(0,0,0))*1440</f>
        <v>#REF!</v>
      </c>
      <c r="O51" t="e">
        <f>IF(AND(ROUND((#REF!-TIME(0,0,0))*1440,0)&gt;0,ROUND((#REF!-TIME(0,0,0))*1440,0)&lt;tbl_Case_mins[[#This Row],[Patient Called]],tbl_Case_mins[[#This Row],[Surgery End Date]]&gt;tbl_Case_mins[[#This Row],[Surgery Start Date]]),ROUND((#REF!-TIME(0,0,0))*1440,0)+1440,ROUND((#REF!-TIME(0,0,0))*1440,0))</f>
        <v>#REF!</v>
      </c>
      <c r="P51" s="9" t="e">
        <f>IF(AND(ROUND((#REF!-TIME(0,0,0))*1440,0)&gt;0,ROUND((#REF!-TIME(0,0,0))*1440,0)&lt;tbl_Case_mins[[#This Row],[Arrival]],tbl_Case_mins[[#This Row],[Surgery End Date]]&gt;tbl_Case_mins[[#This Row],[Surgery Start Date]]),ROUND((#REF!-TIME(0,0,0))*1440,0)+1440,ROUND((#REF!-TIME(0,0,0))*1440,0))</f>
        <v>#REF!</v>
      </c>
      <c r="Q51" s="9" t="e">
        <f>IF(AND(ROUND((#REF!-TIME(0,0,0))*1440,0)&gt;0,ROUND((#REF!-TIME(0,0,0))*1440,0)&lt;tbl_Case_mins[[#This Row],[Into Th or AR]],tbl_Case_mins[[#This Row],[Surgery End Date]]&gt;tbl_Case_mins[[#This Row],[Surgery Start Date]]),ROUND((#REF!-TIME(0,0,0))*1440,0)+1440,ROUND((#REF!-TIME(0,0,0))*1440,0))</f>
        <v>#REF!</v>
      </c>
      <c r="R51" s="9" t="e">
        <f>IF(AND(ROUND((#REF!-TIME(0,0,0))*1440,0)&gt;0,ROUND((#REF!-TIME(0,0,0))*1440,0)&lt;tbl_Case_mins[[#This Row],[AnaesthStart]],tbl_Case_mins[[#This Row],[Surgery End Date]]&gt;tbl_Case_mins[[#This Row],[Surgery Start Date]]),ROUND((#REF!-TIME(0,0,0))*1440,0)+1440,ROUND((#REF!-TIME(0,0,0))*1440,0))</f>
        <v>#REF!</v>
      </c>
      <c r="S51" s="9" t="e">
        <f>IF(AND(ROUND((#REF!-TIME(0,0,0))*1440,0),ROUND((#REF!-TIME(0,0,0))*1440,0)&lt;tbl_Case_mins[[#This Row],[Surgery Start]],tbl_Case_mins[[#This Row],[Surgery End Date]]&gt;tbl_Case_mins[[#This Row],[Surgery Start Date]]),ROUND((#REF!-TIME(0,0,0))*1440,0)+1440,ROUND((#REF!-TIME(0,0,0))*1440,0))</f>
        <v>#REF!</v>
      </c>
      <c r="T51" s="9" t="e">
        <f>IF(AND(ROUND((#REF!-TIME(0,0,0))*1440,0)&gt;0,ROUND((#REF!-TIME(0,0,0))*1440,0)&lt;tbl_Case_mins[[#This Row],[Surgery Finish]],tbl_Case_mins[[#This Row],[Surgery End Date]]&gt;tbl_Case_mins[[#This Row],[Surgery Start Date]]),ROUND((#REF!-TIME(0,0,0))*1440,0)+1440,ROUND((#REF!-TIME(0,0,0))*1440,0))</f>
        <v>#REF!</v>
      </c>
      <c r="U51" s="9" t="e">
        <f>IF(AND(ROUND((#REF!-TIME(0,0,0))*1440,0)&gt;0,ROUND((#REF!-TIME(0,0,0))*1440,0)&lt;tbl_Case_mins[[#This Row],[Anaesth End]],tbl_Case_mins[[#This Row],[Surgery End Date]]&gt;tbl_Case_mins[[#This Row],[Surgery Start Date]]),ROUND((#REF!-TIME(0,0,0))*1440,0)+1440,ROUND((#REF!-TIME(0,0,0))*1440,0))</f>
        <v>#REF!</v>
      </c>
      <c r="V51" s="9" t="e">
        <f>IF(AND(ROUND((#REF!-TIME(0,0,0))*1440,0)&gt;0,ROUND((#REF!-TIME(0,0,0))*1440,0)&lt;tbl_Case_mins[[#This Row],[Into Recov]],tbl_Case_mins[[#This Row],[Surgery End Date]]&gt;tbl_Case_mins[[#This Row],[Surgery Start Date]]),ROUND((#REF!-TIME(0,0,0))*1440,0)+1440,ROUND((#REF!-TIME(0,0,0))*1440,0))</f>
        <v>#REF!</v>
      </c>
      <c r="W51" s="9" t="e">
        <f>IF(AND(ROUND((#REF!-TIME(0,0,0))*1440,0)&gt;0,ROUND((#REF!-TIME(0,0,0))*1440,0)&lt;tbl_Case_mins[[#This Row],[Ward Called]],tbl_Case_mins[[#This Row],[Surgery End Date]]&gt;tbl_Case_mins[[#This Row],[Surgery Start Date]]),ROUND((#REF!-TIME(0,0,0))*1440,0)+1440,ROUND((#REF!-TIME(0,0,0))*1440,0))</f>
        <v>#REF!</v>
      </c>
      <c r="X51" s="4" t="e">
        <f>IF(ISBLANK(#REF!),tbl_Case_mins[[#This Row],[Surgery Start Date]],#REF!)</f>
        <v>#REF!</v>
      </c>
      <c r="Y51">
        <f>IFERROR(IF(VLOOKUP(tbl_Case_mins[[#This Row],[Theatre]],'Mng Theatres'!$C$7:$G$12,3,FALSE)="Yes","Yes","No"),0)</f>
        <v>0</v>
      </c>
      <c r="Z51" s="9" t="e" cm="1">
        <f t="array" ref="Z5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1" s="9" t="e" cm="1">
        <f t="array" ref="AA5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1" s="9" t="e">
        <f>IF(tbl_Case_mins[[#This Row],[Case Type]]="Unsch",1,0)</f>
        <v>#REF!</v>
      </c>
      <c r="AD51" s="9" t="e">
        <f>IF(tbl_Case_mins[[#This Row],[Case Type]]="Sch",1,0)</f>
        <v>#REF!</v>
      </c>
      <c r="AE5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1" s="9">
        <f>IFERROR(IF(ISBLANK(INDEX(Am_Close,MATCH(1,INDEX((tbl_Case_mins[[#This Row],[Theatre]]=Theatre_No)*(tbl_Case_mins[[#This Row],[Surgery Start Date]]=Date),0,1),0))*1440),0,INDEX(Am_Close,MATCH(1,INDEX((tbl_Case_mins[[#This Row],[Theatre]]=Theatre_No)*(tbl_Case_mins[[#This Row],[Surgery Start Date]]=Date),0,1),0))*1440),0)</f>
        <v>0</v>
      </c>
      <c r="AG51" s="9">
        <f>IFERROR(IF(ISBLANK(INDEX(PM_Open,MATCH(1,INDEX((tbl_Case_mins[[#This Row],[Theatre]]=Theatre_No)*(tbl_Case_mins[[#This Row],[Surgery Start Date]]=Date),0,1),0))*1440),0,INDEX(PM_Open,MATCH(1,INDEX((tbl_Case_mins[[#This Row],[Theatre]]=Theatre_No)*(tbl_Case_mins[[#This Row],[Surgery Start Date]]=Date),0,1),0))*1440),0)</f>
        <v>0</v>
      </c>
      <c r="AH5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1" s="9" t="e">
        <f>IF(tbl_Case_mins[[#This Row],[ThOpenAm]]=0,tbl_Case_mins[[#This Row],[ThOpenPM]],tbl_Case_mins[[#This Row],[ThOpenAm]])</f>
        <v>#REF!</v>
      </c>
      <c r="AJ51" s="9" t="e">
        <f>IF(tbl_Case_mins[[#This Row],[ThCloseAm]]&gt;0,IF(tbl_Case_mins[[#This Row],[ThOpenPM]]&gt;0,tbl_Case_mins[[#This Row],[ThClosePm]],tbl_Case_mins[[#This Row],[ThCloseAm]]),tbl_Case_mins[[#This Row],[ThClosePm]])</f>
        <v>#REF!</v>
      </c>
      <c r="AK51" s="9" t="e">
        <f>IF(tbl_Case_mins[[#This Row],[TOT]]&gt;0,1,0)</f>
        <v>#REF!</v>
      </c>
      <c r="AL5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1" s="9" t="e">
        <f>IF(AND(tbl_Case_mins[[#This Row],[Surgery Status]]&lt;&gt;2,tbl_Case_mins[[#This Row],[InCoreCase]]=0,tbl_Case_mins[[#This Row],[CancelledCase]]=0),1,0)</f>
        <v>#REF!</v>
      </c>
      <c r="AN51" s="9" t="e">
        <f>IF(tbl_Case_mins[[#This Row],[Surgery Status]]=1,1,0)</f>
        <v>#REF!</v>
      </c>
      <c r="AO5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1" s="9" t="e">
        <f>IF(AND(tbl_Case_mins[[#This Row],[NonCoreCase]]=1,tbl_Case_mins[[#This Row],[NoInCoreTime]]=0),1,0)</f>
        <v>#REF!</v>
      </c>
      <c r="AQ51" s="9" t="e">
        <f>IF(tbl_Case_mins[[#This Row],[Rank_AnaEnd]]&lt;tbl_Case_mins[[#This Row],[Rank_AnaSt]],1,0)</f>
        <v>#REF!</v>
      </c>
      <c r="AR51" s="9" t="e">
        <f>IF(AND(tbl_Case_mins[[#This Row],[InCoreCase]]=1,tbl_Case_mins[[#This Row],[Sch]]=1),1,0)</f>
        <v>#REF!</v>
      </c>
      <c r="AS51" s="9" t="e">
        <f>IF(AND(tbl_Case_mins[[#This Row],[InCoreCase]]=1,tbl_Case_mins[[#This Row],[Unsch]]=1),1,0)</f>
        <v>#REF!</v>
      </c>
      <c r="AT5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1" s="9" t="e">
        <f>IF(tbl_Case_mins[[#This Row],[Surgery Status]]=0,(tbl_Case_mins[[#This Row],[Anaesth End]]-tbl_Case_mins[[#This Row],[AnaesthStart]]),0)</f>
        <v>#REF!</v>
      </c>
      <c r="AX51" s="9" t="e">
        <f>IF(tbl_Case_mins[[#This Row],[Surgery Status]]=0,(tbl_Case_mins[[#This Row],[Surgery Finish]]-tbl_Case_mins[[#This Row],[Surgery Start]]),0)</f>
        <v>#REF!</v>
      </c>
      <c r="AY51" s="9" t="e">
        <f>tbl_Case_mins[[#This Row],[Surgery Start]]-tbl_Case_mins[[#This Row],[AnaesthStart]]</f>
        <v>#REF!</v>
      </c>
      <c r="AZ51" s="9" t="e">
        <f>tbl_Case_mins[[#This Row],[Anaesth End]]-tbl_Case_mins[[#This Row],[Surgery Finish]]</f>
        <v>#REF!</v>
      </c>
      <c r="BA5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1" s="16" cm="1">
        <f t="array" ref="BC5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1" s="16" t="e">
        <f>IF(AND(tbl_Case_mins[[#This Row],[FirstAMCase]]=1,tbl_Case_mins[[#This Row],[CancelledCase]]=0,OR(tbl_Case_mins[[#This Row],[EarlyStartAM]]&gt;0,tbl_Case_mins[[#This Row],[AnaesthStart]]=tbl_Case_mins[[#This Row],[ThOpenAm]])),1,0)</f>
        <v>#REF!</v>
      </c>
      <c r="BE51" s="16" t="e">
        <f>IF(AND(tbl_Case_mins[[#This Row],[Rank_AnaSt]]=tbl_Case_mins[[#This Row],[Min_RankAnaSt]],tbl_Case_mins[[#This Row],[Anaesth End]]&gt;=tbl_Case_mins[[#This Row],[ThOpenAm]],tbl_Case_mins[[#This Row],[PmCase]]=0),1,0)</f>
        <v>#REF!</v>
      </c>
      <c r="BF5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1" s="9" t="e" cm="1">
        <f t="array" ref="BH5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1" s="9" t="e">
        <f>IF(AND(tbl_Case_mins[[#This Row],[ThOpenPM]]&gt;0,tbl_Case_mins[[#This Row],[AnaesthStart]]&gt;tbl_Case_mins[[#This Row],[ThOpenPM]],tbl_Case_mins[[#This Row],[First PM Case]]=1),tbl_Case_mins[[#This Row],[AnaesthStart]]-tbl_Case_mins[[#This Row],[ThOpenPM]],0)</f>
        <v>#REF!</v>
      </c>
      <c r="BL5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1" s="9" t="e" cm="1">
        <f t="array" ref="BN5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1" s="9" t="e">
        <f>IF(AND(tbl_Case_mins[[#This Row],[ThClosePm]]&gt;0,tbl_Case_mins[[#This Row],[Anaesth End]]&gt;tbl_Case_mins[[#This Row],[ThClosePm]],tbl_Case_mins[[#This Row],[AnaesthStart]]&gt;tbl_Case_mins[[#This Row],[ThClosePm]]),tbl_Case_mins[[#This Row],[Into Recov]]-tbl_Case_mins[[#This Row],[AnaesthStart]],0)</f>
        <v>#REF!</v>
      </c>
      <c r="BP51" s="9" t="e">
        <f>IF(AND(tbl_Case_mins[[#This Row],[AnaesthStart]]&lt;tbl_Case_mins[[#This Row],[ThClosePm]],tbl_Case_mins[[#This Row],[Anaesth End]]&gt;tbl_Case_mins[[#This Row],[ThClosePm]]),tbl_Case_mins[[#This Row],[Anaesth End]]-tbl_Case_mins[[#This Row],[ThClosePm]],0)</f>
        <v>#REF!</v>
      </c>
      <c r="BQ51" s="9" t="e" cm="1">
        <f t="array" ref="BQ5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1" s="9" t="e" cm="1">
        <f t="array" ref="BR51">IF(tbl_Case_mins[[#This Row],[Rank_Adjust]]=SUMPRODUCT(-(tbl_Case_mins[Surgery Start Date]=tbl_Case_mins[[#This Row],[Surgery Start Date]]),-(tbl_Case_mins[Theatre]=tbl_Case_mins[[#This Row],[Theatre]])),INDEX(Poss_Time,MATCH(TEXT(tbl_Case_mins[[#This Row],[Surgery Start Date]],"ddd"),Day,0)),0)</f>
        <v>#REF!</v>
      </c>
      <c r="BS51" s="9" t="e">
        <f>tbl_Case_mins[[#This Row],[Core_Time]]*Util_Goal</f>
        <v>#REF!</v>
      </c>
      <c r="BT51" s="9" t="e" cm="1">
        <f t="array" ref="BT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1" s="9" t="e" cm="1">
        <f t="array" ref="BU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1" s="9" t="e">
        <f>IF(tbl_Case_mins[[#This Row],[Surgery End Date]]&gt;tbl_Case_mins[[#This Row],[Surgery Start Date]],tbl_Case_mins[[#This Row],[Anaesth End]]-1440,0)</f>
        <v>#REF!</v>
      </c>
      <c r="BY51" s="9" t="e">
        <f>tbl_Case_mins[[#This Row],[Total_NonCore]]-tbl_Case_mins[[#This Row],[NextDay_NonCore]]</f>
        <v>#REF!</v>
      </c>
      <c r="BZ51" s="10" t="e">
        <f>tbl_Case_mins[[#This Row],[InCoreUse]]/60</f>
        <v>#REF!</v>
      </c>
      <c r="CA51" s="10" t="e">
        <f>tbl_Case_mins[[#This Row],[Total_NonCore]]/60</f>
        <v>#REF!</v>
      </c>
      <c r="CB51" t="e" cm="1">
        <f t="array" ref="CB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1" s="9" t="e" cm="1">
        <f t="array" ref="CC5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1" s="9" t="e" cm="1">
        <f t="array" ref="CD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1" s="9" t="e" cm="1">
        <f t="array" ref="CE5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1" s="9" cm="1">
        <f t="array" ref="CF51">IFERROR(_xlfn.AGGREGATE(14,6,(tbl_Case_mins[Rank_AnaEnd])/((tbl_Case_mins[Surgery Start Date]=tbl_Case_mins[[#This Row],[Surgery Start Date]])*(tbl_Case_mins[Theatre]=tbl_Case_mins[[#This Row],[Theatre]])*(tbl_Case_mins[NoInCoreTime]=0)),1),-1)</f>
        <v>-1</v>
      </c>
      <c r="CG51" s="9" cm="1">
        <f t="array" ref="CG51">IFERROR(_xlfn.AGGREGATE(15,6,(tbl_Case_mins[Rank_AnaSt])/((tbl_Case_mins[Surgery Start Date]=tbl_Case_mins[[#This Row],[Surgery Start Date]])*(tbl_Case_mins[Theatre]=tbl_Case_mins[[#This Row],[Theatre]])*(tbl_Case_mins[NoInCoreTime]=0)),1),-1)</f>
        <v>-1</v>
      </c>
      <c r="CH5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1" t="e" cm="1">
        <f t="array" ref="CJ5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1" s="9" cm="1">
        <f t="array" ref="CO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1" s="9" cm="1">
        <f t="array" ref="CP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1" s="9" cm="1">
        <f t="array" ref="CQ51">IFERROR(IF(AND(tbl_Case_mins[[#This Row],[FirstAMCase]]=0,tbl_Case_mins[[#This Row],[Rank]]=_xlfn.AGGREGATE(14,6,(tbl_Case_mins[Rank])/((tbl_Case_mins[Surgery Start Date]=tbl_Case_mins[[#This Row],[Surgery Start Date]])*(tbl_Case_mins[Theatre]=tbl_Case_mins[[#This Row],[Theatre]])*(tbl_Case_mins[AmCase]=1)),1)),1,0),0)</f>
        <v>0</v>
      </c>
      <c r="CR51" s="9" cm="1">
        <f t="array" ref="CR5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1" s="9" t="e" cm="1">
        <f t="array" ref="CS5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1" s="9" cm="1">
        <f t="array" ref="CT51">IFERROR(IF(tbl_Case_mins[[#This Row],[Rank]]=_xlfn.AGGREGATE(15,6,(tbl_Case_mins[Rank])/((tbl_Case_mins[Surgery Start Date]=tbl_Case_mins[[#This Row],[Surgery Start Date]])*(tbl_Case_mins[Theatre]=tbl_Case_mins[[#This Row],[Theatre]])*(tbl_Case_mins[PmCase]=1)),1),1,0),0)</f>
        <v>0</v>
      </c>
      <c r="CU51">
        <f>IFERROR(#REF!,0)</f>
        <v>0</v>
      </c>
      <c r="CV51" s="9" t="e" cm="1">
        <f t="array" ref="CV5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1" s="9">
        <f>IFERROR(IF(ISBLANK(INDEX(Bay_AmClose,MATCH(1,INDEX((tbl_Case_mins[[#This Row],[Bay]]=BayNo)*(tbl_Case_mins[[#This Row],[Surgery Start Date]]=BDate),0,1),0))*1440),0,INDEX(Bay_AmClose,MATCH(1,INDEX((tbl_Case_mins[[#This Row],[Bay]]=BayNo)*(tbl_Case_mins[[#This Row],[Surgery Start Date]]=BDate),0,1),0))*1440),0)</f>
        <v>0</v>
      </c>
      <c r="CX51" s="9" cm="1">
        <f t="array" ref="CX51">IFERROR(IF(ISBLANK(INDEX(Bay_PmOpen,MATCH(1,INDEX((tbl_Case_mins[[#This Row],[Bay]]=BayNo)*(tbl_Case_mins[[#This Row],[Surgery Start Date]]=BDate),0,1),0))*1440),0,INDEX(Bay_PmOpen,MATCH(1,INDEX((tbl_Case_mins[[#This Row],[Bay]]=BayNo)*(tbl_Case_mins[[#This Row],[Surgery Start Date]]=BDate),0,1),0))*1440),0)</f>
        <v>0</v>
      </c>
      <c r="CY5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1" s="9"/>
    </row>
    <row r="52" spans="1:104" x14ac:dyDescent="0.2">
      <c r="A52">
        <v>51</v>
      </c>
      <c r="B52" t="e">
        <f>#REF!</f>
        <v>#REF!</v>
      </c>
      <c r="C52" t="e">
        <f>#REF!</f>
        <v>#REF!</v>
      </c>
      <c r="D52" t="e">
        <f>#REF!</f>
        <v>#REF!</v>
      </c>
      <c r="E52" t="e">
        <f>#REF!</f>
        <v>#REF!</v>
      </c>
      <c r="F52" t="e">
        <f>#REF!</f>
        <v>#REF!</v>
      </c>
      <c r="G52" t="e">
        <f>#REF!</f>
        <v>#REF!</v>
      </c>
      <c r="H52" t="e">
        <f>#REF!</f>
        <v>#REF!</v>
      </c>
      <c r="I52" t="e">
        <f>IF(#REF!="Case Cancelled",1,IF(#REF!="No Cases",2,0))</f>
        <v>#REF!</v>
      </c>
      <c r="J52" t="e">
        <f>#REF!</f>
        <v>#REF!</v>
      </c>
      <c r="K52" s="4" t="e">
        <f>#REF!</f>
        <v>#REF!</v>
      </c>
      <c r="L52" t="e">
        <f>"Wk "&amp;WEEKNUM(tbl_Case_mins[[#This Row],[Surgery Start Date]],21)</f>
        <v>#REF!</v>
      </c>
      <c r="M52" t="e">
        <f>TEXT(tbl_Case_mins[[#This Row],[Surgery Start Date]],"ddd")</f>
        <v>#REF!</v>
      </c>
      <c r="N52" s="9" t="e">
        <f>(#REF!-TIME(0,0,0))*1440</f>
        <v>#REF!</v>
      </c>
      <c r="O52" t="e">
        <f>IF(AND(ROUND((#REF!-TIME(0,0,0))*1440,0)&gt;0,ROUND((#REF!-TIME(0,0,0))*1440,0)&lt;tbl_Case_mins[[#This Row],[Patient Called]],tbl_Case_mins[[#This Row],[Surgery End Date]]&gt;tbl_Case_mins[[#This Row],[Surgery Start Date]]),ROUND((#REF!-TIME(0,0,0))*1440,0)+1440,ROUND((#REF!-TIME(0,0,0))*1440,0))</f>
        <v>#REF!</v>
      </c>
      <c r="P52" s="9" t="e">
        <f>IF(AND(ROUND((#REF!-TIME(0,0,0))*1440,0)&gt;0,ROUND((#REF!-TIME(0,0,0))*1440,0)&lt;tbl_Case_mins[[#This Row],[Arrival]],tbl_Case_mins[[#This Row],[Surgery End Date]]&gt;tbl_Case_mins[[#This Row],[Surgery Start Date]]),ROUND((#REF!-TIME(0,0,0))*1440,0)+1440,ROUND((#REF!-TIME(0,0,0))*1440,0))</f>
        <v>#REF!</v>
      </c>
      <c r="Q52" s="9" t="e">
        <f>IF(AND(ROUND((#REF!-TIME(0,0,0))*1440,0)&gt;0,ROUND((#REF!-TIME(0,0,0))*1440,0)&lt;tbl_Case_mins[[#This Row],[Into Th or AR]],tbl_Case_mins[[#This Row],[Surgery End Date]]&gt;tbl_Case_mins[[#This Row],[Surgery Start Date]]),ROUND((#REF!-TIME(0,0,0))*1440,0)+1440,ROUND((#REF!-TIME(0,0,0))*1440,0))</f>
        <v>#REF!</v>
      </c>
      <c r="R52" s="9" t="e">
        <f>IF(AND(ROUND((#REF!-TIME(0,0,0))*1440,0)&gt;0,ROUND((#REF!-TIME(0,0,0))*1440,0)&lt;tbl_Case_mins[[#This Row],[AnaesthStart]],tbl_Case_mins[[#This Row],[Surgery End Date]]&gt;tbl_Case_mins[[#This Row],[Surgery Start Date]]),ROUND((#REF!-TIME(0,0,0))*1440,0)+1440,ROUND((#REF!-TIME(0,0,0))*1440,0))</f>
        <v>#REF!</v>
      </c>
      <c r="S52" s="9" t="e">
        <f>IF(AND(ROUND((#REF!-TIME(0,0,0))*1440,0),ROUND((#REF!-TIME(0,0,0))*1440,0)&lt;tbl_Case_mins[[#This Row],[Surgery Start]],tbl_Case_mins[[#This Row],[Surgery End Date]]&gt;tbl_Case_mins[[#This Row],[Surgery Start Date]]),ROUND((#REF!-TIME(0,0,0))*1440,0)+1440,ROUND((#REF!-TIME(0,0,0))*1440,0))</f>
        <v>#REF!</v>
      </c>
      <c r="T52" s="9" t="e">
        <f>IF(AND(ROUND((#REF!-TIME(0,0,0))*1440,0)&gt;0,ROUND((#REF!-TIME(0,0,0))*1440,0)&lt;tbl_Case_mins[[#This Row],[Surgery Finish]],tbl_Case_mins[[#This Row],[Surgery End Date]]&gt;tbl_Case_mins[[#This Row],[Surgery Start Date]]),ROUND((#REF!-TIME(0,0,0))*1440,0)+1440,ROUND((#REF!-TIME(0,0,0))*1440,0))</f>
        <v>#REF!</v>
      </c>
      <c r="U52" s="9" t="e">
        <f>IF(AND(ROUND((#REF!-TIME(0,0,0))*1440,0)&gt;0,ROUND((#REF!-TIME(0,0,0))*1440,0)&lt;tbl_Case_mins[[#This Row],[Anaesth End]],tbl_Case_mins[[#This Row],[Surgery End Date]]&gt;tbl_Case_mins[[#This Row],[Surgery Start Date]]),ROUND((#REF!-TIME(0,0,0))*1440,0)+1440,ROUND((#REF!-TIME(0,0,0))*1440,0))</f>
        <v>#REF!</v>
      </c>
      <c r="V52" s="9" t="e">
        <f>IF(AND(ROUND((#REF!-TIME(0,0,0))*1440,0)&gt;0,ROUND((#REF!-TIME(0,0,0))*1440,0)&lt;tbl_Case_mins[[#This Row],[Into Recov]],tbl_Case_mins[[#This Row],[Surgery End Date]]&gt;tbl_Case_mins[[#This Row],[Surgery Start Date]]),ROUND((#REF!-TIME(0,0,0))*1440,0)+1440,ROUND((#REF!-TIME(0,0,0))*1440,0))</f>
        <v>#REF!</v>
      </c>
      <c r="W52" s="9" t="e">
        <f>IF(AND(ROUND((#REF!-TIME(0,0,0))*1440,0)&gt;0,ROUND((#REF!-TIME(0,0,0))*1440,0)&lt;tbl_Case_mins[[#This Row],[Ward Called]],tbl_Case_mins[[#This Row],[Surgery End Date]]&gt;tbl_Case_mins[[#This Row],[Surgery Start Date]]),ROUND((#REF!-TIME(0,0,0))*1440,0)+1440,ROUND((#REF!-TIME(0,0,0))*1440,0))</f>
        <v>#REF!</v>
      </c>
      <c r="X52" s="4" t="e">
        <f>IF(ISBLANK(#REF!),tbl_Case_mins[[#This Row],[Surgery Start Date]],#REF!)</f>
        <v>#REF!</v>
      </c>
      <c r="Y52">
        <f>IFERROR(IF(VLOOKUP(tbl_Case_mins[[#This Row],[Theatre]],'Mng Theatres'!$C$7:$G$12,3,FALSE)="Yes","Yes","No"),0)</f>
        <v>0</v>
      </c>
      <c r="Z52" s="9" t="e" cm="1">
        <f t="array" ref="Z5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2" s="9" t="e" cm="1">
        <f t="array" ref="AA5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2" s="9" t="e">
        <f>IF(tbl_Case_mins[[#This Row],[Case Type]]="Unsch",1,0)</f>
        <v>#REF!</v>
      </c>
      <c r="AD52" s="9" t="e">
        <f>IF(tbl_Case_mins[[#This Row],[Case Type]]="Sch",1,0)</f>
        <v>#REF!</v>
      </c>
      <c r="AE5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2" s="9">
        <f>IFERROR(IF(ISBLANK(INDEX(Am_Close,MATCH(1,INDEX((tbl_Case_mins[[#This Row],[Theatre]]=Theatre_No)*(tbl_Case_mins[[#This Row],[Surgery Start Date]]=Date),0,1),0))*1440),0,INDEX(Am_Close,MATCH(1,INDEX((tbl_Case_mins[[#This Row],[Theatre]]=Theatre_No)*(tbl_Case_mins[[#This Row],[Surgery Start Date]]=Date),0,1),0))*1440),0)</f>
        <v>0</v>
      </c>
      <c r="AG52" s="9">
        <f>IFERROR(IF(ISBLANK(INDEX(PM_Open,MATCH(1,INDEX((tbl_Case_mins[[#This Row],[Theatre]]=Theatre_No)*(tbl_Case_mins[[#This Row],[Surgery Start Date]]=Date),0,1),0))*1440),0,INDEX(PM_Open,MATCH(1,INDEX((tbl_Case_mins[[#This Row],[Theatre]]=Theatre_No)*(tbl_Case_mins[[#This Row],[Surgery Start Date]]=Date),0,1),0))*1440),0)</f>
        <v>0</v>
      </c>
      <c r="AH5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2" s="9" t="e">
        <f>IF(tbl_Case_mins[[#This Row],[ThOpenAm]]=0,tbl_Case_mins[[#This Row],[ThOpenPM]],tbl_Case_mins[[#This Row],[ThOpenAm]])</f>
        <v>#REF!</v>
      </c>
      <c r="AJ52" s="9" t="e">
        <f>IF(tbl_Case_mins[[#This Row],[ThCloseAm]]&gt;0,IF(tbl_Case_mins[[#This Row],[ThOpenPM]]&gt;0,tbl_Case_mins[[#This Row],[ThClosePm]],tbl_Case_mins[[#This Row],[ThCloseAm]]),tbl_Case_mins[[#This Row],[ThClosePm]])</f>
        <v>#REF!</v>
      </c>
      <c r="AK52" s="9" t="e">
        <f>IF(tbl_Case_mins[[#This Row],[TOT]]&gt;0,1,0)</f>
        <v>#REF!</v>
      </c>
      <c r="AL5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2" s="9" t="e">
        <f>IF(AND(tbl_Case_mins[[#This Row],[Surgery Status]]&lt;&gt;2,tbl_Case_mins[[#This Row],[InCoreCase]]=0,tbl_Case_mins[[#This Row],[CancelledCase]]=0),1,0)</f>
        <v>#REF!</v>
      </c>
      <c r="AN52" s="9" t="e">
        <f>IF(tbl_Case_mins[[#This Row],[Surgery Status]]=1,1,0)</f>
        <v>#REF!</v>
      </c>
      <c r="AO5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2" s="9" t="e">
        <f>IF(AND(tbl_Case_mins[[#This Row],[NonCoreCase]]=1,tbl_Case_mins[[#This Row],[NoInCoreTime]]=0),1,0)</f>
        <v>#REF!</v>
      </c>
      <c r="AQ52" s="9" t="e">
        <f>IF(tbl_Case_mins[[#This Row],[Rank_AnaEnd]]&lt;tbl_Case_mins[[#This Row],[Rank_AnaSt]],1,0)</f>
        <v>#REF!</v>
      </c>
      <c r="AR52" s="9" t="e">
        <f>IF(AND(tbl_Case_mins[[#This Row],[InCoreCase]]=1,tbl_Case_mins[[#This Row],[Sch]]=1),1,0)</f>
        <v>#REF!</v>
      </c>
      <c r="AS52" s="9" t="e">
        <f>IF(AND(tbl_Case_mins[[#This Row],[InCoreCase]]=1,tbl_Case_mins[[#This Row],[Unsch]]=1),1,0)</f>
        <v>#REF!</v>
      </c>
      <c r="AT5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2" s="9" t="e">
        <f>IF(tbl_Case_mins[[#This Row],[Surgery Status]]=0,(tbl_Case_mins[[#This Row],[Anaesth End]]-tbl_Case_mins[[#This Row],[AnaesthStart]]),0)</f>
        <v>#REF!</v>
      </c>
      <c r="AX52" s="9" t="e">
        <f>IF(tbl_Case_mins[[#This Row],[Surgery Status]]=0,(tbl_Case_mins[[#This Row],[Surgery Finish]]-tbl_Case_mins[[#This Row],[Surgery Start]]),0)</f>
        <v>#REF!</v>
      </c>
      <c r="AY52" s="9" t="e">
        <f>tbl_Case_mins[[#This Row],[Surgery Start]]-tbl_Case_mins[[#This Row],[AnaesthStart]]</f>
        <v>#REF!</v>
      </c>
      <c r="AZ52" s="9" t="e">
        <f>tbl_Case_mins[[#This Row],[Anaesth End]]-tbl_Case_mins[[#This Row],[Surgery Finish]]</f>
        <v>#REF!</v>
      </c>
      <c r="BA5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2" s="16" cm="1">
        <f t="array" ref="BC5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2" s="16" t="e">
        <f>IF(AND(tbl_Case_mins[[#This Row],[FirstAMCase]]=1,tbl_Case_mins[[#This Row],[CancelledCase]]=0,OR(tbl_Case_mins[[#This Row],[EarlyStartAM]]&gt;0,tbl_Case_mins[[#This Row],[AnaesthStart]]=tbl_Case_mins[[#This Row],[ThOpenAm]])),1,0)</f>
        <v>#REF!</v>
      </c>
      <c r="BE52" s="16" t="e">
        <f>IF(AND(tbl_Case_mins[[#This Row],[Rank_AnaSt]]=tbl_Case_mins[[#This Row],[Min_RankAnaSt]],tbl_Case_mins[[#This Row],[Anaesth End]]&gt;=tbl_Case_mins[[#This Row],[ThOpenAm]],tbl_Case_mins[[#This Row],[PmCase]]=0),1,0)</f>
        <v>#REF!</v>
      </c>
      <c r="BF5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2" s="9" t="e" cm="1">
        <f t="array" ref="BH5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2" s="9" t="e">
        <f>IF(AND(tbl_Case_mins[[#This Row],[ThOpenPM]]&gt;0,tbl_Case_mins[[#This Row],[AnaesthStart]]&gt;tbl_Case_mins[[#This Row],[ThOpenPM]],tbl_Case_mins[[#This Row],[First PM Case]]=1),tbl_Case_mins[[#This Row],[AnaesthStart]]-tbl_Case_mins[[#This Row],[ThOpenPM]],0)</f>
        <v>#REF!</v>
      </c>
      <c r="BL5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2" s="9" t="e" cm="1">
        <f t="array" ref="BN5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2" s="9" t="e">
        <f>IF(AND(tbl_Case_mins[[#This Row],[ThClosePm]]&gt;0,tbl_Case_mins[[#This Row],[Anaesth End]]&gt;tbl_Case_mins[[#This Row],[ThClosePm]],tbl_Case_mins[[#This Row],[AnaesthStart]]&gt;tbl_Case_mins[[#This Row],[ThClosePm]]),tbl_Case_mins[[#This Row],[Into Recov]]-tbl_Case_mins[[#This Row],[AnaesthStart]],0)</f>
        <v>#REF!</v>
      </c>
      <c r="BP52" s="9" t="e">
        <f>IF(AND(tbl_Case_mins[[#This Row],[AnaesthStart]]&lt;tbl_Case_mins[[#This Row],[ThClosePm]],tbl_Case_mins[[#This Row],[Anaesth End]]&gt;tbl_Case_mins[[#This Row],[ThClosePm]]),tbl_Case_mins[[#This Row],[Anaesth End]]-tbl_Case_mins[[#This Row],[ThClosePm]],0)</f>
        <v>#REF!</v>
      </c>
      <c r="BQ52" s="9" t="e" cm="1">
        <f t="array" ref="BQ5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2" s="9" t="e" cm="1">
        <f t="array" ref="BR52">IF(tbl_Case_mins[[#This Row],[Rank_Adjust]]=SUMPRODUCT(-(tbl_Case_mins[Surgery Start Date]=tbl_Case_mins[[#This Row],[Surgery Start Date]]),-(tbl_Case_mins[Theatre]=tbl_Case_mins[[#This Row],[Theatre]])),INDEX(Poss_Time,MATCH(TEXT(tbl_Case_mins[[#This Row],[Surgery Start Date]],"ddd"),Day,0)),0)</f>
        <v>#REF!</v>
      </c>
      <c r="BS52" s="9" t="e">
        <f>tbl_Case_mins[[#This Row],[Core_Time]]*Util_Goal</f>
        <v>#REF!</v>
      </c>
      <c r="BT52" s="9" t="e" cm="1">
        <f t="array" ref="BT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2" s="9" t="e" cm="1">
        <f t="array" ref="BU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2" s="9" t="e">
        <f>IF(tbl_Case_mins[[#This Row],[Surgery End Date]]&gt;tbl_Case_mins[[#This Row],[Surgery Start Date]],tbl_Case_mins[[#This Row],[Anaesth End]]-1440,0)</f>
        <v>#REF!</v>
      </c>
      <c r="BY52" s="9" t="e">
        <f>tbl_Case_mins[[#This Row],[Total_NonCore]]-tbl_Case_mins[[#This Row],[NextDay_NonCore]]</f>
        <v>#REF!</v>
      </c>
      <c r="BZ52" s="10" t="e">
        <f>tbl_Case_mins[[#This Row],[InCoreUse]]/60</f>
        <v>#REF!</v>
      </c>
      <c r="CA52" s="10" t="e">
        <f>tbl_Case_mins[[#This Row],[Total_NonCore]]/60</f>
        <v>#REF!</v>
      </c>
      <c r="CB52" t="e" cm="1">
        <f t="array" ref="CB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2" s="9" t="e" cm="1">
        <f t="array" ref="CC5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2" s="9" t="e" cm="1">
        <f t="array" ref="CD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2" s="9" t="e" cm="1">
        <f t="array" ref="CE5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2" s="9" cm="1">
        <f t="array" ref="CF52">IFERROR(_xlfn.AGGREGATE(14,6,(tbl_Case_mins[Rank_AnaEnd])/((tbl_Case_mins[Surgery Start Date]=tbl_Case_mins[[#This Row],[Surgery Start Date]])*(tbl_Case_mins[Theatre]=tbl_Case_mins[[#This Row],[Theatre]])*(tbl_Case_mins[NoInCoreTime]=0)),1),-1)</f>
        <v>-1</v>
      </c>
      <c r="CG52" s="9" cm="1">
        <f t="array" ref="CG52">IFERROR(_xlfn.AGGREGATE(15,6,(tbl_Case_mins[Rank_AnaSt])/((tbl_Case_mins[Surgery Start Date]=tbl_Case_mins[[#This Row],[Surgery Start Date]])*(tbl_Case_mins[Theatre]=tbl_Case_mins[[#This Row],[Theatre]])*(tbl_Case_mins[NoInCoreTime]=0)),1),-1)</f>
        <v>-1</v>
      </c>
      <c r="CH5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2" t="e" cm="1">
        <f t="array" ref="CJ5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2" s="9" cm="1">
        <f t="array" ref="CO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2" s="9" cm="1">
        <f t="array" ref="CP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2" s="9" cm="1">
        <f t="array" ref="CQ52">IFERROR(IF(AND(tbl_Case_mins[[#This Row],[FirstAMCase]]=0,tbl_Case_mins[[#This Row],[Rank]]=_xlfn.AGGREGATE(14,6,(tbl_Case_mins[Rank])/((tbl_Case_mins[Surgery Start Date]=tbl_Case_mins[[#This Row],[Surgery Start Date]])*(tbl_Case_mins[Theatre]=tbl_Case_mins[[#This Row],[Theatre]])*(tbl_Case_mins[AmCase]=1)),1)),1,0),0)</f>
        <v>0</v>
      </c>
      <c r="CR52" s="9" cm="1">
        <f t="array" ref="CR5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2" s="9" t="e" cm="1">
        <f t="array" ref="CS5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2" s="9" cm="1">
        <f t="array" ref="CT52">IFERROR(IF(tbl_Case_mins[[#This Row],[Rank]]=_xlfn.AGGREGATE(15,6,(tbl_Case_mins[Rank])/((tbl_Case_mins[Surgery Start Date]=tbl_Case_mins[[#This Row],[Surgery Start Date]])*(tbl_Case_mins[Theatre]=tbl_Case_mins[[#This Row],[Theatre]])*(tbl_Case_mins[PmCase]=1)),1),1,0),0)</f>
        <v>0</v>
      </c>
      <c r="CU52">
        <f>IFERROR(#REF!,0)</f>
        <v>0</v>
      </c>
      <c r="CV52" s="9" t="e" cm="1">
        <f t="array" ref="CV5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2" s="9">
        <f>IFERROR(IF(ISBLANK(INDEX(Bay_AmClose,MATCH(1,INDEX((tbl_Case_mins[[#This Row],[Bay]]=BayNo)*(tbl_Case_mins[[#This Row],[Surgery Start Date]]=BDate),0,1),0))*1440),0,INDEX(Bay_AmClose,MATCH(1,INDEX((tbl_Case_mins[[#This Row],[Bay]]=BayNo)*(tbl_Case_mins[[#This Row],[Surgery Start Date]]=BDate),0,1),0))*1440),0)</f>
        <v>0</v>
      </c>
      <c r="CX52" s="9" cm="1">
        <f t="array" ref="CX52">IFERROR(IF(ISBLANK(INDEX(Bay_PmOpen,MATCH(1,INDEX((tbl_Case_mins[[#This Row],[Bay]]=BayNo)*(tbl_Case_mins[[#This Row],[Surgery Start Date]]=BDate),0,1),0))*1440),0,INDEX(Bay_PmOpen,MATCH(1,INDEX((tbl_Case_mins[[#This Row],[Bay]]=BayNo)*(tbl_Case_mins[[#This Row],[Surgery Start Date]]=BDate),0,1),0))*1440),0)</f>
        <v>0</v>
      </c>
      <c r="CY5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2" s="9"/>
    </row>
    <row r="53" spans="1:104" x14ac:dyDescent="0.2">
      <c r="A53">
        <v>52</v>
      </c>
      <c r="B53" t="e">
        <f>#REF!</f>
        <v>#REF!</v>
      </c>
      <c r="C53" t="e">
        <f>#REF!</f>
        <v>#REF!</v>
      </c>
      <c r="D53" t="e">
        <f>#REF!</f>
        <v>#REF!</v>
      </c>
      <c r="E53" t="e">
        <f>#REF!</f>
        <v>#REF!</v>
      </c>
      <c r="F53" t="e">
        <f>#REF!</f>
        <v>#REF!</v>
      </c>
      <c r="G53" t="e">
        <f>#REF!</f>
        <v>#REF!</v>
      </c>
      <c r="H53" t="e">
        <f>#REF!</f>
        <v>#REF!</v>
      </c>
      <c r="I53" t="e">
        <f>IF(#REF!="Case Cancelled",1,IF(#REF!="No Cases",2,0))</f>
        <v>#REF!</v>
      </c>
      <c r="J53" t="e">
        <f>#REF!</f>
        <v>#REF!</v>
      </c>
      <c r="K53" s="4" t="e">
        <f>#REF!</f>
        <v>#REF!</v>
      </c>
      <c r="L53" t="e">
        <f>"Wk "&amp;WEEKNUM(tbl_Case_mins[[#This Row],[Surgery Start Date]],21)</f>
        <v>#REF!</v>
      </c>
      <c r="M53" t="e">
        <f>TEXT(tbl_Case_mins[[#This Row],[Surgery Start Date]],"ddd")</f>
        <v>#REF!</v>
      </c>
      <c r="N53" s="9" t="e">
        <f>(#REF!-TIME(0,0,0))*1440</f>
        <v>#REF!</v>
      </c>
      <c r="O53" t="e">
        <f>IF(AND(ROUND((#REF!-TIME(0,0,0))*1440,0)&gt;0,ROUND((#REF!-TIME(0,0,0))*1440,0)&lt;tbl_Case_mins[[#This Row],[Patient Called]],tbl_Case_mins[[#This Row],[Surgery End Date]]&gt;tbl_Case_mins[[#This Row],[Surgery Start Date]]),ROUND((#REF!-TIME(0,0,0))*1440,0)+1440,ROUND((#REF!-TIME(0,0,0))*1440,0))</f>
        <v>#REF!</v>
      </c>
      <c r="P53" s="9" t="e">
        <f>IF(AND(ROUND((#REF!-TIME(0,0,0))*1440,0)&gt;0,ROUND((#REF!-TIME(0,0,0))*1440,0)&lt;tbl_Case_mins[[#This Row],[Arrival]],tbl_Case_mins[[#This Row],[Surgery End Date]]&gt;tbl_Case_mins[[#This Row],[Surgery Start Date]]),ROUND((#REF!-TIME(0,0,0))*1440,0)+1440,ROUND((#REF!-TIME(0,0,0))*1440,0))</f>
        <v>#REF!</v>
      </c>
      <c r="Q53" s="9" t="e">
        <f>IF(AND(ROUND((#REF!-TIME(0,0,0))*1440,0)&gt;0,ROUND((#REF!-TIME(0,0,0))*1440,0)&lt;tbl_Case_mins[[#This Row],[Into Th or AR]],tbl_Case_mins[[#This Row],[Surgery End Date]]&gt;tbl_Case_mins[[#This Row],[Surgery Start Date]]),ROUND((#REF!-TIME(0,0,0))*1440,0)+1440,ROUND((#REF!-TIME(0,0,0))*1440,0))</f>
        <v>#REF!</v>
      </c>
      <c r="R53" s="9" t="e">
        <f>IF(AND(ROUND((#REF!-TIME(0,0,0))*1440,0)&gt;0,ROUND((#REF!-TIME(0,0,0))*1440,0)&lt;tbl_Case_mins[[#This Row],[AnaesthStart]],tbl_Case_mins[[#This Row],[Surgery End Date]]&gt;tbl_Case_mins[[#This Row],[Surgery Start Date]]),ROUND((#REF!-TIME(0,0,0))*1440,0)+1440,ROUND((#REF!-TIME(0,0,0))*1440,0))</f>
        <v>#REF!</v>
      </c>
      <c r="S53" s="9" t="e">
        <f>IF(AND(ROUND((#REF!-TIME(0,0,0))*1440,0),ROUND((#REF!-TIME(0,0,0))*1440,0)&lt;tbl_Case_mins[[#This Row],[Surgery Start]],tbl_Case_mins[[#This Row],[Surgery End Date]]&gt;tbl_Case_mins[[#This Row],[Surgery Start Date]]),ROUND((#REF!-TIME(0,0,0))*1440,0)+1440,ROUND((#REF!-TIME(0,0,0))*1440,0))</f>
        <v>#REF!</v>
      </c>
      <c r="T53" s="9" t="e">
        <f>IF(AND(ROUND((#REF!-TIME(0,0,0))*1440,0)&gt;0,ROUND((#REF!-TIME(0,0,0))*1440,0)&lt;tbl_Case_mins[[#This Row],[Surgery Finish]],tbl_Case_mins[[#This Row],[Surgery End Date]]&gt;tbl_Case_mins[[#This Row],[Surgery Start Date]]),ROUND((#REF!-TIME(0,0,0))*1440,0)+1440,ROUND((#REF!-TIME(0,0,0))*1440,0))</f>
        <v>#REF!</v>
      </c>
      <c r="U53" s="9" t="e">
        <f>IF(AND(ROUND((#REF!-TIME(0,0,0))*1440,0)&gt;0,ROUND((#REF!-TIME(0,0,0))*1440,0)&lt;tbl_Case_mins[[#This Row],[Anaesth End]],tbl_Case_mins[[#This Row],[Surgery End Date]]&gt;tbl_Case_mins[[#This Row],[Surgery Start Date]]),ROUND((#REF!-TIME(0,0,0))*1440,0)+1440,ROUND((#REF!-TIME(0,0,0))*1440,0))</f>
        <v>#REF!</v>
      </c>
      <c r="V53" s="9" t="e">
        <f>IF(AND(ROUND((#REF!-TIME(0,0,0))*1440,0)&gt;0,ROUND((#REF!-TIME(0,0,0))*1440,0)&lt;tbl_Case_mins[[#This Row],[Into Recov]],tbl_Case_mins[[#This Row],[Surgery End Date]]&gt;tbl_Case_mins[[#This Row],[Surgery Start Date]]),ROUND((#REF!-TIME(0,0,0))*1440,0)+1440,ROUND((#REF!-TIME(0,0,0))*1440,0))</f>
        <v>#REF!</v>
      </c>
      <c r="W53" s="9" t="e">
        <f>IF(AND(ROUND((#REF!-TIME(0,0,0))*1440,0)&gt;0,ROUND((#REF!-TIME(0,0,0))*1440,0)&lt;tbl_Case_mins[[#This Row],[Ward Called]],tbl_Case_mins[[#This Row],[Surgery End Date]]&gt;tbl_Case_mins[[#This Row],[Surgery Start Date]]),ROUND((#REF!-TIME(0,0,0))*1440,0)+1440,ROUND((#REF!-TIME(0,0,0))*1440,0))</f>
        <v>#REF!</v>
      </c>
      <c r="X53" s="4" t="e">
        <f>IF(ISBLANK(#REF!),tbl_Case_mins[[#This Row],[Surgery Start Date]],#REF!)</f>
        <v>#REF!</v>
      </c>
      <c r="Y53">
        <f>IFERROR(IF(VLOOKUP(tbl_Case_mins[[#This Row],[Theatre]],'Mng Theatres'!$C$7:$G$12,3,FALSE)="Yes","Yes","No"),0)</f>
        <v>0</v>
      </c>
      <c r="Z53" s="9" t="e" cm="1">
        <f t="array" ref="Z5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3" s="9" t="e" cm="1">
        <f t="array" ref="AA5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3" s="9" t="e">
        <f>IF(tbl_Case_mins[[#This Row],[Case Type]]="Unsch",1,0)</f>
        <v>#REF!</v>
      </c>
      <c r="AD53" s="9" t="e">
        <f>IF(tbl_Case_mins[[#This Row],[Case Type]]="Sch",1,0)</f>
        <v>#REF!</v>
      </c>
      <c r="AE5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3" s="9">
        <f>IFERROR(IF(ISBLANK(INDEX(Am_Close,MATCH(1,INDEX((tbl_Case_mins[[#This Row],[Theatre]]=Theatre_No)*(tbl_Case_mins[[#This Row],[Surgery Start Date]]=Date),0,1),0))*1440),0,INDEX(Am_Close,MATCH(1,INDEX((tbl_Case_mins[[#This Row],[Theatre]]=Theatre_No)*(tbl_Case_mins[[#This Row],[Surgery Start Date]]=Date),0,1),0))*1440),0)</f>
        <v>0</v>
      </c>
      <c r="AG53" s="9">
        <f>IFERROR(IF(ISBLANK(INDEX(PM_Open,MATCH(1,INDEX((tbl_Case_mins[[#This Row],[Theatre]]=Theatre_No)*(tbl_Case_mins[[#This Row],[Surgery Start Date]]=Date),0,1),0))*1440),0,INDEX(PM_Open,MATCH(1,INDEX((tbl_Case_mins[[#This Row],[Theatre]]=Theatre_No)*(tbl_Case_mins[[#This Row],[Surgery Start Date]]=Date),0,1),0))*1440),0)</f>
        <v>0</v>
      </c>
      <c r="AH5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3" s="9" t="e">
        <f>IF(tbl_Case_mins[[#This Row],[ThOpenAm]]=0,tbl_Case_mins[[#This Row],[ThOpenPM]],tbl_Case_mins[[#This Row],[ThOpenAm]])</f>
        <v>#REF!</v>
      </c>
      <c r="AJ53" s="9" t="e">
        <f>IF(tbl_Case_mins[[#This Row],[ThCloseAm]]&gt;0,IF(tbl_Case_mins[[#This Row],[ThOpenPM]]&gt;0,tbl_Case_mins[[#This Row],[ThClosePm]],tbl_Case_mins[[#This Row],[ThCloseAm]]),tbl_Case_mins[[#This Row],[ThClosePm]])</f>
        <v>#REF!</v>
      </c>
      <c r="AK53" s="9" t="e">
        <f>IF(tbl_Case_mins[[#This Row],[TOT]]&gt;0,1,0)</f>
        <v>#REF!</v>
      </c>
      <c r="AL5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3" s="9" t="e">
        <f>IF(AND(tbl_Case_mins[[#This Row],[Surgery Status]]&lt;&gt;2,tbl_Case_mins[[#This Row],[InCoreCase]]=0,tbl_Case_mins[[#This Row],[CancelledCase]]=0),1,0)</f>
        <v>#REF!</v>
      </c>
      <c r="AN53" s="9" t="e">
        <f>IF(tbl_Case_mins[[#This Row],[Surgery Status]]=1,1,0)</f>
        <v>#REF!</v>
      </c>
      <c r="AO5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3" s="9" t="e">
        <f>IF(AND(tbl_Case_mins[[#This Row],[NonCoreCase]]=1,tbl_Case_mins[[#This Row],[NoInCoreTime]]=0),1,0)</f>
        <v>#REF!</v>
      </c>
      <c r="AQ53" s="9" t="e">
        <f>IF(tbl_Case_mins[[#This Row],[Rank_AnaEnd]]&lt;tbl_Case_mins[[#This Row],[Rank_AnaSt]],1,0)</f>
        <v>#REF!</v>
      </c>
      <c r="AR53" s="9" t="e">
        <f>IF(AND(tbl_Case_mins[[#This Row],[InCoreCase]]=1,tbl_Case_mins[[#This Row],[Sch]]=1),1,0)</f>
        <v>#REF!</v>
      </c>
      <c r="AS53" s="9" t="e">
        <f>IF(AND(tbl_Case_mins[[#This Row],[InCoreCase]]=1,tbl_Case_mins[[#This Row],[Unsch]]=1),1,0)</f>
        <v>#REF!</v>
      </c>
      <c r="AT5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3" s="9" t="e">
        <f>IF(tbl_Case_mins[[#This Row],[Surgery Status]]=0,(tbl_Case_mins[[#This Row],[Anaesth End]]-tbl_Case_mins[[#This Row],[AnaesthStart]]),0)</f>
        <v>#REF!</v>
      </c>
      <c r="AX53" s="9" t="e">
        <f>IF(tbl_Case_mins[[#This Row],[Surgery Status]]=0,(tbl_Case_mins[[#This Row],[Surgery Finish]]-tbl_Case_mins[[#This Row],[Surgery Start]]),0)</f>
        <v>#REF!</v>
      </c>
      <c r="AY53" s="9" t="e">
        <f>tbl_Case_mins[[#This Row],[Surgery Start]]-tbl_Case_mins[[#This Row],[AnaesthStart]]</f>
        <v>#REF!</v>
      </c>
      <c r="AZ53" s="9" t="e">
        <f>tbl_Case_mins[[#This Row],[Anaesth End]]-tbl_Case_mins[[#This Row],[Surgery Finish]]</f>
        <v>#REF!</v>
      </c>
      <c r="BA5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3" s="16" cm="1">
        <f t="array" ref="BC5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3" s="16" t="e">
        <f>IF(AND(tbl_Case_mins[[#This Row],[FirstAMCase]]=1,tbl_Case_mins[[#This Row],[CancelledCase]]=0,OR(tbl_Case_mins[[#This Row],[EarlyStartAM]]&gt;0,tbl_Case_mins[[#This Row],[AnaesthStart]]=tbl_Case_mins[[#This Row],[ThOpenAm]])),1,0)</f>
        <v>#REF!</v>
      </c>
      <c r="BE53" s="16" t="e">
        <f>IF(AND(tbl_Case_mins[[#This Row],[Rank_AnaSt]]=tbl_Case_mins[[#This Row],[Min_RankAnaSt]],tbl_Case_mins[[#This Row],[Anaesth End]]&gt;=tbl_Case_mins[[#This Row],[ThOpenAm]],tbl_Case_mins[[#This Row],[PmCase]]=0),1,0)</f>
        <v>#REF!</v>
      </c>
      <c r="BF5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3" s="9" t="e" cm="1">
        <f t="array" ref="BH5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3" s="9" t="e">
        <f>IF(AND(tbl_Case_mins[[#This Row],[ThOpenPM]]&gt;0,tbl_Case_mins[[#This Row],[AnaesthStart]]&gt;tbl_Case_mins[[#This Row],[ThOpenPM]],tbl_Case_mins[[#This Row],[First PM Case]]=1),tbl_Case_mins[[#This Row],[AnaesthStart]]-tbl_Case_mins[[#This Row],[ThOpenPM]],0)</f>
        <v>#REF!</v>
      </c>
      <c r="BL5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3" s="9" t="e" cm="1">
        <f t="array" ref="BN5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3" s="9" t="e">
        <f>IF(AND(tbl_Case_mins[[#This Row],[ThClosePm]]&gt;0,tbl_Case_mins[[#This Row],[Anaesth End]]&gt;tbl_Case_mins[[#This Row],[ThClosePm]],tbl_Case_mins[[#This Row],[AnaesthStart]]&gt;tbl_Case_mins[[#This Row],[ThClosePm]]),tbl_Case_mins[[#This Row],[Into Recov]]-tbl_Case_mins[[#This Row],[AnaesthStart]],0)</f>
        <v>#REF!</v>
      </c>
      <c r="BP53" s="9" t="e">
        <f>IF(AND(tbl_Case_mins[[#This Row],[AnaesthStart]]&lt;tbl_Case_mins[[#This Row],[ThClosePm]],tbl_Case_mins[[#This Row],[Anaesth End]]&gt;tbl_Case_mins[[#This Row],[ThClosePm]]),tbl_Case_mins[[#This Row],[Anaesth End]]-tbl_Case_mins[[#This Row],[ThClosePm]],0)</f>
        <v>#REF!</v>
      </c>
      <c r="BQ53" s="9" t="e" cm="1">
        <f t="array" ref="BQ5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3" s="9" t="e" cm="1">
        <f t="array" ref="BR53">IF(tbl_Case_mins[[#This Row],[Rank_Adjust]]=SUMPRODUCT(-(tbl_Case_mins[Surgery Start Date]=tbl_Case_mins[[#This Row],[Surgery Start Date]]),-(tbl_Case_mins[Theatre]=tbl_Case_mins[[#This Row],[Theatre]])),INDEX(Poss_Time,MATCH(TEXT(tbl_Case_mins[[#This Row],[Surgery Start Date]],"ddd"),Day,0)),0)</f>
        <v>#REF!</v>
      </c>
      <c r="BS53" s="9" t="e">
        <f>tbl_Case_mins[[#This Row],[Core_Time]]*Util_Goal</f>
        <v>#REF!</v>
      </c>
      <c r="BT53" s="9" t="e" cm="1">
        <f t="array" ref="BT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3" s="9" t="e" cm="1">
        <f t="array" ref="BU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3" s="9" t="e">
        <f>IF(tbl_Case_mins[[#This Row],[Surgery End Date]]&gt;tbl_Case_mins[[#This Row],[Surgery Start Date]],tbl_Case_mins[[#This Row],[Anaesth End]]-1440,0)</f>
        <v>#REF!</v>
      </c>
      <c r="BY53" s="9" t="e">
        <f>tbl_Case_mins[[#This Row],[Total_NonCore]]-tbl_Case_mins[[#This Row],[NextDay_NonCore]]</f>
        <v>#REF!</v>
      </c>
      <c r="BZ53" s="10" t="e">
        <f>tbl_Case_mins[[#This Row],[InCoreUse]]/60</f>
        <v>#REF!</v>
      </c>
      <c r="CA53" s="10" t="e">
        <f>tbl_Case_mins[[#This Row],[Total_NonCore]]/60</f>
        <v>#REF!</v>
      </c>
      <c r="CB53" t="e" cm="1">
        <f t="array" ref="CB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3" s="9" t="e" cm="1">
        <f t="array" ref="CC5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3" s="9" t="e" cm="1">
        <f t="array" ref="CD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3" s="9" t="e" cm="1">
        <f t="array" ref="CE5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3" s="9" cm="1">
        <f t="array" ref="CF53">IFERROR(_xlfn.AGGREGATE(14,6,(tbl_Case_mins[Rank_AnaEnd])/((tbl_Case_mins[Surgery Start Date]=tbl_Case_mins[[#This Row],[Surgery Start Date]])*(tbl_Case_mins[Theatre]=tbl_Case_mins[[#This Row],[Theatre]])*(tbl_Case_mins[NoInCoreTime]=0)),1),-1)</f>
        <v>-1</v>
      </c>
      <c r="CG53" s="9" cm="1">
        <f t="array" ref="CG53">IFERROR(_xlfn.AGGREGATE(15,6,(tbl_Case_mins[Rank_AnaSt])/((tbl_Case_mins[Surgery Start Date]=tbl_Case_mins[[#This Row],[Surgery Start Date]])*(tbl_Case_mins[Theatre]=tbl_Case_mins[[#This Row],[Theatre]])*(tbl_Case_mins[NoInCoreTime]=0)),1),-1)</f>
        <v>-1</v>
      </c>
      <c r="CH5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3" t="e" cm="1">
        <f t="array" ref="CJ5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3" s="9" cm="1">
        <f t="array" ref="CO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3" s="9" cm="1">
        <f t="array" ref="CP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3" s="9" cm="1">
        <f t="array" ref="CQ53">IFERROR(IF(AND(tbl_Case_mins[[#This Row],[FirstAMCase]]=0,tbl_Case_mins[[#This Row],[Rank]]=_xlfn.AGGREGATE(14,6,(tbl_Case_mins[Rank])/((tbl_Case_mins[Surgery Start Date]=tbl_Case_mins[[#This Row],[Surgery Start Date]])*(tbl_Case_mins[Theatre]=tbl_Case_mins[[#This Row],[Theatre]])*(tbl_Case_mins[AmCase]=1)),1)),1,0),0)</f>
        <v>0</v>
      </c>
      <c r="CR53" s="9" cm="1">
        <f t="array" ref="CR5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3" s="9" t="e" cm="1">
        <f t="array" ref="CS5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3" s="9" cm="1">
        <f t="array" ref="CT53">IFERROR(IF(tbl_Case_mins[[#This Row],[Rank]]=_xlfn.AGGREGATE(15,6,(tbl_Case_mins[Rank])/((tbl_Case_mins[Surgery Start Date]=tbl_Case_mins[[#This Row],[Surgery Start Date]])*(tbl_Case_mins[Theatre]=tbl_Case_mins[[#This Row],[Theatre]])*(tbl_Case_mins[PmCase]=1)),1),1,0),0)</f>
        <v>0</v>
      </c>
      <c r="CU53">
        <f>IFERROR(#REF!,0)</f>
        <v>0</v>
      </c>
      <c r="CV53" s="9" t="e" cm="1">
        <f t="array" ref="CV5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3" s="9">
        <f>IFERROR(IF(ISBLANK(INDEX(Bay_AmClose,MATCH(1,INDEX((tbl_Case_mins[[#This Row],[Bay]]=BayNo)*(tbl_Case_mins[[#This Row],[Surgery Start Date]]=BDate),0,1),0))*1440),0,INDEX(Bay_AmClose,MATCH(1,INDEX((tbl_Case_mins[[#This Row],[Bay]]=BayNo)*(tbl_Case_mins[[#This Row],[Surgery Start Date]]=BDate),0,1),0))*1440),0)</f>
        <v>0</v>
      </c>
      <c r="CX53" s="9" cm="1">
        <f t="array" ref="CX53">IFERROR(IF(ISBLANK(INDEX(Bay_PmOpen,MATCH(1,INDEX((tbl_Case_mins[[#This Row],[Bay]]=BayNo)*(tbl_Case_mins[[#This Row],[Surgery Start Date]]=BDate),0,1),0))*1440),0,INDEX(Bay_PmOpen,MATCH(1,INDEX((tbl_Case_mins[[#This Row],[Bay]]=BayNo)*(tbl_Case_mins[[#This Row],[Surgery Start Date]]=BDate),0,1),0))*1440),0)</f>
        <v>0</v>
      </c>
      <c r="CY5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3" s="9"/>
    </row>
    <row r="54" spans="1:104" x14ac:dyDescent="0.2">
      <c r="A54">
        <v>53</v>
      </c>
      <c r="B54" t="e">
        <f>#REF!</f>
        <v>#REF!</v>
      </c>
      <c r="C54" t="e">
        <f>#REF!</f>
        <v>#REF!</v>
      </c>
      <c r="D54" t="e">
        <f>#REF!</f>
        <v>#REF!</v>
      </c>
      <c r="E54" t="e">
        <f>#REF!</f>
        <v>#REF!</v>
      </c>
      <c r="F54" t="e">
        <f>#REF!</f>
        <v>#REF!</v>
      </c>
      <c r="G54" t="e">
        <f>#REF!</f>
        <v>#REF!</v>
      </c>
      <c r="H54" t="e">
        <f>#REF!</f>
        <v>#REF!</v>
      </c>
      <c r="I54" t="e">
        <f>IF(#REF!="Case Cancelled",1,IF(#REF!="No Cases",2,0))</f>
        <v>#REF!</v>
      </c>
      <c r="J54" t="e">
        <f>#REF!</f>
        <v>#REF!</v>
      </c>
      <c r="K54" s="4" t="e">
        <f>#REF!</f>
        <v>#REF!</v>
      </c>
      <c r="L54" t="e">
        <f>"Wk "&amp;WEEKNUM(tbl_Case_mins[[#This Row],[Surgery Start Date]],21)</f>
        <v>#REF!</v>
      </c>
      <c r="M54" t="e">
        <f>TEXT(tbl_Case_mins[[#This Row],[Surgery Start Date]],"ddd")</f>
        <v>#REF!</v>
      </c>
      <c r="N54" s="9" t="e">
        <f>(#REF!-TIME(0,0,0))*1440</f>
        <v>#REF!</v>
      </c>
      <c r="O54" t="e">
        <f>IF(AND(ROUND((#REF!-TIME(0,0,0))*1440,0)&gt;0,ROUND((#REF!-TIME(0,0,0))*1440,0)&lt;tbl_Case_mins[[#This Row],[Patient Called]],tbl_Case_mins[[#This Row],[Surgery End Date]]&gt;tbl_Case_mins[[#This Row],[Surgery Start Date]]),ROUND((#REF!-TIME(0,0,0))*1440,0)+1440,ROUND((#REF!-TIME(0,0,0))*1440,0))</f>
        <v>#REF!</v>
      </c>
      <c r="P54" s="9" t="e">
        <f>IF(AND(ROUND((#REF!-TIME(0,0,0))*1440,0)&gt;0,ROUND((#REF!-TIME(0,0,0))*1440,0)&lt;tbl_Case_mins[[#This Row],[Arrival]],tbl_Case_mins[[#This Row],[Surgery End Date]]&gt;tbl_Case_mins[[#This Row],[Surgery Start Date]]),ROUND((#REF!-TIME(0,0,0))*1440,0)+1440,ROUND((#REF!-TIME(0,0,0))*1440,0))</f>
        <v>#REF!</v>
      </c>
      <c r="Q54" s="9" t="e">
        <f>IF(AND(ROUND((#REF!-TIME(0,0,0))*1440,0)&gt;0,ROUND((#REF!-TIME(0,0,0))*1440,0)&lt;tbl_Case_mins[[#This Row],[Into Th or AR]],tbl_Case_mins[[#This Row],[Surgery End Date]]&gt;tbl_Case_mins[[#This Row],[Surgery Start Date]]),ROUND((#REF!-TIME(0,0,0))*1440,0)+1440,ROUND((#REF!-TIME(0,0,0))*1440,0))</f>
        <v>#REF!</v>
      </c>
      <c r="R54" s="9" t="e">
        <f>IF(AND(ROUND((#REF!-TIME(0,0,0))*1440,0)&gt;0,ROUND((#REF!-TIME(0,0,0))*1440,0)&lt;tbl_Case_mins[[#This Row],[AnaesthStart]],tbl_Case_mins[[#This Row],[Surgery End Date]]&gt;tbl_Case_mins[[#This Row],[Surgery Start Date]]),ROUND((#REF!-TIME(0,0,0))*1440,0)+1440,ROUND((#REF!-TIME(0,0,0))*1440,0))</f>
        <v>#REF!</v>
      </c>
      <c r="S54" s="9" t="e">
        <f>IF(AND(ROUND((#REF!-TIME(0,0,0))*1440,0),ROUND((#REF!-TIME(0,0,0))*1440,0)&lt;tbl_Case_mins[[#This Row],[Surgery Start]],tbl_Case_mins[[#This Row],[Surgery End Date]]&gt;tbl_Case_mins[[#This Row],[Surgery Start Date]]),ROUND((#REF!-TIME(0,0,0))*1440,0)+1440,ROUND((#REF!-TIME(0,0,0))*1440,0))</f>
        <v>#REF!</v>
      </c>
      <c r="T54" s="9" t="e">
        <f>IF(AND(ROUND((#REF!-TIME(0,0,0))*1440,0)&gt;0,ROUND((#REF!-TIME(0,0,0))*1440,0)&lt;tbl_Case_mins[[#This Row],[Surgery Finish]],tbl_Case_mins[[#This Row],[Surgery End Date]]&gt;tbl_Case_mins[[#This Row],[Surgery Start Date]]),ROUND((#REF!-TIME(0,0,0))*1440,0)+1440,ROUND((#REF!-TIME(0,0,0))*1440,0))</f>
        <v>#REF!</v>
      </c>
      <c r="U54" s="9" t="e">
        <f>IF(AND(ROUND((#REF!-TIME(0,0,0))*1440,0)&gt;0,ROUND((#REF!-TIME(0,0,0))*1440,0)&lt;tbl_Case_mins[[#This Row],[Anaesth End]],tbl_Case_mins[[#This Row],[Surgery End Date]]&gt;tbl_Case_mins[[#This Row],[Surgery Start Date]]),ROUND((#REF!-TIME(0,0,0))*1440,0)+1440,ROUND((#REF!-TIME(0,0,0))*1440,0))</f>
        <v>#REF!</v>
      </c>
      <c r="V54" s="9" t="e">
        <f>IF(AND(ROUND((#REF!-TIME(0,0,0))*1440,0)&gt;0,ROUND((#REF!-TIME(0,0,0))*1440,0)&lt;tbl_Case_mins[[#This Row],[Into Recov]],tbl_Case_mins[[#This Row],[Surgery End Date]]&gt;tbl_Case_mins[[#This Row],[Surgery Start Date]]),ROUND((#REF!-TIME(0,0,0))*1440,0)+1440,ROUND((#REF!-TIME(0,0,0))*1440,0))</f>
        <v>#REF!</v>
      </c>
      <c r="W54" s="9" t="e">
        <f>IF(AND(ROUND((#REF!-TIME(0,0,0))*1440,0)&gt;0,ROUND((#REF!-TIME(0,0,0))*1440,0)&lt;tbl_Case_mins[[#This Row],[Ward Called]],tbl_Case_mins[[#This Row],[Surgery End Date]]&gt;tbl_Case_mins[[#This Row],[Surgery Start Date]]),ROUND((#REF!-TIME(0,0,0))*1440,0)+1440,ROUND((#REF!-TIME(0,0,0))*1440,0))</f>
        <v>#REF!</v>
      </c>
      <c r="X54" s="4" t="e">
        <f>IF(ISBLANK(#REF!),tbl_Case_mins[[#This Row],[Surgery Start Date]],#REF!)</f>
        <v>#REF!</v>
      </c>
      <c r="Y54">
        <f>IFERROR(IF(VLOOKUP(tbl_Case_mins[[#This Row],[Theatre]],'Mng Theatres'!$C$7:$G$12,3,FALSE)="Yes","Yes","No"),0)</f>
        <v>0</v>
      </c>
      <c r="Z54" s="9" t="e" cm="1">
        <f t="array" ref="Z5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4" s="9" t="e" cm="1">
        <f t="array" ref="AA5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4" s="9" t="e">
        <f>IF(tbl_Case_mins[[#This Row],[Case Type]]="Unsch",1,0)</f>
        <v>#REF!</v>
      </c>
      <c r="AD54" s="9" t="e">
        <f>IF(tbl_Case_mins[[#This Row],[Case Type]]="Sch",1,0)</f>
        <v>#REF!</v>
      </c>
      <c r="AE5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4" s="9">
        <f>IFERROR(IF(ISBLANK(INDEX(Am_Close,MATCH(1,INDEX((tbl_Case_mins[[#This Row],[Theatre]]=Theatre_No)*(tbl_Case_mins[[#This Row],[Surgery Start Date]]=Date),0,1),0))*1440),0,INDEX(Am_Close,MATCH(1,INDEX((tbl_Case_mins[[#This Row],[Theatre]]=Theatre_No)*(tbl_Case_mins[[#This Row],[Surgery Start Date]]=Date),0,1),0))*1440),0)</f>
        <v>0</v>
      </c>
      <c r="AG54" s="9">
        <f>IFERROR(IF(ISBLANK(INDEX(PM_Open,MATCH(1,INDEX((tbl_Case_mins[[#This Row],[Theatre]]=Theatre_No)*(tbl_Case_mins[[#This Row],[Surgery Start Date]]=Date),0,1),0))*1440),0,INDEX(PM_Open,MATCH(1,INDEX((tbl_Case_mins[[#This Row],[Theatre]]=Theatre_No)*(tbl_Case_mins[[#This Row],[Surgery Start Date]]=Date),0,1),0))*1440),0)</f>
        <v>0</v>
      </c>
      <c r="AH5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4" s="9" t="e">
        <f>IF(tbl_Case_mins[[#This Row],[ThOpenAm]]=0,tbl_Case_mins[[#This Row],[ThOpenPM]],tbl_Case_mins[[#This Row],[ThOpenAm]])</f>
        <v>#REF!</v>
      </c>
      <c r="AJ54" s="9" t="e">
        <f>IF(tbl_Case_mins[[#This Row],[ThCloseAm]]&gt;0,IF(tbl_Case_mins[[#This Row],[ThOpenPM]]&gt;0,tbl_Case_mins[[#This Row],[ThClosePm]],tbl_Case_mins[[#This Row],[ThCloseAm]]),tbl_Case_mins[[#This Row],[ThClosePm]])</f>
        <v>#REF!</v>
      </c>
      <c r="AK54" s="9" t="e">
        <f>IF(tbl_Case_mins[[#This Row],[TOT]]&gt;0,1,0)</f>
        <v>#REF!</v>
      </c>
      <c r="AL5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4" s="9" t="e">
        <f>IF(AND(tbl_Case_mins[[#This Row],[Surgery Status]]&lt;&gt;2,tbl_Case_mins[[#This Row],[InCoreCase]]=0,tbl_Case_mins[[#This Row],[CancelledCase]]=0),1,0)</f>
        <v>#REF!</v>
      </c>
      <c r="AN54" s="9" t="e">
        <f>IF(tbl_Case_mins[[#This Row],[Surgery Status]]=1,1,0)</f>
        <v>#REF!</v>
      </c>
      <c r="AO5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4" s="9" t="e">
        <f>IF(AND(tbl_Case_mins[[#This Row],[NonCoreCase]]=1,tbl_Case_mins[[#This Row],[NoInCoreTime]]=0),1,0)</f>
        <v>#REF!</v>
      </c>
      <c r="AQ54" s="9" t="e">
        <f>IF(tbl_Case_mins[[#This Row],[Rank_AnaEnd]]&lt;tbl_Case_mins[[#This Row],[Rank_AnaSt]],1,0)</f>
        <v>#REF!</v>
      </c>
      <c r="AR54" s="9" t="e">
        <f>IF(AND(tbl_Case_mins[[#This Row],[InCoreCase]]=1,tbl_Case_mins[[#This Row],[Sch]]=1),1,0)</f>
        <v>#REF!</v>
      </c>
      <c r="AS54" s="9" t="e">
        <f>IF(AND(tbl_Case_mins[[#This Row],[InCoreCase]]=1,tbl_Case_mins[[#This Row],[Unsch]]=1),1,0)</f>
        <v>#REF!</v>
      </c>
      <c r="AT5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4" s="9" t="e">
        <f>IF(tbl_Case_mins[[#This Row],[Surgery Status]]=0,(tbl_Case_mins[[#This Row],[Anaesth End]]-tbl_Case_mins[[#This Row],[AnaesthStart]]),0)</f>
        <v>#REF!</v>
      </c>
      <c r="AX54" s="9" t="e">
        <f>IF(tbl_Case_mins[[#This Row],[Surgery Status]]=0,(tbl_Case_mins[[#This Row],[Surgery Finish]]-tbl_Case_mins[[#This Row],[Surgery Start]]),0)</f>
        <v>#REF!</v>
      </c>
      <c r="AY54" s="9" t="e">
        <f>tbl_Case_mins[[#This Row],[Surgery Start]]-tbl_Case_mins[[#This Row],[AnaesthStart]]</f>
        <v>#REF!</v>
      </c>
      <c r="AZ54" s="9" t="e">
        <f>tbl_Case_mins[[#This Row],[Anaesth End]]-tbl_Case_mins[[#This Row],[Surgery Finish]]</f>
        <v>#REF!</v>
      </c>
      <c r="BA5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4" s="16" cm="1">
        <f t="array" ref="BC5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4" s="16" t="e">
        <f>IF(AND(tbl_Case_mins[[#This Row],[FirstAMCase]]=1,tbl_Case_mins[[#This Row],[CancelledCase]]=0,OR(tbl_Case_mins[[#This Row],[EarlyStartAM]]&gt;0,tbl_Case_mins[[#This Row],[AnaesthStart]]=tbl_Case_mins[[#This Row],[ThOpenAm]])),1,0)</f>
        <v>#REF!</v>
      </c>
      <c r="BE54" s="16" t="e">
        <f>IF(AND(tbl_Case_mins[[#This Row],[Rank_AnaSt]]=tbl_Case_mins[[#This Row],[Min_RankAnaSt]],tbl_Case_mins[[#This Row],[Anaesth End]]&gt;=tbl_Case_mins[[#This Row],[ThOpenAm]],tbl_Case_mins[[#This Row],[PmCase]]=0),1,0)</f>
        <v>#REF!</v>
      </c>
      <c r="BF5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4" s="9" t="e" cm="1">
        <f t="array" ref="BH5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4" s="9" t="e">
        <f>IF(AND(tbl_Case_mins[[#This Row],[ThOpenPM]]&gt;0,tbl_Case_mins[[#This Row],[AnaesthStart]]&gt;tbl_Case_mins[[#This Row],[ThOpenPM]],tbl_Case_mins[[#This Row],[First PM Case]]=1),tbl_Case_mins[[#This Row],[AnaesthStart]]-tbl_Case_mins[[#This Row],[ThOpenPM]],0)</f>
        <v>#REF!</v>
      </c>
      <c r="BL5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4" s="9" t="e" cm="1">
        <f t="array" ref="BN5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4" s="9" t="e">
        <f>IF(AND(tbl_Case_mins[[#This Row],[ThClosePm]]&gt;0,tbl_Case_mins[[#This Row],[Anaesth End]]&gt;tbl_Case_mins[[#This Row],[ThClosePm]],tbl_Case_mins[[#This Row],[AnaesthStart]]&gt;tbl_Case_mins[[#This Row],[ThClosePm]]),tbl_Case_mins[[#This Row],[Into Recov]]-tbl_Case_mins[[#This Row],[AnaesthStart]],0)</f>
        <v>#REF!</v>
      </c>
      <c r="BP54" s="9" t="e">
        <f>IF(AND(tbl_Case_mins[[#This Row],[AnaesthStart]]&lt;tbl_Case_mins[[#This Row],[ThClosePm]],tbl_Case_mins[[#This Row],[Anaesth End]]&gt;tbl_Case_mins[[#This Row],[ThClosePm]]),tbl_Case_mins[[#This Row],[Anaesth End]]-tbl_Case_mins[[#This Row],[ThClosePm]],0)</f>
        <v>#REF!</v>
      </c>
      <c r="BQ54" s="9" t="e" cm="1">
        <f t="array" ref="BQ5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4" s="9" t="e" cm="1">
        <f t="array" ref="BR54">IF(tbl_Case_mins[[#This Row],[Rank_Adjust]]=SUMPRODUCT(-(tbl_Case_mins[Surgery Start Date]=tbl_Case_mins[[#This Row],[Surgery Start Date]]),-(tbl_Case_mins[Theatre]=tbl_Case_mins[[#This Row],[Theatre]])),INDEX(Poss_Time,MATCH(TEXT(tbl_Case_mins[[#This Row],[Surgery Start Date]],"ddd"),Day,0)),0)</f>
        <v>#REF!</v>
      </c>
      <c r="BS54" s="9" t="e">
        <f>tbl_Case_mins[[#This Row],[Core_Time]]*Util_Goal</f>
        <v>#REF!</v>
      </c>
      <c r="BT54" s="9" t="e" cm="1">
        <f t="array" ref="BT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4" s="9" t="e" cm="1">
        <f t="array" ref="BU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4" s="9" t="e">
        <f>IF(tbl_Case_mins[[#This Row],[Surgery End Date]]&gt;tbl_Case_mins[[#This Row],[Surgery Start Date]],tbl_Case_mins[[#This Row],[Anaesth End]]-1440,0)</f>
        <v>#REF!</v>
      </c>
      <c r="BY54" s="9" t="e">
        <f>tbl_Case_mins[[#This Row],[Total_NonCore]]-tbl_Case_mins[[#This Row],[NextDay_NonCore]]</f>
        <v>#REF!</v>
      </c>
      <c r="BZ54" s="10" t="e">
        <f>tbl_Case_mins[[#This Row],[InCoreUse]]/60</f>
        <v>#REF!</v>
      </c>
      <c r="CA54" s="10" t="e">
        <f>tbl_Case_mins[[#This Row],[Total_NonCore]]/60</f>
        <v>#REF!</v>
      </c>
      <c r="CB54" t="e" cm="1">
        <f t="array" ref="CB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4" s="9" t="e" cm="1">
        <f t="array" ref="CC5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4" s="9" t="e" cm="1">
        <f t="array" ref="CD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4" s="9" t="e" cm="1">
        <f t="array" ref="CE5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4" s="9" cm="1">
        <f t="array" ref="CF54">IFERROR(_xlfn.AGGREGATE(14,6,(tbl_Case_mins[Rank_AnaEnd])/((tbl_Case_mins[Surgery Start Date]=tbl_Case_mins[[#This Row],[Surgery Start Date]])*(tbl_Case_mins[Theatre]=tbl_Case_mins[[#This Row],[Theatre]])*(tbl_Case_mins[NoInCoreTime]=0)),1),-1)</f>
        <v>-1</v>
      </c>
      <c r="CG54" s="9" cm="1">
        <f t="array" ref="CG54">IFERROR(_xlfn.AGGREGATE(15,6,(tbl_Case_mins[Rank_AnaSt])/((tbl_Case_mins[Surgery Start Date]=tbl_Case_mins[[#This Row],[Surgery Start Date]])*(tbl_Case_mins[Theatre]=tbl_Case_mins[[#This Row],[Theatre]])*(tbl_Case_mins[NoInCoreTime]=0)),1),-1)</f>
        <v>-1</v>
      </c>
      <c r="CH5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4" t="e" cm="1">
        <f t="array" ref="CJ5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4" s="9" cm="1">
        <f t="array" ref="CO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4" s="9" cm="1">
        <f t="array" ref="CP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4" s="9" cm="1">
        <f t="array" ref="CQ54">IFERROR(IF(AND(tbl_Case_mins[[#This Row],[FirstAMCase]]=0,tbl_Case_mins[[#This Row],[Rank]]=_xlfn.AGGREGATE(14,6,(tbl_Case_mins[Rank])/((tbl_Case_mins[Surgery Start Date]=tbl_Case_mins[[#This Row],[Surgery Start Date]])*(tbl_Case_mins[Theatre]=tbl_Case_mins[[#This Row],[Theatre]])*(tbl_Case_mins[AmCase]=1)),1)),1,0),0)</f>
        <v>0</v>
      </c>
      <c r="CR54" s="9" cm="1">
        <f t="array" ref="CR5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4" s="9" t="e" cm="1">
        <f t="array" ref="CS5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4" s="9" cm="1">
        <f t="array" ref="CT54">IFERROR(IF(tbl_Case_mins[[#This Row],[Rank]]=_xlfn.AGGREGATE(15,6,(tbl_Case_mins[Rank])/((tbl_Case_mins[Surgery Start Date]=tbl_Case_mins[[#This Row],[Surgery Start Date]])*(tbl_Case_mins[Theatre]=tbl_Case_mins[[#This Row],[Theatre]])*(tbl_Case_mins[PmCase]=1)),1),1,0),0)</f>
        <v>0</v>
      </c>
      <c r="CU54">
        <f>IFERROR(#REF!,0)</f>
        <v>0</v>
      </c>
      <c r="CV54" s="9" t="e" cm="1">
        <f t="array" ref="CV5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4" s="9">
        <f>IFERROR(IF(ISBLANK(INDEX(Bay_AmClose,MATCH(1,INDEX((tbl_Case_mins[[#This Row],[Bay]]=BayNo)*(tbl_Case_mins[[#This Row],[Surgery Start Date]]=BDate),0,1),0))*1440),0,INDEX(Bay_AmClose,MATCH(1,INDEX((tbl_Case_mins[[#This Row],[Bay]]=BayNo)*(tbl_Case_mins[[#This Row],[Surgery Start Date]]=BDate),0,1),0))*1440),0)</f>
        <v>0</v>
      </c>
      <c r="CX54" s="9" cm="1">
        <f t="array" ref="CX54">IFERROR(IF(ISBLANK(INDEX(Bay_PmOpen,MATCH(1,INDEX((tbl_Case_mins[[#This Row],[Bay]]=BayNo)*(tbl_Case_mins[[#This Row],[Surgery Start Date]]=BDate),0,1),0))*1440),0,INDEX(Bay_PmOpen,MATCH(1,INDEX((tbl_Case_mins[[#This Row],[Bay]]=BayNo)*(tbl_Case_mins[[#This Row],[Surgery Start Date]]=BDate),0,1),0))*1440),0)</f>
        <v>0</v>
      </c>
      <c r="CY5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4" s="9"/>
    </row>
    <row r="55" spans="1:104" x14ac:dyDescent="0.2">
      <c r="A55">
        <v>54</v>
      </c>
      <c r="B55" t="e">
        <f>#REF!</f>
        <v>#REF!</v>
      </c>
      <c r="C55" t="e">
        <f>#REF!</f>
        <v>#REF!</v>
      </c>
      <c r="D55" t="e">
        <f>#REF!</f>
        <v>#REF!</v>
      </c>
      <c r="E55" t="e">
        <f>#REF!</f>
        <v>#REF!</v>
      </c>
      <c r="F55" t="e">
        <f>#REF!</f>
        <v>#REF!</v>
      </c>
      <c r="G55" t="e">
        <f>#REF!</f>
        <v>#REF!</v>
      </c>
      <c r="H55" t="e">
        <f>#REF!</f>
        <v>#REF!</v>
      </c>
      <c r="I55" t="e">
        <f>IF(#REF!="Case Cancelled",1,IF(#REF!="No Cases",2,0))</f>
        <v>#REF!</v>
      </c>
      <c r="J55" t="e">
        <f>#REF!</f>
        <v>#REF!</v>
      </c>
      <c r="K55" s="4" t="e">
        <f>#REF!</f>
        <v>#REF!</v>
      </c>
      <c r="L55" t="e">
        <f>"Wk "&amp;WEEKNUM(tbl_Case_mins[[#This Row],[Surgery Start Date]],21)</f>
        <v>#REF!</v>
      </c>
      <c r="M55" t="e">
        <f>TEXT(tbl_Case_mins[[#This Row],[Surgery Start Date]],"ddd")</f>
        <v>#REF!</v>
      </c>
      <c r="N55" s="9" t="e">
        <f>(#REF!-TIME(0,0,0))*1440</f>
        <v>#REF!</v>
      </c>
      <c r="O55" t="e">
        <f>IF(AND(ROUND((#REF!-TIME(0,0,0))*1440,0)&gt;0,ROUND((#REF!-TIME(0,0,0))*1440,0)&lt;tbl_Case_mins[[#This Row],[Patient Called]],tbl_Case_mins[[#This Row],[Surgery End Date]]&gt;tbl_Case_mins[[#This Row],[Surgery Start Date]]),ROUND((#REF!-TIME(0,0,0))*1440,0)+1440,ROUND((#REF!-TIME(0,0,0))*1440,0))</f>
        <v>#REF!</v>
      </c>
      <c r="P55" s="9" t="e">
        <f>IF(AND(ROUND((#REF!-TIME(0,0,0))*1440,0)&gt;0,ROUND((#REF!-TIME(0,0,0))*1440,0)&lt;tbl_Case_mins[[#This Row],[Arrival]],tbl_Case_mins[[#This Row],[Surgery End Date]]&gt;tbl_Case_mins[[#This Row],[Surgery Start Date]]),ROUND((#REF!-TIME(0,0,0))*1440,0)+1440,ROUND((#REF!-TIME(0,0,0))*1440,0))</f>
        <v>#REF!</v>
      </c>
      <c r="Q55" s="9" t="e">
        <f>IF(AND(ROUND((#REF!-TIME(0,0,0))*1440,0)&gt;0,ROUND((#REF!-TIME(0,0,0))*1440,0)&lt;tbl_Case_mins[[#This Row],[Into Th or AR]],tbl_Case_mins[[#This Row],[Surgery End Date]]&gt;tbl_Case_mins[[#This Row],[Surgery Start Date]]),ROUND((#REF!-TIME(0,0,0))*1440,0)+1440,ROUND((#REF!-TIME(0,0,0))*1440,0))</f>
        <v>#REF!</v>
      </c>
      <c r="R55" s="9" t="e">
        <f>IF(AND(ROUND((#REF!-TIME(0,0,0))*1440,0)&gt;0,ROUND((#REF!-TIME(0,0,0))*1440,0)&lt;tbl_Case_mins[[#This Row],[AnaesthStart]],tbl_Case_mins[[#This Row],[Surgery End Date]]&gt;tbl_Case_mins[[#This Row],[Surgery Start Date]]),ROUND((#REF!-TIME(0,0,0))*1440,0)+1440,ROUND((#REF!-TIME(0,0,0))*1440,0))</f>
        <v>#REF!</v>
      </c>
      <c r="S55" s="9" t="e">
        <f>IF(AND(ROUND((#REF!-TIME(0,0,0))*1440,0),ROUND((#REF!-TIME(0,0,0))*1440,0)&lt;tbl_Case_mins[[#This Row],[Surgery Start]],tbl_Case_mins[[#This Row],[Surgery End Date]]&gt;tbl_Case_mins[[#This Row],[Surgery Start Date]]),ROUND((#REF!-TIME(0,0,0))*1440,0)+1440,ROUND((#REF!-TIME(0,0,0))*1440,0))</f>
        <v>#REF!</v>
      </c>
      <c r="T55" s="9" t="e">
        <f>IF(AND(ROUND((#REF!-TIME(0,0,0))*1440,0)&gt;0,ROUND((#REF!-TIME(0,0,0))*1440,0)&lt;tbl_Case_mins[[#This Row],[Surgery Finish]],tbl_Case_mins[[#This Row],[Surgery End Date]]&gt;tbl_Case_mins[[#This Row],[Surgery Start Date]]),ROUND((#REF!-TIME(0,0,0))*1440,0)+1440,ROUND((#REF!-TIME(0,0,0))*1440,0))</f>
        <v>#REF!</v>
      </c>
      <c r="U55" s="9" t="e">
        <f>IF(AND(ROUND((#REF!-TIME(0,0,0))*1440,0)&gt;0,ROUND((#REF!-TIME(0,0,0))*1440,0)&lt;tbl_Case_mins[[#This Row],[Anaesth End]],tbl_Case_mins[[#This Row],[Surgery End Date]]&gt;tbl_Case_mins[[#This Row],[Surgery Start Date]]),ROUND((#REF!-TIME(0,0,0))*1440,0)+1440,ROUND((#REF!-TIME(0,0,0))*1440,0))</f>
        <v>#REF!</v>
      </c>
      <c r="V55" s="9" t="e">
        <f>IF(AND(ROUND((#REF!-TIME(0,0,0))*1440,0)&gt;0,ROUND((#REF!-TIME(0,0,0))*1440,0)&lt;tbl_Case_mins[[#This Row],[Into Recov]],tbl_Case_mins[[#This Row],[Surgery End Date]]&gt;tbl_Case_mins[[#This Row],[Surgery Start Date]]),ROUND((#REF!-TIME(0,0,0))*1440,0)+1440,ROUND((#REF!-TIME(0,0,0))*1440,0))</f>
        <v>#REF!</v>
      </c>
      <c r="W55" s="9" t="e">
        <f>IF(AND(ROUND((#REF!-TIME(0,0,0))*1440,0)&gt;0,ROUND((#REF!-TIME(0,0,0))*1440,0)&lt;tbl_Case_mins[[#This Row],[Ward Called]],tbl_Case_mins[[#This Row],[Surgery End Date]]&gt;tbl_Case_mins[[#This Row],[Surgery Start Date]]),ROUND((#REF!-TIME(0,0,0))*1440,0)+1440,ROUND((#REF!-TIME(0,0,0))*1440,0))</f>
        <v>#REF!</v>
      </c>
      <c r="X55" s="4" t="e">
        <f>IF(ISBLANK(#REF!),tbl_Case_mins[[#This Row],[Surgery Start Date]],#REF!)</f>
        <v>#REF!</v>
      </c>
      <c r="Y55">
        <f>IFERROR(IF(VLOOKUP(tbl_Case_mins[[#This Row],[Theatre]],'Mng Theatres'!$C$7:$G$12,3,FALSE)="Yes","Yes","No"),0)</f>
        <v>0</v>
      </c>
      <c r="Z55" s="9" t="e" cm="1">
        <f t="array" ref="Z5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5" s="9" t="e" cm="1">
        <f t="array" ref="AA5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5" s="9" t="e">
        <f>IF(tbl_Case_mins[[#This Row],[Case Type]]="Unsch",1,0)</f>
        <v>#REF!</v>
      </c>
      <c r="AD55" s="9" t="e">
        <f>IF(tbl_Case_mins[[#This Row],[Case Type]]="Sch",1,0)</f>
        <v>#REF!</v>
      </c>
      <c r="AE5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5" s="9">
        <f>IFERROR(IF(ISBLANK(INDEX(Am_Close,MATCH(1,INDEX((tbl_Case_mins[[#This Row],[Theatre]]=Theatre_No)*(tbl_Case_mins[[#This Row],[Surgery Start Date]]=Date),0,1),0))*1440),0,INDEX(Am_Close,MATCH(1,INDEX((tbl_Case_mins[[#This Row],[Theatre]]=Theatre_No)*(tbl_Case_mins[[#This Row],[Surgery Start Date]]=Date),0,1),0))*1440),0)</f>
        <v>0</v>
      </c>
      <c r="AG55" s="9">
        <f>IFERROR(IF(ISBLANK(INDEX(PM_Open,MATCH(1,INDEX((tbl_Case_mins[[#This Row],[Theatre]]=Theatre_No)*(tbl_Case_mins[[#This Row],[Surgery Start Date]]=Date),0,1),0))*1440),0,INDEX(PM_Open,MATCH(1,INDEX((tbl_Case_mins[[#This Row],[Theatre]]=Theatre_No)*(tbl_Case_mins[[#This Row],[Surgery Start Date]]=Date),0,1),0))*1440),0)</f>
        <v>0</v>
      </c>
      <c r="AH5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5" s="9" t="e">
        <f>IF(tbl_Case_mins[[#This Row],[ThOpenAm]]=0,tbl_Case_mins[[#This Row],[ThOpenPM]],tbl_Case_mins[[#This Row],[ThOpenAm]])</f>
        <v>#REF!</v>
      </c>
      <c r="AJ55" s="9" t="e">
        <f>IF(tbl_Case_mins[[#This Row],[ThCloseAm]]&gt;0,IF(tbl_Case_mins[[#This Row],[ThOpenPM]]&gt;0,tbl_Case_mins[[#This Row],[ThClosePm]],tbl_Case_mins[[#This Row],[ThCloseAm]]),tbl_Case_mins[[#This Row],[ThClosePm]])</f>
        <v>#REF!</v>
      </c>
      <c r="AK55" s="9" t="e">
        <f>IF(tbl_Case_mins[[#This Row],[TOT]]&gt;0,1,0)</f>
        <v>#REF!</v>
      </c>
      <c r="AL5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5" s="9" t="e">
        <f>IF(AND(tbl_Case_mins[[#This Row],[Surgery Status]]&lt;&gt;2,tbl_Case_mins[[#This Row],[InCoreCase]]=0,tbl_Case_mins[[#This Row],[CancelledCase]]=0),1,0)</f>
        <v>#REF!</v>
      </c>
      <c r="AN55" s="9" t="e">
        <f>IF(tbl_Case_mins[[#This Row],[Surgery Status]]=1,1,0)</f>
        <v>#REF!</v>
      </c>
      <c r="AO5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5" s="9" t="e">
        <f>IF(AND(tbl_Case_mins[[#This Row],[NonCoreCase]]=1,tbl_Case_mins[[#This Row],[NoInCoreTime]]=0),1,0)</f>
        <v>#REF!</v>
      </c>
      <c r="AQ55" s="9" t="e">
        <f>IF(tbl_Case_mins[[#This Row],[Rank_AnaEnd]]&lt;tbl_Case_mins[[#This Row],[Rank_AnaSt]],1,0)</f>
        <v>#REF!</v>
      </c>
      <c r="AR55" s="9" t="e">
        <f>IF(AND(tbl_Case_mins[[#This Row],[InCoreCase]]=1,tbl_Case_mins[[#This Row],[Sch]]=1),1,0)</f>
        <v>#REF!</v>
      </c>
      <c r="AS55" s="9" t="e">
        <f>IF(AND(tbl_Case_mins[[#This Row],[InCoreCase]]=1,tbl_Case_mins[[#This Row],[Unsch]]=1),1,0)</f>
        <v>#REF!</v>
      </c>
      <c r="AT5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5" s="9" t="e">
        <f>IF(tbl_Case_mins[[#This Row],[Surgery Status]]=0,(tbl_Case_mins[[#This Row],[Anaesth End]]-tbl_Case_mins[[#This Row],[AnaesthStart]]),0)</f>
        <v>#REF!</v>
      </c>
      <c r="AX55" s="9" t="e">
        <f>IF(tbl_Case_mins[[#This Row],[Surgery Status]]=0,(tbl_Case_mins[[#This Row],[Surgery Finish]]-tbl_Case_mins[[#This Row],[Surgery Start]]),0)</f>
        <v>#REF!</v>
      </c>
      <c r="AY55" s="9" t="e">
        <f>tbl_Case_mins[[#This Row],[Surgery Start]]-tbl_Case_mins[[#This Row],[AnaesthStart]]</f>
        <v>#REF!</v>
      </c>
      <c r="AZ55" s="9" t="e">
        <f>tbl_Case_mins[[#This Row],[Anaesth End]]-tbl_Case_mins[[#This Row],[Surgery Finish]]</f>
        <v>#REF!</v>
      </c>
      <c r="BA5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5" s="16" cm="1">
        <f t="array" ref="BC5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5" s="16" t="e">
        <f>IF(AND(tbl_Case_mins[[#This Row],[FirstAMCase]]=1,tbl_Case_mins[[#This Row],[CancelledCase]]=0,OR(tbl_Case_mins[[#This Row],[EarlyStartAM]]&gt;0,tbl_Case_mins[[#This Row],[AnaesthStart]]=tbl_Case_mins[[#This Row],[ThOpenAm]])),1,0)</f>
        <v>#REF!</v>
      </c>
      <c r="BE55" s="16" t="e">
        <f>IF(AND(tbl_Case_mins[[#This Row],[Rank_AnaSt]]=tbl_Case_mins[[#This Row],[Min_RankAnaSt]],tbl_Case_mins[[#This Row],[Anaesth End]]&gt;=tbl_Case_mins[[#This Row],[ThOpenAm]],tbl_Case_mins[[#This Row],[PmCase]]=0),1,0)</f>
        <v>#REF!</v>
      </c>
      <c r="BF5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5" s="9" t="e" cm="1">
        <f t="array" ref="BH5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5" s="9" t="e">
        <f>IF(AND(tbl_Case_mins[[#This Row],[ThOpenPM]]&gt;0,tbl_Case_mins[[#This Row],[AnaesthStart]]&gt;tbl_Case_mins[[#This Row],[ThOpenPM]],tbl_Case_mins[[#This Row],[First PM Case]]=1),tbl_Case_mins[[#This Row],[AnaesthStart]]-tbl_Case_mins[[#This Row],[ThOpenPM]],0)</f>
        <v>#REF!</v>
      </c>
      <c r="BL5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5" s="9" t="e" cm="1">
        <f t="array" ref="BN5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5" s="9" t="e">
        <f>IF(AND(tbl_Case_mins[[#This Row],[ThClosePm]]&gt;0,tbl_Case_mins[[#This Row],[Anaesth End]]&gt;tbl_Case_mins[[#This Row],[ThClosePm]],tbl_Case_mins[[#This Row],[AnaesthStart]]&gt;tbl_Case_mins[[#This Row],[ThClosePm]]),tbl_Case_mins[[#This Row],[Into Recov]]-tbl_Case_mins[[#This Row],[AnaesthStart]],0)</f>
        <v>#REF!</v>
      </c>
      <c r="BP55" s="9" t="e">
        <f>IF(AND(tbl_Case_mins[[#This Row],[AnaesthStart]]&lt;tbl_Case_mins[[#This Row],[ThClosePm]],tbl_Case_mins[[#This Row],[Anaesth End]]&gt;tbl_Case_mins[[#This Row],[ThClosePm]]),tbl_Case_mins[[#This Row],[Anaesth End]]-tbl_Case_mins[[#This Row],[ThClosePm]],0)</f>
        <v>#REF!</v>
      </c>
      <c r="BQ55" s="9" t="e" cm="1">
        <f t="array" ref="BQ5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5" s="9" t="e" cm="1">
        <f t="array" ref="BR55">IF(tbl_Case_mins[[#This Row],[Rank_Adjust]]=SUMPRODUCT(-(tbl_Case_mins[Surgery Start Date]=tbl_Case_mins[[#This Row],[Surgery Start Date]]),-(tbl_Case_mins[Theatre]=tbl_Case_mins[[#This Row],[Theatre]])),INDEX(Poss_Time,MATCH(TEXT(tbl_Case_mins[[#This Row],[Surgery Start Date]],"ddd"),Day,0)),0)</f>
        <v>#REF!</v>
      </c>
      <c r="BS55" s="9" t="e">
        <f>tbl_Case_mins[[#This Row],[Core_Time]]*Util_Goal</f>
        <v>#REF!</v>
      </c>
      <c r="BT55" s="9" t="e" cm="1">
        <f t="array" ref="BT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5" s="9" t="e" cm="1">
        <f t="array" ref="BU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5" s="9" t="e">
        <f>IF(tbl_Case_mins[[#This Row],[Surgery End Date]]&gt;tbl_Case_mins[[#This Row],[Surgery Start Date]],tbl_Case_mins[[#This Row],[Anaesth End]]-1440,0)</f>
        <v>#REF!</v>
      </c>
      <c r="BY55" s="9" t="e">
        <f>tbl_Case_mins[[#This Row],[Total_NonCore]]-tbl_Case_mins[[#This Row],[NextDay_NonCore]]</f>
        <v>#REF!</v>
      </c>
      <c r="BZ55" s="10" t="e">
        <f>tbl_Case_mins[[#This Row],[InCoreUse]]/60</f>
        <v>#REF!</v>
      </c>
      <c r="CA55" s="10" t="e">
        <f>tbl_Case_mins[[#This Row],[Total_NonCore]]/60</f>
        <v>#REF!</v>
      </c>
      <c r="CB55" t="e" cm="1">
        <f t="array" ref="CB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5" s="9" t="e" cm="1">
        <f t="array" ref="CC5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5" s="9" t="e" cm="1">
        <f t="array" ref="CD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5" s="9" t="e" cm="1">
        <f t="array" ref="CE5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5" s="9" cm="1">
        <f t="array" ref="CF55">IFERROR(_xlfn.AGGREGATE(14,6,(tbl_Case_mins[Rank_AnaEnd])/((tbl_Case_mins[Surgery Start Date]=tbl_Case_mins[[#This Row],[Surgery Start Date]])*(tbl_Case_mins[Theatre]=tbl_Case_mins[[#This Row],[Theatre]])*(tbl_Case_mins[NoInCoreTime]=0)),1),-1)</f>
        <v>-1</v>
      </c>
      <c r="CG55" s="9" cm="1">
        <f t="array" ref="CG55">IFERROR(_xlfn.AGGREGATE(15,6,(tbl_Case_mins[Rank_AnaSt])/((tbl_Case_mins[Surgery Start Date]=tbl_Case_mins[[#This Row],[Surgery Start Date]])*(tbl_Case_mins[Theatre]=tbl_Case_mins[[#This Row],[Theatre]])*(tbl_Case_mins[NoInCoreTime]=0)),1),-1)</f>
        <v>-1</v>
      </c>
      <c r="CH5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5" t="e" cm="1">
        <f t="array" ref="CJ5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5" s="9" cm="1">
        <f t="array" ref="CO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5" s="9" cm="1">
        <f t="array" ref="CP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5" s="9" cm="1">
        <f t="array" ref="CQ55">IFERROR(IF(AND(tbl_Case_mins[[#This Row],[FirstAMCase]]=0,tbl_Case_mins[[#This Row],[Rank]]=_xlfn.AGGREGATE(14,6,(tbl_Case_mins[Rank])/((tbl_Case_mins[Surgery Start Date]=tbl_Case_mins[[#This Row],[Surgery Start Date]])*(tbl_Case_mins[Theatre]=tbl_Case_mins[[#This Row],[Theatre]])*(tbl_Case_mins[AmCase]=1)),1)),1,0),0)</f>
        <v>0</v>
      </c>
      <c r="CR55" s="9" cm="1">
        <f t="array" ref="CR5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5" s="9" t="e" cm="1">
        <f t="array" ref="CS5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5" s="9" cm="1">
        <f t="array" ref="CT55">IFERROR(IF(tbl_Case_mins[[#This Row],[Rank]]=_xlfn.AGGREGATE(15,6,(tbl_Case_mins[Rank])/((tbl_Case_mins[Surgery Start Date]=tbl_Case_mins[[#This Row],[Surgery Start Date]])*(tbl_Case_mins[Theatre]=tbl_Case_mins[[#This Row],[Theatre]])*(tbl_Case_mins[PmCase]=1)),1),1,0),0)</f>
        <v>0</v>
      </c>
      <c r="CU55">
        <f>IFERROR(#REF!,0)</f>
        <v>0</v>
      </c>
      <c r="CV55" s="9" t="e" cm="1">
        <f t="array" ref="CV5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5" s="9">
        <f>IFERROR(IF(ISBLANK(INDEX(Bay_AmClose,MATCH(1,INDEX((tbl_Case_mins[[#This Row],[Bay]]=BayNo)*(tbl_Case_mins[[#This Row],[Surgery Start Date]]=BDate),0,1),0))*1440),0,INDEX(Bay_AmClose,MATCH(1,INDEX((tbl_Case_mins[[#This Row],[Bay]]=BayNo)*(tbl_Case_mins[[#This Row],[Surgery Start Date]]=BDate),0,1),0))*1440),0)</f>
        <v>0</v>
      </c>
      <c r="CX55" s="9" cm="1">
        <f t="array" ref="CX55">IFERROR(IF(ISBLANK(INDEX(Bay_PmOpen,MATCH(1,INDEX((tbl_Case_mins[[#This Row],[Bay]]=BayNo)*(tbl_Case_mins[[#This Row],[Surgery Start Date]]=BDate),0,1),0))*1440),0,INDEX(Bay_PmOpen,MATCH(1,INDEX((tbl_Case_mins[[#This Row],[Bay]]=BayNo)*(tbl_Case_mins[[#This Row],[Surgery Start Date]]=BDate),0,1),0))*1440),0)</f>
        <v>0</v>
      </c>
      <c r="CY5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5" s="9"/>
    </row>
    <row r="56" spans="1:104" x14ac:dyDescent="0.2">
      <c r="A56">
        <v>55</v>
      </c>
      <c r="B56" t="e">
        <f>#REF!</f>
        <v>#REF!</v>
      </c>
      <c r="C56" t="e">
        <f>#REF!</f>
        <v>#REF!</v>
      </c>
      <c r="D56" t="e">
        <f>#REF!</f>
        <v>#REF!</v>
      </c>
      <c r="E56" t="e">
        <f>#REF!</f>
        <v>#REF!</v>
      </c>
      <c r="F56" t="e">
        <f>#REF!</f>
        <v>#REF!</v>
      </c>
      <c r="G56" t="e">
        <f>#REF!</f>
        <v>#REF!</v>
      </c>
      <c r="H56" t="e">
        <f>#REF!</f>
        <v>#REF!</v>
      </c>
      <c r="I56" t="e">
        <f>IF(#REF!="Case Cancelled",1,IF(#REF!="No Cases",2,0))</f>
        <v>#REF!</v>
      </c>
      <c r="J56" t="e">
        <f>#REF!</f>
        <v>#REF!</v>
      </c>
      <c r="K56" s="4" t="e">
        <f>#REF!</f>
        <v>#REF!</v>
      </c>
      <c r="L56" t="e">
        <f>"Wk "&amp;WEEKNUM(tbl_Case_mins[[#This Row],[Surgery Start Date]],21)</f>
        <v>#REF!</v>
      </c>
      <c r="M56" t="e">
        <f>TEXT(tbl_Case_mins[[#This Row],[Surgery Start Date]],"ddd")</f>
        <v>#REF!</v>
      </c>
      <c r="N56" s="9" t="e">
        <f>(#REF!-TIME(0,0,0))*1440</f>
        <v>#REF!</v>
      </c>
      <c r="O56" t="e">
        <f>IF(AND(ROUND((#REF!-TIME(0,0,0))*1440,0)&gt;0,ROUND((#REF!-TIME(0,0,0))*1440,0)&lt;tbl_Case_mins[[#This Row],[Patient Called]],tbl_Case_mins[[#This Row],[Surgery End Date]]&gt;tbl_Case_mins[[#This Row],[Surgery Start Date]]),ROUND((#REF!-TIME(0,0,0))*1440,0)+1440,ROUND((#REF!-TIME(0,0,0))*1440,0))</f>
        <v>#REF!</v>
      </c>
      <c r="P56" s="9" t="e">
        <f>IF(AND(ROUND((#REF!-TIME(0,0,0))*1440,0)&gt;0,ROUND((#REF!-TIME(0,0,0))*1440,0)&lt;tbl_Case_mins[[#This Row],[Arrival]],tbl_Case_mins[[#This Row],[Surgery End Date]]&gt;tbl_Case_mins[[#This Row],[Surgery Start Date]]),ROUND((#REF!-TIME(0,0,0))*1440,0)+1440,ROUND((#REF!-TIME(0,0,0))*1440,0))</f>
        <v>#REF!</v>
      </c>
      <c r="Q56" s="9" t="e">
        <f>IF(AND(ROUND((#REF!-TIME(0,0,0))*1440,0)&gt;0,ROUND((#REF!-TIME(0,0,0))*1440,0)&lt;tbl_Case_mins[[#This Row],[Into Th or AR]],tbl_Case_mins[[#This Row],[Surgery End Date]]&gt;tbl_Case_mins[[#This Row],[Surgery Start Date]]),ROUND((#REF!-TIME(0,0,0))*1440,0)+1440,ROUND((#REF!-TIME(0,0,0))*1440,0))</f>
        <v>#REF!</v>
      </c>
      <c r="R56" s="9" t="e">
        <f>IF(AND(ROUND((#REF!-TIME(0,0,0))*1440,0)&gt;0,ROUND((#REF!-TIME(0,0,0))*1440,0)&lt;tbl_Case_mins[[#This Row],[AnaesthStart]],tbl_Case_mins[[#This Row],[Surgery End Date]]&gt;tbl_Case_mins[[#This Row],[Surgery Start Date]]),ROUND((#REF!-TIME(0,0,0))*1440,0)+1440,ROUND((#REF!-TIME(0,0,0))*1440,0))</f>
        <v>#REF!</v>
      </c>
      <c r="S56" s="9" t="e">
        <f>IF(AND(ROUND((#REF!-TIME(0,0,0))*1440,0),ROUND((#REF!-TIME(0,0,0))*1440,0)&lt;tbl_Case_mins[[#This Row],[Surgery Start]],tbl_Case_mins[[#This Row],[Surgery End Date]]&gt;tbl_Case_mins[[#This Row],[Surgery Start Date]]),ROUND((#REF!-TIME(0,0,0))*1440,0)+1440,ROUND((#REF!-TIME(0,0,0))*1440,0))</f>
        <v>#REF!</v>
      </c>
      <c r="T56" s="9" t="e">
        <f>IF(AND(ROUND((#REF!-TIME(0,0,0))*1440,0)&gt;0,ROUND((#REF!-TIME(0,0,0))*1440,0)&lt;tbl_Case_mins[[#This Row],[Surgery Finish]],tbl_Case_mins[[#This Row],[Surgery End Date]]&gt;tbl_Case_mins[[#This Row],[Surgery Start Date]]),ROUND((#REF!-TIME(0,0,0))*1440,0)+1440,ROUND((#REF!-TIME(0,0,0))*1440,0))</f>
        <v>#REF!</v>
      </c>
      <c r="U56" s="9" t="e">
        <f>IF(AND(ROUND((#REF!-TIME(0,0,0))*1440,0)&gt;0,ROUND((#REF!-TIME(0,0,0))*1440,0)&lt;tbl_Case_mins[[#This Row],[Anaesth End]],tbl_Case_mins[[#This Row],[Surgery End Date]]&gt;tbl_Case_mins[[#This Row],[Surgery Start Date]]),ROUND((#REF!-TIME(0,0,0))*1440,0)+1440,ROUND((#REF!-TIME(0,0,0))*1440,0))</f>
        <v>#REF!</v>
      </c>
      <c r="V56" s="9" t="e">
        <f>IF(AND(ROUND((#REF!-TIME(0,0,0))*1440,0)&gt;0,ROUND((#REF!-TIME(0,0,0))*1440,0)&lt;tbl_Case_mins[[#This Row],[Into Recov]],tbl_Case_mins[[#This Row],[Surgery End Date]]&gt;tbl_Case_mins[[#This Row],[Surgery Start Date]]),ROUND((#REF!-TIME(0,0,0))*1440,0)+1440,ROUND((#REF!-TIME(0,0,0))*1440,0))</f>
        <v>#REF!</v>
      </c>
      <c r="W56" s="9" t="e">
        <f>IF(AND(ROUND((#REF!-TIME(0,0,0))*1440,0)&gt;0,ROUND((#REF!-TIME(0,0,0))*1440,0)&lt;tbl_Case_mins[[#This Row],[Ward Called]],tbl_Case_mins[[#This Row],[Surgery End Date]]&gt;tbl_Case_mins[[#This Row],[Surgery Start Date]]),ROUND((#REF!-TIME(0,0,0))*1440,0)+1440,ROUND((#REF!-TIME(0,0,0))*1440,0))</f>
        <v>#REF!</v>
      </c>
      <c r="X56" s="4" t="e">
        <f>IF(ISBLANK(#REF!),tbl_Case_mins[[#This Row],[Surgery Start Date]],#REF!)</f>
        <v>#REF!</v>
      </c>
      <c r="Y56">
        <f>IFERROR(IF(VLOOKUP(tbl_Case_mins[[#This Row],[Theatre]],'Mng Theatres'!$C$7:$G$12,3,FALSE)="Yes","Yes","No"),0)</f>
        <v>0</v>
      </c>
      <c r="Z56" s="9" t="e" cm="1">
        <f t="array" ref="Z5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6" s="9" t="e" cm="1">
        <f t="array" ref="AA5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6" s="9" t="e">
        <f>IF(tbl_Case_mins[[#This Row],[Case Type]]="Unsch",1,0)</f>
        <v>#REF!</v>
      </c>
      <c r="AD56" s="9" t="e">
        <f>IF(tbl_Case_mins[[#This Row],[Case Type]]="Sch",1,0)</f>
        <v>#REF!</v>
      </c>
      <c r="AE5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6" s="9">
        <f>IFERROR(IF(ISBLANK(INDEX(Am_Close,MATCH(1,INDEX((tbl_Case_mins[[#This Row],[Theatre]]=Theatre_No)*(tbl_Case_mins[[#This Row],[Surgery Start Date]]=Date),0,1),0))*1440),0,INDEX(Am_Close,MATCH(1,INDEX((tbl_Case_mins[[#This Row],[Theatre]]=Theatre_No)*(tbl_Case_mins[[#This Row],[Surgery Start Date]]=Date),0,1),0))*1440),0)</f>
        <v>0</v>
      </c>
      <c r="AG56" s="9">
        <f>IFERROR(IF(ISBLANK(INDEX(PM_Open,MATCH(1,INDEX((tbl_Case_mins[[#This Row],[Theatre]]=Theatre_No)*(tbl_Case_mins[[#This Row],[Surgery Start Date]]=Date),0,1),0))*1440),0,INDEX(PM_Open,MATCH(1,INDEX((tbl_Case_mins[[#This Row],[Theatre]]=Theatre_No)*(tbl_Case_mins[[#This Row],[Surgery Start Date]]=Date),0,1),0))*1440),0)</f>
        <v>0</v>
      </c>
      <c r="AH5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6" s="9" t="e">
        <f>IF(tbl_Case_mins[[#This Row],[ThOpenAm]]=0,tbl_Case_mins[[#This Row],[ThOpenPM]],tbl_Case_mins[[#This Row],[ThOpenAm]])</f>
        <v>#REF!</v>
      </c>
      <c r="AJ56" s="9" t="e">
        <f>IF(tbl_Case_mins[[#This Row],[ThCloseAm]]&gt;0,IF(tbl_Case_mins[[#This Row],[ThOpenPM]]&gt;0,tbl_Case_mins[[#This Row],[ThClosePm]],tbl_Case_mins[[#This Row],[ThCloseAm]]),tbl_Case_mins[[#This Row],[ThClosePm]])</f>
        <v>#REF!</v>
      </c>
      <c r="AK56" s="9" t="e">
        <f>IF(tbl_Case_mins[[#This Row],[TOT]]&gt;0,1,0)</f>
        <v>#REF!</v>
      </c>
      <c r="AL5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6" s="9" t="e">
        <f>IF(AND(tbl_Case_mins[[#This Row],[Surgery Status]]&lt;&gt;2,tbl_Case_mins[[#This Row],[InCoreCase]]=0,tbl_Case_mins[[#This Row],[CancelledCase]]=0),1,0)</f>
        <v>#REF!</v>
      </c>
      <c r="AN56" s="9" t="e">
        <f>IF(tbl_Case_mins[[#This Row],[Surgery Status]]=1,1,0)</f>
        <v>#REF!</v>
      </c>
      <c r="AO5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6" s="9" t="e">
        <f>IF(AND(tbl_Case_mins[[#This Row],[NonCoreCase]]=1,tbl_Case_mins[[#This Row],[NoInCoreTime]]=0),1,0)</f>
        <v>#REF!</v>
      </c>
      <c r="AQ56" s="9" t="e">
        <f>IF(tbl_Case_mins[[#This Row],[Rank_AnaEnd]]&lt;tbl_Case_mins[[#This Row],[Rank_AnaSt]],1,0)</f>
        <v>#REF!</v>
      </c>
      <c r="AR56" s="9" t="e">
        <f>IF(AND(tbl_Case_mins[[#This Row],[InCoreCase]]=1,tbl_Case_mins[[#This Row],[Sch]]=1),1,0)</f>
        <v>#REF!</v>
      </c>
      <c r="AS56" s="9" t="e">
        <f>IF(AND(tbl_Case_mins[[#This Row],[InCoreCase]]=1,tbl_Case_mins[[#This Row],[Unsch]]=1),1,0)</f>
        <v>#REF!</v>
      </c>
      <c r="AT5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6" s="9" t="e">
        <f>IF(tbl_Case_mins[[#This Row],[Surgery Status]]=0,(tbl_Case_mins[[#This Row],[Anaesth End]]-tbl_Case_mins[[#This Row],[AnaesthStart]]),0)</f>
        <v>#REF!</v>
      </c>
      <c r="AX56" s="9" t="e">
        <f>IF(tbl_Case_mins[[#This Row],[Surgery Status]]=0,(tbl_Case_mins[[#This Row],[Surgery Finish]]-tbl_Case_mins[[#This Row],[Surgery Start]]),0)</f>
        <v>#REF!</v>
      </c>
      <c r="AY56" s="9" t="e">
        <f>tbl_Case_mins[[#This Row],[Surgery Start]]-tbl_Case_mins[[#This Row],[AnaesthStart]]</f>
        <v>#REF!</v>
      </c>
      <c r="AZ56" s="9" t="e">
        <f>tbl_Case_mins[[#This Row],[Anaesth End]]-tbl_Case_mins[[#This Row],[Surgery Finish]]</f>
        <v>#REF!</v>
      </c>
      <c r="BA5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6" s="16" cm="1">
        <f t="array" ref="BC5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6" s="16" t="e">
        <f>IF(AND(tbl_Case_mins[[#This Row],[FirstAMCase]]=1,tbl_Case_mins[[#This Row],[CancelledCase]]=0,OR(tbl_Case_mins[[#This Row],[EarlyStartAM]]&gt;0,tbl_Case_mins[[#This Row],[AnaesthStart]]=tbl_Case_mins[[#This Row],[ThOpenAm]])),1,0)</f>
        <v>#REF!</v>
      </c>
      <c r="BE56" s="16" t="e">
        <f>IF(AND(tbl_Case_mins[[#This Row],[Rank_AnaSt]]=tbl_Case_mins[[#This Row],[Min_RankAnaSt]],tbl_Case_mins[[#This Row],[Anaesth End]]&gt;=tbl_Case_mins[[#This Row],[ThOpenAm]],tbl_Case_mins[[#This Row],[PmCase]]=0),1,0)</f>
        <v>#REF!</v>
      </c>
      <c r="BF5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6" s="9" t="e" cm="1">
        <f t="array" ref="BH5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6" s="9" t="e">
        <f>IF(AND(tbl_Case_mins[[#This Row],[ThOpenPM]]&gt;0,tbl_Case_mins[[#This Row],[AnaesthStart]]&gt;tbl_Case_mins[[#This Row],[ThOpenPM]],tbl_Case_mins[[#This Row],[First PM Case]]=1),tbl_Case_mins[[#This Row],[AnaesthStart]]-tbl_Case_mins[[#This Row],[ThOpenPM]],0)</f>
        <v>#REF!</v>
      </c>
      <c r="BL5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6" s="9" t="e" cm="1">
        <f t="array" ref="BN5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6" s="9" t="e">
        <f>IF(AND(tbl_Case_mins[[#This Row],[ThClosePm]]&gt;0,tbl_Case_mins[[#This Row],[Anaesth End]]&gt;tbl_Case_mins[[#This Row],[ThClosePm]],tbl_Case_mins[[#This Row],[AnaesthStart]]&gt;tbl_Case_mins[[#This Row],[ThClosePm]]),tbl_Case_mins[[#This Row],[Into Recov]]-tbl_Case_mins[[#This Row],[AnaesthStart]],0)</f>
        <v>#REF!</v>
      </c>
      <c r="BP56" s="9" t="e">
        <f>IF(AND(tbl_Case_mins[[#This Row],[AnaesthStart]]&lt;tbl_Case_mins[[#This Row],[ThClosePm]],tbl_Case_mins[[#This Row],[Anaesth End]]&gt;tbl_Case_mins[[#This Row],[ThClosePm]]),tbl_Case_mins[[#This Row],[Anaesth End]]-tbl_Case_mins[[#This Row],[ThClosePm]],0)</f>
        <v>#REF!</v>
      </c>
      <c r="BQ56" s="9" t="e" cm="1">
        <f t="array" ref="BQ5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6" s="9" t="e" cm="1">
        <f t="array" ref="BR56">IF(tbl_Case_mins[[#This Row],[Rank_Adjust]]=SUMPRODUCT(-(tbl_Case_mins[Surgery Start Date]=tbl_Case_mins[[#This Row],[Surgery Start Date]]),-(tbl_Case_mins[Theatre]=tbl_Case_mins[[#This Row],[Theatre]])),INDEX(Poss_Time,MATCH(TEXT(tbl_Case_mins[[#This Row],[Surgery Start Date]],"ddd"),Day,0)),0)</f>
        <v>#REF!</v>
      </c>
      <c r="BS56" s="9" t="e">
        <f>tbl_Case_mins[[#This Row],[Core_Time]]*Util_Goal</f>
        <v>#REF!</v>
      </c>
      <c r="BT56" s="9" t="e" cm="1">
        <f t="array" ref="BT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6" s="9" t="e" cm="1">
        <f t="array" ref="BU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6" s="9" t="e">
        <f>IF(tbl_Case_mins[[#This Row],[Surgery End Date]]&gt;tbl_Case_mins[[#This Row],[Surgery Start Date]],tbl_Case_mins[[#This Row],[Anaesth End]]-1440,0)</f>
        <v>#REF!</v>
      </c>
      <c r="BY56" s="9" t="e">
        <f>tbl_Case_mins[[#This Row],[Total_NonCore]]-tbl_Case_mins[[#This Row],[NextDay_NonCore]]</f>
        <v>#REF!</v>
      </c>
      <c r="BZ56" s="10" t="e">
        <f>tbl_Case_mins[[#This Row],[InCoreUse]]/60</f>
        <v>#REF!</v>
      </c>
      <c r="CA56" s="10" t="e">
        <f>tbl_Case_mins[[#This Row],[Total_NonCore]]/60</f>
        <v>#REF!</v>
      </c>
      <c r="CB56" t="e" cm="1">
        <f t="array" ref="CB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6" s="9" t="e" cm="1">
        <f t="array" ref="CC5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6" s="9" t="e" cm="1">
        <f t="array" ref="CD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6" s="9" t="e" cm="1">
        <f t="array" ref="CE5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6" s="9" cm="1">
        <f t="array" ref="CF56">IFERROR(_xlfn.AGGREGATE(14,6,(tbl_Case_mins[Rank_AnaEnd])/((tbl_Case_mins[Surgery Start Date]=tbl_Case_mins[[#This Row],[Surgery Start Date]])*(tbl_Case_mins[Theatre]=tbl_Case_mins[[#This Row],[Theatre]])*(tbl_Case_mins[NoInCoreTime]=0)),1),-1)</f>
        <v>-1</v>
      </c>
      <c r="CG56" s="9" cm="1">
        <f t="array" ref="CG56">IFERROR(_xlfn.AGGREGATE(15,6,(tbl_Case_mins[Rank_AnaSt])/((tbl_Case_mins[Surgery Start Date]=tbl_Case_mins[[#This Row],[Surgery Start Date]])*(tbl_Case_mins[Theatre]=tbl_Case_mins[[#This Row],[Theatre]])*(tbl_Case_mins[NoInCoreTime]=0)),1),-1)</f>
        <v>-1</v>
      </c>
      <c r="CH5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6" t="e" cm="1">
        <f t="array" ref="CJ5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6" s="9" cm="1">
        <f t="array" ref="CO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6" s="9" cm="1">
        <f t="array" ref="CP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6" s="9" cm="1">
        <f t="array" ref="CQ56">IFERROR(IF(AND(tbl_Case_mins[[#This Row],[FirstAMCase]]=0,tbl_Case_mins[[#This Row],[Rank]]=_xlfn.AGGREGATE(14,6,(tbl_Case_mins[Rank])/((tbl_Case_mins[Surgery Start Date]=tbl_Case_mins[[#This Row],[Surgery Start Date]])*(tbl_Case_mins[Theatre]=tbl_Case_mins[[#This Row],[Theatre]])*(tbl_Case_mins[AmCase]=1)),1)),1,0),0)</f>
        <v>0</v>
      </c>
      <c r="CR56" s="9" cm="1">
        <f t="array" ref="CR5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6" s="9" t="e" cm="1">
        <f t="array" ref="CS5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6" s="9" cm="1">
        <f t="array" ref="CT56">IFERROR(IF(tbl_Case_mins[[#This Row],[Rank]]=_xlfn.AGGREGATE(15,6,(tbl_Case_mins[Rank])/((tbl_Case_mins[Surgery Start Date]=tbl_Case_mins[[#This Row],[Surgery Start Date]])*(tbl_Case_mins[Theatre]=tbl_Case_mins[[#This Row],[Theatre]])*(tbl_Case_mins[PmCase]=1)),1),1,0),0)</f>
        <v>0</v>
      </c>
      <c r="CU56">
        <f>IFERROR(#REF!,0)</f>
        <v>0</v>
      </c>
      <c r="CV56" s="9" t="e" cm="1">
        <f t="array" ref="CV5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6" s="9">
        <f>IFERROR(IF(ISBLANK(INDEX(Bay_AmClose,MATCH(1,INDEX((tbl_Case_mins[[#This Row],[Bay]]=BayNo)*(tbl_Case_mins[[#This Row],[Surgery Start Date]]=BDate),0,1),0))*1440),0,INDEX(Bay_AmClose,MATCH(1,INDEX((tbl_Case_mins[[#This Row],[Bay]]=BayNo)*(tbl_Case_mins[[#This Row],[Surgery Start Date]]=BDate),0,1),0))*1440),0)</f>
        <v>0</v>
      </c>
      <c r="CX56" s="9" cm="1">
        <f t="array" ref="CX56">IFERROR(IF(ISBLANK(INDEX(Bay_PmOpen,MATCH(1,INDEX((tbl_Case_mins[[#This Row],[Bay]]=BayNo)*(tbl_Case_mins[[#This Row],[Surgery Start Date]]=BDate),0,1),0))*1440),0,INDEX(Bay_PmOpen,MATCH(1,INDEX((tbl_Case_mins[[#This Row],[Bay]]=BayNo)*(tbl_Case_mins[[#This Row],[Surgery Start Date]]=BDate),0,1),0))*1440),0)</f>
        <v>0</v>
      </c>
      <c r="CY5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6" s="9"/>
    </row>
    <row r="57" spans="1:104" x14ac:dyDescent="0.2">
      <c r="A57">
        <v>56</v>
      </c>
      <c r="B57" t="e">
        <f>#REF!</f>
        <v>#REF!</v>
      </c>
      <c r="C57" t="e">
        <f>#REF!</f>
        <v>#REF!</v>
      </c>
      <c r="D57" t="e">
        <f>#REF!</f>
        <v>#REF!</v>
      </c>
      <c r="E57" t="e">
        <f>#REF!</f>
        <v>#REF!</v>
      </c>
      <c r="F57" t="e">
        <f>#REF!</f>
        <v>#REF!</v>
      </c>
      <c r="G57" t="e">
        <f>#REF!</f>
        <v>#REF!</v>
      </c>
      <c r="H57" t="e">
        <f>#REF!</f>
        <v>#REF!</v>
      </c>
      <c r="I57" t="e">
        <f>IF(#REF!="Case Cancelled",1,IF(#REF!="No Cases",2,0))</f>
        <v>#REF!</v>
      </c>
      <c r="J57" t="e">
        <f>#REF!</f>
        <v>#REF!</v>
      </c>
      <c r="K57" s="4" t="e">
        <f>#REF!</f>
        <v>#REF!</v>
      </c>
      <c r="L57" t="e">
        <f>"Wk "&amp;WEEKNUM(tbl_Case_mins[[#This Row],[Surgery Start Date]],21)</f>
        <v>#REF!</v>
      </c>
      <c r="M57" t="e">
        <f>TEXT(tbl_Case_mins[[#This Row],[Surgery Start Date]],"ddd")</f>
        <v>#REF!</v>
      </c>
      <c r="N57" s="9" t="e">
        <f>(#REF!-TIME(0,0,0))*1440</f>
        <v>#REF!</v>
      </c>
      <c r="O57" t="e">
        <f>IF(AND(ROUND((#REF!-TIME(0,0,0))*1440,0)&gt;0,ROUND((#REF!-TIME(0,0,0))*1440,0)&lt;tbl_Case_mins[[#This Row],[Patient Called]],tbl_Case_mins[[#This Row],[Surgery End Date]]&gt;tbl_Case_mins[[#This Row],[Surgery Start Date]]),ROUND((#REF!-TIME(0,0,0))*1440,0)+1440,ROUND((#REF!-TIME(0,0,0))*1440,0))</f>
        <v>#REF!</v>
      </c>
      <c r="P57" s="9" t="e">
        <f>IF(AND(ROUND((#REF!-TIME(0,0,0))*1440,0)&gt;0,ROUND((#REF!-TIME(0,0,0))*1440,0)&lt;tbl_Case_mins[[#This Row],[Arrival]],tbl_Case_mins[[#This Row],[Surgery End Date]]&gt;tbl_Case_mins[[#This Row],[Surgery Start Date]]),ROUND((#REF!-TIME(0,0,0))*1440,0)+1440,ROUND((#REF!-TIME(0,0,0))*1440,0))</f>
        <v>#REF!</v>
      </c>
      <c r="Q57" s="9" t="e">
        <f>IF(AND(ROUND((#REF!-TIME(0,0,0))*1440,0)&gt;0,ROUND((#REF!-TIME(0,0,0))*1440,0)&lt;tbl_Case_mins[[#This Row],[Into Th or AR]],tbl_Case_mins[[#This Row],[Surgery End Date]]&gt;tbl_Case_mins[[#This Row],[Surgery Start Date]]),ROUND((#REF!-TIME(0,0,0))*1440,0)+1440,ROUND((#REF!-TIME(0,0,0))*1440,0))</f>
        <v>#REF!</v>
      </c>
      <c r="R57" s="9" t="e">
        <f>IF(AND(ROUND((#REF!-TIME(0,0,0))*1440,0)&gt;0,ROUND((#REF!-TIME(0,0,0))*1440,0)&lt;tbl_Case_mins[[#This Row],[AnaesthStart]],tbl_Case_mins[[#This Row],[Surgery End Date]]&gt;tbl_Case_mins[[#This Row],[Surgery Start Date]]),ROUND((#REF!-TIME(0,0,0))*1440,0)+1440,ROUND((#REF!-TIME(0,0,0))*1440,0))</f>
        <v>#REF!</v>
      </c>
      <c r="S57" s="9" t="e">
        <f>IF(AND(ROUND((#REF!-TIME(0,0,0))*1440,0),ROUND((#REF!-TIME(0,0,0))*1440,0)&lt;tbl_Case_mins[[#This Row],[Surgery Start]],tbl_Case_mins[[#This Row],[Surgery End Date]]&gt;tbl_Case_mins[[#This Row],[Surgery Start Date]]),ROUND((#REF!-TIME(0,0,0))*1440,0)+1440,ROUND((#REF!-TIME(0,0,0))*1440,0))</f>
        <v>#REF!</v>
      </c>
      <c r="T57" s="9" t="e">
        <f>IF(AND(ROUND((#REF!-TIME(0,0,0))*1440,0)&gt;0,ROUND((#REF!-TIME(0,0,0))*1440,0)&lt;tbl_Case_mins[[#This Row],[Surgery Finish]],tbl_Case_mins[[#This Row],[Surgery End Date]]&gt;tbl_Case_mins[[#This Row],[Surgery Start Date]]),ROUND((#REF!-TIME(0,0,0))*1440,0)+1440,ROUND((#REF!-TIME(0,0,0))*1440,0))</f>
        <v>#REF!</v>
      </c>
      <c r="U57" s="9" t="e">
        <f>IF(AND(ROUND((#REF!-TIME(0,0,0))*1440,0)&gt;0,ROUND((#REF!-TIME(0,0,0))*1440,0)&lt;tbl_Case_mins[[#This Row],[Anaesth End]],tbl_Case_mins[[#This Row],[Surgery End Date]]&gt;tbl_Case_mins[[#This Row],[Surgery Start Date]]),ROUND((#REF!-TIME(0,0,0))*1440,0)+1440,ROUND((#REF!-TIME(0,0,0))*1440,0))</f>
        <v>#REF!</v>
      </c>
      <c r="V57" s="9" t="e">
        <f>IF(AND(ROUND((#REF!-TIME(0,0,0))*1440,0)&gt;0,ROUND((#REF!-TIME(0,0,0))*1440,0)&lt;tbl_Case_mins[[#This Row],[Into Recov]],tbl_Case_mins[[#This Row],[Surgery End Date]]&gt;tbl_Case_mins[[#This Row],[Surgery Start Date]]),ROUND((#REF!-TIME(0,0,0))*1440,0)+1440,ROUND((#REF!-TIME(0,0,0))*1440,0))</f>
        <v>#REF!</v>
      </c>
      <c r="W57" s="9" t="e">
        <f>IF(AND(ROUND((#REF!-TIME(0,0,0))*1440,0)&gt;0,ROUND((#REF!-TIME(0,0,0))*1440,0)&lt;tbl_Case_mins[[#This Row],[Ward Called]],tbl_Case_mins[[#This Row],[Surgery End Date]]&gt;tbl_Case_mins[[#This Row],[Surgery Start Date]]),ROUND((#REF!-TIME(0,0,0))*1440,0)+1440,ROUND((#REF!-TIME(0,0,0))*1440,0))</f>
        <v>#REF!</v>
      </c>
      <c r="X57" s="4" t="e">
        <f>IF(ISBLANK(#REF!),tbl_Case_mins[[#This Row],[Surgery Start Date]],#REF!)</f>
        <v>#REF!</v>
      </c>
      <c r="Y57">
        <f>IFERROR(IF(VLOOKUP(tbl_Case_mins[[#This Row],[Theatre]],'Mng Theatres'!$C$7:$G$12,3,FALSE)="Yes","Yes","No"),0)</f>
        <v>0</v>
      </c>
      <c r="Z57" s="9" t="e" cm="1">
        <f t="array" ref="Z5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7" s="9" t="e" cm="1">
        <f t="array" ref="AA5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7" s="9" t="e">
        <f>IF(tbl_Case_mins[[#This Row],[Case Type]]="Unsch",1,0)</f>
        <v>#REF!</v>
      </c>
      <c r="AD57" s="9" t="e">
        <f>IF(tbl_Case_mins[[#This Row],[Case Type]]="Sch",1,0)</f>
        <v>#REF!</v>
      </c>
      <c r="AE5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7" s="9">
        <f>IFERROR(IF(ISBLANK(INDEX(Am_Close,MATCH(1,INDEX((tbl_Case_mins[[#This Row],[Theatre]]=Theatre_No)*(tbl_Case_mins[[#This Row],[Surgery Start Date]]=Date),0,1),0))*1440),0,INDEX(Am_Close,MATCH(1,INDEX((tbl_Case_mins[[#This Row],[Theatre]]=Theatre_No)*(tbl_Case_mins[[#This Row],[Surgery Start Date]]=Date),0,1),0))*1440),0)</f>
        <v>0</v>
      </c>
      <c r="AG57" s="9">
        <f>IFERROR(IF(ISBLANK(INDEX(PM_Open,MATCH(1,INDEX((tbl_Case_mins[[#This Row],[Theatre]]=Theatre_No)*(tbl_Case_mins[[#This Row],[Surgery Start Date]]=Date),0,1),0))*1440),0,INDEX(PM_Open,MATCH(1,INDEX((tbl_Case_mins[[#This Row],[Theatre]]=Theatre_No)*(tbl_Case_mins[[#This Row],[Surgery Start Date]]=Date),0,1),0))*1440),0)</f>
        <v>0</v>
      </c>
      <c r="AH5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7" s="9" t="e">
        <f>IF(tbl_Case_mins[[#This Row],[ThOpenAm]]=0,tbl_Case_mins[[#This Row],[ThOpenPM]],tbl_Case_mins[[#This Row],[ThOpenAm]])</f>
        <v>#REF!</v>
      </c>
      <c r="AJ57" s="9" t="e">
        <f>IF(tbl_Case_mins[[#This Row],[ThCloseAm]]&gt;0,IF(tbl_Case_mins[[#This Row],[ThOpenPM]]&gt;0,tbl_Case_mins[[#This Row],[ThClosePm]],tbl_Case_mins[[#This Row],[ThCloseAm]]),tbl_Case_mins[[#This Row],[ThClosePm]])</f>
        <v>#REF!</v>
      </c>
      <c r="AK57" s="9" t="e">
        <f>IF(tbl_Case_mins[[#This Row],[TOT]]&gt;0,1,0)</f>
        <v>#REF!</v>
      </c>
      <c r="AL5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7" s="9" t="e">
        <f>IF(AND(tbl_Case_mins[[#This Row],[Surgery Status]]&lt;&gt;2,tbl_Case_mins[[#This Row],[InCoreCase]]=0,tbl_Case_mins[[#This Row],[CancelledCase]]=0),1,0)</f>
        <v>#REF!</v>
      </c>
      <c r="AN57" s="9" t="e">
        <f>IF(tbl_Case_mins[[#This Row],[Surgery Status]]=1,1,0)</f>
        <v>#REF!</v>
      </c>
      <c r="AO5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7" s="9" t="e">
        <f>IF(AND(tbl_Case_mins[[#This Row],[NonCoreCase]]=1,tbl_Case_mins[[#This Row],[NoInCoreTime]]=0),1,0)</f>
        <v>#REF!</v>
      </c>
      <c r="AQ57" s="9" t="e">
        <f>IF(tbl_Case_mins[[#This Row],[Rank_AnaEnd]]&lt;tbl_Case_mins[[#This Row],[Rank_AnaSt]],1,0)</f>
        <v>#REF!</v>
      </c>
      <c r="AR57" s="9" t="e">
        <f>IF(AND(tbl_Case_mins[[#This Row],[InCoreCase]]=1,tbl_Case_mins[[#This Row],[Sch]]=1),1,0)</f>
        <v>#REF!</v>
      </c>
      <c r="AS57" s="9" t="e">
        <f>IF(AND(tbl_Case_mins[[#This Row],[InCoreCase]]=1,tbl_Case_mins[[#This Row],[Unsch]]=1),1,0)</f>
        <v>#REF!</v>
      </c>
      <c r="AT5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7" s="9" t="e">
        <f>IF(tbl_Case_mins[[#This Row],[Surgery Status]]=0,(tbl_Case_mins[[#This Row],[Anaesth End]]-tbl_Case_mins[[#This Row],[AnaesthStart]]),0)</f>
        <v>#REF!</v>
      </c>
      <c r="AX57" s="9" t="e">
        <f>IF(tbl_Case_mins[[#This Row],[Surgery Status]]=0,(tbl_Case_mins[[#This Row],[Surgery Finish]]-tbl_Case_mins[[#This Row],[Surgery Start]]),0)</f>
        <v>#REF!</v>
      </c>
      <c r="AY57" s="9" t="e">
        <f>tbl_Case_mins[[#This Row],[Surgery Start]]-tbl_Case_mins[[#This Row],[AnaesthStart]]</f>
        <v>#REF!</v>
      </c>
      <c r="AZ57" s="9" t="e">
        <f>tbl_Case_mins[[#This Row],[Anaesth End]]-tbl_Case_mins[[#This Row],[Surgery Finish]]</f>
        <v>#REF!</v>
      </c>
      <c r="BA5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7" s="16" cm="1">
        <f t="array" ref="BC5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7" s="16" t="e">
        <f>IF(AND(tbl_Case_mins[[#This Row],[FirstAMCase]]=1,tbl_Case_mins[[#This Row],[CancelledCase]]=0,OR(tbl_Case_mins[[#This Row],[EarlyStartAM]]&gt;0,tbl_Case_mins[[#This Row],[AnaesthStart]]=tbl_Case_mins[[#This Row],[ThOpenAm]])),1,0)</f>
        <v>#REF!</v>
      </c>
      <c r="BE57" s="16" t="e">
        <f>IF(AND(tbl_Case_mins[[#This Row],[Rank_AnaSt]]=tbl_Case_mins[[#This Row],[Min_RankAnaSt]],tbl_Case_mins[[#This Row],[Anaesth End]]&gt;=tbl_Case_mins[[#This Row],[ThOpenAm]],tbl_Case_mins[[#This Row],[PmCase]]=0),1,0)</f>
        <v>#REF!</v>
      </c>
      <c r="BF5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7" s="9" t="e" cm="1">
        <f t="array" ref="BH5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7" s="9" t="e">
        <f>IF(AND(tbl_Case_mins[[#This Row],[ThOpenPM]]&gt;0,tbl_Case_mins[[#This Row],[AnaesthStart]]&gt;tbl_Case_mins[[#This Row],[ThOpenPM]],tbl_Case_mins[[#This Row],[First PM Case]]=1),tbl_Case_mins[[#This Row],[AnaesthStart]]-tbl_Case_mins[[#This Row],[ThOpenPM]],0)</f>
        <v>#REF!</v>
      </c>
      <c r="BL5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7" s="9" t="e" cm="1">
        <f t="array" ref="BN5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7" s="9" t="e">
        <f>IF(AND(tbl_Case_mins[[#This Row],[ThClosePm]]&gt;0,tbl_Case_mins[[#This Row],[Anaesth End]]&gt;tbl_Case_mins[[#This Row],[ThClosePm]],tbl_Case_mins[[#This Row],[AnaesthStart]]&gt;tbl_Case_mins[[#This Row],[ThClosePm]]),tbl_Case_mins[[#This Row],[Into Recov]]-tbl_Case_mins[[#This Row],[AnaesthStart]],0)</f>
        <v>#REF!</v>
      </c>
      <c r="BP57" s="9" t="e">
        <f>IF(AND(tbl_Case_mins[[#This Row],[AnaesthStart]]&lt;tbl_Case_mins[[#This Row],[ThClosePm]],tbl_Case_mins[[#This Row],[Anaesth End]]&gt;tbl_Case_mins[[#This Row],[ThClosePm]]),tbl_Case_mins[[#This Row],[Anaesth End]]-tbl_Case_mins[[#This Row],[ThClosePm]],0)</f>
        <v>#REF!</v>
      </c>
      <c r="BQ57" s="9" t="e" cm="1">
        <f t="array" ref="BQ5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7" s="9" t="e" cm="1">
        <f t="array" ref="BR57">IF(tbl_Case_mins[[#This Row],[Rank_Adjust]]=SUMPRODUCT(-(tbl_Case_mins[Surgery Start Date]=tbl_Case_mins[[#This Row],[Surgery Start Date]]),-(tbl_Case_mins[Theatre]=tbl_Case_mins[[#This Row],[Theatre]])),INDEX(Poss_Time,MATCH(TEXT(tbl_Case_mins[[#This Row],[Surgery Start Date]],"ddd"),Day,0)),0)</f>
        <v>#REF!</v>
      </c>
      <c r="BS57" s="9" t="e">
        <f>tbl_Case_mins[[#This Row],[Core_Time]]*Util_Goal</f>
        <v>#REF!</v>
      </c>
      <c r="BT57" s="9" t="e" cm="1">
        <f t="array" ref="BT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7" s="9" t="e" cm="1">
        <f t="array" ref="BU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7" s="9" t="e">
        <f>IF(tbl_Case_mins[[#This Row],[Surgery End Date]]&gt;tbl_Case_mins[[#This Row],[Surgery Start Date]],tbl_Case_mins[[#This Row],[Anaesth End]]-1440,0)</f>
        <v>#REF!</v>
      </c>
      <c r="BY57" s="9" t="e">
        <f>tbl_Case_mins[[#This Row],[Total_NonCore]]-tbl_Case_mins[[#This Row],[NextDay_NonCore]]</f>
        <v>#REF!</v>
      </c>
      <c r="BZ57" s="10" t="e">
        <f>tbl_Case_mins[[#This Row],[InCoreUse]]/60</f>
        <v>#REF!</v>
      </c>
      <c r="CA57" s="10" t="e">
        <f>tbl_Case_mins[[#This Row],[Total_NonCore]]/60</f>
        <v>#REF!</v>
      </c>
      <c r="CB57" t="e" cm="1">
        <f t="array" ref="CB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7" s="9" t="e" cm="1">
        <f t="array" ref="CC5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7" s="9" t="e" cm="1">
        <f t="array" ref="CD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7" s="9" t="e" cm="1">
        <f t="array" ref="CE5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7" s="9" cm="1">
        <f t="array" ref="CF57">IFERROR(_xlfn.AGGREGATE(14,6,(tbl_Case_mins[Rank_AnaEnd])/((tbl_Case_mins[Surgery Start Date]=tbl_Case_mins[[#This Row],[Surgery Start Date]])*(tbl_Case_mins[Theatre]=tbl_Case_mins[[#This Row],[Theatre]])*(tbl_Case_mins[NoInCoreTime]=0)),1),-1)</f>
        <v>-1</v>
      </c>
      <c r="CG57" s="9" cm="1">
        <f t="array" ref="CG57">IFERROR(_xlfn.AGGREGATE(15,6,(tbl_Case_mins[Rank_AnaSt])/((tbl_Case_mins[Surgery Start Date]=tbl_Case_mins[[#This Row],[Surgery Start Date]])*(tbl_Case_mins[Theatre]=tbl_Case_mins[[#This Row],[Theatre]])*(tbl_Case_mins[NoInCoreTime]=0)),1),-1)</f>
        <v>-1</v>
      </c>
      <c r="CH5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7" t="e" cm="1">
        <f t="array" ref="CJ5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7" s="9" cm="1">
        <f t="array" ref="CO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7" s="9" cm="1">
        <f t="array" ref="CP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7" s="9" cm="1">
        <f t="array" ref="CQ57">IFERROR(IF(AND(tbl_Case_mins[[#This Row],[FirstAMCase]]=0,tbl_Case_mins[[#This Row],[Rank]]=_xlfn.AGGREGATE(14,6,(tbl_Case_mins[Rank])/((tbl_Case_mins[Surgery Start Date]=tbl_Case_mins[[#This Row],[Surgery Start Date]])*(tbl_Case_mins[Theatre]=tbl_Case_mins[[#This Row],[Theatre]])*(tbl_Case_mins[AmCase]=1)),1)),1,0),0)</f>
        <v>0</v>
      </c>
      <c r="CR57" s="9" cm="1">
        <f t="array" ref="CR5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7" s="9" t="e" cm="1">
        <f t="array" ref="CS5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7" s="9" cm="1">
        <f t="array" ref="CT57">IFERROR(IF(tbl_Case_mins[[#This Row],[Rank]]=_xlfn.AGGREGATE(15,6,(tbl_Case_mins[Rank])/((tbl_Case_mins[Surgery Start Date]=tbl_Case_mins[[#This Row],[Surgery Start Date]])*(tbl_Case_mins[Theatre]=tbl_Case_mins[[#This Row],[Theatre]])*(tbl_Case_mins[PmCase]=1)),1),1,0),0)</f>
        <v>0</v>
      </c>
      <c r="CU57">
        <f>IFERROR(#REF!,0)</f>
        <v>0</v>
      </c>
      <c r="CV57" s="9" t="e" cm="1">
        <f t="array" ref="CV5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7" s="9">
        <f>IFERROR(IF(ISBLANK(INDEX(Bay_AmClose,MATCH(1,INDEX((tbl_Case_mins[[#This Row],[Bay]]=BayNo)*(tbl_Case_mins[[#This Row],[Surgery Start Date]]=BDate),0,1),0))*1440),0,INDEX(Bay_AmClose,MATCH(1,INDEX((tbl_Case_mins[[#This Row],[Bay]]=BayNo)*(tbl_Case_mins[[#This Row],[Surgery Start Date]]=BDate),0,1),0))*1440),0)</f>
        <v>0</v>
      </c>
      <c r="CX57" s="9" cm="1">
        <f t="array" ref="CX57">IFERROR(IF(ISBLANK(INDEX(Bay_PmOpen,MATCH(1,INDEX((tbl_Case_mins[[#This Row],[Bay]]=BayNo)*(tbl_Case_mins[[#This Row],[Surgery Start Date]]=BDate),0,1),0))*1440),0,INDEX(Bay_PmOpen,MATCH(1,INDEX((tbl_Case_mins[[#This Row],[Bay]]=BayNo)*(tbl_Case_mins[[#This Row],[Surgery Start Date]]=BDate),0,1),0))*1440),0)</f>
        <v>0</v>
      </c>
      <c r="CY5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7" s="9"/>
    </row>
    <row r="58" spans="1:104" x14ac:dyDescent="0.2">
      <c r="A58">
        <v>57</v>
      </c>
      <c r="B58" t="e">
        <f>#REF!</f>
        <v>#REF!</v>
      </c>
      <c r="C58" t="e">
        <f>#REF!</f>
        <v>#REF!</v>
      </c>
      <c r="D58" t="e">
        <f>#REF!</f>
        <v>#REF!</v>
      </c>
      <c r="E58" t="e">
        <f>#REF!</f>
        <v>#REF!</v>
      </c>
      <c r="F58" t="e">
        <f>#REF!</f>
        <v>#REF!</v>
      </c>
      <c r="G58" t="e">
        <f>#REF!</f>
        <v>#REF!</v>
      </c>
      <c r="H58" t="e">
        <f>#REF!</f>
        <v>#REF!</v>
      </c>
      <c r="I58" t="e">
        <f>IF(#REF!="Case Cancelled",1,IF(#REF!="No Cases",2,0))</f>
        <v>#REF!</v>
      </c>
      <c r="J58" t="e">
        <f>#REF!</f>
        <v>#REF!</v>
      </c>
      <c r="K58" s="4" t="e">
        <f>#REF!</f>
        <v>#REF!</v>
      </c>
      <c r="L58" t="e">
        <f>"Wk "&amp;WEEKNUM(tbl_Case_mins[[#This Row],[Surgery Start Date]],21)</f>
        <v>#REF!</v>
      </c>
      <c r="M58" t="e">
        <f>TEXT(tbl_Case_mins[[#This Row],[Surgery Start Date]],"ddd")</f>
        <v>#REF!</v>
      </c>
      <c r="N58" s="9" t="e">
        <f>(#REF!-TIME(0,0,0))*1440</f>
        <v>#REF!</v>
      </c>
      <c r="O58" t="e">
        <f>IF(AND(ROUND((#REF!-TIME(0,0,0))*1440,0)&gt;0,ROUND((#REF!-TIME(0,0,0))*1440,0)&lt;tbl_Case_mins[[#This Row],[Patient Called]],tbl_Case_mins[[#This Row],[Surgery End Date]]&gt;tbl_Case_mins[[#This Row],[Surgery Start Date]]),ROUND((#REF!-TIME(0,0,0))*1440,0)+1440,ROUND((#REF!-TIME(0,0,0))*1440,0))</f>
        <v>#REF!</v>
      </c>
      <c r="P58" s="9" t="e">
        <f>IF(AND(ROUND((#REF!-TIME(0,0,0))*1440,0)&gt;0,ROUND((#REF!-TIME(0,0,0))*1440,0)&lt;tbl_Case_mins[[#This Row],[Arrival]],tbl_Case_mins[[#This Row],[Surgery End Date]]&gt;tbl_Case_mins[[#This Row],[Surgery Start Date]]),ROUND((#REF!-TIME(0,0,0))*1440,0)+1440,ROUND((#REF!-TIME(0,0,0))*1440,0))</f>
        <v>#REF!</v>
      </c>
      <c r="Q58" s="9" t="e">
        <f>IF(AND(ROUND((#REF!-TIME(0,0,0))*1440,0)&gt;0,ROUND((#REF!-TIME(0,0,0))*1440,0)&lt;tbl_Case_mins[[#This Row],[Into Th or AR]],tbl_Case_mins[[#This Row],[Surgery End Date]]&gt;tbl_Case_mins[[#This Row],[Surgery Start Date]]),ROUND((#REF!-TIME(0,0,0))*1440,0)+1440,ROUND((#REF!-TIME(0,0,0))*1440,0))</f>
        <v>#REF!</v>
      </c>
      <c r="R58" s="9" t="e">
        <f>IF(AND(ROUND((#REF!-TIME(0,0,0))*1440,0)&gt;0,ROUND((#REF!-TIME(0,0,0))*1440,0)&lt;tbl_Case_mins[[#This Row],[AnaesthStart]],tbl_Case_mins[[#This Row],[Surgery End Date]]&gt;tbl_Case_mins[[#This Row],[Surgery Start Date]]),ROUND((#REF!-TIME(0,0,0))*1440,0)+1440,ROUND((#REF!-TIME(0,0,0))*1440,0))</f>
        <v>#REF!</v>
      </c>
      <c r="S58" s="9" t="e">
        <f>IF(AND(ROUND((#REF!-TIME(0,0,0))*1440,0),ROUND((#REF!-TIME(0,0,0))*1440,0)&lt;tbl_Case_mins[[#This Row],[Surgery Start]],tbl_Case_mins[[#This Row],[Surgery End Date]]&gt;tbl_Case_mins[[#This Row],[Surgery Start Date]]),ROUND((#REF!-TIME(0,0,0))*1440,0)+1440,ROUND((#REF!-TIME(0,0,0))*1440,0))</f>
        <v>#REF!</v>
      </c>
      <c r="T58" s="9" t="e">
        <f>IF(AND(ROUND((#REF!-TIME(0,0,0))*1440,0)&gt;0,ROUND((#REF!-TIME(0,0,0))*1440,0)&lt;tbl_Case_mins[[#This Row],[Surgery Finish]],tbl_Case_mins[[#This Row],[Surgery End Date]]&gt;tbl_Case_mins[[#This Row],[Surgery Start Date]]),ROUND((#REF!-TIME(0,0,0))*1440,0)+1440,ROUND((#REF!-TIME(0,0,0))*1440,0))</f>
        <v>#REF!</v>
      </c>
      <c r="U58" s="9" t="e">
        <f>IF(AND(ROUND((#REF!-TIME(0,0,0))*1440,0)&gt;0,ROUND((#REF!-TIME(0,0,0))*1440,0)&lt;tbl_Case_mins[[#This Row],[Anaesth End]],tbl_Case_mins[[#This Row],[Surgery End Date]]&gt;tbl_Case_mins[[#This Row],[Surgery Start Date]]),ROUND((#REF!-TIME(0,0,0))*1440,0)+1440,ROUND((#REF!-TIME(0,0,0))*1440,0))</f>
        <v>#REF!</v>
      </c>
      <c r="V58" s="9" t="e">
        <f>IF(AND(ROUND((#REF!-TIME(0,0,0))*1440,0)&gt;0,ROUND((#REF!-TIME(0,0,0))*1440,0)&lt;tbl_Case_mins[[#This Row],[Into Recov]],tbl_Case_mins[[#This Row],[Surgery End Date]]&gt;tbl_Case_mins[[#This Row],[Surgery Start Date]]),ROUND((#REF!-TIME(0,0,0))*1440,0)+1440,ROUND((#REF!-TIME(0,0,0))*1440,0))</f>
        <v>#REF!</v>
      </c>
      <c r="W58" s="9" t="e">
        <f>IF(AND(ROUND((#REF!-TIME(0,0,0))*1440,0)&gt;0,ROUND((#REF!-TIME(0,0,0))*1440,0)&lt;tbl_Case_mins[[#This Row],[Ward Called]],tbl_Case_mins[[#This Row],[Surgery End Date]]&gt;tbl_Case_mins[[#This Row],[Surgery Start Date]]),ROUND((#REF!-TIME(0,0,0))*1440,0)+1440,ROUND((#REF!-TIME(0,0,0))*1440,0))</f>
        <v>#REF!</v>
      </c>
      <c r="X58" s="4" t="e">
        <f>IF(ISBLANK(#REF!),tbl_Case_mins[[#This Row],[Surgery Start Date]],#REF!)</f>
        <v>#REF!</v>
      </c>
      <c r="Y58">
        <f>IFERROR(IF(VLOOKUP(tbl_Case_mins[[#This Row],[Theatre]],'Mng Theatres'!$C$7:$G$12,3,FALSE)="Yes","Yes","No"),0)</f>
        <v>0</v>
      </c>
      <c r="Z58" s="9" t="e" cm="1">
        <f t="array" ref="Z5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8" s="9" t="e" cm="1">
        <f t="array" ref="AA5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8" s="9" t="e">
        <f>IF(tbl_Case_mins[[#This Row],[Case Type]]="Unsch",1,0)</f>
        <v>#REF!</v>
      </c>
      <c r="AD58" s="9" t="e">
        <f>IF(tbl_Case_mins[[#This Row],[Case Type]]="Sch",1,0)</f>
        <v>#REF!</v>
      </c>
      <c r="AE5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8" s="9">
        <f>IFERROR(IF(ISBLANK(INDEX(Am_Close,MATCH(1,INDEX((tbl_Case_mins[[#This Row],[Theatre]]=Theatre_No)*(tbl_Case_mins[[#This Row],[Surgery Start Date]]=Date),0,1),0))*1440),0,INDEX(Am_Close,MATCH(1,INDEX((tbl_Case_mins[[#This Row],[Theatre]]=Theatre_No)*(tbl_Case_mins[[#This Row],[Surgery Start Date]]=Date),0,1),0))*1440),0)</f>
        <v>0</v>
      </c>
      <c r="AG58" s="9">
        <f>IFERROR(IF(ISBLANK(INDEX(PM_Open,MATCH(1,INDEX((tbl_Case_mins[[#This Row],[Theatre]]=Theatre_No)*(tbl_Case_mins[[#This Row],[Surgery Start Date]]=Date),0,1),0))*1440),0,INDEX(PM_Open,MATCH(1,INDEX((tbl_Case_mins[[#This Row],[Theatre]]=Theatre_No)*(tbl_Case_mins[[#This Row],[Surgery Start Date]]=Date),0,1),0))*1440),0)</f>
        <v>0</v>
      </c>
      <c r="AH5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8" s="9" t="e">
        <f>IF(tbl_Case_mins[[#This Row],[ThOpenAm]]=0,tbl_Case_mins[[#This Row],[ThOpenPM]],tbl_Case_mins[[#This Row],[ThOpenAm]])</f>
        <v>#REF!</v>
      </c>
      <c r="AJ58" s="9" t="e">
        <f>IF(tbl_Case_mins[[#This Row],[ThCloseAm]]&gt;0,IF(tbl_Case_mins[[#This Row],[ThOpenPM]]&gt;0,tbl_Case_mins[[#This Row],[ThClosePm]],tbl_Case_mins[[#This Row],[ThCloseAm]]),tbl_Case_mins[[#This Row],[ThClosePm]])</f>
        <v>#REF!</v>
      </c>
      <c r="AK58" s="9" t="e">
        <f>IF(tbl_Case_mins[[#This Row],[TOT]]&gt;0,1,0)</f>
        <v>#REF!</v>
      </c>
      <c r="AL5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8" s="9" t="e">
        <f>IF(AND(tbl_Case_mins[[#This Row],[Surgery Status]]&lt;&gt;2,tbl_Case_mins[[#This Row],[InCoreCase]]=0,tbl_Case_mins[[#This Row],[CancelledCase]]=0),1,0)</f>
        <v>#REF!</v>
      </c>
      <c r="AN58" s="9" t="e">
        <f>IF(tbl_Case_mins[[#This Row],[Surgery Status]]=1,1,0)</f>
        <v>#REF!</v>
      </c>
      <c r="AO5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8" s="9" t="e">
        <f>IF(AND(tbl_Case_mins[[#This Row],[NonCoreCase]]=1,tbl_Case_mins[[#This Row],[NoInCoreTime]]=0),1,0)</f>
        <v>#REF!</v>
      </c>
      <c r="AQ58" s="9" t="e">
        <f>IF(tbl_Case_mins[[#This Row],[Rank_AnaEnd]]&lt;tbl_Case_mins[[#This Row],[Rank_AnaSt]],1,0)</f>
        <v>#REF!</v>
      </c>
      <c r="AR58" s="9" t="e">
        <f>IF(AND(tbl_Case_mins[[#This Row],[InCoreCase]]=1,tbl_Case_mins[[#This Row],[Sch]]=1),1,0)</f>
        <v>#REF!</v>
      </c>
      <c r="AS58" s="9" t="e">
        <f>IF(AND(tbl_Case_mins[[#This Row],[InCoreCase]]=1,tbl_Case_mins[[#This Row],[Unsch]]=1),1,0)</f>
        <v>#REF!</v>
      </c>
      <c r="AT5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8" s="9" t="e">
        <f>IF(tbl_Case_mins[[#This Row],[Surgery Status]]=0,(tbl_Case_mins[[#This Row],[Anaesth End]]-tbl_Case_mins[[#This Row],[AnaesthStart]]),0)</f>
        <v>#REF!</v>
      </c>
      <c r="AX58" s="9" t="e">
        <f>IF(tbl_Case_mins[[#This Row],[Surgery Status]]=0,(tbl_Case_mins[[#This Row],[Surgery Finish]]-tbl_Case_mins[[#This Row],[Surgery Start]]),0)</f>
        <v>#REF!</v>
      </c>
      <c r="AY58" s="9" t="e">
        <f>tbl_Case_mins[[#This Row],[Surgery Start]]-tbl_Case_mins[[#This Row],[AnaesthStart]]</f>
        <v>#REF!</v>
      </c>
      <c r="AZ58" s="9" t="e">
        <f>tbl_Case_mins[[#This Row],[Anaesth End]]-tbl_Case_mins[[#This Row],[Surgery Finish]]</f>
        <v>#REF!</v>
      </c>
      <c r="BA5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8" s="16" cm="1">
        <f t="array" ref="BC5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8" s="16" t="e">
        <f>IF(AND(tbl_Case_mins[[#This Row],[FirstAMCase]]=1,tbl_Case_mins[[#This Row],[CancelledCase]]=0,OR(tbl_Case_mins[[#This Row],[EarlyStartAM]]&gt;0,tbl_Case_mins[[#This Row],[AnaesthStart]]=tbl_Case_mins[[#This Row],[ThOpenAm]])),1,0)</f>
        <v>#REF!</v>
      </c>
      <c r="BE58" s="16" t="e">
        <f>IF(AND(tbl_Case_mins[[#This Row],[Rank_AnaSt]]=tbl_Case_mins[[#This Row],[Min_RankAnaSt]],tbl_Case_mins[[#This Row],[Anaesth End]]&gt;=tbl_Case_mins[[#This Row],[ThOpenAm]],tbl_Case_mins[[#This Row],[PmCase]]=0),1,0)</f>
        <v>#REF!</v>
      </c>
      <c r="BF5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8" s="9" t="e" cm="1">
        <f t="array" ref="BH5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8" s="9" t="e">
        <f>IF(AND(tbl_Case_mins[[#This Row],[ThOpenPM]]&gt;0,tbl_Case_mins[[#This Row],[AnaesthStart]]&gt;tbl_Case_mins[[#This Row],[ThOpenPM]],tbl_Case_mins[[#This Row],[First PM Case]]=1),tbl_Case_mins[[#This Row],[AnaesthStart]]-tbl_Case_mins[[#This Row],[ThOpenPM]],0)</f>
        <v>#REF!</v>
      </c>
      <c r="BL5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8" s="9" t="e" cm="1">
        <f t="array" ref="BN5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8" s="9" t="e">
        <f>IF(AND(tbl_Case_mins[[#This Row],[ThClosePm]]&gt;0,tbl_Case_mins[[#This Row],[Anaesth End]]&gt;tbl_Case_mins[[#This Row],[ThClosePm]],tbl_Case_mins[[#This Row],[AnaesthStart]]&gt;tbl_Case_mins[[#This Row],[ThClosePm]]),tbl_Case_mins[[#This Row],[Into Recov]]-tbl_Case_mins[[#This Row],[AnaesthStart]],0)</f>
        <v>#REF!</v>
      </c>
      <c r="BP58" s="9" t="e">
        <f>IF(AND(tbl_Case_mins[[#This Row],[AnaesthStart]]&lt;tbl_Case_mins[[#This Row],[ThClosePm]],tbl_Case_mins[[#This Row],[Anaesth End]]&gt;tbl_Case_mins[[#This Row],[ThClosePm]]),tbl_Case_mins[[#This Row],[Anaesth End]]-tbl_Case_mins[[#This Row],[ThClosePm]],0)</f>
        <v>#REF!</v>
      </c>
      <c r="BQ58" s="9" t="e" cm="1">
        <f t="array" ref="BQ5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8" s="9" t="e" cm="1">
        <f t="array" ref="BR58">IF(tbl_Case_mins[[#This Row],[Rank_Adjust]]=SUMPRODUCT(-(tbl_Case_mins[Surgery Start Date]=tbl_Case_mins[[#This Row],[Surgery Start Date]]),-(tbl_Case_mins[Theatre]=tbl_Case_mins[[#This Row],[Theatre]])),INDEX(Poss_Time,MATCH(TEXT(tbl_Case_mins[[#This Row],[Surgery Start Date]],"ddd"),Day,0)),0)</f>
        <v>#REF!</v>
      </c>
      <c r="BS58" s="9" t="e">
        <f>tbl_Case_mins[[#This Row],[Core_Time]]*Util_Goal</f>
        <v>#REF!</v>
      </c>
      <c r="BT58" s="9" t="e" cm="1">
        <f t="array" ref="BT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8" s="9" t="e" cm="1">
        <f t="array" ref="BU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8" s="9" t="e">
        <f>IF(tbl_Case_mins[[#This Row],[Surgery End Date]]&gt;tbl_Case_mins[[#This Row],[Surgery Start Date]],tbl_Case_mins[[#This Row],[Anaesth End]]-1440,0)</f>
        <v>#REF!</v>
      </c>
      <c r="BY58" s="9" t="e">
        <f>tbl_Case_mins[[#This Row],[Total_NonCore]]-tbl_Case_mins[[#This Row],[NextDay_NonCore]]</f>
        <v>#REF!</v>
      </c>
      <c r="BZ58" s="10" t="e">
        <f>tbl_Case_mins[[#This Row],[InCoreUse]]/60</f>
        <v>#REF!</v>
      </c>
      <c r="CA58" s="10" t="e">
        <f>tbl_Case_mins[[#This Row],[Total_NonCore]]/60</f>
        <v>#REF!</v>
      </c>
      <c r="CB58" t="e" cm="1">
        <f t="array" ref="CB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8" s="9" t="e" cm="1">
        <f t="array" ref="CC5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8" s="9" t="e" cm="1">
        <f t="array" ref="CD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8" s="9" t="e" cm="1">
        <f t="array" ref="CE5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8" s="9" cm="1">
        <f t="array" ref="CF58">IFERROR(_xlfn.AGGREGATE(14,6,(tbl_Case_mins[Rank_AnaEnd])/((tbl_Case_mins[Surgery Start Date]=tbl_Case_mins[[#This Row],[Surgery Start Date]])*(tbl_Case_mins[Theatre]=tbl_Case_mins[[#This Row],[Theatre]])*(tbl_Case_mins[NoInCoreTime]=0)),1),-1)</f>
        <v>-1</v>
      </c>
      <c r="CG58" s="9" cm="1">
        <f t="array" ref="CG58">IFERROR(_xlfn.AGGREGATE(15,6,(tbl_Case_mins[Rank_AnaSt])/((tbl_Case_mins[Surgery Start Date]=tbl_Case_mins[[#This Row],[Surgery Start Date]])*(tbl_Case_mins[Theatre]=tbl_Case_mins[[#This Row],[Theatre]])*(tbl_Case_mins[NoInCoreTime]=0)),1),-1)</f>
        <v>-1</v>
      </c>
      <c r="CH5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8" t="e" cm="1">
        <f t="array" ref="CJ5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8" s="9" cm="1">
        <f t="array" ref="CO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8" s="9" cm="1">
        <f t="array" ref="CP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8" s="9" cm="1">
        <f t="array" ref="CQ58">IFERROR(IF(AND(tbl_Case_mins[[#This Row],[FirstAMCase]]=0,tbl_Case_mins[[#This Row],[Rank]]=_xlfn.AGGREGATE(14,6,(tbl_Case_mins[Rank])/((tbl_Case_mins[Surgery Start Date]=tbl_Case_mins[[#This Row],[Surgery Start Date]])*(tbl_Case_mins[Theatre]=tbl_Case_mins[[#This Row],[Theatre]])*(tbl_Case_mins[AmCase]=1)),1)),1,0),0)</f>
        <v>0</v>
      </c>
      <c r="CR58" s="9" cm="1">
        <f t="array" ref="CR5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8" s="9" t="e" cm="1">
        <f t="array" ref="CS5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8" s="9" cm="1">
        <f t="array" ref="CT58">IFERROR(IF(tbl_Case_mins[[#This Row],[Rank]]=_xlfn.AGGREGATE(15,6,(tbl_Case_mins[Rank])/((tbl_Case_mins[Surgery Start Date]=tbl_Case_mins[[#This Row],[Surgery Start Date]])*(tbl_Case_mins[Theatre]=tbl_Case_mins[[#This Row],[Theatre]])*(tbl_Case_mins[PmCase]=1)),1),1,0),0)</f>
        <v>0</v>
      </c>
      <c r="CU58">
        <f>IFERROR(#REF!,0)</f>
        <v>0</v>
      </c>
      <c r="CV58" s="9" t="e" cm="1">
        <f t="array" ref="CV5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8" s="9">
        <f>IFERROR(IF(ISBLANK(INDEX(Bay_AmClose,MATCH(1,INDEX((tbl_Case_mins[[#This Row],[Bay]]=BayNo)*(tbl_Case_mins[[#This Row],[Surgery Start Date]]=BDate),0,1),0))*1440),0,INDEX(Bay_AmClose,MATCH(1,INDEX((tbl_Case_mins[[#This Row],[Bay]]=BayNo)*(tbl_Case_mins[[#This Row],[Surgery Start Date]]=BDate),0,1),0))*1440),0)</f>
        <v>0</v>
      </c>
      <c r="CX58" s="9" cm="1">
        <f t="array" ref="CX58">IFERROR(IF(ISBLANK(INDEX(Bay_PmOpen,MATCH(1,INDEX((tbl_Case_mins[[#This Row],[Bay]]=BayNo)*(tbl_Case_mins[[#This Row],[Surgery Start Date]]=BDate),0,1),0))*1440),0,INDEX(Bay_PmOpen,MATCH(1,INDEX((tbl_Case_mins[[#This Row],[Bay]]=BayNo)*(tbl_Case_mins[[#This Row],[Surgery Start Date]]=BDate),0,1),0))*1440),0)</f>
        <v>0</v>
      </c>
      <c r="CY5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8" s="9"/>
    </row>
    <row r="59" spans="1:104" x14ac:dyDescent="0.2">
      <c r="A59">
        <v>58</v>
      </c>
      <c r="B59" t="e">
        <f>#REF!</f>
        <v>#REF!</v>
      </c>
      <c r="C59" t="e">
        <f>#REF!</f>
        <v>#REF!</v>
      </c>
      <c r="D59" t="e">
        <f>#REF!</f>
        <v>#REF!</v>
      </c>
      <c r="E59" t="e">
        <f>#REF!</f>
        <v>#REF!</v>
      </c>
      <c r="F59" t="e">
        <f>#REF!</f>
        <v>#REF!</v>
      </c>
      <c r="G59" t="e">
        <f>#REF!</f>
        <v>#REF!</v>
      </c>
      <c r="H59" t="e">
        <f>#REF!</f>
        <v>#REF!</v>
      </c>
      <c r="I59" t="e">
        <f>IF(#REF!="Case Cancelled",1,IF(#REF!="No Cases",2,0))</f>
        <v>#REF!</v>
      </c>
      <c r="J59" t="e">
        <f>#REF!</f>
        <v>#REF!</v>
      </c>
      <c r="K59" s="4" t="e">
        <f>#REF!</f>
        <v>#REF!</v>
      </c>
      <c r="L59" t="e">
        <f>"Wk "&amp;WEEKNUM(tbl_Case_mins[[#This Row],[Surgery Start Date]],21)</f>
        <v>#REF!</v>
      </c>
      <c r="M59" t="e">
        <f>TEXT(tbl_Case_mins[[#This Row],[Surgery Start Date]],"ddd")</f>
        <v>#REF!</v>
      </c>
      <c r="N59" s="9" t="e">
        <f>(#REF!-TIME(0,0,0))*1440</f>
        <v>#REF!</v>
      </c>
      <c r="O59" t="e">
        <f>IF(AND(ROUND((#REF!-TIME(0,0,0))*1440,0)&gt;0,ROUND((#REF!-TIME(0,0,0))*1440,0)&lt;tbl_Case_mins[[#This Row],[Patient Called]],tbl_Case_mins[[#This Row],[Surgery End Date]]&gt;tbl_Case_mins[[#This Row],[Surgery Start Date]]),ROUND((#REF!-TIME(0,0,0))*1440,0)+1440,ROUND((#REF!-TIME(0,0,0))*1440,0))</f>
        <v>#REF!</v>
      </c>
      <c r="P59" s="9" t="e">
        <f>IF(AND(ROUND((#REF!-TIME(0,0,0))*1440,0)&gt;0,ROUND((#REF!-TIME(0,0,0))*1440,0)&lt;tbl_Case_mins[[#This Row],[Arrival]],tbl_Case_mins[[#This Row],[Surgery End Date]]&gt;tbl_Case_mins[[#This Row],[Surgery Start Date]]),ROUND((#REF!-TIME(0,0,0))*1440,0)+1440,ROUND((#REF!-TIME(0,0,0))*1440,0))</f>
        <v>#REF!</v>
      </c>
      <c r="Q59" s="9" t="e">
        <f>IF(AND(ROUND((#REF!-TIME(0,0,0))*1440,0)&gt;0,ROUND((#REF!-TIME(0,0,0))*1440,0)&lt;tbl_Case_mins[[#This Row],[Into Th or AR]],tbl_Case_mins[[#This Row],[Surgery End Date]]&gt;tbl_Case_mins[[#This Row],[Surgery Start Date]]),ROUND((#REF!-TIME(0,0,0))*1440,0)+1440,ROUND((#REF!-TIME(0,0,0))*1440,0))</f>
        <v>#REF!</v>
      </c>
      <c r="R59" s="9" t="e">
        <f>IF(AND(ROUND((#REF!-TIME(0,0,0))*1440,0)&gt;0,ROUND((#REF!-TIME(0,0,0))*1440,0)&lt;tbl_Case_mins[[#This Row],[AnaesthStart]],tbl_Case_mins[[#This Row],[Surgery End Date]]&gt;tbl_Case_mins[[#This Row],[Surgery Start Date]]),ROUND((#REF!-TIME(0,0,0))*1440,0)+1440,ROUND((#REF!-TIME(0,0,0))*1440,0))</f>
        <v>#REF!</v>
      </c>
      <c r="S59" s="9" t="e">
        <f>IF(AND(ROUND((#REF!-TIME(0,0,0))*1440,0),ROUND((#REF!-TIME(0,0,0))*1440,0)&lt;tbl_Case_mins[[#This Row],[Surgery Start]],tbl_Case_mins[[#This Row],[Surgery End Date]]&gt;tbl_Case_mins[[#This Row],[Surgery Start Date]]),ROUND((#REF!-TIME(0,0,0))*1440,0)+1440,ROUND((#REF!-TIME(0,0,0))*1440,0))</f>
        <v>#REF!</v>
      </c>
      <c r="T59" s="9" t="e">
        <f>IF(AND(ROUND((#REF!-TIME(0,0,0))*1440,0)&gt;0,ROUND((#REF!-TIME(0,0,0))*1440,0)&lt;tbl_Case_mins[[#This Row],[Surgery Finish]],tbl_Case_mins[[#This Row],[Surgery End Date]]&gt;tbl_Case_mins[[#This Row],[Surgery Start Date]]),ROUND((#REF!-TIME(0,0,0))*1440,0)+1440,ROUND((#REF!-TIME(0,0,0))*1440,0))</f>
        <v>#REF!</v>
      </c>
      <c r="U59" s="9" t="e">
        <f>IF(AND(ROUND((#REF!-TIME(0,0,0))*1440,0)&gt;0,ROUND((#REF!-TIME(0,0,0))*1440,0)&lt;tbl_Case_mins[[#This Row],[Anaesth End]],tbl_Case_mins[[#This Row],[Surgery End Date]]&gt;tbl_Case_mins[[#This Row],[Surgery Start Date]]),ROUND((#REF!-TIME(0,0,0))*1440,0)+1440,ROUND((#REF!-TIME(0,0,0))*1440,0))</f>
        <v>#REF!</v>
      </c>
      <c r="V59" s="9" t="e">
        <f>IF(AND(ROUND((#REF!-TIME(0,0,0))*1440,0)&gt;0,ROUND((#REF!-TIME(0,0,0))*1440,0)&lt;tbl_Case_mins[[#This Row],[Into Recov]],tbl_Case_mins[[#This Row],[Surgery End Date]]&gt;tbl_Case_mins[[#This Row],[Surgery Start Date]]),ROUND((#REF!-TIME(0,0,0))*1440,0)+1440,ROUND((#REF!-TIME(0,0,0))*1440,0))</f>
        <v>#REF!</v>
      </c>
      <c r="W59" s="9" t="e">
        <f>IF(AND(ROUND((#REF!-TIME(0,0,0))*1440,0)&gt;0,ROUND((#REF!-TIME(0,0,0))*1440,0)&lt;tbl_Case_mins[[#This Row],[Ward Called]],tbl_Case_mins[[#This Row],[Surgery End Date]]&gt;tbl_Case_mins[[#This Row],[Surgery Start Date]]),ROUND((#REF!-TIME(0,0,0))*1440,0)+1440,ROUND((#REF!-TIME(0,0,0))*1440,0))</f>
        <v>#REF!</v>
      </c>
      <c r="X59" s="4" t="e">
        <f>IF(ISBLANK(#REF!),tbl_Case_mins[[#This Row],[Surgery Start Date]],#REF!)</f>
        <v>#REF!</v>
      </c>
      <c r="Y59">
        <f>IFERROR(IF(VLOOKUP(tbl_Case_mins[[#This Row],[Theatre]],'Mng Theatres'!$C$7:$G$12,3,FALSE)="Yes","Yes","No"),0)</f>
        <v>0</v>
      </c>
      <c r="Z59" s="9" t="e" cm="1">
        <f t="array" ref="Z5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59" s="9" t="e" cm="1">
        <f t="array" ref="AA5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5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59" s="9" t="e">
        <f>IF(tbl_Case_mins[[#This Row],[Case Type]]="Unsch",1,0)</f>
        <v>#REF!</v>
      </c>
      <c r="AD59" s="9" t="e">
        <f>IF(tbl_Case_mins[[#This Row],[Case Type]]="Sch",1,0)</f>
        <v>#REF!</v>
      </c>
      <c r="AE5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59" s="9">
        <f>IFERROR(IF(ISBLANK(INDEX(Am_Close,MATCH(1,INDEX((tbl_Case_mins[[#This Row],[Theatre]]=Theatre_No)*(tbl_Case_mins[[#This Row],[Surgery Start Date]]=Date),0,1),0))*1440),0,INDEX(Am_Close,MATCH(1,INDEX((tbl_Case_mins[[#This Row],[Theatre]]=Theatre_No)*(tbl_Case_mins[[#This Row],[Surgery Start Date]]=Date),0,1),0))*1440),0)</f>
        <v>0</v>
      </c>
      <c r="AG59" s="9">
        <f>IFERROR(IF(ISBLANK(INDEX(PM_Open,MATCH(1,INDEX((tbl_Case_mins[[#This Row],[Theatre]]=Theatre_No)*(tbl_Case_mins[[#This Row],[Surgery Start Date]]=Date),0,1),0))*1440),0,INDEX(PM_Open,MATCH(1,INDEX((tbl_Case_mins[[#This Row],[Theatre]]=Theatre_No)*(tbl_Case_mins[[#This Row],[Surgery Start Date]]=Date),0,1),0))*1440),0)</f>
        <v>0</v>
      </c>
      <c r="AH5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59" s="9" t="e">
        <f>IF(tbl_Case_mins[[#This Row],[ThOpenAm]]=0,tbl_Case_mins[[#This Row],[ThOpenPM]],tbl_Case_mins[[#This Row],[ThOpenAm]])</f>
        <v>#REF!</v>
      </c>
      <c r="AJ59" s="9" t="e">
        <f>IF(tbl_Case_mins[[#This Row],[ThCloseAm]]&gt;0,IF(tbl_Case_mins[[#This Row],[ThOpenPM]]&gt;0,tbl_Case_mins[[#This Row],[ThClosePm]],tbl_Case_mins[[#This Row],[ThCloseAm]]),tbl_Case_mins[[#This Row],[ThClosePm]])</f>
        <v>#REF!</v>
      </c>
      <c r="AK59" s="9" t="e">
        <f>IF(tbl_Case_mins[[#This Row],[TOT]]&gt;0,1,0)</f>
        <v>#REF!</v>
      </c>
      <c r="AL5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59" s="9" t="e">
        <f>IF(AND(tbl_Case_mins[[#This Row],[Surgery Status]]&lt;&gt;2,tbl_Case_mins[[#This Row],[InCoreCase]]=0,tbl_Case_mins[[#This Row],[CancelledCase]]=0),1,0)</f>
        <v>#REF!</v>
      </c>
      <c r="AN59" s="9" t="e">
        <f>IF(tbl_Case_mins[[#This Row],[Surgery Status]]=1,1,0)</f>
        <v>#REF!</v>
      </c>
      <c r="AO5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59" s="9" t="e">
        <f>IF(AND(tbl_Case_mins[[#This Row],[NonCoreCase]]=1,tbl_Case_mins[[#This Row],[NoInCoreTime]]=0),1,0)</f>
        <v>#REF!</v>
      </c>
      <c r="AQ59" s="9" t="e">
        <f>IF(tbl_Case_mins[[#This Row],[Rank_AnaEnd]]&lt;tbl_Case_mins[[#This Row],[Rank_AnaSt]],1,0)</f>
        <v>#REF!</v>
      </c>
      <c r="AR59" s="9" t="e">
        <f>IF(AND(tbl_Case_mins[[#This Row],[InCoreCase]]=1,tbl_Case_mins[[#This Row],[Sch]]=1),1,0)</f>
        <v>#REF!</v>
      </c>
      <c r="AS59" s="9" t="e">
        <f>IF(AND(tbl_Case_mins[[#This Row],[InCoreCase]]=1,tbl_Case_mins[[#This Row],[Unsch]]=1),1,0)</f>
        <v>#REF!</v>
      </c>
      <c r="AT5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5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5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59" s="9" t="e">
        <f>IF(tbl_Case_mins[[#This Row],[Surgery Status]]=0,(tbl_Case_mins[[#This Row],[Anaesth End]]-tbl_Case_mins[[#This Row],[AnaesthStart]]),0)</f>
        <v>#REF!</v>
      </c>
      <c r="AX59" s="9" t="e">
        <f>IF(tbl_Case_mins[[#This Row],[Surgery Status]]=0,(tbl_Case_mins[[#This Row],[Surgery Finish]]-tbl_Case_mins[[#This Row],[Surgery Start]]),0)</f>
        <v>#REF!</v>
      </c>
      <c r="AY59" s="9" t="e">
        <f>tbl_Case_mins[[#This Row],[Surgery Start]]-tbl_Case_mins[[#This Row],[AnaesthStart]]</f>
        <v>#REF!</v>
      </c>
      <c r="AZ59" s="9" t="e">
        <f>tbl_Case_mins[[#This Row],[Anaesth End]]-tbl_Case_mins[[#This Row],[Surgery Finish]]</f>
        <v>#REF!</v>
      </c>
      <c r="BA5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5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59" s="16" cm="1">
        <f t="array" ref="BC5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59" s="16" t="e">
        <f>IF(AND(tbl_Case_mins[[#This Row],[FirstAMCase]]=1,tbl_Case_mins[[#This Row],[CancelledCase]]=0,OR(tbl_Case_mins[[#This Row],[EarlyStartAM]]&gt;0,tbl_Case_mins[[#This Row],[AnaesthStart]]=tbl_Case_mins[[#This Row],[ThOpenAm]])),1,0)</f>
        <v>#REF!</v>
      </c>
      <c r="BE59" s="16" t="e">
        <f>IF(AND(tbl_Case_mins[[#This Row],[Rank_AnaSt]]=tbl_Case_mins[[#This Row],[Min_RankAnaSt]],tbl_Case_mins[[#This Row],[Anaesth End]]&gt;=tbl_Case_mins[[#This Row],[ThOpenAm]],tbl_Case_mins[[#This Row],[PmCase]]=0),1,0)</f>
        <v>#REF!</v>
      </c>
      <c r="BF5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5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59" s="9" t="e" cm="1">
        <f t="array" ref="BH5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5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5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59" s="9" t="e">
        <f>IF(AND(tbl_Case_mins[[#This Row],[ThOpenPM]]&gt;0,tbl_Case_mins[[#This Row],[AnaesthStart]]&gt;tbl_Case_mins[[#This Row],[ThOpenPM]],tbl_Case_mins[[#This Row],[First PM Case]]=1),tbl_Case_mins[[#This Row],[AnaesthStart]]-tbl_Case_mins[[#This Row],[ThOpenPM]],0)</f>
        <v>#REF!</v>
      </c>
      <c r="BL5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5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59" s="9" t="e" cm="1">
        <f t="array" ref="BN5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59" s="9" t="e">
        <f>IF(AND(tbl_Case_mins[[#This Row],[ThClosePm]]&gt;0,tbl_Case_mins[[#This Row],[Anaesth End]]&gt;tbl_Case_mins[[#This Row],[ThClosePm]],tbl_Case_mins[[#This Row],[AnaesthStart]]&gt;tbl_Case_mins[[#This Row],[ThClosePm]]),tbl_Case_mins[[#This Row],[Into Recov]]-tbl_Case_mins[[#This Row],[AnaesthStart]],0)</f>
        <v>#REF!</v>
      </c>
      <c r="BP59" s="9" t="e">
        <f>IF(AND(tbl_Case_mins[[#This Row],[AnaesthStart]]&lt;tbl_Case_mins[[#This Row],[ThClosePm]],tbl_Case_mins[[#This Row],[Anaesth End]]&gt;tbl_Case_mins[[#This Row],[ThClosePm]]),tbl_Case_mins[[#This Row],[Anaesth End]]-tbl_Case_mins[[#This Row],[ThClosePm]],0)</f>
        <v>#REF!</v>
      </c>
      <c r="BQ59" s="9" t="e" cm="1">
        <f t="array" ref="BQ5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59" s="9" t="e" cm="1">
        <f t="array" ref="BR59">IF(tbl_Case_mins[[#This Row],[Rank_Adjust]]=SUMPRODUCT(-(tbl_Case_mins[Surgery Start Date]=tbl_Case_mins[[#This Row],[Surgery Start Date]]),-(tbl_Case_mins[Theatre]=tbl_Case_mins[[#This Row],[Theatre]])),INDEX(Poss_Time,MATCH(TEXT(tbl_Case_mins[[#This Row],[Surgery Start Date]],"ddd"),Day,0)),0)</f>
        <v>#REF!</v>
      </c>
      <c r="BS59" s="9" t="e">
        <f>tbl_Case_mins[[#This Row],[Core_Time]]*Util_Goal</f>
        <v>#REF!</v>
      </c>
      <c r="BT59" s="9" t="e" cm="1">
        <f t="array" ref="BT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59" s="9" t="e" cm="1">
        <f t="array" ref="BU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5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5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59" s="9" t="e">
        <f>IF(tbl_Case_mins[[#This Row],[Surgery End Date]]&gt;tbl_Case_mins[[#This Row],[Surgery Start Date]],tbl_Case_mins[[#This Row],[Anaesth End]]-1440,0)</f>
        <v>#REF!</v>
      </c>
      <c r="BY59" s="9" t="e">
        <f>tbl_Case_mins[[#This Row],[Total_NonCore]]-tbl_Case_mins[[#This Row],[NextDay_NonCore]]</f>
        <v>#REF!</v>
      </c>
      <c r="BZ59" s="10" t="e">
        <f>tbl_Case_mins[[#This Row],[InCoreUse]]/60</f>
        <v>#REF!</v>
      </c>
      <c r="CA59" s="10" t="e">
        <f>tbl_Case_mins[[#This Row],[Total_NonCore]]/60</f>
        <v>#REF!</v>
      </c>
      <c r="CB59" t="e" cm="1">
        <f t="array" ref="CB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59" s="9" t="e" cm="1">
        <f t="array" ref="CC5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59" s="9" t="e" cm="1">
        <f t="array" ref="CD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59" s="9" t="e" cm="1">
        <f t="array" ref="CE5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59" s="9" cm="1">
        <f t="array" ref="CF59">IFERROR(_xlfn.AGGREGATE(14,6,(tbl_Case_mins[Rank_AnaEnd])/((tbl_Case_mins[Surgery Start Date]=tbl_Case_mins[[#This Row],[Surgery Start Date]])*(tbl_Case_mins[Theatre]=tbl_Case_mins[[#This Row],[Theatre]])*(tbl_Case_mins[NoInCoreTime]=0)),1),-1)</f>
        <v>-1</v>
      </c>
      <c r="CG59" s="9" cm="1">
        <f t="array" ref="CG59">IFERROR(_xlfn.AGGREGATE(15,6,(tbl_Case_mins[Rank_AnaSt])/((tbl_Case_mins[Surgery Start Date]=tbl_Case_mins[[#This Row],[Surgery Start Date]])*(tbl_Case_mins[Theatre]=tbl_Case_mins[[#This Row],[Theatre]])*(tbl_Case_mins[NoInCoreTime]=0)),1),-1)</f>
        <v>-1</v>
      </c>
      <c r="CH5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5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59" t="e" cm="1">
        <f t="array" ref="CJ5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5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5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59" s="9" cm="1">
        <f t="array" ref="CO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59" s="9" cm="1">
        <f t="array" ref="CP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59" s="9" cm="1">
        <f t="array" ref="CQ59">IFERROR(IF(AND(tbl_Case_mins[[#This Row],[FirstAMCase]]=0,tbl_Case_mins[[#This Row],[Rank]]=_xlfn.AGGREGATE(14,6,(tbl_Case_mins[Rank])/((tbl_Case_mins[Surgery Start Date]=tbl_Case_mins[[#This Row],[Surgery Start Date]])*(tbl_Case_mins[Theatre]=tbl_Case_mins[[#This Row],[Theatre]])*(tbl_Case_mins[AmCase]=1)),1)),1,0),0)</f>
        <v>0</v>
      </c>
      <c r="CR59" s="9" cm="1">
        <f t="array" ref="CR5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59" s="9" t="e" cm="1">
        <f t="array" ref="CS5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59" s="9" cm="1">
        <f t="array" ref="CT59">IFERROR(IF(tbl_Case_mins[[#This Row],[Rank]]=_xlfn.AGGREGATE(15,6,(tbl_Case_mins[Rank])/((tbl_Case_mins[Surgery Start Date]=tbl_Case_mins[[#This Row],[Surgery Start Date]])*(tbl_Case_mins[Theatre]=tbl_Case_mins[[#This Row],[Theatre]])*(tbl_Case_mins[PmCase]=1)),1),1,0),0)</f>
        <v>0</v>
      </c>
      <c r="CU59">
        <f>IFERROR(#REF!,0)</f>
        <v>0</v>
      </c>
      <c r="CV59" s="9" t="e" cm="1">
        <f t="array" ref="CV5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59" s="9">
        <f>IFERROR(IF(ISBLANK(INDEX(Bay_AmClose,MATCH(1,INDEX((tbl_Case_mins[[#This Row],[Bay]]=BayNo)*(tbl_Case_mins[[#This Row],[Surgery Start Date]]=BDate),0,1),0))*1440),0,INDEX(Bay_AmClose,MATCH(1,INDEX((tbl_Case_mins[[#This Row],[Bay]]=BayNo)*(tbl_Case_mins[[#This Row],[Surgery Start Date]]=BDate),0,1),0))*1440),0)</f>
        <v>0</v>
      </c>
      <c r="CX59" s="9" cm="1">
        <f t="array" ref="CX59">IFERROR(IF(ISBLANK(INDEX(Bay_PmOpen,MATCH(1,INDEX((tbl_Case_mins[[#This Row],[Bay]]=BayNo)*(tbl_Case_mins[[#This Row],[Surgery Start Date]]=BDate),0,1),0))*1440),0,INDEX(Bay_PmOpen,MATCH(1,INDEX((tbl_Case_mins[[#This Row],[Bay]]=BayNo)*(tbl_Case_mins[[#This Row],[Surgery Start Date]]=BDate),0,1),0))*1440),0)</f>
        <v>0</v>
      </c>
      <c r="CY5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59" s="9"/>
    </row>
    <row r="60" spans="1:104" x14ac:dyDescent="0.2">
      <c r="A60">
        <v>59</v>
      </c>
      <c r="B60" t="e">
        <f>#REF!</f>
        <v>#REF!</v>
      </c>
      <c r="C60" t="e">
        <f>#REF!</f>
        <v>#REF!</v>
      </c>
      <c r="D60" t="e">
        <f>#REF!</f>
        <v>#REF!</v>
      </c>
      <c r="E60" t="e">
        <f>#REF!</f>
        <v>#REF!</v>
      </c>
      <c r="F60" t="e">
        <f>#REF!</f>
        <v>#REF!</v>
      </c>
      <c r="G60" t="e">
        <f>#REF!</f>
        <v>#REF!</v>
      </c>
      <c r="H60" t="e">
        <f>#REF!</f>
        <v>#REF!</v>
      </c>
      <c r="I60" t="e">
        <f>IF(#REF!="Case Cancelled",1,IF(#REF!="No Cases",2,0))</f>
        <v>#REF!</v>
      </c>
      <c r="J60" t="e">
        <f>#REF!</f>
        <v>#REF!</v>
      </c>
      <c r="K60" s="4" t="e">
        <f>#REF!</f>
        <v>#REF!</v>
      </c>
      <c r="L60" t="e">
        <f>"Wk "&amp;WEEKNUM(tbl_Case_mins[[#This Row],[Surgery Start Date]],21)</f>
        <v>#REF!</v>
      </c>
      <c r="M60" t="e">
        <f>TEXT(tbl_Case_mins[[#This Row],[Surgery Start Date]],"ddd")</f>
        <v>#REF!</v>
      </c>
      <c r="N60" s="9" t="e">
        <f>(#REF!-TIME(0,0,0))*1440</f>
        <v>#REF!</v>
      </c>
      <c r="O60" t="e">
        <f>IF(AND(ROUND((#REF!-TIME(0,0,0))*1440,0)&gt;0,ROUND((#REF!-TIME(0,0,0))*1440,0)&lt;tbl_Case_mins[[#This Row],[Patient Called]],tbl_Case_mins[[#This Row],[Surgery End Date]]&gt;tbl_Case_mins[[#This Row],[Surgery Start Date]]),ROUND((#REF!-TIME(0,0,0))*1440,0)+1440,ROUND((#REF!-TIME(0,0,0))*1440,0))</f>
        <v>#REF!</v>
      </c>
      <c r="P60" s="9" t="e">
        <f>IF(AND(ROUND((#REF!-TIME(0,0,0))*1440,0)&gt;0,ROUND((#REF!-TIME(0,0,0))*1440,0)&lt;tbl_Case_mins[[#This Row],[Arrival]],tbl_Case_mins[[#This Row],[Surgery End Date]]&gt;tbl_Case_mins[[#This Row],[Surgery Start Date]]),ROUND((#REF!-TIME(0,0,0))*1440,0)+1440,ROUND((#REF!-TIME(0,0,0))*1440,0))</f>
        <v>#REF!</v>
      </c>
      <c r="Q60" s="9" t="e">
        <f>IF(AND(ROUND((#REF!-TIME(0,0,0))*1440,0)&gt;0,ROUND((#REF!-TIME(0,0,0))*1440,0)&lt;tbl_Case_mins[[#This Row],[Into Th or AR]],tbl_Case_mins[[#This Row],[Surgery End Date]]&gt;tbl_Case_mins[[#This Row],[Surgery Start Date]]),ROUND((#REF!-TIME(0,0,0))*1440,0)+1440,ROUND((#REF!-TIME(0,0,0))*1440,0))</f>
        <v>#REF!</v>
      </c>
      <c r="R60" s="9" t="e">
        <f>IF(AND(ROUND((#REF!-TIME(0,0,0))*1440,0)&gt;0,ROUND((#REF!-TIME(0,0,0))*1440,0)&lt;tbl_Case_mins[[#This Row],[AnaesthStart]],tbl_Case_mins[[#This Row],[Surgery End Date]]&gt;tbl_Case_mins[[#This Row],[Surgery Start Date]]),ROUND((#REF!-TIME(0,0,0))*1440,0)+1440,ROUND((#REF!-TIME(0,0,0))*1440,0))</f>
        <v>#REF!</v>
      </c>
      <c r="S60" s="9" t="e">
        <f>IF(AND(ROUND((#REF!-TIME(0,0,0))*1440,0),ROUND((#REF!-TIME(0,0,0))*1440,0)&lt;tbl_Case_mins[[#This Row],[Surgery Start]],tbl_Case_mins[[#This Row],[Surgery End Date]]&gt;tbl_Case_mins[[#This Row],[Surgery Start Date]]),ROUND((#REF!-TIME(0,0,0))*1440,0)+1440,ROUND((#REF!-TIME(0,0,0))*1440,0))</f>
        <v>#REF!</v>
      </c>
      <c r="T60" s="9" t="e">
        <f>IF(AND(ROUND((#REF!-TIME(0,0,0))*1440,0)&gt;0,ROUND((#REF!-TIME(0,0,0))*1440,0)&lt;tbl_Case_mins[[#This Row],[Surgery Finish]],tbl_Case_mins[[#This Row],[Surgery End Date]]&gt;tbl_Case_mins[[#This Row],[Surgery Start Date]]),ROUND((#REF!-TIME(0,0,0))*1440,0)+1440,ROUND((#REF!-TIME(0,0,0))*1440,0))</f>
        <v>#REF!</v>
      </c>
      <c r="U60" s="9" t="e">
        <f>IF(AND(ROUND((#REF!-TIME(0,0,0))*1440,0)&gt;0,ROUND((#REF!-TIME(0,0,0))*1440,0)&lt;tbl_Case_mins[[#This Row],[Anaesth End]],tbl_Case_mins[[#This Row],[Surgery End Date]]&gt;tbl_Case_mins[[#This Row],[Surgery Start Date]]),ROUND((#REF!-TIME(0,0,0))*1440,0)+1440,ROUND((#REF!-TIME(0,0,0))*1440,0))</f>
        <v>#REF!</v>
      </c>
      <c r="V60" s="9" t="e">
        <f>IF(AND(ROUND((#REF!-TIME(0,0,0))*1440,0)&gt;0,ROUND((#REF!-TIME(0,0,0))*1440,0)&lt;tbl_Case_mins[[#This Row],[Into Recov]],tbl_Case_mins[[#This Row],[Surgery End Date]]&gt;tbl_Case_mins[[#This Row],[Surgery Start Date]]),ROUND((#REF!-TIME(0,0,0))*1440,0)+1440,ROUND((#REF!-TIME(0,0,0))*1440,0))</f>
        <v>#REF!</v>
      </c>
      <c r="W60" s="9" t="e">
        <f>IF(AND(ROUND((#REF!-TIME(0,0,0))*1440,0)&gt;0,ROUND((#REF!-TIME(0,0,0))*1440,0)&lt;tbl_Case_mins[[#This Row],[Ward Called]],tbl_Case_mins[[#This Row],[Surgery End Date]]&gt;tbl_Case_mins[[#This Row],[Surgery Start Date]]),ROUND((#REF!-TIME(0,0,0))*1440,0)+1440,ROUND((#REF!-TIME(0,0,0))*1440,0))</f>
        <v>#REF!</v>
      </c>
      <c r="X60" s="4" t="e">
        <f>IF(ISBLANK(#REF!),tbl_Case_mins[[#This Row],[Surgery Start Date]],#REF!)</f>
        <v>#REF!</v>
      </c>
      <c r="Y60">
        <f>IFERROR(IF(VLOOKUP(tbl_Case_mins[[#This Row],[Theatre]],'Mng Theatres'!$C$7:$G$12,3,FALSE)="Yes","Yes","No"),0)</f>
        <v>0</v>
      </c>
      <c r="Z60" s="9" t="e" cm="1">
        <f t="array" ref="Z6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0" s="9" t="e" cm="1">
        <f t="array" ref="AA6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0" s="9" t="e">
        <f>IF(tbl_Case_mins[[#This Row],[Case Type]]="Unsch",1,0)</f>
        <v>#REF!</v>
      </c>
      <c r="AD60" s="9" t="e">
        <f>IF(tbl_Case_mins[[#This Row],[Case Type]]="Sch",1,0)</f>
        <v>#REF!</v>
      </c>
      <c r="AE6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0" s="9">
        <f>IFERROR(IF(ISBLANK(INDEX(Am_Close,MATCH(1,INDEX((tbl_Case_mins[[#This Row],[Theatre]]=Theatre_No)*(tbl_Case_mins[[#This Row],[Surgery Start Date]]=Date),0,1),0))*1440),0,INDEX(Am_Close,MATCH(1,INDEX((tbl_Case_mins[[#This Row],[Theatre]]=Theatre_No)*(tbl_Case_mins[[#This Row],[Surgery Start Date]]=Date),0,1),0))*1440),0)</f>
        <v>0</v>
      </c>
      <c r="AG60" s="9">
        <f>IFERROR(IF(ISBLANK(INDEX(PM_Open,MATCH(1,INDEX((tbl_Case_mins[[#This Row],[Theatre]]=Theatre_No)*(tbl_Case_mins[[#This Row],[Surgery Start Date]]=Date),0,1),0))*1440),0,INDEX(PM_Open,MATCH(1,INDEX((tbl_Case_mins[[#This Row],[Theatre]]=Theatre_No)*(tbl_Case_mins[[#This Row],[Surgery Start Date]]=Date),0,1),0))*1440),0)</f>
        <v>0</v>
      </c>
      <c r="AH6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0" s="9" t="e">
        <f>IF(tbl_Case_mins[[#This Row],[ThOpenAm]]=0,tbl_Case_mins[[#This Row],[ThOpenPM]],tbl_Case_mins[[#This Row],[ThOpenAm]])</f>
        <v>#REF!</v>
      </c>
      <c r="AJ60" s="9" t="e">
        <f>IF(tbl_Case_mins[[#This Row],[ThCloseAm]]&gt;0,IF(tbl_Case_mins[[#This Row],[ThOpenPM]]&gt;0,tbl_Case_mins[[#This Row],[ThClosePm]],tbl_Case_mins[[#This Row],[ThCloseAm]]),tbl_Case_mins[[#This Row],[ThClosePm]])</f>
        <v>#REF!</v>
      </c>
      <c r="AK60" s="9" t="e">
        <f>IF(tbl_Case_mins[[#This Row],[TOT]]&gt;0,1,0)</f>
        <v>#REF!</v>
      </c>
      <c r="AL6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0" s="9" t="e">
        <f>IF(AND(tbl_Case_mins[[#This Row],[Surgery Status]]&lt;&gt;2,tbl_Case_mins[[#This Row],[InCoreCase]]=0,tbl_Case_mins[[#This Row],[CancelledCase]]=0),1,0)</f>
        <v>#REF!</v>
      </c>
      <c r="AN60" s="9" t="e">
        <f>IF(tbl_Case_mins[[#This Row],[Surgery Status]]=1,1,0)</f>
        <v>#REF!</v>
      </c>
      <c r="AO6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0" s="9" t="e">
        <f>IF(AND(tbl_Case_mins[[#This Row],[NonCoreCase]]=1,tbl_Case_mins[[#This Row],[NoInCoreTime]]=0),1,0)</f>
        <v>#REF!</v>
      </c>
      <c r="AQ60" s="9" t="e">
        <f>IF(tbl_Case_mins[[#This Row],[Rank_AnaEnd]]&lt;tbl_Case_mins[[#This Row],[Rank_AnaSt]],1,0)</f>
        <v>#REF!</v>
      </c>
      <c r="AR60" s="9" t="e">
        <f>IF(AND(tbl_Case_mins[[#This Row],[InCoreCase]]=1,tbl_Case_mins[[#This Row],[Sch]]=1),1,0)</f>
        <v>#REF!</v>
      </c>
      <c r="AS60" s="9" t="e">
        <f>IF(AND(tbl_Case_mins[[#This Row],[InCoreCase]]=1,tbl_Case_mins[[#This Row],[Unsch]]=1),1,0)</f>
        <v>#REF!</v>
      </c>
      <c r="AT6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0" s="9" t="e">
        <f>IF(tbl_Case_mins[[#This Row],[Surgery Status]]=0,(tbl_Case_mins[[#This Row],[Anaesth End]]-tbl_Case_mins[[#This Row],[AnaesthStart]]),0)</f>
        <v>#REF!</v>
      </c>
      <c r="AX60" s="9" t="e">
        <f>IF(tbl_Case_mins[[#This Row],[Surgery Status]]=0,(tbl_Case_mins[[#This Row],[Surgery Finish]]-tbl_Case_mins[[#This Row],[Surgery Start]]),0)</f>
        <v>#REF!</v>
      </c>
      <c r="AY60" s="9" t="e">
        <f>tbl_Case_mins[[#This Row],[Surgery Start]]-tbl_Case_mins[[#This Row],[AnaesthStart]]</f>
        <v>#REF!</v>
      </c>
      <c r="AZ60" s="9" t="e">
        <f>tbl_Case_mins[[#This Row],[Anaesth End]]-tbl_Case_mins[[#This Row],[Surgery Finish]]</f>
        <v>#REF!</v>
      </c>
      <c r="BA6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0" s="16" cm="1">
        <f t="array" ref="BC6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0" s="16" t="e">
        <f>IF(AND(tbl_Case_mins[[#This Row],[FirstAMCase]]=1,tbl_Case_mins[[#This Row],[CancelledCase]]=0,OR(tbl_Case_mins[[#This Row],[EarlyStartAM]]&gt;0,tbl_Case_mins[[#This Row],[AnaesthStart]]=tbl_Case_mins[[#This Row],[ThOpenAm]])),1,0)</f>
        <v>#REF!</v>
      </c>
      <c r="BE60" s="16" t="e">
        <f>IF(AND(tbl_Case_mins[[#This Row],[Rank_AnaSt]]=tbl_Case_mins[[#This Row],[Min_RankAnaSt]],tbl_Case_mins[[#This Row],[Anaesth End]]&gt;=tbl_Case_mins[[#This Row],[ThOpenAm]],tbl_Case_mins[[#This Row],[PmCase]]=0),1,0)</f>
        <v>#REF!</v>
      </c>
      <c r="BF6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0" s="9" t="e" cm="1">
        <f t="array" ref="BH6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0" s="9" t="e">
        <f>IF(AND(tbl_Case_mins[[#This Row],[ThOpenPM]]&gt;0,tbl_Case_mins[[#This Row],[AnaesthStart]]&gt;tbl_Case_mins[[#This Row],[ThOpenPM]],tbl_Case_mins[[#This Row],[First PM Case]]=1),tbl_Case_mins[[#This Row],[AnaesthStart]]-tbl_Case_mins[[#This Row],[ThOpenPM]],0)</f>
        <v>#REF!</v>
      </c>
      <c r="BL6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0" s="9" t="e" cm="1">
        <f t="array" ref="BN6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0" s="9" t="e">
        <f>IF(AND(tbl_Case_mins[[#This Row],[ThClosePm]]&gt;0,tbl_Case_mins[[#This Row],[Anaesth End]]&gt;tbl_Case_mins[[#This Row],[ThClosePm]],tbl_Case_mins[[#This Row],[AnaesthStart]]&gt;tbl_Case_mins[[#This Row],[ThClosePm]]),tbl_Case_mins[[#This Row],[Into Recov]]-tbl_Case_mins[[#This Row],[AnaesthStart]],0)</f>
        <v>#REF!</v>
      </c>
      <c r="BP60" s="9" t="e">
        <f>IF(AND(tbl_Case_mins[[#This Row],[AnaesthStart]]&lt;tbl_Case_mins[[#This Row],[ThClosePm]],tbl_Case_mins[[#This Row],[Anaesth End]]&gt;tbl_Case_mins[[#This Row],[ThClosePm]]),tbl_Case_mins[[#This Row],[Anaesth End]]-tbl_Case_mins[[#This Row],[ThClosePm]],0)</f>
        <v>#REF!</v>
      </c>
      <c r="BQ60" s="9" t="e" cm="1">
        <f t="array" ref="BQ6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0" s="9" t="e" cm="1">
        <f t="array" ref="BR60">IF(tbl_Case_mins[[#This Row],[Rank_Adjust]]=SUMPRODUCT(-(tbl_Case_mins[Surgery Start Date]=tbl_Case_mins[[#This Row],[Surgery Start Date]]),-(tbl_Case_mins[Theatre]=tbl_Case_mins[[#This Row],[Theatre]])),INDEX(Poss_Time,MATCH(TEXT(tbl_Case_mins[[#This Row],[Surgery Start Date]],"ddd"),Day,0)),0)</f>
        <v>#REF!</v>
      </c>
      <c r="BS60" s="9" t="e">
        <f>tbl_Case_mins[[#This Row],[Core_Time]]*Util_Goal</f>
        <v>#REF!</v>
      </c>
      <c r="BT60" s="9" t="e" cm="1">
        <f t="array" ref="BT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0" s="9" t="e" cm="1">
        <f t="array" ref="BU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0" s="9" t="e">
        <f>IF(tbl_Case_mins[[#This Row],[Surgery End Date]]&gt;tbl_Case_mins[[#This Row],[Surgery Start Date]],tbl_Case_mins[[#This Row],[Anaesth End]]-1440,0)</f>
        <v>#REF!</v>
      </c>
      <c r="BY60" s="9" t="e">
        <f>tbl_Case_mins[[#This Row],[Total_NonCore]]-tbl_Case_mins[[#This Row],[NextDay_NonCore]]</f>
        <v>#REF!</v>
      </c>
      <c r="BZ60" s="10" t="e">
        <f>tbl_Case_mins[[#This Row],[InCoreUse]]/60</f>
        <v>#REF!</v>
      </c>
      <c r="CA60" s="10" t="e">
        <f>tbl_Case_mins[[#This Row],[Total_NonCore]]/60</f>
        <v>#REF!</v>
      </c>
      <c r="CB60" t="e" cm="1">
        <f t="array" ref="CB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0" s="9" t="e" cm="1">
        <f t="array" ref="CC6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0" s="9" t="e" cm="1">
        <f t="array" ref="CD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0" s="9" t="e" cm="1">
        <f t="array" ref="CE6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0" s="9" cm="1">
        <f t="array" ref="CF60">IFERROR(_xlfn.AGGREGATE(14,6,(tbl_Case_mins[Rank_AnaEnd])/((tbl_Case_mins[Surgery Start Date]=tbl_Case_mins[[#This Row],[Surgery Start Date]])*(tbl_Case_mins[Theatre]=tbl_Case_mins[[#This Row],[Theatre]])*(tbl_Case_mins[NoInCoreTime]=0)),1),-1)</f>
        <v>-1</v>
      </c>
      <c r="CG60" s="9" cm="1">
        <f t="array" ref="CG60">IFERROR(_xlfn.AGGREGATE(15,6,(tbl_Case_mins[Rank_AnaSt])/((tbl_Case_mins[Surgery Start Date]=tbl_Case_mins[[#This Row],[Surgery Start Date]])*(tbl_Case_mins[Theatre]=tbl_Case_mins[[#This Row],[Theatre]])*(tbl_Case_mins[NoInCoreTime]=0)),1),-1)</f>
        <v>-1</v>
      </c>
      <c r="CH6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0" t="e" cm="1">
        <f t="array" ref="CJ6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0" s="9" cm="1">
        <f t="array" ref="CO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0" s="9" cm="1">
        <f t="array" ref="CP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0" s="9" cm="1">
        <f t="array" ref="CQ60">IFERROR(IF(AND(tbl_Case_mins[[#This Row],[FirstAMCase]]=0,tbl_Case_mins[[#This Row],[Rank]]=_xlfn.AGGREGATE(14,6,(tbl_Case_mins[Rank])/((tbl_Case_mins[Surgery Start Date]=tbl_Case_mins[[#This Row],[Surgery Start Date]])*(tbl_Case_mins[Theatre]=tbl_Case_mins[[#This Row],[Theatre]])*(tbl_Case_mins[AmCase]=1)),1)),1,0),0)</f>
        <v>0</v>
      </c>
      <c r="CR60" s="9" cm="1">
        <f t="array" ref="CR6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0" s="9" t="e" cm="1">
        <f t="array" ref="CS6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0" s="9" cm="1">
        <f t="array" ref="CT60">IFERROR(IF(tbl_Case_mins[[#This Row],[Rank]]=_xlfn.AGGREGATE(15,6,(tbl_Case_mins[Rank])/((tbl_Case_mins[Surgery Start Date]=tbl_Case_mins[[#This Row],[Surgery Start Date]])*(tbl_Case_mins[Theatre]=tbl_Case_mins[[#This Row],[Theatre]])*(tbl_Case_mins[PmCase]=1)),1),1,0),0)</f>
        <v>0</v>
      </c>
      <c r="CU60">
        <f>IFERROR(#REF!,0)</f>
        <v>0</v>
      </c>
      <c r="CV60" s="9" t="e" cm="1">
        <f t="array" ref="CV6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0" s="9">
        <f>IFERROR(IF(ISBLANK(INDEX(Bay_AmClose,MATCH(1,INDEX((tbl_Case_mins[[#This Row],[Bay]]=BayNo)*(tbl_Case_mins[[#This Row],[Surgery Start Date]]=BDate),0,1),0))*1440),0,INDEX(Bay_AmClose,MATCH(1,INDEX((tbl_Case_mins[[#This Row],[Bay]]=BayNo)*(tbl_Case_mins[[#This Row],[Surgery Start Date]]=BDate),0,1),0))*1440),0)</f>
        <v>0</v>
      </c>
      <c r="CX60" s="9" cm="1">
        <f t="array" ref="CX60">IFERROR(IF(ISBLANK(INDEX(Bay_PmOpen,MATCH(1,INDEX((tbl_Case_mins[[#This Row],[Bay]]=BayNo)*(tbl_Case_mins[[#This Row],[Surgery Start Date]]=BDate),0,1),0))*1440),0,INDEX(Bay_PmOpen,MATCH(1,INDEX((tbl_Case_mins[[#This Row],[Bay]]=BayNo)*(tbl_Case_mins[[#This Row],[Surgery Start Date]]=BDate),0,1),0))*1440),0)</f>
        <v>0</v>
      </c>
      <c r="CY6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0" s="9"/>
    </row>
    <row r="61" spans="1:104" x14ac:dyDescent="0.2">
      <c r="A61">
        <v>60</v>
      </c>
      <c r="B61" t="e">
        <f>#REF!</f>
        <v>#REF!</v>
      </c>
      <c r="C61" t="e">
        <f>#REF!</f>
        <v>#REF!</v>
      </c>
      <c r="D61" t="e">
        <f>#REF!</f>
        <v>#REF!</v>
      </c>
      <c r="E61" t="e">
        <f>#REF!</f>
        <v>#REF!</v>
      </c>
      <c r="F61" t="e">
        <f>#REF!</f>
        <v>#REF!</v>
      </c>
      <c r="G61" t="e">
        <f>#REF!</f>
        <v>#REF!</v>
      </c>
      <c r="H61" t="e">
        <f>#REF!</f>
        <v>#REF!</v>
      </c>
      <c r="I61" t="e">
        <f>IF(#REF!="Case Cancelled",1,IF(#REF!="No Cases",2,0))</f>
        <v>#REF!</v>
      </c>
      <c r="J61" t="e">
        <f>#REF!</f>
        <v>#REF!</v>
      </c>
      <c r="K61" s="4" t="e">
        <f>#REF!</f>
        <v>#REF!</v>
      </c>
      <c r="L61" t="e">
        <f>"Wk "&amp;WEEKNUM(tbl_Case_mins[[#This Row],[Surgery Start Date]],21)</f>
        <v>#REF!</v>
      </c>
      <c r="M61" t="e">
        <f>TEXT(tbl_Case_mins[[#This Row],[Surgery Start Date]],"ddd")</f>
        <v>#REF!</v>
      </c>
      <c r="N61" s="9" t="e">
        <f>(#REF!-TIME(0,0,0))*1440</f>
        <v>#REF!</v>
      </c>
      <c r="O61" t="e">
        <f>IF(AND(ROUND((#REF!-TIME(0,0,0))*1440,0)&gt;0,ROUND((#REF!-TIME(0,0,0))*1440,0)&lt;tbl_Case_mins[[#This Row],[Patient Called]],tbl_Case_mins[[#This Row],[Surgery End Date]]&gt;tbl_Case_mins[[#This Row],[Surgery Start Date]]),ROUND((#REF!-TIME(0,0,0))*1440,0)+1440,ROUND((#REF!-TIME(0,0,0))*1440,0))</f>
        <v>#REF!</v>
      </c>
      <c r="P61" s="9" t="e">
        <f>IF(AND(ROUND((#REF!-TIME(0,0,0))*1440,0)&gt;0,ROUND((#REF!-TIME(0,0,0))*1440,0)&lt;tbl_Case_mins[[#This Row],[Arrival]],tbl_Case_mins[[#This Row],[Surgery End Date]]&gt;tbl_Case_mins[[#This Row],[Surgery Start Date]]),ROUND((#REF!-TIME(0,0,0))*1440,0)+1440,ROUND((#REF!-TIME(0,0,0))*1440,0))</f>
        <v>#REF!</v>
      </c>
      <c r="Q61" s="9" t="e">
        <f>IF(AND(ROUND((#REF!-TIME(0,0,0))*1440,0)&gt;0,ROUND((#REF!-TIME(0,0,0))*1440,0)&lt;tbl_Case_mins[[#This Row],[Into Th or AR]],tbl_Case_mins[[#This Row],[Surgery End Date]]&gt;tbl_Case_mins[[#This Row],[Surgery Start Date]]),ROUND((#REF!-TIME(0,0,0))*1440,0)+1440,ROUND((#REF!-TIME(0,0,0))*1440,0))</f>
        <v>#REF!</v>
      </c>
      <c r="R61" s="9" t="e">
        <f>IF(AND(ROUND((#REF!-TIME(0,0,0))*1440,0)&gt;0,ROUND((#REF!-TIME(0,0,0))*1440,0)&lt;tbl_Case_mins[[#This Row],[AnaesthStart]],tbl_Case_mins[[#This Row],[Surgery End Date]]&gt;tbl_Case_mins[[#This Row],[Surgery Start Date]]),ROUND((#REF!-TIME(0,0,0))*1440,0)+1440,ROUND((#REF!-TIME(0,0,0))*1440,0))</f>
        <v>#REF!</v>
      </c>
      <c r="S61" s="9" t="e">
        <f>IF(AND(ROUND((#REF!-TIME(0,0,0))*1440,0),ROUND((#REF!-TIME(0,0,0))*1440,0)&lt;tbl_Case_mins[[#This Row],[Surgery Start]],tbl_Case_mins[[#This Row],[Surgery End Date]]&gt;tbl_Case_mins[[#This Row],[Surgery Start Date]]),ROUND((#REF!-TIME(0,0,0))*1440,0)+1440,ROUND((#REF!-TIME(0,0,0))*1440,0))</f>
        <v>#REF!</v>
      </c>
      <c r="T61" s="9" t="e">
        <f>IF(AND(ROUND((#REF!-TIME(0,0,0))*1440,0)&gt;0,ROUND((#REF!-TIME(0,0,0))*1440,0)&lt;tbl_Case_mins[[#This Row],[Surgery Finish]],tbl_Case_mins[[#This Row],[Surgery End Date]]&gt;tbl_Case_mins[[#This Row],[Surgery Start Date]]),ROUND((#REF!-TIME(0,0,0))*1440,0)+1440,ROUND((#REF!-TIME(0,0,0))*1440,0))</f>
        <v>#REF!</v>
      </c>
      <c r="U61" s="9" t="e">
        <f>IF(AND(ROUND((#REF!-TIME(0,0,0))*1440,0)&gt;0,ROUND((#REF!-TIME(0,0,0))*1440,0)&lt;tbl_Case_mins[[#This Row],[Anaesth End]],tbl_Case_mins[[#This Row],[Surgery End Date]]&gt;tbl_Case_mins[[#This Row],[Surgery Start Date]]),ROUND((#REF!-TIME(0,0,0))*1440,0)+1440,ROUND((#REF!-TIME(0,0,0))*1440,0))</f>
        <v>#REF!</v>
      </c>
      <c r="V61" s="9" t="e">
        <f>IF(AND(ROUND((#REF!-TIME(0,0,0))*1440,0)&gt;0,ROUND((#REF!-TIME(0,0,0))*1440,0)&lt;tbl_Case_mins[[#This Row],[Into Recov]],tbl_Case_mins[[#This Row],[Surgery End Date]]&gt;tbl_Case_mins[[#This Row],[Surgery Start Date]]),ROUND((#REF!-TIME(0,0,0))*1440,0)+1440,ROUND((#REF!-TIME(0,0,0))*1440,0))</f>
        <v>#REF!</v>
      </c>
      <c r="W61" s="9" t="e">
        <f>IF(AND(ROUND((#REF!-TIME(0,0,0))*1440,0)&gt;0,ROUND((#REF!-TIME(0,0,0))*1440,0)&lt;tbl_Case_mins[[#This Row],[Ward Called]],tbl_Case_mins[[#This Row],[Surgery End Date]]&gt;tbl_Case_mins[[#This Row],[Surgery Start Date]]),ROUND((#REF!-TIME(0,0,0))*1440,0)+1440,ROUND((#REF!-TIME(0,0,0))*1440,0))</f>
        <v>#REF!</v>
      </c>
      <c r="X61" s="4" t="e">
        <f>IF(ISBLANK(#REF!),tbl_Case_mins[[#This Row],[Surgery Start Date]],#REF!)</f>
        <v>#REF!</v>
      </c>
      <c r="Y61">
        <f>IFERROR(IF(VLOOKUP(tbl_Case_mins[[#This Row],[Theatre]],'Mng Theatres'!$C$7:$G$12,3,FALSE)="Yes","Yes","No"),0)</f>
        <v>0</v>
      </c>
      <c r="Z61" s="9" t="e" cm="1">
        <f t="array" ref="Z6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1" s="9" t="e" cm="1">
        <f t="array" ref="AA6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1" s="9" t="e">
        <f>IF(tbl_Case_mins[[#This Row],[Case Type]]="Unsch",1,0)</f>
        <v>#REF!</v>
      </c>
      <c r="AD61" s="9" t="e">
        <f>IF(tbl_Case_mins[[#This Row],[Case Type]]="Sch",1,0)</f>
        <v>#REF!</v>
      </c>
      <c r="AE6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1" s="9">
        <f>IFERROR(IF(ISBLANK(INDEX(Am_Close,MATCH(1,INDEX((tbl_Case_mins[[#This Row],[Theatre]]=Theatre_No)*(tbl_Case_mins[[#This Row],[Surgery Start Date]]=Date),0,1),0))*1440),0,INDEX(Am_Close,MATCH(1,INDEX((tbl_Case_mins[[#This Row],[Theatre]]=Theatre_No)*(tbl_Case_mins[[#This Row],[Surgery Start Date]]=Date),0,1),0))*1440),0)</f>
        <v>0</v>
      </c>
      <c r="AG61" s="9">
        <f>IFERROR(IF(ISBLANK(INDEX(PM_Open,MATCH(1,INDEX((tbl_Case_mins[[#This Row],[Theatre]]=Theatre_No)*(tbl_Case_mins[[#This Row],[Surgery Start Date]]=Date),0,1),0))*1440),0,INDEX(PM_Open,MATCH(1,INDEX((tbl_Case_mins[[#This Row],[Theatre]]=Theatre_No)*(tbl_Case_mins[[#This Row],[Surgery Start Date]]=Date),0,1),0))*1440),0)</f>
        <v>0</v>
      </c>
      <c r="AH6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1" s="9" t="e">
        <f>IF(tbl_Case_mins[[#This Row],[ThOpenAm]]=0,tbl_Case_mins[[#This Row],[ThOpenPM]],tbl_Case_mins[[#This Row],[ThOpenAm]])</f>
        <v>#REF!</v>
      </c>
      <c r="AJ61" s="9" t="e">
        <f>IF(tbl_Case_mins[[#This Row],[ThCloseAm]]&gt;0,IF(tbl_Case_mins[[#This Row],[ThOpenPM]]&gt;0,tbl_Case_mins[[#This Row],[ThClosePm]],tbl_Case_mins[[#This Row],[ThCloseAm]]),tbl_Case_mins[[#This Row],[ThClosePm]])</f>
        <v>#REF!</v>
      </c>
      <c r="AK61" s="9" t="e">
        <f>IF(tbl_Case_mins[[#This Row],[TOT]]&gt;0,1,0)</f>
        <v>#REF!</v>
      </c>
      <c r="AL6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1" s="9" t="e">
        <f>IF(AND(tbl_Case_mins[[#This Row],[Surgery Status]]&lt;&gt;2,tbl_Case_mins[[#This Row],[InCoreCase]]=0,tbl_Case_mins[[#This Row],[CancelledCase]]=0),1,0)</f>
        <v>#REF!</v>
      </c>
      <c r="AN61" s="9" t="e">
        <f>IF(tbl_Case_mins[[#This Row],[Surgery Status]]=1,1,0)</f>
        <v>#REF!</v>
      </c>
      <c r="AO6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1" s="9" t="e">
        <f>IF(AND(tbl_Case_mins[[#This Row],[NonCoreCase]]=1,tbl_Case_mins[[#This Row],[NoInCoreTime]]=0),1,0)</f>
        <v>#REF!</v>
      </c>
      <c r="AQ61" s="9" t="e">
        <f>IF(tbl_Case_mins[[#This Row],[Rank_AnaEnd]]&lt;tbl_Case_mins[[#This Row],[Rank_AnaSt]],1,0)</f>
        <v>#REF!</v>
      </c>
      <c r="AR61" s="9" t="e">
        <f>IF(AND(tbl_Case_mins[[#This Row],[InCoreCase]]=1,tbl_Case_mins[[#This Row],[Sch]]=1),1,0)</f>
        <v>#REF!</v>
      </c>
      <c r="AS61" s="9" t="e">
        <f>IF(AND(tbl_Case_mins[[#This Row],[InCoreCase]]=1,tbl_Case_mins[[#This Row],[Unsch]]=1),1,0)</f>
        <v>#REF!</v>
      </c>
      <c r="AT6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1" s="9" t="e">
        <f>IF(tbl_Case_mins[[#This Row],[Surgery Status]]=0,(tbl_Case_mins[[#This Row],[Anaesth End]]-tbl_Case_mins[[#This Row],[AnaesthStart]]),0)</f>
        <v>#REF!</v>
      </c>
      <c r="AX61" s="9" t="e">
        <f>IF(tbl_Case_mins[[#This Row],[Surgery Status]]=0,(tbl_Case_mins[[#This Row],[Surgery Finish]]-tbl_Case_mins[[#This Row],[Surgery Start]]),0)</f>
        <v>#REF!</v>
      </c>
      <c r="AY61" s="9" t="e">
        <f>tbl_Case_mins[[#This Row],[Surgery Start]]-tbl_Case_mins[[#This Row],[AnaesthStart]]</f>
        <v>#REF!</v>
      </c>
      <c r="AZ61" s="9" t="e">
        <f>tbl_Case_mins[[#This Row],[Anaesth End]]-tbl_Case_mins[[#This Row],[Surgery Finish]]</f>
        <v>#REF!</v>
      </c>
      <c r="BA6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1" s="16" cm="1">
        <f t="array" ref="BC6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1" s="16" t="e">
        <f>IF(AND(tbl_Case_mins[[#This Row],[FirstAMCase]]=1,tbl_Case_mins[[#This Row],[CancelledCase]]=0,OR(tbl_Case_mins[[#This Row],[EarlyStartAM]]&gt;0,tbl_Case_mins[[#This Row],[AnaesthStart]]=tbl_Case_mins[[#This Row],[ThOpenAm]])),1,0)</f>
        <v>#REF!</v>
      </c>
      <c r="BE61" s="16" t="e">
        <f>IF(AND(tbl_Case_mins[[#This Row],[Rank_AnaSt]]=tbl_Case_mins[[#This Row],[Min_RankAnaSt]],tbl_Case_mins[[#This Row],[Anaesth End]]&gt;=tbl_Case_mins[[#This Row],[ThOpenAm]],tbl_Case_mins[[#This Row],[PmCase]]=0),1,0)</f>
        <v>#REF!</v>
      </c>
      <c r="BF6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1" s="9" t="e" cm="1">
        <f t="array" ref="BH6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1" s="9" t="e">
        <f>IF(AND(tbl_Case_mins[[#This Row],[ThOpenPM]]&gt;0,tbl_Case_mins[[#This Row],[AnaesthStart]]&gt;tbl_Case_mins[[#This Row],[ThOpenPM]],tbl_Case_mins[[#This Row],[First PM Case]]=1),tbl_Case_mins[[#This Row],[AnaesthStart]]-tbl_Case_mins[[#This Row],[ThOpenPM]],0)</f>
        <v>#REF!</v>
      </c>
      <c r="BL6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1" s="9" t="e" cm="1">
        <f t="array" ref="BN6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1" s="9" t="e">
        <f>IF(AND(tbl_Case_mins[[#This Row],[ThClosePm]]&gt;0,tbl_Case_mins[[#This Row],[Anaesth End]]&gt;tbl_Case_mins[[#This Row],[ThClosePm]],tbl_Case_mins[[#This Row],[AnaesthStart]]&gt;tbl_Case_mins[[#This Row],[ThClosePm]]),tbl_Case_mins[[#This Row],[Into Recov]]-tbl_Case_mins[[#This Row],[AnaesthStart]],0)</f>
        <v>#REF!</v>
      </c>
      <c r="BP61" s="9" t="e">
        <f>IF(AND(tbl_Case_mins[[#This Row],[AnaesthStart]]&lt;tbl_Case_mins[[#This Row],[ThClosePm]],tbl_Case_mins[[#This Row],[Anaesth End]]&gt;tbl_Case_mins[[#This Row],[ThClosePm]]),tbl_Case_mins[[#This Row],[Anaesth End]]-tbl_Case_mins[[#This Row],[ThClosePm]],0)</f>
        <v>#REF!</v>
      </c>
      <c r="BQ61" s="9" t="e" cm="1">
        <f t="array" ref="BQ6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1" s="9" t="e" cm="1">
        <f t="array" ref="BR61">IF(tbl_Case_mins[[#This Row],[Rank_Adjust]]=SUMPRODUCT(-(tbl_Case_mins[Surgery Start Date]=tbl_Case_mins[[#This Row],[Surgery Start Date]]),-(tbl_Case_mins[Theatre]=tbl_Case_mins[[#This Row],[Theatre]])),INDEX(Poss_Time,MATCH(TEXT(tbl_Case_mins[[#This Row],[Surgery Start Date]],"ddd"),Day,0)),0)</f>
        <v>#REF!</v>
      </c>
      <c r="BS61" s="9" t="e">
        <f>tbl_Case_mins[[#This Row],[Core_Time]]*Util_Goal</f>
        <v>#REF!</v>
      </c>
      <c r="BT61" s="9" t="e" cm="1">
        <f t="array" ref="BT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1" s="9" t="e" cm="1">
        <f t="array" ref="BU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1" s="9" t="e">
        <f>IF(tbl_Case_mins[[#This Row],[Surgery End Date]]&gt;tbl_Case_mins[[#This Row],[Surgery Start Date]],tbl_Case_mins[[#This Row],[Anaesth End]]-1440,0)</f>
        <v>#REF!</v>
      </c>
      <c r="BY61" s="9" t="e">
        <f>tbl_Case_mins[[#This Row],[Total_NonCore]]-tbl_Case_mins[[#This Row],[NextDay_NonCore]]</f>
        <v>#REF!</v>
      </c>
      <c r="BZ61" s="10" t="e">
        <f>tbl_Case_mins[[#This Row],[InCoreUse]]/60</f>
        <v>#REF!</v>
      </c>
      <c r="CA61" s="10" t="e">
        <f>tbl_Case_mins[[#This Row],[Total_NonCore]]/60</f>
        <v>#REF!</v>
      </c>
      <c r="CB61" t="e" cm="1">
        <f t="array" ref="CB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1" s="9" t="e" cm="1">
        <f t="array" ref="CC6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1" s="9" t="e" cm="1">
        <f t="array" ref="CD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1" s="9" t="e" cm="1">
        <f t="array" ref="CE6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1" s="9" cm="1">
        <f t="array" ref="CF61">IFERROR(_xlfn.AGGREGATE(14,6,(tbl_Case_mins[Rank_AnaEnd])/((tbl_Case_mins[Surgery Start Date]=tbl_Case_mins[[#This Row],[Surgery Start Date]])*(tbl_Case_mins[Theatre]=tbl_Case_mins[[#This Row],[Theatre]])*(tbl_Case_mins[NoInCoreTime]=0)),1),-1)</f>
        <v>-1</v>
      </c>
      <c r="CG61" s="9" cm="1">
        <f t="array" ref="CG61">IFERROR(_xlfn.AGGREGATE(15,6,(tbl_Case_mins[Rank_AnaSt])/((tbl_Case_mins[Surgery Start Date]=tbl_Case_mins[[#This Row],[Surgery Start Date]])*(tbl_Case_mins[Theatre]=tbl_Case_mins[[#This Row],[Theatre]])*(tbl_Case_mins[NoInCoreTime]=0)),1),-1)</f>
        <v>-1</v>
      </c>
      <c r="CH6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1" t="e" cm="1">
        <f t="array" ref="CJ6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1" s="9" cm="1">
        <f t="array" ref="CO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1" s="9" cm="1">
        <f t="array" ref="CP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1" s="9" cm="1">
        <f t="array" ref="CQ61">IFERROR(IF(AND(tbl_Case_mins[[#This Row],[FirstAMCase]]=0,tbl_Case_mins[[#This Row],[Rank]]=_xlfn.AGGREGATE(14,6,(tbl_Case_mins[Rank])/((tbl_Case_mins[Surgery Start Date]=tbl_Case_mins[[#This Row],[Surgery Start Date]])*(tbl_Case_mins[Theatre]=tbl_Case_mins[[#This Row],[Theatre]])*(tbl_Case_mins[AmCase]=1)),1)),1,0),0)</f>
        <v>0</v>
      </c>
      <c r="CR61" s="9" cm="1">
        <f t="array" ref="CR6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1" s="9" t="e" cm="1">
        <f t="array" ref="CS6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1" s="9" cm="1">
        <f t="array" ref="CT61">IFERROR(IF(tbl_Case_mins[[#This Row],[Rank]]=_xlfn.AGGREGATE(15,6,(tbl_Case_mins[Rank])/((tbl_Case_mins[Surgery Start Date]=tbl_Case_mins[[#This Row],[Surgery Start Date]])*(tbl_Case_mins[Theatre]=tbl_Case_mins[[#This Row],[Theatre]])*(tbl_Case_mins[PmCase]=1)),1),1,0),0)</f>
        <v>0</v>
      </c>
      <c r="CU61">
        <f>IFERROR(#REF!,0)</f>
        <v>0</v>
      </c>
      <c r="CV61" s="9" t="e" cm="1">
        <f t="array" ref="CV6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1" s="9">
        <f>IFERROR(IF(ISBLANK(INDEX(Bay_AmClose,MATCH(1,INDEX((tbl_Case_mins[[#This Row],[Bay]]=BayNo)*(tbl_Case_mins[[#This Row],[Surgery Start Date]]=BDate),0,1),0))*1440),0,INDEX(Bay_AmClose,MATCH(1,INDEX((tbl_Case_mins[[#This Row],[Bay]]=BayNo)*(tbl_Case_mins[[#This Row],[Surgery Start Date]]=BDate),0,1),0))*1440),0)</f>
        <v>0</v>
      </c>
      <c r="CX61" s="9" cm="1">
        <f t="array" ref="CX61">IFERROR(IF(ISBLANK(INDEX(Bay_PmOpen,MATCH(1,INDEX((tbl_Case_mins[[#This Row],[Bay]]=BayNo)*(tbl_Case_mins[[#This Row],[Surgery Start Date]]=BDate),0,1),0))*1440),0,INDEX(Bay_PmOpen,MATCH(1,INDEX((tbl_Case_mins[[#This Row],[Bay]]=BayNo)*(tbl_Case_mins[[#This Row],[Surgery Start Date]]=BDate),0,1),0))*1440),0)</f>
        <v>0</v>
      </c>
      <c r="CY6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1" s="9"/>
    </row>
    <row r="62" spans="1:104" x14ac:dyDescent="0.2">
      <c r="A62">
        <v>61</v>
      </c>
      <c r="B62" t="e">
        <f>#REF!</f>
        <v>#REF!</v>
      </c>
      <c r="C62" t="e">
        <f>#REF!</f>
        <v>#REF!</v>
      </c>
      <c r="D62" t="e">
        <f>#REF!</f>
        <v>#REF!</v>
      </c>
      <c r="E62" t="e">
        <f>#REF!</f>
        <v>#REF!</v>
      </c>
      <c r="F62" t="e">
        <f>#REF!</f>
        <v>#REF!</v>
      </c>
      <c r="G62" t="e">
        <f>#REF!</f>
        <v>#REF!</v>
      </c>
      <c r="H62" t="e">
        <f>#REF!</f>
        <v>#REF!</v>
      </c>
      <c r="I62" t="e">
        <f>IF(#REF!="Case Cancelled",1,IF(#REF!="No Cases",2,0))</f>
        <v>#REF!</v>
      </c>
      <c r="J62" t="e">
        <f>#REF!</f>
        <v>#REF!</v>
      </c>
      <c r="K62" s="4" t="e">
        <f>#REF!</f>
        <v>#REF!</v>
      </c>
      <c r="L62" t="e">
        <f>"Wk "&amp;WEEKNUM(tbl_Case_mins[[#This Row],[Surgery Start Date]],21)</f>
        <v>#REF!</v>
      </c>
      <c r="M62" t="e">
        <f>TEXT(tbl_Case_mins[[#This Row],[Surgery Start Date]],"ddd")</f>
        <v>#REF!</v>
      </c>
      <c r="N62" s="9" t="e">
        <f>(#REF!-TIME(0,0,0))*1440</f>
        <v>#REF!</v>
      </c>
      <c r="O62" t="e">
        <f>IF(AND(ROUND((#REF!-TIME(0,0,0))*1440,0)&gt;0,ROUND((#REF!-TIME(0,0,0))*1440,0)&lt;tbl_Case_mins[[#This Row],[Patient Called]],tbl_Case_mins[[#This Row],[Surgery End Date]]&gt;tbl_Case_mins[[#This Row],[Surgery Start Date]]),ROUND((#REF!-TIME(0,0,0))*1440,0)+1440,ROUND((#REF!-TIME(0,0,0))*1440,0))</f>
        <v>#REF!</v>
      </c>
      <c r="P62" s="9" t="e">
        <f>IF(AND(ROUND((#REF!-TIME(0,0,0))*1440,0)&gt;0,ROUND((#REF!-TIME(0,0,0))*1440,0)&lt;tbl_Case_mins[[#This Row],[Arrival]],tbl_Case_mins[[#This Row],[Surgery End Date]]&gt;tbl_Case_mins[[#This Row],[Surgery Start Date]]),ROUND((#REF!-TIME(0,0,0))*1440,0)+1440,ROUND((#REF!-TIME(0,0,0))*1440,0))</f>
        <v>#REF!</v>
      </c>
      <c r="Q62" s="9" t="e">
        <f>IF(AND(ROUND((#REF!-TIME(0,0,0))*1440,0)&gt;0,ROUND((#REF!-TIME(0,0,0))*1440,0)&lt;tbl_Case_mins[[#This Row],[Into Th or AR]],tbl_Case_mins[[#This Row],[Surgery End Date]]&gt;tbl_Case_mins[[#This Row],[Surgery Start Date]]),ROUND((#REF!-TIME(0,0,0))*1440,0)+1440,ROUND((#REF!-TIME(0,0,0))*1440,0))</f>
        <v>#REF!</v>
      </c>
      <c r="R62" s="9" t="e">
        <f>IF(AND(ROUND((#REF!-TIME(0,0,0))*1440,0)&gt;0,ROUND((#REF!-TIME(0,0,0))*1440,0)&lt;tbl_Case_mins[[#This Row],[AnaesthStart]],tbl_Case_mins[[#This Row],[Surgery End Date]]&gt;tbl_Case_mins[[#This Row],[Surgery Start Date]]),ROUND((#REF!-TIME(0,0,0))*1440,0)+1440,ROUND((#REF!-TIME(0,0,0))*1440,0))</f>
        <v>#REF!</v>
      </c>
      <c r="S62" s="9" t="e">
        <f>IF(AND(ROUND((#REF!-TIME(0,0,0))*1440,0),ROUND((#REF!-TIME(0,0,0))*1440,0)&lt;tbl_Case_mins[[#This Row],[Surgery Start]],tbl_Case_mins[[#This Row],[Surgery End Date]]&gt;tbl_Case_mins[[#This Row],[Surgery Start Date]]),ROUND((#REF!-TIME(0,0,0))*1440,0)+1440,ROUND((#REF!-TIME(0,0,0))*1440,0))</f>
        <v>#REF!</v>
      </c>
      <c r="T62" s="9" t="e">
        <f>IF(AND(ROUND((#REF!-TIME(0,0,0))*1440,0)&gt;0,ROUND((#REF!-TIME(0,0,0))*1440,0)&lt;tbl_Case_mins[[#This Row],[Surgery Finish]],tbl_Case_mins[[#This Row],[Surgery End Date]]&gt;tbl_Case_mins[[#This Row],[Surgery Start Date]]),ROUND((#REF!-TIME(0,0,0))*1440,0)+1440,ROUND((#REF!-TIME(0,0,0))*1440,0))</f>
        <v>#REF!</v>
      </c>
      <c r="U62" s="9" t="e">
        <f>IF(AND(ROUND((#REF!-TIME(0,0,0))*1440,0)&gt;0,ROUND((#REF!-TIME(0,0,0))*1440,0)&lt;tbl_Case_mins[[#This Row],[Anaesth End]],tbl_Case_mins[[#This Row],[Surgery End Date]]&gt;tbl_Case_mins[[#This Row],[Surgery Start Date]]),ROUND((#REF!-TIME(0,0,0))*1440,0)+1440,ROUND((#REF!-TIME(0,0,0))*1440,0))</f>
        <v>#REF!</v>
      </c>
      <c r="V62" s="9" t="e">
        <f>IF(AND(ROUND((#REF!-TIME(0,0,0))*1440,0)&gt;0,ROUND((#REF!-TIME(0,0,0))*1440,0)&lt;tbl_Case_mins[[#This Row],[Into Recov]],tbl_Case_mins[[#This Row],[Surgery End Date]]&gt;tbl_Case_mins[[#This Row],[Surgery Start Date]]),ROUND((#REF!-TIME(0,0,0))*1440,0)+1440,ROUND((#REF!-TIME(0,0,0))*1440,0))</f>
        <v>#REF!</v>
      </c>
      <c r="W62" s="9" t="e">
        <f>IF(AND(ROUND((#REF!-TIME(0,0,0))*1440,0)&gt;0,ROUND((#REF!-TIME(0,0,0))*1440,0)&lt;tbl_Case_mins[[#This Row],[Ward Called]],tbl_Case_mins[[#This Row],[Surgery End Date]]&gt;tbl_Case_mins[[#This Row],[Surgery Start Date]]),ROUND((#REF!-TIME(0,0,0))*1440,0)+1440,ROUND((#REF!-TIME(0,0,0))*1440,0))</f>
        <v>#REF!</v>
      </c>
      <c r="X62" s="4" t="e">
        <f>IF(ISBLANK(#REF!),tbl_Case_mins[[#This Row],[Surgery Start Date]],#REF!)</f>
        <v>#REF!</v>
      </c>
      <c r="Y62">
        <f>IFERROR(IF(VLOOKUP(tbl_Case_mins[[#This Row],[Theatre]],'Mng Theatres'!$C$7:$G$12,3,FALSE)="Yes","Yes","No"),0)</f>
        <v>0</v>
      </c>
      <c r="Z62" s="9" t="e" cm="1">
        <f t="array" ref="Z6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2" s="9" t="e" cm="1">
        <f t="array" ref="AA6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2" s="9" t="e">
        <f>IF(tbl_Case_mins[[#This Row],[Case Type]]="Unsch",1,0)</f>
        <v>#REF!</v>
      </c>
      <c r="AD62" s="9" t="e">
        <f>IF(tbl_Case_mins[[#This Row],[Case Type]]="Sch",1,0)</f>
        <v>#REF!</v>
      </c>
      <c r="AE6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2" s="9">
        <f>IFERROR(IF(ISBLANK(INDEX(Am_Close,MATCH(1,INDEX((tbl_Case_mins[[#This Row],[Theatre]]=Theatre_No)*(tbl_Case_mins[[#This Row],[Surgery Start Date]]=Date),0,1),0))*1440),0,INDEX(Am_Close,MATCH(1,INDEX((tbl_Case_mins[[#This Row],[Theatre]]=Theatre_No)*(tbl_Case_mins[[#This Row],[Surgery Start Date]]=Date),0,1),0))*1440),0)</f>
        <v>0</v>
      </c>
      <c r="AG62" s="9">
        <f>IFERROR(IF(ISBLANK(INDEX(PM_Open,MATCH(1,INDEX((tbl_Case_mins[[#This Row],[Theatre]]=Theatre_No)*(tbl_Case_mins[[#This Row],[Surgery Start Date]]=Date),0,1),0))*1440),0,INDEX(PM_Open,MATCH(1,INDEX((tbl_Case_mins[[#This Row],[Theatre]]=Theatre_No)*(tbl_Case_mins[[#This Row],[Surgery Start Date]]=Date),0,1),0))*1440),0)</f>
        <v>0</v>
      </c>
      <c r="AH6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2" s="9" t="e">
        <f>IF(tbl_Case_mins[[#This Row],[ThOpenAm]]=0,tbl_Case_mins[[#This Row],[ThOpenPM]],tbl_Case_mins[[#This Row],[ThOpenAm]])</f>
        <v>#REF!</v>
      </c>
      <c r="AJ62" s="9" t="e">
        <f>IF(tbl_Case_mins[[#This Row],[ThCloseAm]]&gt;0,IF(tbl_Case_mins[[#This Row],[ThOpenPM]]&gt;0,tbl_Case_mins[[#This Row],[ThClosePm]],tbl_Case_mins[[#This Row],[ThCloseAm]]),tbl_Case_mins[[#This Row],[ThClosePm]])</f>
        <v>#REF!</v>
      </c>
      <c r="AK62" s="9" t="e">
        <f>IF(tbl_Case_mins[[#This Row],[TOT]]&gt;0,1,0)</f>
        <v>#REF!</v>
      </c>
      <c r="AL6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2" s="9" t="e">
        <f>IF(AND(tbl_Case_mins[[#This Row],[Surgery Status]]&lt;&gt;2,tbl_Case_mins[[#This Row],[InCoreCase]]=0,tbl_Case_mins[[#This Row],[CancelledCase]]=0),1,0)</f>
        <v>#REF!</v>
      </c>
      <c r="AN62" s="9" t="e">
        <f>IF(tbl_Case_mins[[#This Row],[Surgery Status]]=1,1,0)</f>
        <v>#REF!</v>
      </c>
      <c r="AO6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2" s="9" t="e">
        <f>IF(AND(tbl_Case_mins[[#This Row],[NonCoreCase]]=1,tbl_Case_mins[[#This Row],[NoInCoreTime]]=0),1,0)</f>
        <v>#REF!</v>
      </c>
      <c r="AQ62" s="9" t="e">
        <f>IF(tbl_Case_mins[[#This Row],[Rank_AnaEnd]]&lt;tbl_Case_mins[[#This Row],[Rank_AnaSt]],1,0)</f>
        <v>#REF!</v>
      </c>
      <c r="AR62" s="9" t="e">
        <f>IF(AND(tbl_Case_mins[[#This Row],[InCoreCase]]=1,tbl_Case_mins[[#This Row],[Sch]]=1),1,0)</f>
        <v>#REF!</v>
      </c>
      <c r="AS62" s="9" t="e">
        <f>IF(AND(tbl_Case_mins[[#This Row],[InCoreCase]]=1,tbl_Case_mins[[#This Row],[Unsch]]=1),1,0)</f>
        <v>#REF!</v>
      </c>
      <c r="AT6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2" s="9" t="e">
        <f>IF(tbl_Case_mins[[#This Row],[Surgery Status]]=0,(tbl_Case_mins[[#This Row],[Anaesth End]]-tbl_Case_mins[[#This Row],[AnaesthStart]]),0)</f>
        <v>#REF!</v>
      </c>
      <c r="AX62" s="9" t="e">
        <f>IF(tbl_Case_mins[[#This Row],[Surgery Status]]=0,(tbl_Case_mins[[#This Row],[Surgery Finish]]-tbl_Case_mins[[#This Row],[Surgery Start]]),0)</f>
        <v>#REF!</v>
      </c>
      <c r="AY62" s="9" t="e">
        <f>tbl_Case_mins[[#This Row],[Surgery Start]]-tbl_Case_mins[[#This Row],[AnaesthStart]]</f>
        <v>#REF!</v>
      </c>
      <c r="AZ62" s="9" t="e">
        <f>tbl_Case_mins[[#This Row],[Anaesth End]]-tbl_Case_mins[[#This Row],[Surgery Finish]]</f>
        <v>#REF!</v>
      </c>
      <c r="BA6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2" s="16" cm="1">
        <f t="array" ref="BC6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2" s="16" t="e">
        <f>IF(AND(tbl_Case_mins[[#This Row],[FirstAMCase]]=1,tbl_Case_mins[[#This Row],[CancelledCase]]=0,OR(tbl_Case_mins[[#This Row],[EarlyStartAM]]&gt;0,tbl_Case_mins[[#This Row],[AnaesthStart]]=tbl_Case_mins[[#This Row],[ThOpenAm]])),1,0)</f>
        <v>#REF!</v>
      </c>
      <c r="BE62" s="16" t="e">
        <f>IF(AND(tbl_Case_mins[[#This Row],[Rank_AnaSt]]=tbl_Case_mins[[#This Row],[Min_RankAnaSt]],tbl_Case_mins[[#This Row],[Anaesth End]]&gt;=tbl_Case_mins[[#This Row],[ThOpenAm]],tbl_Case_mins[[#This Row],[PmCase]]=0),1,0)</f>
        <v>#REF!</v>
      </c>
      <c r="BF6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2" s="9" t="e" cm="1">
        <f t="array" ref="BH6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2" s="9" t="e">
        <f>IF(AND(tbl_Case_mins[[#This Row],[ThOpenPM]]&gt;0,tbl_Case_mins[[#This Row],[AnaesthStart]]&gt;tbl_Case_mins[[#This Row],[ThOpenPM]],tbl_Case_mins[[#This Row],[First PM Case]]=1),tbl_Case_mins[[#This Row],[AnaesthStart]]-tbl_Case_mins[[#This Row],[ThOpenPM]],0)</f>
        <v>#REF!</v>
      </c>
      <c r="BL6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2" s="9" t="e" cm="1">
        <f t="array" ref="BN6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2" s="9" t="e">
        <f>IF(AND(tbl_Case_mins[[#This Row],[ThClosePm]]&gt;0,tbl_Case_mins[[#This Row],[Anaesth End]]&gt;tbl_Case_mins[[#This Row],[ThClosePm]],tbl_Case_mins[[#This Row],[AnaesthStart]]&gt;tbl_Case_mins[[#This Row],[ThClosePm]]),tbl_Case_mins[[#This Row],[Into Recov]]-tbl_Case_mins[[#This Row],[AnaesthStart]],0)</f>
        <v>#REF!</v>
      </c>
      <c r="BP62" s="9" t="e">
        <f>IF(AND(tbl_Case_mins[[#This Row],[AnaesthStart]]&lt;tbl_Case_mins[[#This Row],[ThClosePm]],tbl_Case_mins[[#This Row],[Anaesth End]]&gt;tbl_Case_mins[[#This Row],[ThClosePm]]),tbl_Case_mins[[#This Row],[Anaesth End]]-tbl_Case_mins[[#This Row],[ThClosePm]],0)</f>
        <v>#REF!</v>
      </c>
      <c r="BQ62" s="9" t="e" cm="1">
        <f t="array" ref="BQ6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2" s="9" t="e" cm="1">
        <f t="array" ref="BR62">IF(tbl_Case_mins[[#This Row],[Rank_Adjust]]=SUMPRODUCT(-(tbl_Case_mins[Surgery Start Date]=tbl_Case_mins[[#This Row],[Surgery Start Date]]),-(tbl_Case_mins[Theatre]=tbl_Case_mins[[#This Row],[Theatre]])),INDEX(Poss_Time,MATCH(TEXT(tbl_Case_mins[[#This Row],[Surgery Start Date]],"ddd"),Day,0)),0)</f>
        <v>#REF!</v>
      </c>
      <c r="BS62" s="9" t="e">
        <f>tbl_Case_mins[[#This Row],[Core_Time]]*Util_Goal</f>
        <v>#REF!</v>
      </c>
      <c r="BT62" s="9" t="e" cm="1">
        <f t="array" ref="BT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2" s="9" t="e" cm="1">
        <f t="array" ref="BU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2" s="9" t="e">
        <f>IF(tbl_Case_mins[[#This Row],[Surgery End Date]]&gt;tbl_Case_mins[[#This Row],[Surgery Start Date]],tbl_Case_mins[[#This Row],[Anaesth End]]-1440,0)</f>
        <v>#REF!</v>
      </c>
      <c r="BY62" s="9" t="e">
        <f>tbl_Case_mins[[#This Row],[Total_NonCore]]-tbl_Case_mins[[#This Row],[NextDay_NonCore]]</f>
        <v>#REF!</v>
      </c>
      <c r="BZ62" s="10" t="e">
        <f>tbl_Case_mins[[#This Row],[InCoreUse]]/60</f>
        <v>#REF!</v>
      </c>
      <c r="CA62" s="10" t="e">
        <f>tbl_Case_mins[[#This Row],[Total_NonCore]]/60</f>
        <v>#REF!</v>
      </c>
      <c r="CB62" t="e" cm="1">
        <f t="array" ref="CB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2" s="9" t="e" cm="1">
        <f t="array" ref="CC6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2" s="9" t="e" cm="1">
        <f t="array" ref="CD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2" s="9" t="e" cm="1">
        <f t="array" ref="CE6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2" s="9" cm="1">
        <f t="array" ref="CF62">IFERROR(_xlfn.AGGREGATE(14,6,(tbl_Case_mins[Rank_AnaEnd])/((tbl_Case_mins[Surgery Start Date]=tbl_Case_mins[[#This Row],[Surgery Start Date]])*(tbl_Case_mins[Theatre]=tbl_Case_mins[[#This Row],[Theatre]])*(tbl_Case_mins[NoInCoreTime]=0)),1),-1)</f>
        <v>-1</v>
      </c>
      <c r="CG62" s="9" cm="1">
        <f t="array" ref="CG62">IFERROR(_xlfn.AGGREGATE(15,6,(tbl_Case_mins[Rank_AnaSt])/((tbl_Case_mins[Surgery Start Date]=tbl_Case_mins[[#This Row],[Surgery Start Date]])*(tbl_Case_mins[Theatre]=tbl_Case_mins[[#This Row],[Theatre]])*(tbl_Case_mins[NoInCoreTime]=0)),1),-1)</f>
        <v>-1</v>
      </c>
      <c r="CH6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2" t="e" cm="1">
        <f t="array" ref="CJ6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2" s="9" cm="1">
        <f t="array" ref="CO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2" s="9" cm="1">
        <f t="array" ref="CP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2" s="9" cm="1">
        <f t="array" ref="CQ62">IFERROR(IF(AND(tbl_Case_mins[[#This Row],[FirstAMCase]]=0,tbl_Case_mins[[#This Row],[Rank]]=_xlfn.AGGREGATE(14,6,(tbl_Case_mins[Rank])/((tbl_Case_mins[Surgery Start Date]=tbl_Case_mins[[#This Row],[Surgery Start Date]])*(tbl_Case_mins[Theatre]=tbl_Case_mins[[#This Row],[Theatre]])*(tbl_Case_mins[AmCase]=1)),1)),1,0),0)</f>
        <v>0</v>
      </c>
      <c r="CR62" s="9" cm="1">
        <f t="array" ref="CR6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2" s="9" t="e" cm="1">
        <f t="array" ref="CS6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2" s="9" cm="1">
        <f t="array" ref="CT62">IFERROR(IF(tbl_Case_mins[[#This Row],[Rank]]=_xlfn.AGGREGATE(15,6,(tbl_Case_mins[Rank])/((tbl_Case_mins[Surgery Start Date]=tbl_Case_mins[[#This Row],[Surgery Start Date]])*(tbl_Case_mins[Theatre]=tbl_Case_mins[[#This Row],[Theatre]])*(tbl_Case_mins[PmCase]=1)),1),1,0),0)</f>
        <v>0</v>
      </c>
      <c r="CU62">
        <f>IFERROR(#REF!,0)</f>
        <v>0</v>
      </c>
      <c r="CV62" s="9" t="e" cm="1">
        <f t="array" ref="CV6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2" s="9">
        <f>IFERROR(IF(ISBLANK(INDEX(Bay_AmClose,MATCH(1,INDEX((tbl_Case_mins[[#This Row],[Bay]]=BayNo)*(tbl_Case_mins[[#This Row],[Surgery Start Date]]=BDate),0,1),0))*1440),0,INDEX(Bay_AmClose,MATCH(1,INDEX((tbl_Case_mins[[#This Row],[Bay]]=BayNo)*(tbl_Case_mins[[#This Row],[Surgery Start Date]]=BDate),0,1),0))*1440),0)</f>
        <v>0</v>
      </c>
      <c r="CX62" s="9" cm="1">
        <f t="array" ref="CX62">IFERROR(IF(ISBLANK(INDEX(Bay_PmOpen,MATCH(1,INDEX((tbl_Case_mins[[#This Row],[Bay]]=BayNo)*(tbl_Case_mins[[#This Row],[Surgery Start Date]]=BDate),0,1),0))*1440),0,INDEX(Bay_PmOpen,MATCH(1,INDEX((tbl_Case_mins[[#This Row],[Bay]]=BayNo)*(tbl_Case_mins[[#This Row],[Surgery Start Date]]=BDate),0,1),0))*1440),0)</f>
        <v>0</v>
      </c>
      <c r="CY6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2" s="9"/>
    </row>
    <row r="63" spans="1:104" x14ac:dyDescent="0.2">
      <c r="A63">
        <v>62</v>
      </c>
      <c r="B63" t="e">
        <f>#REF!</f>
        <v>#REF!</v>
      </c>
      <c r="C63" t="e">
        <f>#REF!</f>
        <v>#REF!</v>
      </c>
      <c r="D63" t="e">
        <f>#REF!</f>
        <v>#REF!</v>
      </c>
      <c r="E63" t="e">
        <f>#REF!</f>
        <v>#REF!</v>
      </c>
      <c r="F63" t="e">
        <f>#REF!</f>
        <v>#REF!</v>
      </c>
      <c r="G63" t="e">
        <f>#REF!</f>
        <v>#REF!</v>
      </c>
      <c r="H63" t="e">
        <f>#REF!</f>
        <v>#REF!</v>
      </c>
      <c r="I63" t="e">
        <f>IF(#REF!="Case Cancelled",1,IF(#REF!="No Cases",2,0))</f>
        <v>#REF!</v>
      </c>
      <c r="J63" t="e">
        <f>#REF!</f>
        <v>#REF!</v>
      </c>
      <c r="K63" s="4" t="e">
        <f>#REF!</f>
        <v>#REF!</v>
      </c>
      <c r="L63" t="e">
        <f>"Wk "&amp;WEEKNUM(tbl_Case_mins[[#This Row],[Surgery Start Date]],21)</f>
        <v>#REF!</v>
      </c>
      <c r="M63" t="e">
        <f>TEXT(tbl_Case_mins[[#This Row],[Surgery Start Date]],"ddd")</f>
        <v>#REF!</v>
      </c>
      <c r="N63" s="9" t="e">
        <f>(#REF!-TIME(0,0,0))*1440</f>
        <v>#REF!</v>
      </c>
      <c r="O63" t="e">
        <f>IF(AND(ROUND((#REF!-TIME(0,0,0))*1440,0)&gt;0,ROUND((#REF!-TIME(0,0,0))*1440,0)&lt;tbl_Case_mins[[#This Row],[Patient Called]],tbl_Case_mins[[#This Row],[Surgery End Date]]&gt;tbl_Case_mins[[#This Row],[Surgery Start Date]]),ROUND((#REF!-TIME(0,0,0))*1440,0)+1440,ROUND((#REF!-TIME(0,0,0))*1440,0))</f>
        <v>#REF!</v>
      </c>
      <c r="P63" s="9" t="e">
        <f>IF(AND(ROUND((#REF!-TIME(0,0,0))*1440,0)&gt;0,ROUND((#REF!-TIME(0,0,0))*1440,0)&lt;tbl_Case_mins[[#This Row],[Arrival]],tbl_Case_mins[[#This Row],[Surgery End Date]]&gt;tbl_Case_mins[[#This Row],[Surgery Start Date]]),ROUND((#REF!-TIME(0,0,0))*1440,0)+1440,ROUND((#REF!-TIME(0,0,0))*1440,0))</f>
        <v>#REF!</v>
      </c>
      <c r="Q63" s="9" t="e">
        <f>IF(AND(ROUND((#REF!-TIME(0,0,0))*1440,0)&gt;0,ROUND((#REF!-TIME(0,0,0))*1440,0)&lt;tbl_Case_mins[[#This Row],[Into Th or AR]],tbl_Case_mins[[#This Row],[Surgery End Date]]&gt;tbl_Case_mins[[#This Row],[Surgery Start Date]]),ROUND((#REF!-TIME(0,0,0))*1440,0)+1440,ROUND((#REF!-TIME(0,0,0))*1440,0))</f>
        <v>#REF!</v>
      </c>
      <c r="R63" s="9" t="e">
        <f>IF(AND(ROUND((#REF!-TIME(0,0,0))*1440,0)&gt;0,ROUND((#REF!-TIME(0,0,0))*1440,0)&lt;tbl_Case_mins[[#This Row],[AnaesthStart]],tbl_Case_mins[[#This Row],[Surgery End Date]]&gt;tbl_Case_mins[[#This Row],[Surgery Start Date]]),ROUND((#REF!-TIME(0,0,0))*1440,0)+1440,ROUND((#REF!-TIME(0,0,0))*1440,0))</f>
        <v>#REF!</v>
      </c>
      <c r="S63" s="9" t="e">
        <f>IF(AND(ROUND((#REF!-TIME(0,0,0))*1440,0),ROUND((#REF!-TIME(0,0,0))*1440,0)&lt;tbl_Case_mins[[#This Row],[Surgery Start]],tbl_Case_mins[[#This Row],[Surgery End Date]]&gt;tbl_Case_mins[[#This Row],[Surgery Start Date]]),ROUND((#REF!-TIME(0,0,0))*1440,0)+1440,ROUND((#REF!-TIME(0,0,0))*1440,0))</f>
        <v>#REF!</v>
      </c>
      <c r="T63" s="9" t="e">
        <f>IF(AND(ROUND((#REF!-TIME(0,0,0))*1440,0)&gt;0,ROUND((#REF!-TIME(0,0,0))*1440,0)&lt;tbl_Case_mins[[#This Row],[Surgery Finish]],tbl_Case_mins[[#This Row],[Surgery End Date]]&gt;tbl_Case_mins[[#This Row],[Surgery Start Date]]),ROUND((#REF!-TIME(0,0,0))*1440,0)+1440,ROUND((#REF!-TIME(0,0,0))*1440,0))</f>
        <v>#REF!</v>
      </c>
      <c r="U63" s="9" t="e">
        <f>IF(AND(ROUND((#REF!-TIME(0,0,0))*1440,0)&gt;0,ROUND((#REF!-TIME(0,0,0))*1440,0)&lt;tbl_Case_mins[[#This Row],[Anaesth End]],tbl_Case_mins[[#This Row],[Surgery End Date]]&gt;tbl_Case_mins[[#This Row],[Surgery Start Date]]),ROUND((#REF!-TIME(0,0,0))*1440,0)+1440,ROUND((#REF!-TIME(0,0,0))*1440,0))</f>
        <v>#REF!</v>
      </c>
      <c r="V63" s="9" t="e">
        <f>IF(AND(ROUND((#REF!-TIME(0,0,0))*1440,0)&gt;0,ROUND((#REF!-TIME(0,0,0))*1440,0)&lt;tbl_Case_mins[[#This Row],[Into Recov]],tbl_Case_mins[[#This Row],[Surgery End Date]]&gt;tbl_Case_mins[[#This Row],[Surgery Start Date]]),ROUND((#REF!-TIME(0,0,0))*1440,0)+1440,ROUND((#REF!-TIME(0,0,0))*1440,0))</f>
        <v>#REF!</v>
      </c>
      <c r="W63" s="9" t="e">
        <f>IF(AND(ROUND((#REF!-TIME(0,0,0))*1440,0)&gt;0,ROUND((#REF!-TIME(0,0,0))*1440,0)&lt;tbl_Case_mins[[#This Row],[Ward Called]],tbl_Case_mins[[#This Row],[Surgery End Date]]&gt;tbl_Case_mins[[#This Row],[Surgery Start Date]]),ROUND((#REF!-TIME(0,0,0))*1440,0)+1440,ROUND((#REF!-TIME(0,0,0))*1440,0))</f>
        <v>#REF!</v>
      </c>
      <c r="X63" s="4" t="e">
        <f>IF(ISBLANK(#REF!),tbl_Case_mins[[#This Row],[Surgery Start Date]],#REF!)</f>
        <v>#REF!</v>
      </c>
      <c r="Y63">
        <f>IFERROR(IF(VLOOKUP(tbl_Case_mins[[#This Row],[Theatre]],'Mng Theatres'!$C$7:$G$12,3,FALSE)="Yes","Yes","No"),0)</f>
        <v>0</v>
      </c>
      <c r="Z63" s="9" t="e" cm="1">
        <f t="array" ref="Z6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3" s="9" t="e" cm="1">
        <f t="array" ref="AA6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3" s="9" t="e">
        <f>IF(tbl_Case_mins[[#This Row],[Case Type]]="Unsch",1,0)</f>
        <v>#REF!</v>
      </c>
      <c r="AD63" s="9" t="e">
        <f>IF(tbl_Case_mins[[#This Row],[Case Type]]="Sch",1,0)</f>
        <v>#REF!</v>
      </c>
      <c r="AE6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3" s="9">
        <f>IFERROR(IF(ISBLANK(INDEX(Am_Close,MATCH(1,INDEX((tbl_Case_mins[[#This Row],[Theatre]]=Theatre_No)*(tbl_Case_mins[[#This Row],[Surgery Start Date]]=Date),0,1),0))*1440),0,INDEX(Am_Close,MATCH(1,INDEX((tbl_Case_mins[[#This Row],[Theatre]]=Theatre_No)*(tbl_Case_mins[[#This Row],[Surgery Start Date]]=Date),0,1),0))*1440),0)</f>
        <v>0</v>
      </c>
      <c r="AG63" s="9">
        <f>IFERROR(IF(ISBLANK(INDEX(PM_Open,MATCH(1,INDEX((tbl_Case_mins[[#This Row],[Theatre]]=Theatre_No)*(tbl_Case_mins[[#This Row],[Surgery Start Date]]=Date),0,1),0))*1440),0,INDEX(PM_Open,MATCH(1,INDEX((tbl_Case_mins[[#This Row],[Theatre]]=Theatre_No)*(tbl_Case_mins[[#This Row],[Surgery Start Date]]=Date),0,1),0))*1440),0)</f>
        <v>0</v>
      </c>
      <c r="AH6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3" s="9" t="e">
        <f>IF(tbl_Case_mins[[#This Row],[ThOpenAm]]=0,tbl_Case_mins[[#This Row],[ThOpenPM]],tbl_Case_mins[[#This Row],[ThOpenAm]])</f>
        <v>#REF!</v>
      </c>
      <c r="AJ63" s="9" t="e">
        <f>IF(tbl_Case_mins[[#This Row],[ThCloseAm]]&gt;0,IF(tbl_Case_mins[[#This Row],[ThOpenPM]]&gt;0,tbl_Case_mins[[#This Row],[ThClosePm]],tbl_Case_mins[[#This Row],[ThCloseAm]]),tbl_Case_mins[[#This Row],[ThClosePm]])</f>
        <v>#REF!</v>
      </c>
      <c r="AK63" s="9" t="e">
        <f>IF(tbl_Case_mins[[#This Row],[TOT]]&gt;0,1,0)</f>
        <v>#REF!</v>
      </c>
      <c r="AL6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3" s="9" t="e">
        <f>IF(AND(tbl_Case_mins[[#This Row],[Surgery Status]]&lt;&gt;2,tbl_Case_mins[[#This Row],[InCoreCase]]=0,tbl_Case_mins[[#This Row],[CancelledCase]]=0),1,0)</f>
        <v>#REF!</v>
      </c>
      <c r="AN63" s="9" t="e">
        <f>IF(tbl_Case_mins[[#This Row],[Surgery Status]]=1,1,0)</f>
        <v>#REF!</v>
      </c>
      <c r="AO6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3" s="9" t="e">
        <f>IF(AND(tbl_Case_mins[[#This Row],[NonCoreCase]]=1,tbl_Case_mins[[#This Row],[NoInCoreTime]]=0),1,0)</f>
        <v>#REF!</v>
      </c>
      <c r="AQ63" s="9" t="e">
        <f>IF(tbl_Case_mins[[#This Row],[Rank_AnaEnd]]&lt;tbl_Case_mins[[#This Row],[Rank_AnaSt]],1,0)</f>
        <v>#REF!</v>
      </c>
      <c r="AR63" s="9" t="e">
        <f>IF(AND(tbl_Case_mins[[#This Row],[InCoreCase]]=1,tbl_Case_mins[[#This Row],[Sch]]=1),1,0)</f>
        <v>#REF!</v>
      </c>
      <c r="AS63" s="9" t="e">
        <f>IF(AND(tbl_Case_mins[[#This Row],[InCoreCase]]=1,tbl_Case_mins[[#This Row],[Unsch]]=1),1,0)</f>
        <v>#REF!</v>
      </c>
      <c r="AT6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3" s="9" t="e">
        <f>IF(tbl_Case_mins[[#This Row],[Surgery Status]]=0,(tbl_Case_mins[[#This Row],[Anaesth End]]-tbl_Case_mins[[#This Row],[AnaesthStart]]),0)</f>
        <v>#REF!</v>
      </c>
      <c r="AX63" s="9" t="e">
        <f>IF(tbl_Case_mins[[#This Row],[Surgery Status]]=0,(tbl_Case_mins[[#This Row],[Surgery Finish]]-tbl_Case_mins[[#This Row],[Surgery Start]]),0)</f>
        <v>#REF!</v>
      </c>
      <c r="AY63" s="9" t="e">
        <f>tbl_Case_mins[[#This Row],[Surgery Start]]-tbl_Case_mins[[#This Row],[AnaesthStart]]</f>
        <v>#REF!</v>
      </c>
      <c r="AZ63" s="9" t="e">
        <f>tbl_Case_mins[[#This Row],[Anaesth End]]-tbl_Case_mins[[#This Row],[Surgery Finish]]</f>
        <v>#REF!</v>
      </c>
      <c r="BA6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3" s="16" cm="1">
        <f t="array" ref="BC6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3" s="16" t="e">
        <f>IF(AND(tbl_Case_mins[[#This Row],[FirstAMCase]]=1,tbl_Case_mins[[#This Row],[CancelledCase]]=0,OR(tbl_Case_mins[[#This Row],[EarlyStartAM]]&gt;0,tbl_Case_mins[[#This Row],[AnaesthStart]]=tbl_Case_mins[[#This Row],[ThOpenAm]])),1,0)</f>
        <v>#REF!</v>
      </c>
      <c r="BE63" s="16" t="e">
        <f>IF(AND(tbl_Case_mins[[#This Row],[Rank_AnaSt]]=tbl_Case_mins[[#This Row],[Min_RankAnaSt]],tbl_Case_mins[[#This Row],[Anaesth End]]&gt;=tbl_Case_mins[[#This Row],[ThOpenAm]],tbl_Case_mins[[#This Row],[PmCase]]=0),1,0)</f>
        <v>#REF!</v>
      </c>
      <c r="BF6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3" s="9" t="e" cm="1">
        <f t="array" ref="BH6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3" s="9" t="e">
        <f>IF(AND(tbl_Case_mins[[#This Row],[ThOpenPM]]&gt;0,tbl_Case_mins[[#This Row],[AnaesthStart]]&gt;tbl_Case_mins[[#This Row],[ThOpenPM]],tbl_Case_mins[[#This Row],[First PM Case]]=1),tbl_Case_mins[[#This Row],[AnaesthStart]]-tbl_Case_mins[[#This Row],[ThOpenPM]],0)</f>
        <v>#REF!</v>
      </c>
      <c r="BL6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3" s="9" t="e" cm="1">
        <f t="array" ref="BN6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3" s="9" t="e">
        <f>IF(AND(tbl_Case_mins[[#This Row],[ThClosePm]]&gt;0,tbl_Case_mins[[#This Row],[Anaesth End]]&gt;tbl_Case_mins[[#This Row],[ThClosePm]],tbl_Case_mins[[#This Row],[AnaesthStart]]&gt;tbl_Case_mins[[#This Row],[ThClosePm]]),tbl_Case_mins[[#This Row],[Into Recov]]-tbl_Case_mins[[#This Row],[AnaesthStart]],0)</f>
        <v>#REF!</v>
      </c>
      <c r="BP63" s="9" t="e">
        <f>IF(AND(tbl_Case_mins[[#This Row],[AnaesthStart]]&lt;tbl_Case_mins[[#This Row],[ThClosePm]],tbl_Case_mins[[#This Row],[Anaesth End]]&gt;tbl_Case_mins[[#This Row],[ThClosePm]]),tbl_Case_mins[[#This Row],[Anaesth End]]-tbl_Case_mins[[#This Row],[ThClosePm]],0)</f>
        <v>#REF!</v>
      </c>
      <c r="BQ63" s="9" t="e" cm="1">
        <f t="array" ref="BQ6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3" s="9" t="e" cm="1">
        <f t="array" ref="BR63">IF(tbl_Case_mins[[#This Row],[Rank_Adjust]]=SUMPRODUCT(-(tbl_Case_mins[Surgery Start Date]=tbl_Case_mins[[#This Row],[Surgery Start Date]]),-(tbl_Case_mins[Theatre]=tbl_Case_mins[[#This Row],[Theatre]])),INDEX(Poss_Time,MATCH(TEXT(tbl_Case_mins[[#This Row],[Surgery Start Date]],"ddd"),Day,0)),0)</f>
        <v>#REF!</v>
      </c>
      <c r="BS63" s="9" t="e">
        <f>tbl_Case_mins[[#This Row],[Core_Time]]*Util_Goal</f>
        <v>#REF!</v>
      </c>
      <c r="BT63" s="9" t="e" cm="1">
        <f t="array" ref="BT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3" s="9" t="e" cm="1">
        <f t="array" ref="BU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3" s="9" t="e">
        <f>IF(tbl_Case_mins[[#This Row],[Surgery End Date]]&gt;tbl_Case_mins[[#This Row],[Surgery Start Date]],tbl_Case_mins[[#This Row],[Anaesth End]]-1440,0)</f>
        <v>#REF!</v>
      </c>
      <c r="BY63" s="9" t="e">
        <f>tbl_Case_mins[[#This Row],[Total_NonCore]]-tbl_Case_mins[[#This Row],[NextDay_NonCore]]</f>
        <v>#REF!</v>
      </c>
      <c r="BZ63" s="10" t="e">
        <f>tbl_Case_mins[[#This Row],[InCoreUse]]/60</f>
        <v>#REF!</v>
      </c>
      <c r="CA63" s="10" t="e">
        <f>tbl_Case_mins[[#This Row],[Total_NonCore]]/60</f>
        <v>#REF!</v>
      </c>
      <c r="CB63" t="e" cm="1">
        <f t="array" ref="CB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3" s="9" t="e" cm="1">
        <f t="array" ref="CC6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3" s="9" t="e" cm="1">
        <f t="array" ref="CD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3" s="9" t="e" cm="1">
        <f t="array" ref="CE6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3" s="9" cm="1">
        <f t="array" ref="CF63">IFERROR(_xlfn.AGGREGATE(14,6,(tbl_Case_mins[Rank_AnaEnd])/((tbl_Case_mins[Surgery Start Date]=tbl_Case_mins[[#This Row],[Surgery Start Date]])*(tbl_Case_mins[Theatre]=tbl_Case_mins[[#This Row],[Theatre]])*(tbl_Case_mins[NoInCoreTime]=0)),1),-1)</f>
        <v>-1</v>
      </c>
      <c r="CG63" s="9" cm="1">
        <f t="array" ref="CG63">IFERROR(_xlfn.AGGREGATE(15,6,(tbl_Case_mins[Rank_AnaSt])/((tbl_Case_mins[Surgery Start Date]=tbl_Case_mins[[#This Row],[Surgery Start Date]])*(tbl_Case_mins[Theatre]=tbl_Case_mins[[#This Row],[Theatre]])*(tbl_Case_mins[NoInCoreTime]=0)),1),-1)</f>
        <v>-1</v>
      </c>
      <c r="CH6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3" t="e" cm="1">
        <f t="array" ref="CJ6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3" s="9" cm="1">
        <f t="array" ref="CO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3" s="9" cm="1">
        <f t="array" ref="CP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3" s="9" cm="1">
        <f t="array" ref="CQ63">IFERROR(IF(AND(tbl_Case_mins[[#This Row],[FirstAMCase]]=0,tbl_Case_mins[[#This Row],[Rank]]=_xlfn.AGGREGATE(14,6,(tbl_Case_mins[Rank])/((tbl_Case_mins[Surgery Start Date]=tbl_Case_mins[[#This Row],[Surgery Start Date]])*(tbl_Case_mins[Theatre]=tbl_Case_mins[[#This Row],[Theatre]])*(tbl_Case_mins[AmCase]=1)),1)),1,0),0)</f>
        <v>0</v>
      </c>
      <c r="CR63" s="9" cm="1">
        <f t="array" ref="CR6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3" s="9" t="e" cm="1">
        <f t="array" ref="CS6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3" s="9" cm="1">
        <f t="array" ref="CT63">IFERROR(IF(tbl_Case_mins[[#This Row],[Rank]]=_xlfn.AGGREGATE(15,6,(tbl_Case_mins[Rank])/((tbl_Case_mins[Surgery Start Date]=tbl_Case_mins[[#This Row],[Surgery Start Date]])*(tbl_Case_mins[Theatre]=tbl_Case_mins[[#This Row],[Theatre]])*(tbl_Case_mins[PmCase]=1)),1),1,0),0)</f>
        <v>0</v>
      </c>
      <c r="CU63">
        <f>IFERROR(#REF!,0)</f>
        <v>0</v>
      </c>
      <c r="CV63" s="9" t="e" cm="1">
        <f t="array" ref="CV6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3" s="9">
        <f>IFERROR(IF(ISBLANK(INDEX(Bay_AmClose,MATCH(1,INDEX((tbl_Case_mins[[#This Row],[Bay]]=BayNo)*(tbl_Case_mins[[#This Row],[Surgery Start Date]]=BDate),0,1),0))*1440),0,INDEX(Bay_AmClose,MATCH(1,INDEX((tbl_Case_mins[[#This Row],[Bay]]=BayNo)*(tbl_Case_mins[[#This Row],[Surgery Start Date]]=BDate),0,1),0))*1440),0)</f>
        <v>0</v>
      </c>
      <c r="CX63" s="9" cm="1">
        <f t="array" ref="CX63">IFERROR(IF(ISBLANK(INDEX(Bay_PmOpen,MATCH(1,INDEX((tbl_Case_mins[[#This Row],[Bay]]=BayNo)*(tbl_Case_mins[[#This Row],[Surgery Start Date]]=BDate),0,1),0))*1440),0,INDEX(Bay_PmOpen,MATCH(1,INDEX((tbl_Case_mins[[#This Row],[Bay]]=BayNo)*(tbl_Case_mins[[#This Row],[Surgery Start Date]]=BDate),0,1),0))*1440),0)</f>
        <v>0</v>
      </c>
      <c r="CY6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3" s="9"/>
    </row>
    <row r="64" spans="1:104" x14ac:dyDescent="0.2">
      <c r="A64">
        <v>63</v>
      </c>
      <c r="B64" t="e">
        <f>#REF!</f>
        <v>#REF!</v>
      </c>
      <c r="C64" t="e">
        <f>#REF!</f>
        <v>#REF!</v>
      </c>
      <c r="D64" t="e">
        <f>#REF!</f>
        <v>#REF!</v>
      </c>
      <c r="E64" t="e">
        <f>#REF!</f>
        <v>#REF!</v>
      </c>
      <c r="F64" t="e">
        <f>#REF!</f>
        <v>#REF!</v>
      </c>
      <c r="G64" t="e">
        <f>#REF!</f>
        <v>#REF!</v>
      </c>
      <c r="H64" t="e">
        <f>#REF!</f>
        <v>#REF!</v>
      </c>
      <c r="I64" t="e">
        <f>IF(#REF!="Case Cancelled",1,IF(#REF!="No Cases",2,0))</f>
        <v>#REF!</v>
      </c>
      <c r="J64" t="e">
        <f>#REF!</f>
        <v>#REF!</v>
      </c>
      <c r="K64" s="4" t="e">
        <f>#REF!</f>
        <v>#REF!</v>
      </c>
      <c r="L64" t="e">
        <f>"Wk "&amp;WEEKNUM(tbl_Case_mins[[#This Row],[Surgery Start Date]],21)</f>
        <v>#REF!</v>
      </c>
      <c r="M64" t="e">
        <f>TEXT(tbl_Case_mins[[#This Row],[Surgery Start Date]],"ddd")</f>
        <v>#REF!</v>
      </c>
      <c r="N64" s="9" t="e">
        <f>(#REF!-TIME(0,0,0))*1440</f>
        <v>#REF!</v>
      </c>
      <c r="O64" t="e">
        <f>IF(AND(ROUND((#REF!-TIME(0,0,0))*1440,0)&gt;0,ROUND((#REF!-TIME(0,0,0))*1440,0)&lt;tbl_Case_mins[[#This Row],[Patient Called]],tbl_Case_mins[[#This Row],[Surgery End Date]]&gt;tbl_Case_mins[[#This Row],[Surgery Start Date]]),ROUND((#REF!-TIME(0,0,0))*1440,0)+1440,ROUND((#REF!-TIME(0,0,0))*1440,0))</f>
        <v>#REF!</v>
      </c>
      <c r="P64" s="9" t="e">
        <f>IF(AND(ROUND((#REF!-TIME(0,0,0))*1440,0)&gt;0,ROUND((#REF!-TIME(0,0,0))*1440,0)&lt;tbl_Case_mins[[#This Row],[Arrival]],tbl_Case_mins[[#This Row],[Surgery End Date]]&gt;tbl_Case_mins[[#This Row],[Surgery Start Date]]),ROUND((#REF!-TIME(0,0,0))*1440,0)+1440,ROUND((#REF!-TIME(0,0,0))*1440,0))</f>
        <v>#REF!</v>
      </c>
      <c r="Q64" s="9" t="e">
        <f>IF(AND(ROUND((#REF!-TIME(0,0,0))*1440,0)&gt;0,ROUND((#REF!-TIME(0,0,0))*1440,0)&lt;tbl_Case_mins[[#This Row],[Into Th or AR]],tbl_Case_mins[[#This Row],[Surgery End Date]]&gt;tbl_Case_mins[[#This Row],[Surgery Start Date]]),ROUND((#REF!-TIME(0,0,0))*1440,0)+1440,ROUND((#REF!-TIME(0,0,0))*1440,0))</f>
        <v>#REF!</v>
      </c>
      <c r="R64" s="9" t="e">
        <f>IF(AND(ROUND((#REF!-TIME(0,0,0))*1440,0)&gt;0,ROUND((#REF!-TIME(0,0,0))*1440,0)&lt;tbl_Case_mins[[#This Row],[AnaesthStart]],tbl_Case_mins[[#This Row],[Surgery End Date]]&gt;tbl_Case_mins[[#This Row],[Surgery Start Date]]),ROUND((#REF!-TIME(0,0,0))*1440,0)+1440,ROUND((#REF!-TIME(0,0,0))*1440,0))</f>
        <v>#REF!</v>
      </c>
      <c r="S64" s="9" t="e">
        <f>IF(AND(ROUND((#REF!-TIME(0,0,0))*1440,0),ROUND((#REF!-TIME(0,0,0))*1440,0)&lt;tbl_Case_mins[[#This Row],[Surgery Start]],tbl_Case_mins[[#This Row],[Surgery End Date]]&gt;tbl_Case_mins[[#This Row],[Surgery Start Date]]),ROUND((#REF!-TIME(0,0,0))*1440,0)+1440,ROUND((#REF!-TIME(0,0,0))*1440,0))</f>
        <v>#REF!</v>
      </c>
      <c r="T64" s="9" t="e">
        <f>IF(AND(ROUND((#REF!-TIME(0,0,0))*1440,0)&gt;0,ROUND((#REF!-TIME(0,0,0))*1440,0)&lt;tbl_Case_mins[[#This Row],[Surgery Finish]],tbl_Case_mins[[#This Row],[Surgery End Date]]&gt;tbl_Case_mins[[#This Row],[Surgery Start Date]]),ROUND((#REF!-TIME(0,0,0))*1440,0)+1440,ROUND((#REF!-TIME(0,0,0))*1440,0))</f>
        <v>#REF!</v>
      </c>
      <c r="U64" s="9" t="e">
        <f>IF(AND(ROUND((#REF!-TIME(0,0,0))*1440,0)&gt;0,ROUND((#REF!-TIME(0,0,0))*1440,0)&lt;tbl_Case_mins[[#This Row],[Anaesth End]],tbl_Case_mins[[#This Row],[Surgery End Date]]&gt;tbl_Case_mins[[#This Row],[Surgery Start Date]]),ROUND((#REF!-TIME(0,0,0))*1440,0)+1440,ROUND((#REF!-TIME(0,0,0))*1440,0))</f>
        <v>#REF!</v>
      </c>
      <c r="V64" s="9" t="e">
        <f>IF(AND(ROUND((#REF!-TIME(0,0,0))*1440,0)&gt;0,ROUND((#REF!-TIME(0,0,0))*1440,0)&lt;tbl_Case_mins[[#This Row],[Into Recov]],tbl_Case_mins[[#This Row],[Surgery End Date]]&gt;tbl_Case_mins[[#This Row],[Surgery Start Date]]),ROUND((#REF!-TIME(0,0,0))*1440,0)+1440,ROUND((#REF!-TIME(0,0,0))*1440,0))</f>
        <v>#REF!</v>
      </c>
      <c r="W64" s="9" t="e">
        <f>IF(AND(ROUND((#REF!-TIME(0,0,0))*1440,0)&gt;0,ROUND((#REF!-TIME(0,0,0))*1440,0)&lt;tbl_Case_mins[[#This Row],[Ward Called]],tbl_Case_mins[[#This Row],[Surgery End Date]]&gt;tbl_Case_mins[[#This Row],[Surgery Start Date]]),ROUND((#REF!-TIME(0,0,0))*1440,0)+1440,ROUND((#REF!-TIME(0,0,0))*1440,0))</f>
        <v>#REF!</v>
      </c>
      <c r="X64" s="4" t="e">
        <f>IF(ISBLANK(#REF!),tbl_Case_mins[[#This Row],[Surgery Start Date]],#REF!)</f>
        <v>#REF!</v>
      </c>
      <c r="Y64">
        <f>IFERROR(IF(VLOOKUP(tbl_Case_mins[[#This Row],[Theatre]],'Mng Theatres'!$C$7:$G$12,3,FALSE)="Yes","Yes","No"),0)</f>
        <v>0</v>
      </c>
      <c r="Z64" s="9" t="e" cm="1">
        <f t="array" ref="Z6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4" s="9" t="e" cm="1">
        <f t="array" ref="AA6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4" s="9" t="e">
        <f>IF(tbl_Case_mins[[#This Row],[Case Type]]="Unsch",1,0)</f>
        <v>#REF!</v>
      </c>
      <c r="AD64" s="9" t="e">
        <f>IF(tbl_Case_mins[[#This Row],[Case Type]]="Sch",1,0)</f>
        <v>#REF!</v>
      </c>
      <c r="AE6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4" s="9">
        <f>IFERROR(IF(ISBLANK(INDEX(Am_Close,MATCH(1,INDEX((tbl_Case_mins[[#This Row],[Theatre]]=Theatre_No)*(tbl_Case_mins[[#This Row],[Surgery Start Date]]=Date),0,1),0))*1440),0,INDEX(Am_Close,MATCH(1,INDEX((tbl_Case_mins[[#This Row],[Theatre]]=Theatre_No)*(tbl_Case_mins[[#This Row],[Surgery Start Date]]=Date),0,1),0))*1440),0)</f>
        <v>0</v>
      </c>
      <c r="AG64" s="9">
        <f>IFERROR(IF(ISBLANK(INDEX(PM_Open,MATCH(1,INDEX((tbl_Case_mins[[#This Row],[Theatre]]=Theatre_No)*(tbl_Case_mins[[#This Row],[Surgery Start Date]]=Date),0,1),0))*1440),0,INDEX(PM_Open,MATCH(1,INDEX((tbl_Case_mins[[#This Row],[Theatre]]=Theatre_No)*(tbl_Case_mins[[#This Row],[Surgery Start Date]]=Date),0,1),0))*1440),0)</f>
        <v>0</v>
      </c>
      <c r="AH6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4" s="9" t="e">
        <f>IF(tbl_Case_mins[[#This Row],[ThOpenAm]]=0,tbl_Case_mins[[#This Row],[ThOpenPM]],tbl_Case_mins[[#This Row],[ThOpenAm]])</f>
        <v>#REF!</v>
      </c>
      <c r="AJ64" s="9" t="e">
        <f>IF(tbl_Case_mins[[#This Row],[ThCloseAm]]&gt;0,IF(tbl_Case_mins[[#This Row],[ThOpenPM]]&gt;0,tbl_Case_mins[[#This Row],[ThClosePm]],tbl_Case_mins[[#This Row],[ThCloseAm]]),tbl_Case_mins[[#This Row],[ThClosePm]])</f>
        <v>#REF!</v>
      </c>
      <c r="AK64" s="9" t="e">
        <f>IF(tbl_Case_mins[[#This Row],[TOT]]&gt;0,1,0)</f>
        <v>#REF!</v>
      </c>
      <c r="AL6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4" s="9" t="e">
        <f>IF(AND(tbl_Case_mins[[#This Row],[Surgery Status]]&lt;&gt;2,tbl_Case_mins[[#This Row],[InCoreCase]]=0,tbl_Case_mins[[#This Row],[CancelledCase]]=0),1,0)</f>
        <v>#REF!</v>
      </c>
      <c r="AN64" s="9" t="e">
        <f>IF(tbl_Case_mins[[#This Row],[Surgery Status]]=1,1,0)</f>
        <v>#REF!</v>
      </c>
      <c r="AO6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4" s="9" t="e">
        <f>IF(AND(tbl_Case_mins[[#This Row],[NonCoreCase]]=1,tbl_Case_mins[[#This Row],[NoInCoreTime]]=0),1,0)</f>
        <v>#REF!</v>
      </c>
      <c r="AQ64" s="9" t="e">
        <f>IF(tbl_Case_mins[[#This Row],[Rank_AnaEnd]]&lt;tbl_Case_mins[[#This Row],[Rank_AnaSt]],1,0)</f>
        <v>#REF!</v>
      </c>
      <c r="AR64" s="9" t="e">
        <f>IF(AND(tbl_Case_mins[[#This Row],[InCoreCase]]=1,tbl_Case_mins[[#This Row],[Sch]]=1),1,0)</f>
        <v>#REF!</v>
      </c>
      <c r="AS64" s="9" t="e">
        <f>IF(AND(tbl_Case_mins[[#This Row],[InCoreCase]]=1,tbl_Case_mins[[#This Row],[Unsch]]=1),1,0)</f>
        <v>#REF!</v>
      </c>
      <c r="AT6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4" s="9" t="e">
        <f>IF(tbl_Case_mins[[#This Row],[Surgery Status]]=0,(tbl_Case_mins[[#This Row],[Anaesth End]]-tbl_Case_mins[[#This Row],[AnaesthStart]]),0)</f>
        <v>#REF!</v>
      </c>
      <c r="AX64" s="9" t="e">
        <f>IF(tbl_Case_mins[[#This Row],[Surgery Status]]=0,(tbl_Case_mins[[#This Row],[Surgery Finish]]-tbl_Case_mins[[#This Row],[Surgery Start]]),0)</f>
        <v>#REF!</v>
      </c>
      <c r="AY64" s="9" t="e">
        <f>tbl_Case_mins[[#This Row],[Surgery Start]]-tbl_Case_mins[[#This Row],[AnaesthStart]]</f>
        <v>#REF!</v>
      </c>
      <c r="AZ64" s="9" t="e">
        <f>tbl_Case_mins[[#This Row],[Anaesth End]]-tbl_Case_mins[[#This Row],[Surgery Finish]]</f>
        <v>#REF!</v>
      </c>
      <c r="BA6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4" s="16" cm="1">
        <f t="array" ref="BC6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4" s="16" t="e">
        <f>IF(AND(tbl_Case_mins[[#This Row],[FirstAMCase]]=1,tbl_Case_mins[[#This Row],[CancelledCase]]=0,OR(tbl_Case_mins[[#This Row],[EarlyStartAM]]&gt;0,tbl_Case_mins[[#This Row],[AnaesthStart]]=tbl_Case_mins[[#This Row],[ThOpenAm]])),1,0)</f>
        <v>#REF!</v>
      </c>
      <c r="BE64" s="16" t="e">
        <f>IF(AND(tbl_Case_mins[[#This Row],[Rank_AnaSt]]=tbl_Case_mins[[#This Row],[Min_RankAnaSt]],tbl_Case_mins[[#This Row],[Anaesth End]]&gt;=tbl_Case_mins[[#This Row],[ThOpenAm]],tbl_Case_mins[[#This Row],[PmCase]]=0),1,0)</f>
        <v>#REF!</v>
      </c>
      <c r="BF6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4" s="9" t="e" cm="1">
        <f t="array" ref="BH6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4" s="9" t="e">
        <f>IF(AND(tbl_Case_mins[[#This Row],[ThOpenPM]]&gt;0,tbl_Case_mins[[#This Row],[AnaesthStart]]&gt;tbl_Case_mins[[#This Row],[ThOpenPM]],tbl_Case_mins[[#This Row],[First PM Case]]=1),tbl_Case_mins[[#This Row],[AnaesthStart]]-tbl_Case_mins[[#This Row],[ThOpenPM]],0)</f>
        <v>#REF!</v>
      </c>
      <c r="BL6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4" s="9" t="e" cm="1">
        <f t="array" ref="BN6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4" s="9" t="e">
        <f>IF(AND(tbl_Case_mins[[#This Row],[ThClosePm]]&gt;0,tbl_Case_mins[[#This Row],[Anaesth End]]&gt;tbl_Case_mins[[#This Row],[ThClosePm]],tbl_Case_mins[[#This Row],[AnaesthStart]]&gt;tbl_Case_mins[[#This Row],[ThClosePm]]),tbl_Case_mins[[#This Row],[Into Recov]]-tbl_Case_mins[[#This Row],[AnaesthStart]],0)</f>
        <v>#REF!</v>
      </c>
      <c r="BP64" s="9" t="e">
        <f>IF(AND(tbl_Case_mins[[#This Row],[AnaesthStart]]&lt;tbl_Case_mins[[#This Row],[ThClosePm]],tbl_Case_mins[[#This Row],[Anaesth End]]&gt;tbl_Case_mins[[#This Row],[ThClosePm]]),tbl_Case_mins[[#This Row],[Anaesth End]]-tbl_Case_mins[[#This Row],[ThClosePm]],0)</f>
        <v>#REF!</v>
      </c>
      <c r="BQ64" s="9" t="e" cm="1">
        <f t="array" ref="BQ6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4" s="9" t="e" cm="1">
        <f t="array" ref="BR64">IF(tbl_Case_mins[[#This Row],[Rank_Adjust]]=SUMPRODUCT(-(tbl_Case_mins[Surgery Start Date]=tbl_Case_mins[[#This Row],[Surgery Start Date]]),-(tbl_Case_mins[Theatre]=tbl_Case_mins[[#This Row],[Theatre]])),INDEX(Poss_Time,MATCH(TEXT(tbl_Case_mins[[#This Row],[Surgery Start Date]],"ddd"),Day,0)),0)</f>
        <v>#REF!</v>
      </c>
      <c r="BS64" s="9" t="e">
        <f>tbl_Case_mins[[#This Row],[Core_Time]]*Util_Goal</f>
        <v>#REF!</v>
      </c>
      <c r="BT64" s="9" t="e" cm="1">
        <f t="array" ref="BT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4" s="9" t="e" cm="1">
        <f t="array" ref="BU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4" s="9" t="e">
        <f>IF(tbl_Case_mins[[#This Row],[Surgery End Date]]&gt;tbl_Case_mins[[#This Row],[Surgery Start Date]],tbl_Case_mins[[#This Row],[Anaesth End]]-1440,0)</f>
        <v>#REF!</v>
      </c>
      <c r="BY64" s="9" t="e">
        <f>tbl_Case_mins[[#This Row],[Total_NonCore]]-tbl_Case_mins[[#This Row],[NextDay_NonCore]]</f>
        <v>#REF!</v>
      </c>
      <c r="BZ64" s="10" t="e">
        <f>tbl_Case_mins[[#This Row],[InCoreUse]]/60</f>
        <v>#REF!</v>
      </c>
      <c r="CA64" s="10" t="e">
        <f>tbl_Case_mins[[#This Row],[Total_NonCore]]/60</f>
        <v>#REF!</v>
      </c>
      <c r="CB64" t="e" cm="1">
        <f t="array" ref="CB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4" s="9" t="e" cm="1">
        <f t="array" ref="CC6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4" s="9" t="e" cm="1">
        <f t="array" ref="CD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4" s="9" t="e" cm="1">
        <f t="array" ref="CE6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4" s="9" cm="1">
        <f t="array" ref="CF64">IFERROR(_xlfn.AGGREGATE(14,6,(tbl_Case_mins[Rank_AnaEnd])/((tbl_Case_mins[Surgery Start Date]=tbl_Case_mins[[#This Row],[Surgery Start Date]])*(tbl_Case_mins[Theatre]=tbl_Case_mins[[#This Row],[Theatre]])*(tbl_Case_mins[NoInCoreTime]=0)),1),-1)</f>
        <v>-1</v>
      </c>
      <c r="CG64" s="9" cm="1">
        <f t="array" ref="CG64">IFERROR(_xlfn.AGGREGATE(15,6,(tbl_Case_mins[Rank_AnaSt])/((tbl_Case_mins[Surgery Start Date]=tbl_Case_mins[[#This Row],[Surgery Start Date]])*(tbl_Case_mins[Theatre]=tbl_Case_mins[[#This Row],[Theatre]])*(tbl_Case_mins[NoInCoreTime]=0)),1),-1)</f>
        <v>-1</v>
      </c>
      <c r="CH6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4" t="e" cm="1">
        <f t="array" ref="CJ6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4" s="9" cm="1">
        <f t="array" ref="CO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4" s="9" cm="1">
        <f t="array" ref="CP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4" s="9" cm="1">
        <f t="array" ref="CQ64">IFERROR(IF(AND(tbl_Case_mins[[#This Row],[FirstAMCase]]=0,tbl_Case_mins[[#This Row],[Rank]]=_xlfn.AGGREGATE(14,6,(tbl_Case_mins[Rank])/((tbl_Case_mins[Surgery Start Date]=tbl_Case_mins[[#This Row],[Surgery Start Date]])*(tbl_Case_mins[Theatre]=tbl_Case_mins[[#This Row],[Theatre]])*(tbl_Case_mins[AmCase]=1)),1)),1,0),0)</f>
        <v>0</v>
      </c>
      <c r="CR64" s="9" cm="1">
        <f t="array" ref="CR6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4" s="9" t="e" cm="1">
        <f t="array" ref="CS6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4" s="9" cm="1">
        <f t="array" ref="CT64">IFERROR(IF(tbl_Case_mins[[#This Row],[Rank]]=_xlfn.AGGREGATE(15,6,(tbl_Case_mins[Rank])/((tbl_Case_mins[Surgery Start Date]=tbl_Case_mins[[#This Row],[Surgery Start Date]])*(tbl_Case_mins[Theatre]=tbl_Case_mins[[#This Row],[Theatre]])*(tbl_Case_mins[PmCase]=1)),1),1,0),0)</f>
        <v>0</v>
      </c>
      <c r="CU64">
        <f>IFERROR(#REF!,0)</f>
        <v>0</v>
      </c>
      <c r="CV64" s="9" t="e" cm="1">
        <f t="array" ref="CV6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4" s="9">
        <f>IFERROR(IF(ISBLANK(INDEX(Bay_AmClose,MATCH(1,INDEX((tbl_Case_mins[[#This Row],[Bay]]=BayNo)*(tbl_Case_mins[[#This Row],[Surgery Start Date]]=BDate),0,1),0))*1440),0,INDEX(Bay_AmClose,MATCH(1,INDEX((tbl_Case_mins[[#This Row],[Bay]]=BayNo)*(tbl_Case_mins[[#This Row],[Surgery Start Date]]=BDate),0,1),0))*1440),0)</f>
        <v>0</v>
      </c>
      <c r="CX64" s="9" cm="1">
        <f t="array" ref="CX64">IFERROR(IF(ISBLANK(INDEX(Bay_PmOpen,MATCH(1,INDEX((tbl_Case_mins[[#This Row],[Bay]]=BayNo)*(tbl_Case_mins[[#This Row],[Surgery Start Date]]=BDate),0,1),0))*1440),0,INDEX(Bay_PmOpen,MATCH(1,INDEX((tbl_Case_mins[[#This Row],[Bay]]=BayNo)*(tbl_Case_mins[[#This Row],[Surgery Start Date]]=BDate),0,1),0))*1440),0)</f>
        <v>0</v>
      </c>
      <c r="CY6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4" s="9"/>
    </row>
    <row r="65" spans="1:104" x14ac:dyDescent="0.2">
      <c r="A65">
        <v>64</v>
      </c>
      <c r="B65" t="e">
        <f>#REF!</f>
        <v>#REF!</v>
      </c>
      <c r="C65" t="e">
        <f>#REF!</f>
        <v>#REF!</v>
      </c>
      <c r="D65" t="e">
        <f>#REF!</f>
        <v>#REF!</v>
      </c>
      <c r="E65" t="e">
        <f>#REF!</f>
        <v>#REF!</v>
      </c>
      <c r="F65" t="e">
        <f>#REF!</f>
        <v>#REF!</v>
      </c>
      <c r="G65" t="e">
        <f>#REF!</f>
        <v>#REF!</v>
      </c>
      <c r="H65" t="e">
        <f>#REF!</f>
        <v>#REF!</v>
      </c>
      <c r="I65" t="e">
        <f>IF(#REF!="Case Cancelled",1,IF(#REF!="No Cases",2,0))</f>
        <v>#REF!</v>
      </c>
      <c r="J65" t="e">
        <f>#REF!</f>
        <v>#REF!</v>
      </c>
      <c r="K65" s="4" t="e">
        <f>#REF!</f>
        <v>#REF!</v>
      </c>
      <c r="L65" t="e">
        <f>"Wk "&amp;WEEKNUM(tbl_Case_mins[[#This Row],[Surgery Start Date]],21)</f>
        <v>#REF!</v>
      </c>
      <c r="M65" t="e">
        <f>TEXT(tbl_Case_mins[[#This Row],[Surgery Start Date]],"ddd")</f>
        <v>#REF!</v>
      </c>
      <c r="N65" s="9" t="e">
        <f>(#REF!-TIME(0,0,0))*1440</f>
        <v>#REF!</v>
      </c>
      <c r="O65" t="e">
        <f>IF(AND(ROUND((#REF!-TIME(0,0,0))*1440,0)&gt;0,ROUND((#REF!-TIME(0,0,0))*1440,0)&lt;tbl_Case_mins[[#This Row],[Patient Called]],tbl_Case_mins[[#This Row],[Surgery End Date]]&gt;tbl_Case_mins[[#This Row],[Surgery Start Date]]),ROUND((#REF!-TIME(0,0,0))*1440,0)+1440,ROUND((#REF!-TIME(0,0,0))*1440,0))</f>
        <v>#REF!</v>
      </c>
      <c r="P65" s="9" t="e">
        <f>IF(AND(ROUND((#REF!-TIME(0,0,0))*1440,0)&gt;0,ROUND((#REF!-TIME(0,0,0))*1440,0)&lt;tbl_Case_mins[[#This Row],[Arrival]],tbl_Case_mins[[#This Row],[Surgery End Date]]&gt;tbl_Case_mins[[#This Row],[Surgery Start Date]]),ROUND((#REF!-TIME(0,0,0))*1440,0)+1440,ROUND((#REF!-TIME(0,0,0))*1440,0))</f>
        <v>#REF!</v>
      </c>
      <c r="Q65" s="9" t="e">
        <f>IF(AND(ROUND((#REF!-TIME(0,0,0))*1440,0)&gt;0,ROUND((#REF!-TIME(0,0,0))*1440,0)&lt;tbl_Case_mins[[#This Row],[Into Th or AR]],tbl_Case_mins[[#This Row],[Surgery End Date]]&gt;tbl_Case_mins[[#This Row],[Surgery Start Date]]),ROUND((#REF!-TIME(0,0,0))*1440,0)+1440,ROUND((#REF!-TIME(0,0,0))*1440,0))</f>
        <v>#REF!</v>
      </c>
      <c r="R65" s="9" t="e">
        <f>IF(AND(ROUND((#REF!-TIME(0,0,0))*1440,0)&gt;0,ROUND((#REF!-TIME(0,0,0))*1440,0)&lt;tbl_Case_mins[[#This Row],[AnaesthStart]],tbl_Case_mins[[#This Row],[Surgery End Date]]&gt;tbl_Case_mins[[#This Row],[Surgery Start Date]]),ROUND((#REF!-TIME(0,0,0))*1440,0)+1440,ROUND((#REF!-TIME(0,0,0))*1440,0))</f>
        <v>#REF!</v>
      </c>
      <c r="S65" s="9" t="e">
        <f>IF(AND(ROUND((#REF!-TIME(0,0,0))*1440,0),ROUND((#REF!-TIME(0,0,0))*1440,0)&lt;tbl_Case_mins[[#This Row],[Surgery Start]],tbl_Case_mins[[#This Row],[Surgery End Date]]&gt;tbl_Case_mins[[#This Row],[Surgery Start Date]]),ROUND((#REF!-TIME(0,0,0))*1440,0)+1440,ROUND((#REF!-TIME(0,0,0))*1440,0))</f>
        <v>#REF!</v>
      </c>
      <c r="T65" s="9" t="e">
        <f>IF(AND(ROUND((#REF!-TIME(0,0,0))*1440,0)&gt;0,ROUND((#REF!-TIME(0,0,0))*1440,0)&lt;tbl_Case_mins[[#This Row],[Surgery Finish]],tbl_Case_mins[[#This Row],[Surgery End Date]]&gt;tbl_Case_mins[[#This Row],[Surgery Start Date]]),ROUND((#REF!-TIME(0,0,0))*1440,0)+1440,ROUND((#REF!-TIME(0,0,0))*1440,0))</f>
        <v>#REF!</v>
      </c>
      <c r="U65" s="9" t="e">
        <f>IF(AND(ROUND((#REF!-TIME(0,0,0))*1440,0)&gt;0,ROUND((#REF!-TIME(0,0,0))*1440,0)&lt;tbl_Case_mins[[#This Row],[Anaesth End]],tbl_Case_mins[[#This Row],[Surgery End Date]]&gt;tbl_Case_mins[[#This Row],[Surgery Start Date]]),ROUND((#REF!-TIME(0,0,0))*1440,0)+1440,ROUND((#REF!-TIME(0,0,0))*1440,0))</f>
        <v>#REF!</v>
      </c>
      <c r="V65" s="9" t="e">
        <f>IF(AND(ROUND((#REF!-TIME(0,0,0))*1440,0)&gt;0,ROUND((#REF!-TIME(0,0,0))*1440,0)&lt;tbl_Case_mins[[#This Row],[Into Recov]],tbl_Case_mins[[#This Row],[Surgery End Date]]&gt;tbl_Case_mins[[#This Row],[Surgery Start Date]]),ROUND((#REF!-TIME(0,0,0))*1440,0)+1440,ROUND((#REF!-TIME(0,0,0))*1440,0))</f>
        <v>#REF!</v>
      </c>
      <c r="W65" s="9" t="e">
        <f>IF(AND(ROUND((#REF!-TIME(0,0,0))*1440,0)&gt;0,ROUND((#REF!-TIME(0,0,0))*1440,0)&lt;tbl_Case_mins[[#This Row],[Ward Called]],tbl_Case_mins[[#This Row],[Surgery End Date]]&gt;tbl_Case_mins[[#This Row],[Surgery Start Date]]),ROUND((#REF!-TIME(0,0,0))*1440,0)+1440,ROUND((#REF!-TIME(0,0,0))*1440,0))</f>
        <v>#REF!</v>
      </c>
      <c r="X65" s="4" t="e">
        <f>IF(ISBLANK(#REF!),tbl_Case_mins[[#This Row],[Surgery Start Date]],#REF!)</f>
        <v>#REF!</v>
      </c>
      <c r="Y65">
        <f>IFERROR(IF(VLOOKUP(tbl_Case_mins[[#This Row],[Theatre]],'Mng Theatres'!$C$7:$G$12,3,FALSE)="Yes","Yes","No"),0)</f>
        <v>0</v>
      </c>
      <c r="Z65" s="9" t="e" cm="1">
        <f t="array" ref="Z6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5" s="9" t="e" cm="1">
        <f t="array" ref="AA6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5" s="9" t="e">
        <f>IF(tbl_Case_mins[[#This Row],[Case Type]]="Unsch",1,0)</f>
        <v>#REF!</v>
      </c>
      <c r="AD65" s="9" t="e">
        <f>IF(tbl_Case_mins[[#This Row],[Case Type]]="Sch",1,0)</f>
        <v>#REF!</v>
      </c>
      <c r="AE6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5" s="9">
        <f>IFERROR(IF(ISBLANK(INDEX(Am_Close,MATCH(1,INDEX((tbl_Case_mins[[#This Row],[Theatre]]=Theatre_No)*(tbl_Case_mins[[#This Row],[Surgery Start Date]]=Date),0,1),0))*1440),0,INDEX(Am_Close,MATCH(1,INDEX((tbl_Case_mins[[#This Row],[Theatre]]=Theatre_No)*(tbl_Case_mins[[#This Row],[Surgery Start Date]]=Date),0,1),0))*1440),0)</f>
        <v>0</v>
      </c>
      <c r="AG65" s="9">
        <f>IFERROR(IF(ISBLANK(INDEX(PM_Open,MATCH(1,INDEX((tbl_Case_mins[[#This Row],[Theatre]]=Theatre_No)*(tbl_Case_mins[[#This Row],[Surgery Start Date]]=Date),0,1),0))*1440),0,INDEX(PM_Open,MATCH(1,INDEX((tbl_Case_mins[[#This Row],[Theatre]]=Theatre_No)*(tbl_Case_mins[[#This Row],[Surgery Start Date]]=Date),0,1),0))*1440),0)</f>
        <v>0</v>
      </c>
      <c r="AH6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5" s="9" t="e">
        <f>IF(tbl_Case_mins[[#This Row],[ThOpenAm]]=0,tbl_Case_mins[[#This Row],[ThOpenPM]],tbl_Case_mins[[#This Row],[ThOpenAm]])</f>
        <v>#REF!</v>
      </c>
      <c r="AJ65" s="9" t="e">
        <f>IF(tbl_Case_mins[[#This Row],[ThCloseAm]]&gt;0,IF(tbl_Case_mins[[#This Row],[ThOpenPM]]&gt;0,tbl_Case_mins[[#This Row],[ThClosePm]],tbl_Case_mins[[#This Row],[ThCloseAm]]),tbl_Case_mins[[#This Row],[ThClosePm]])</f>
        <v>#REF!</v>
      </c>
      <c r="AK65" s="9" t="e">
        <f>IF(tbl_Case_mins[[#This Row],[TOT]]&gt;0,1,0)</f>
        <v>#REF!</v>
      </c>
      <c r="AL6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5" s="9" t="e">
        <f>IF(AND(tbl_Case_mins[[#This Row],[Surgery Status]]&lt;&gt;2,tbl_Case_mins[[#This Row],[InCoreCase]]=0,tbl_Case_mins[[#This Row],[CancelledCase]]=0),1,0)</f>
        <v>#REF!</v>
      </c>
      <c r="AN65" s="9" t="e">
        <f>IF(tbl_Case_mins[[#This Row],[Surgery Status]]=1,1,0)</f>
        <v>#REF!</v>
      </c>
      <c r="AO6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5" s="9" t="e">
        <f>IF(AND(tbl_Case_mins[[#This Row],[NonCoreCase]]=1,tbl_Case_mins[[#This Row],[NoInCoreTime]]=0),1,0)</f>
        <v>#REF!</v>
      </c>
      <c r="AQ65" s="9" t="e">
        <f>IF(tbl_Case_mins[[#This Row],[Rank_AnaEnd]]&lt;tbl_Case_mins[[#This Row],[Rank_AnaSt]],1,0)</f>
        <v>#REF!</v>
      </c>
      <c r="AR65" s="9" t="e">
        <f>IF(AND(tbl_Case_mins[[#This Row],[InCoreCase]]=1,tbl_Case_mins[[#This Row],[Sch]]=1),1,0)</f>
        <v>#REF!</v>
      </c>
      <c r="AS65" s="9" t="e">
        <f>IF(AND(tbl_Case_mins[[#This Row],[InCoreCase]]=1,tbl_Case_mins[[#This Row],[Unsch]]=1),1,0)</f>
        <v>#REF!</v>
      </c>
      <c r="AT6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5" s="9" t="e">
        <f>IF(tbl_Case_mins[[#This Row],[Surgery Status]]=0,(tbl_Case_mins[[#This Row],[Anaesth End]]-tbl_Case_mins[[#This Row],[AnaesthStart]]),0)</f>
        <v>#REF!</v>
      </c>
      <c r="AX65" s="9" t="e">
        <f>IF(tbl_Case_mins[[#This Row],[Surgery Status]]=0,(tbl_Case_mins[[#This Row],[Surgery Finish]]-tbl_Case_mins[[#This Row],[Surgery Start]]),0)</f>
        <v>#REF!</v>
      </c>
      <c r="AY65" s="9" t="e">
        <f>tbl_Case_mins[[#This Row],[Surgery Start]]-tbl_Case_mins[[#This Row],[AnaesthStart]]</f>
        <v>#REF!</v>
      </c>
      <c r="AZ65" s="9" t="e">
        <f>tbl_Case_mins[[#This Row],[Anaesth End]]-tbl_Case_mins[[#This Row],[Surgery Finish]]</f>
        <v>#REF!</v>
      </c>
      <c r="BA6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5" s="16" cm="1">
        <f t="array" ref="BC6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5" s="16" t="e">
        <f>IF(AND(tbl_Case_mins[[#This Row],[FirstAMCase]]=1,tbl_Case_mins[[#This Row],[CancelledCase]]=0,OR(tbl_Case_mins[[#This Row],[EarlyStartAM]]&gt;0,tbl_Case_mins[[#This Row],[AnaesthStart]]=tbl_Case_mins[[#This Row],[ThOpenAm]])),1,0)</f>
        <v>#REF!</v>
      </c>
      <c r="BE65" s="16" t="e">
        <f>IF(AND(tbl_Case_mins[[#This Row],[Rank_AnaSt]]=tbl_Case_mins[[#This Row],[Min_RankAnaSt]],tbl_Case_mins[[#This Row],[Anaesth End]]&gt;=tbl_Case_mins[[#This Row],[ThOpenAm]],tbl_Case_mins[[#This Row],[PmCase]]=0),1,0)</f>
        <v>#REF!</v>
      </c>
      <c r="BF6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5" s="9" t="e" cm="1">
        <f t="array" ref="BH6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5" s="9" t="e">
        <f>IF(AND(tbl_Case_mins[[#This Row],[ThOpenPM]]&gt;0,tbl_Case_mins[[#This Row],[AnaesthStart]]&gt;tbl_Case_mins[[#This Row],[ThOpenPM]],tbl_Case_mins[[#This Row],[First PM Case]]=1),tbl_Case_mins[[#This Row],[AnaesthStart]]-tbl_Case_mins[[#This Row],[ThOpenPM]],0)</f>
        <v>#REF!</v>
      </c>
      <c r="BL6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5" s="9" t="e" cm="1">
        <f t="array" ref="BN6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5" s="9" t="e">
        <f>IF(AND(tbl_Case_mins[[#This Row],[ThClosePm]]&gt;0,tbl_Case_mins[[#This Row],[Anaesth End]]&gt;tbl_Case_mins[[#This Row],[ThClosePm]],tbl_Case_mins[[#This Row],[AnaesthStart]]&gt;tbl_Case_mins[[#This Row],[ThClosePm]]),tbl_Case_mins[[#This Row],[Into Recov]]-tbl_Case_mins[[#This Row],[AnaesthStart]],0)</f>
        <v>#REF!</v>
      </c>
      <c r="BP65" s="9" t="e">
        <f>IF(AND(tbl_Case_mins[[#This Row],[AnaesthStart]]&lt;tbl_Case_mins[[#This Row],[ThClosePm]],tbl_Case_mins[[#This Row],[Anaesth End]]&gt;tbl_Case_mins[[#This Row],[ThClosePm]]),tbl_Case_mins[[#This Row],[Anaesth End]]-tbl_Case_mins[[#This Row],[ThClosePm]],0)</f>
        <v>#REF!</v>
      </c>
      <c r="BQ65" s="9" t="e" cm="1">
        <f t="array" ref="BQ6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5" s="9" t="e" cm="1">
        <f t="array" ref="BR65">IF(tbl_Case_mins[[#This Row],[Rank_Adjust]]=SUMPRODUCT(-(tbl_Case_mins[Surgery Start Date]=tbl_Case_mins[[#This Row],[Surgery Start Date]]),-(tbl_Case_mins[Theatre]=tbl_Case_mins[[#This Row],[Theatre]])),INDEX(Poss_Time,MATCH(TEXT(tbl_Case_mins[[#This Row],[Surgery Start Date]],"ddd"),Day,0)),0)</f>
        <v>#REF!</v>
      </c>
      <c r="BS65" s="9" t="e">
        <f>tbl_Case_mins[[#This Row],[Core_Time]]*Util_Goal</f>
        <v>#REF!</v>
      </c>
      <c r="BT65" s="9" t="e" cm="1">
        <f t="array" ref="BT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5" s="9" t="e" cm="1">
        <f t="array" ref="BU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5" s="9" t="e">
        <f>IF(tbl_Case_mins[[#This Row],[Surgery End Date]]&gt;tbl_Case_mins[[#This Row],[Surgery Start Date]],tbl_Case_mins[[#This Row],[Anaesth End]]-1440,0)</f>
        <v>#REF!</v>
      </c>
      <c r="BY65" s="9" t="e">
        <f>tbl_Case_mins[[#This Row],[Total_NonCore]]-tbl_Case_mins[[#This Row],[NextDay_NonCore]]</f>
        <v>#REF!</v>
      </c>
      <c r="BZ65" s="10" t="e">
        <f>tbl_Case_mins[[#This Row],[InCoreUse]]/60</f>
        <v>#REF!</v>
      </c>
      <c r="CA65" s="10" t="e">
        <f>tbl_Case_mins[[#This Row],[Total_NonCore]]/60</f>
        <v>#REF!</v>
      </c>
      <c r="CB65" t="e" cm="1">
        <f t="array" ref="CB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5" s="9" t="e" cm="1">
        <f t="array" ref="CC6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5" s="9" t="e" cm="1">
        <f t="array" ref="CD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5" s="9" t="e" cm="1">
        <f t="array" ref="CE6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5" s="9" cm="1">
        <f t="array" ref="CF65">IFERROR(_xlfn.AGGREGATE(14,6,(tbl_Case_mins[Rank_AnaEnd])/((tbl_Case_mins[Surgery Start Date]=tbl_Case_mins[[#This Row],[Surgery Start Date]])*(tbl_Case_mins[Theatre]=tbl_Case_mins[[#This Row],[Theatre]])*(tbl_Case_mins[NoInCoreTime]=0)),1),-1)</f>
        <v>-1</v>
      </c>
      <c r="CG65" s="9" cm="1">
        <f t="array" ref="CG65">IFERROR(_xlfn.AGGREGATE(15,6,(tbl_Case_mins[Rank_AnaSt])/((tbl_Case_mins[Surgery Start Date]=tbl_Case_mins[[#This Row],[Surgery Start Date]])*(tbl_Case_mins[Theatre]=tbl_Case_mins[[#This Row],[Theatre]])*(tbl_Case_mins[NoInCoreTime]=0)),1),-1)</f>
        <v>-1</v>
      </c>
      <c r="CH6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5" t="e" cm="1">
        <f t="array" ref="CJ6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5" s="9" cm="1">
        <f t="array" ref="CO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5" s="9" cm="1">
        <f t="array" ref="CP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5" s="9" cm="1">
        <f t="array" ref="CQ65">IFERROR(IF(AND(tbl_Case_mins[[#This Row],[FirstAMCase]]=0,tbl_Case_mins[[#This Row],[Rank]]=_xlfn.AGGREGATE(14,6,(tbl_Case_mins[Rank])/((tbl_Case_mins[Surgery Start Date]=tbl_Case_mins[[#This Row],[Surgery Start Date]])*(tbl_Case_mins[Theatre]=tbl_Case_mins[[#This Row],[Theatre]])*(tbl_Case_mins[AmCase]=1)),1)),1,0),0)</f>
        <v>0</v>
      </c>
      <c r="CR65" s="9" cm="1">
        <f t="array" ref="CR6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5" s="9" t="e" cm="1">
        <f t="array" ref="CS6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5" s="9" cm="1">
        <f t="array" ref="CT65">IFERROR(IF(tbl_Case_mins[[#This Row],[Rank]]=_xlfn.AGGREGATE(15,6,(tbl_Case_mins[Rank])/((tbl_Case_mins[Surgery Start Date]=tbl_Case_mins[[#This Row],[Surgery Start Date]])*(tbl_Case_mins[Theatre]=tbl_Case_mins[[#This Row],[Theatre]])*(tbl_Case_mins[PmCase]=1)),1),1,0),0)</f>
        <v>0</v>
      </c>
      <c r="CU65">
        <f>IFERROR(#REF!,0)</f>
        <v>0</v>
      </c>
      <c r="CV65" s="9" t="e" cm="1">
        <f t="array" ref="CV6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5" s="9">
        <f>IFERROR(IF(ISBLANK(INDEX(Bay_AmClose,MATCH(1,INDEX((tbl_Case_mins[[#This Row],[Bay]]=BayNo)*(tbl_Case_mins[[#This Row],[Surgery Start Date]]=BDate),0,1),0))*1440),0,INDEX(Bay_AmClose,MATCH(1,INDEX((tbl_Case_mins[[#This Row],[Bay]]=BayNo)*(tbl_Case_mins[[#This Row],[Surgery Start Date]]=BDate),0,1),0))*1440),0)</f>
        <v>0</v>
      </c>
      <c r="CX65" s="9" cm="1">
        <f t="array" ref="CX65">IFERROR(IF(ISBLANK(INDEX(Bay_PmOpen,MATCH(1,INDEX((tbl_Case_mins[[#This Row],[Bay]]=BayNo)*(tbl_Case_mins[[#This Row],[Surgery Start Date]]=BDate),0,1),0))*1440),0,INDEX(Bay_PmOpen,MATCH(1,INDEX((tbl_Case_mins[[#This Row],[Bay]]=BayNo)*(tbl_Case_mins[[#This Row],[Surgery Start Date]]=BDate),0,1),0))*1440),0)</f>
        <v>0</v>
      </c>
      <c r="CY6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5" s="9"/>
    </row>
    <row r="66" spans="1:104" x14ac:dyDescent="0.2">
      <c r="A66">
        <v>65</v>
      </c>
      <c r="B66" t="e">
        <f>#REF!</f>
        <v>#REF!</v>
      </c>
      <c r="C66" t="e">
        <f>#REF!</f>
        <v>#REF!</v>
      </c>
      <c r="D66" t="e">
        <f>#REF!</f>
        <v>#REF!</v>
      </c>
      <c r="E66" t="e">
        <f>#REF!</f>
        <v>#REF!</v>
      </c>
      <c r="F66" t="e">
        <f>#REF!</f>
        <v>#REF!</v>
      </c>
      <c r="G66" t="e">
        <f>#REF!</f>
        <v>#REF!</v>
      </c>
      <c r="H66" t="e">
        <f>#REF!</f>
        <v>#REF!</v>
      </c>
      <c r="I66" t="e">
        <f>IF(#REF!="Case Cancelled",1,IF(#REF!="No Cases",2,0))</f>
        <v>#REF!</v>
      </c>
      <c r="J66" t="e">
        <f>#REF!</f>
        <v>#REF!</v>
      </c>
      <c r="K66" s="4" t="e">
        <f>#REF!</f>
        <v>#REF!</v>
      </c>
      <c r="L66" t="e">
        <f>"Wk "&amp;WEEKNUM(tbl_Case_mins[[#This Row],[Surgery Start Date]],21)</f>
        <v>#REF!</v>
      </c>
      <c r="M66" t="e">
        <f>TEXT(tbl_Case_mins[[#This Row],[Surgery Start Date]],"ddd")</f>
        <v>#REF!</v>
      </c>
      <c r="N66" s="9" t="e">
        <f>(#REF!-TIME(0,0,0))*1440</f>
        <v>#REF!</v>
      </c>
      <c r="O66" t="e">
        <f>IF(AND(ROUND((#REF!-TIME(0,0,0))*1440,0)&gt;0,ROUND((#REF!-TIME(0,0,0))*1440,0)&lt;tbl_Case_mins[[#This Row],[Patient Called]],tbl_Case_mins[[#This Row],[Surgery End Date]]&gt;tbl_Case_mins[[#This Row],[Surgery Start Date]]),ROUND((#REF!-TIME(0,0,0))*1440,0)+1440,ROUND((#REF!-TIME(0,0,0))*1440,0))</f>
        <v>#REF!</v>
      </c>
      <c r="P66" s="9" t="e">
        <f>IF(AND(ROUND((#REF!-TIME(0,0,0))*1440,0)&gt;0,ROUND((#REF!-TIME(0,0,0))*1440,0)&lt;tbl_Case_mins[[#This Row],[Arrival]],tbl_Case_mins[[#This Row],[Surgery End Date]]&gt;tbl_Case_mins[[#This Row],[Surgery Start Date]]),ROUND((#REF!-TIME(0,0,0))*1440,0)+1440,ROUND((#REF!-TIME(0,0,0))*1440,0))</f>
        <v>#REF!</v>
      </c>
      <c r="Q66" s="9" t="e">
        <f>IF(AND(ROUND((#REF!-TIME(0,0,0))*1440,0)&gt;0,ROUND((#REF!-TIME(0,0,0))*1440,0)&lt;tbl_Case_mins[[#This Row],[Into Th or AR]],tbl_Case_mins[[#This Row],[Surgery End Date]]&gt;tbl_Case_mins[[#This Row],[Surgery Start Date]]),ROUND((#REF!-TIME(0,0,0))*1440,0)+1440,ROUND((#REF!-TIME(0,0,0))*1440,0))</f>
        <v>#REF!</v>
      </c>
      <c r="R66" s="9" t="e">
        <f>IF(AND(ROUND((#REF!-TIME(0,0,0))*1440,0)&gt;0,ROUND((#REF!-TIME(0,0,0))*1440,0)&lt;tbl_Case_mins[[#This Row],[AnaesthStart]],tbl_Case_mins[[#This Row],[Surgery End Date]]&gt;tbl_Case_mins[[#This Row],[Surgery Start Date]]),ROUND((#REF!-TIME(0,0,0))*1440,0)+1440,ROUND((#REF!-TIME(0,0,0))*1440,0))</f>
        <v>#REF!</v>
      </c>
      <c r="S66" s="9" t="e">
        <f>IF(AND(ROUND((#REF!-TIME(0,0,0))*1440,0),ROUND((#REF!-TIME(0,0,0))*1440,0)&lt;tbl_Case_mins[[#This Row],[Surgery Start]],tbl_Case_mins[[#This Row],[Surgery End Date]]&gt;tbl_Case_mins[[#This Row],[Surgery Start Date]]),ROUND((#REF!-TIME(0,0,0))*1440,0)+1440,ROUND((#REF!-TIME(0,0,0))*1440,0))</f>
        <v>#REF!</v>
      </c>
      <c r="T66" s="9" t="e">
        <f>IF(AND(ROUND((#REF!-TIME(0,0,0))*1440,0)&gt;0,ROUND((#REF!-TIME(0,0,0))*1440,0)&lt;tbl_Case_mins[[#This Row],[Surgery Finish]],tbl_Case_mins[[#This Row],[Surgery End Date]]&gt;tbl_Case_mins[[#This Row],[Surgery Start Date]]),ROUND((#REF!-TIME(0,0,0))*1440,0)+1440,ROUND((#REF!-TIME(0,0,0))*1440,0))</f>
        <v>#REF!</v>
      </c>
      <c r="U66" s="9" t="e">
        <f>IF(AND(ROUND((#REF!-TIME(0,0,0))*1440,0)&gt;0,ROUND((#REF!-TIME(0,0,0))*1440,0)&lt;tbl_Case_mins[[#This Row],[Anaesth End]],tbl_Case_mins[[#This Row],[Surgery End Date]]&gt;tbl_Case_mins[[#This Row],[Surgery Start Date]]),ROUND((#REF!-TIME(0,0,0))*1440,0)+1440,ROUND((#REF!-TIME(0,0,0))*1440,0))</f>
        <v>#REF!</v>
      </c>
      <c r="V66" s="9" t="e">
        <f>IF(AND(ROUND((#REF!-TIME(0,0,0))*1440,0)&gt;0,ROUND((#REF!-TIME(0,0,0))*1440,0)&lt;tbl_Case_mins[[#This Row],[Into Recov]],tbl_Case_mins[[#This Row],[Surgery End Date]]&gt;tbl_Case_mins[[#This Row],[Surgery Start Date]]),ROUND((#REF!-TIME(0,0,0))*1440,0)+1440,ROUND((#REF!-TIME(0,0,0))*1440,0))</f>
        <v>#REF!</v>
      </c>
      <c r="W66" s="9" t="e">
        <f>IF(AND(ROUND((#REF!-TIME(0,0,0))*1440,0)&gt;0,ROUND((#REF!-TIME(0,0,0))*1440,0)&lt;tbl_Case_mins[[#This Row],[Ward Called]],tbl_Case_mins[[#This Row],[Surgery End Date]]&gt;tbl_Case_mins[[#This Row],[Surgery Start Date]]),ROUND((#REF!-TIME(0,0,0))*1440,0)+1440,ROUND((#REF!-TIME(0,0,0))*1440,0))</f>
        <v>#REF!</v>
      </c>
      <c r="X66" s="4" t="e">
        <f>IF(ISBLANK(#REF!),tbl_Case_mins[[#This Row],[Surgery Start Date]],#REF!)</f>
        <v>#REF!</v>
      </c>
      <c r="Y66">
        <f>IFERROR(IF(VLOOKUP(tbl_Case_mins[[#This Row],[Theatre]],'Mng Theatres'!$C$7:$G$12,3,FALSE)="Yes","Yes","No"),0)</f>
        <v>0</v>
      </c>
      <c r="Z66" s="9" t="e" cm="1">
        <f t="array" ref="Z6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6" s="9" t="e" cm="1">
        <f t="array" ref="AA6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6" s="9" t="e">
        <f>IF(tbl_Case_mins[[#This Row],[Case Type]]="Unsch",1,0)</f>
        <v>#REF!</v>
      </c>
      <c r="AD66" s="9" t="e">
        <f>IF(tbl_Case_mins[[#This Row],[Case Type]]="Sch",1,0)</f>
        <v>#REF!</v>
      </c>
      <c r="AE6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6" s="9">
        <f>IFERROR(IF(ISBLANK(INDEX(Am_Close,MATCH(1,INDEX((tbl_Case_mins[[#This Row],[Theatre]]=Theatre_No)*(tbl_Case_mins[[#This Row],[Surgery Start Date]]=Date),0,1),0))*1440),0,INDEX(Am_Close,MATCH(1,INDEX((tbl_Case_mins[[#This Row],[Theatre]]=Theatre_No)*(tbl_Case_mins[[#This Row],[Surgery Start Date]]=Date),0,1),0))*1440),0)</f>
        <v>0</v>
      </c>
      <c r="AG66" s="9">
        <f>IFERROR(IF(ISBLANK(INDEX(PM_Open,MATCH(1,INDEX((tbl_Case_mins[[#This Row],[Theatre]]=Theatre_No)*(tbl_Case_mins[[#This Row],[Surgery Start Date]]=Date),0,1),0))*1440),0,INDEX(PM_Open,MATCH(1,INDEX((tbl_Case_mins[[#This Row],[Theatre]]=Theatre_No)*(tbl_Case_mins[[#This Row],[Surgery Start Date]]=Date),0,1),0))*1440),0)</f>
        <v>0</v>
      </c>
      <c r="AH6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6" s="9" t="e">
        <f>IF(tbl_Case_mins[[#This Row],[ThOpenAm]]=0,tbl_Case_mins[[#This Row],[ThOpenPM]],tbl_Case_mins[[#This Row],[ThOpenAm]])</f>
        <v>#REF!</v>
      </c>
      <c r="AJ66" s="9" t="e">
        <f>IF(tbl_Case_mins[[#This Row],[ThCloseAm]]&gt;0,IF(tbl_Case_mins[[#This Row],[ThOpenPM]]&gt;0,tbl_Case_mins[[#This Row],[ThClosePm]],tbl_Case_mins[[#This Row],[ThCloseAm]]),tbl_Case_mins[[#This Row],[ThClosePm]])</f>
        <v>#REF!</v>
      </c>
      <c r="AK66" s="9" t="e">
        <f>IF(tbl_Case_mins[[#This Row],[TOT]]&gt;0,1,0)</f>
        <v>#REF!</v>
      </c>
      <c r="AL6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6" s="9" t="e">
        <f>IF(AND(tbl_Case_mins[[#This Row],[Surgery Status]]&lt;&gt;2,tbl_Case_mins[[#This Row],[InCoreCase]]=0,tbl_Case_mins[[#This Row],[CancelledCase]]=0),1,0)</f>
        <v>#REF!</v>
      </c>
      <c r="AN66" s="9" t="e">
        <f>IF(tbl_Case_mins[[#This Row],[Surgery Status]]=1,1,0)</f>
        <v>#REF!</v>
      </c>
      <c r="AO6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6" s="9" t="e">
        <f>IF(AND(tbl_Case_mins[[#This Row],[NonCoreCase]]=1,tbl_Case_mins[[#This Row],[NoInCoreTime]]=0),1,0)</f>
        <v>#REF!</v>
      </c>
      <c r="AQ66" s="9" t="e">
        <f>IF(tbl_Case_mins[[#This Row],[Rank_AnaEnd]]&lt;tbl_Case_mins[[#This Row],[Rank_AnaSt]],1,0)</f>
        <v>#REF!</v>
      </c>
      <c r="AR66" s="9" t="e">
        <f>IF(AND(tbl_Case_mins[[#This Row],[InCoreCase]]=1,tbl_Case_mins[[#This Row],[Sch]]=1),1,0)</f>
        <v>#REF!</v>
      </c>
      <c r="AS66" s="9" t="e">
        <f>IF(AND(tbl_Case_mins[[#This Row],[InCoreCase]]=1,tbl_Case_mins[[#This Row],[Unsch]]=1),1,0)</f>
        <v>#REF!</v>
      </c>
      <c r="AT6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6" s="9" t="e">
        <f>IF(tbl_Case_mins[[#This Row],[Surgery Status]]=0,(tbl_Case_mins[[#This Row],[Anaesth End]]-tbl_Case_mins[[#This Row],[AnaesthStart]]),0)</f>
        <v>#REF!</v>
      </c>
      <c r="AX66" s="9" t="e">
        <f>IF(tbl_Case_mins[[#This Row],[Surgery Status]]=0,(tbl_Case_mins[[#This Row],[Surgery Finish]]-tbl_Case_mins[[#This Row],[Surgery Start]]),0)</f>
        <v>#REF!</v>
      </c>
      <c r="AY66" s="9" t="e">
        <f>tbl_Case_mins[[#This Row],[Surgery Start]]-tbl_Case_mins[[#This Row],[AnaesthStart]]</f>
        <v>#REF!</v>
      </c>
      <c r="AZ66" s="9" t="e">
        <f>tbl_Case_mins[[#This Row],[Anaesth End]]-tbl_Case_mins[[#This Row],[Surgery Finish]]</f>
        <v>#REF!</v>
      </c>
      <c r="BA6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6" s="16" cm="1">
        <f t="array" ref="BC6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6" s="16" t="e">
        <f>IF(AND(tbl_Case_mins[[#This Row],[FirstAMCase]]=1,tbl_Case_mins[[#This Row],[CancelledCase]]=0,OR(tbl_Case_mins[[#This Row],[EarlyStartAM]]&gt;0,tbl_Case_mins[[#This Row],[AnaesthStart]]=tbl_Case_mins[[#This Row],[ThOpenAm]])),1,0)</f>
        <v>#REF!</v>
      </c>
      <c r="BE66" s="16" t="e">
        <f>IF(AND(tbl_Case_mins[[#This Row],[Rank_AnaSt]]=tbl_Case_mins[[#This Row],[Min_RankAnaSt]],tbl_Case_mins[[#This Row],[Anaesth End]]&gt;=tbl_Case_mins[[#This Row],[ThOpenAm]],tbl_Case_mins[[#This Row],[PmCase]]=0),1,0)</f>
        <v>#REF!</v>
      </c>
      <c r="BF6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6" s="9" t="e" cm="1">
        <f t="array" ref="BH6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6" s="9" t="e">
        <f>IF(AND(tbl_Case_mins[[#This Row],[ThOpenPM]]&gt;0,tbl_Case_mins[[#This Row],[AnaesthStart]]&gt;tbl_Case_mins[[#This Row],[ThOpenPM]],tbl_Case_mins[[#This Row],[First PM Case]]=1),tbl_Case_mins[[#This Row],[AnaesthStart]]-tbl_Case_mins[[#This Row],[ThOpenPM]],0)</f>
        <v>#REF!</v>
      </c>
      <c r="BL6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6" s="9" t="e" cm="1">
        <f t="array" ref="BN6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6" s="9" t="e">
        <f>IF(AND(tbl_Case_mins[[#This Row],[ThClosePm]]&gt;0,tbl_Case_mins[[#This Row],[Anaesth End]]&gt;tbl_Case_mins[[#This Row],[ThClosePm]],tbl_Case_mins[[#This Row],[AnaesthStart]]&gt;tbl_Case_mins[[#This Row],[ThClosePm]]),tbl_Case_mins[[#This Row],[Into Recov]]-tbl_Case_mins[[#This Row],[AnaesthStart]],0)</f>
        <v>#REF!</v>
      </c>
      <c r="BP66" s="9" t="e">
        <f>IF(AND(tbl_Case_mins[[#This Row],[AnaesthStart]]&lt;tbl_Case_mins[[#This Row],[ThClosePm]],tbl_Case_mins[[#This Row],[Anaesth End]]&gt;tbl_Case_mins[[#This Row],[ThClosePm]]),tbl_Case_mins[[#This Row],[Anaesth End]]-tbl_Case_mins[[#This Row],[ThClosePm]],0)</f>
        <v>#REF!</v>
      </c>
      <c r="BQ66" s="9" t="e" cm="1">
        <f t="array" ref="BQ6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6" s="9" t="e" cm="1">
        <f t="array" ref="BR66">IF(tbl_Case_mins[[#This Row],[Rank_Adjust]]=SUMPRODUCT(-(tbl_Case_mins[Surgery Start Date]=tbl_Case_mins[[#This Row],[Surgery Start Date]]),-(tbl_Case_mins[Theatre]=tbl_Case_mins[[#This Row],[Theatre]])),INDEX(Poss_Time,MATCH(TEXT(tbl_Case_mins[[#This Row],[Surgery Start Date]],"ddd"),Day,0)),0)</f>
        <v>#REF!</v>
      </c>
      <c r="BS66" s="9" t="e">
        <f>tbl_Case_mins[[#This Row],[Core_Time]]*Util_Goal</f>
        <v>#REF!</v>
      </c>
      <c r="BT66" s="9" t="e" cm="1">
        <f t="array" ref="BT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6" s="9" t="e" cm="1">
        <f t="array" ref="BU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6" s="9" t="e">
        <f>IF(tbl_Case_mins[[#This Row],[Surgery End Date]]&gt;tbl_Case_mins[[#This Row],[Surgery Start Date]],tbl_Case_mins[[#This Row],[Anaesth End]]-1440,0)</f>
        <v>#REF!</v>
      </c>
      <c r="BY66" s="9" t="e">
        <f>tbl_Case_mins[[#This Row],[Total_NonCore]]-tbl_Case_mins[[#This Row],[NextDay_NonCore]]</f>
        <v>#REF!</v>
      </c>
      <c r="BZ66" s="10" t="e">
        <f>tbl_Case_mins[[#This Row],[InCoreUse]]/60</f>
        <v>#REF!</v>
      </c>
      <c r="CA66" s="10" t="e">
        <f>tbl_Case_mins[[#This Row],[Total_NonCore]]/60</f>
        <v>#REF!</v>
      </c>
      <c r="CB66" t="e" cm="1">
        <f t="array" ref="CB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6" s="9" t="e" cm="1">
        <f t="array" ref="CC6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6" s="9" t="e" cm="1">
        <f t="array" ref="CD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6" s="9" t="e" cm="1">
        <f t="array" ref="CE6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6" s="9" cm="1">
        <f t="array" ref="CF66">IFERROR(_xlfn.AGGREGATE(14,6,(tbl_Case_mins[Rank_AnaEnd])/((tbl_Case_mins[Surgery Start Date]=tbl_Case_mins[[#This Row],[Surgery Start Date]])*(tbl_Case_mins[Theatre]=tbl_Case_mins[[#This Row],[Theatre]])*(tbl_Case_mins[NoInCoreTime]=0)),1),-1)</f>
        <v>-1</v>
      </c>
      <c r="CG66" s="9" cm="1">
        <f t="array" ref="CG66">IFERROR(_xlfn.AGGREGATE(15,6,(tbl_Case_mins[Rank_AnaSt])/((tbl_Case_mins[Surgery Start Date]=tbl_Case_mins[[#This Row],[Surgery Start Date]])*(tbl_Case_mins[Theatre]=tbl_Case_mins[[#This Row],[Theatre]])*(tbl_Case_mins[NoInCoreTime]=0)),1),-1)</f>
        <v>-1</v>
      </c>
      <c r="CH6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6" t="e" cm="1">
        <f t="array" ref="CJ6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6" s="9" cm="1">
        <f t="array" ref="CO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6" s="9" cm="1">
        <f t="array" ref="CP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6" s="9" cm="1">
        <f t="array" ref="CQ66">IFERROR(IF(AND(tbl_Case_mins[[#This Row],[FirstAMCase]]=0,tbl_Case_mins[[#This Row],[Rank]]=_xlfn.AGGREGATE(14,6,(tbl_Case_mins[Rank])/((tbl_Case_mins[Surgery Start Date]=tbl_Case_mins[[#This Row],[Surgery Start Date]])*(tbl_Case_mins[Theatre]=tbl_Case_mins[[#This Row],[Theatre]])*(tbl_Case_mins[AmCase]=1)),1)),1,0),0)</f>
        <v>0</v>
      </c>
      <c r="CR66" s="9" cm="1">
        <f t="array" ref="CR6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6" s="9" t="e" cm="1">
        <f t="array" ref="CS6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6" s="9" cm="1">
        <f t="array" ref="CT66">IFERROR(IF(tbl_Case_mins[[#This Row],[Rank]]=_xlfn.AGGREGATE(15,6,(tbl_Case_mins[Rank])/((tbl_Case_mins[Surgery Start Date]=tbl_Case_mins[[#This Row],[Surgery Start Date]])*(tbl_Case_mins[Theatre]=tbl_Case_mins[[#This Row],[Theatre]])*(tbl_Case_mins[PmCase]=1)),1),1,0),0)</f>
        <v>0</v>
      </c>
      <c r="CU66">
        <f>IFERROR(#REF!,0)</f>
        <v>0</v>
      </c>
      <c r="CV66" s="9" t="e" cm="1">
        <f t="array" ref="CV6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6" s="9">
        <f>IFERROR(IF(ISBLANK(INDEX(Bay_AmClose,MATCH(1,INDEX((tbl_Case_mins[[#This Row],[Bay]]=BayNo)*(tbl_Case_mins[[#This Row],[Surgery Start Date]]=BDate),0,1),0))*1440),0,INDEX(Bay_AmClose,MATCH(1,INDEX((tbl_Case_mins[[#This Row],[Bay]]=BayNo)*(tbl_Case_mins[[#This Row],[Surgery Start Date]]=BDate),0,1),0))*1440),0)</f>
        <v>0</v>
      </c>
      <c r="CX66" s="9" cm="1">
        <f t="array" ref="CX66">IFERROR(IF(ISBLANK(INDEX(Bay_PmOpen,MATCH(1,INDEX((tbl_Case_mins[[#This Row],[Bay]]=BayNo)*(tbl_Case_mins[[#This Row],[Surgery Start Date]]=BDate),0,1),0))*1440),0,INDEX(Bay_PmOpen,MATCH(1,INDEX((tbl_Case_mins[[#This Row],[Bay]]=BayNo)*(tbl_Case_mins[[#This Row],[Surgery Start Date]]=BDate),0,1),0))*1440),0)</f>
        <v>0</v>
      </c>
      <c r="CY6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6" s="9"/>
    </row>
    <row r="67" spans="1:104" x14ac:dyDescent="0.2">
      <c r="A67">
        <v>66</v>
      </c>
      <c r="B67" t="e">
        <f>#REF!</f>
        <v>#REF!</v>
      </c>
      <c r="C67" t="e">
        <f>#REF!</f>
        <v>#REF!</v>
      </c>
      <c r="D67" t="e">
        <f>#REF!</f>
        <v>#REF!</v>
      </c>
      <c r="E67" t="e">
        <f>#REF!</f>
        <v>#REF!</v>
      </c>
      <c r="F67" t="e">
        <f>#REF!</f>
        <v>#REF!</v>
      </c>
      <c r="G67" t="e">
        <f>#REF!</f>
        <v>#REF!</v>
      </c>
      <c r="H67" t="e">
        <f>#REF!</f>
        <v>#REF!</v>
      </c>
      <c r="I67" t="e">
        <f>IF(#REF!="Case Cancelled",1,IF(#REF!="No Cases",2,0))</f>
        <v>#REF!</v>
      </c>
      <c r="J67" t="e">
        <f>#REF!</f>
        <v>#REF!</v>
      </c>
      <c r="K67" s="4" t="e">
        <f>#REF!</f>
        <v>#REF!</v>
      </c>
      <c r="L67" t="e">
        <f>"Wk "&amp;WEEKNUM(tbl_Case_mins[[#This Row],[Surgery Start Date]],21)</f>
        <v>#REF!</v>
      </c>
      <c r="M67" t="e">
        <f>TEXT(tbl_Case_mins[[#This Row],[Surgery Start Date]],"ddd")</f>
        <v>#REF!</v>
      </c>
      <c r="N67" s="9" t="e">
        <f>(#REF!-TIME(0,0,0))*1440</f>
        <v>#REF!</v>
      </c>
      <c r="O67" t="e">
        <f>IF(AND(ROUND((#REF!-TIME(0,0,0))*1440,0)&gt;0,ROUND((#REF!-TIME(0,0,0))*1440,0)&lt;tbl_Case_mins[[#This Row],[Patient Called]],tbl_Case_mins[[#This Row],[Surgery End Date]]&gt;tbl_Case_mins[[#This Row],[Surgery Start Date]]),ROUND((#REF!-TIME(0,0,0))*1440,0)+1440,ROUND((#REF!-TIME(0,0,0))*1440,0))</f>
        <v>#REF!</v>
      </c>
      <c r="P67" s="9" t="e">
        <f>IF(AND(ROUND((#REF!-TIME(0,0,0))*1440,0)&gt;0,ROUND((#REF!-TIME(0,0,0))*1440,0)&lt;tbl_Case_mins[[#This Row],[Arrival]],tbl_Case_mins[[#This Row],[Surgery End Date]]&gt;tbl_Case_mins[[#This Row],[Surgery Start Date]]),ROUND((#REF!-TIME(0,0,0))*1440,0)+1440,ROUND((#REF!-TIME(0,0,0))*1440,0))</f>
        <v>#REF!</v>
      </c>
      <c r="Q67" s="9" t="e">
        <f>IF(AND(ROUND((#REF!-TIME(0,0,0))*1440,0)&gt;0,ROUND((#REF!-TIME(0,0,0))*1440,0)&lt;tbl_Case_mins[[#This Row],[Into Th or AR]],tbl_Case_mins[[#This Row],[Surgery End Date]]&gt;tbl_Case_mins[[#This Row],[Surgery Start Date]]),ROUND((#REF!-TIME(0,0,0))*1440,0)+1440,ROUND((#REF!-TIME(0,0,0))*1440,0))</f>
        <v>#REF!</v>
      </c>
      <c r="R67" s="9" t="e">
        <f>IF(AND(ROUND((#REF!-TIME(0,0,0))*1440,0)&gt;0,ROUND((#REF!-TIME(0,0,0))*1440,0)&lt;tbl_Case_mins[[#This Row],[AnaesthStart]],tbl_Case_mins[[#This Row],[Surgery End Date]]&gt;tbl_Case_mins[[#This Row],[Surgery Start Date]]),ROUND((#REF!-TIME(0,0,0))*1440,0)+1440,ROUND((#REF!-TIME(0,0,0))*1440,0))</f>
        <v>#REF!</v>
      </c>
      <c r="S67" s="9" t="e">
        <f>IF(AND(ROUND((#REF!-TIME(0,0,0))*1440,0),ROUND((#REF!-TIME(0,0,0))*1440,0)&lt;tbl_Case_mins[[#This Row],[Surgery Start]],tbl_Case_mins[[#This Row],[Surgery End Date]]&gt;tbl_Case_mins[[#This Row],[Surgery Start Date]]),ROUND((#REF!-TIME(0,0,0))*1440,0)+1440,ROUND((#REF!-TIME(0,0,0))*1440,0))</f>
        <v>#REF!</v>
      </c>
      <c r="T67" s="9" t="e">
        <f>IF(AND(ROUND((#REF!-TIME(0,0,0))*1440,0)&gt;0,ROUND((#REF!-TIME(0,0,0))*1440,0)&lt;tbl_Case_mins[[#This Row],[Surgery Finish]],tbl_Case_mins[[#This Row],[Surgery End Date]]&gt;tbl_Case_mins[[#This Row],[Surgery Start Date]]),ROUND((#REF!-TIME(0,0,0))*1440,0)+1440,ROUND((#REF!-TIME(0,0,0))*1440,0))</f>
        <v>#REF!</v>
      </c>
      <c r="U67" s="9" t="e">
        <f>IF(AND(ROUND((#REF!-TIME(0,0,0))*1440,0)&gt;0,ROUND((#REF!-TIME(0,0,0))*1440,0)&lt;tbl_Case_mins[[#This Row],[Anaesth End]],tbl_Case_mins[[#This Row],[Surgery End Date]]&gt;tbl_Case_mins[[#This Row],[Surgery Start Date]]),ROUND((#REF!-TIME(0,0,0))*1440,0)+1440,ROUND((#REF!-TIME(0,0,0))*1440,0))</f>
        <v>#REF!</v>
      </c>
      <c r="V67" s="9" t="e">
        <f>IF(AND(ROUND((#REF!-TIME(0,0,0))*1440,0)&gt;0,ROUND((#REF!-TIME(0,0,0))*1440,0)&lt;tbl_Case_mins[[#This Row],[Into Recov]],tbl_Case_mins[[#This Row],[Surgery End Date]]&gt;tbl_Case_mins[[#This Row],[Surgery Start Date]]),ROUND((#REF!-TIME(0,0,0))*1440,0)+1440,ROUND((#REF!-TIME(0,0,0))*1440,0))</f>
        <v>#REF!</v>
      </c>
      <c r="W67" s="9" t="e">
        <f>IF(AND(ROUND((#REF!-TIME(0,0,0))*1440,0)&gt;0,ROUND((#REF!-TIME(0,0,0))*1440,0)&lt;tbl_Case_mins[[#This Row],[Ward Called]],tbl_Case_mins[[#This Row],[Surgery End Date]]&gt;tbl_Case_mins[[#This Row],[Surgery Start Date]]),ROUND((#REF!-TIME(0,0,0))*1440,0)+1440,ROUND((#REF!-TIME(0,0,0))*1440,0))</f>
        <v>#REF!</v>
      </c>
      <c r="X67" s="4" t="e">
        <f>IF(ISBLANK(#REF!),tbl_Case_mins[[#This Row],[Surgery Start Date]],#REF!)</f>
        <v>#REF!</v>
      </c>
      <c r="Y67">
        <f>IFERROR(IF(VLOOKUP(tbl_Case_mins[[#This Row],[Theatre]],'Mng Theatres'!$C$7:$G$12,3,FALSE)="Yes","Yes","No"),0)</f>
        <v>0</v>
      </c>
      <c r="Z67" s="9" t="e" cm="1">
        <f t="array" ref="Z6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7" s="9" t="e" cm="1">
        <f t="array" ref="AA6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7" s="9" t="e">
        <f>IF(tbl_Case_mins[[#This Row],[Case Type]]="Unsch",1,0)</f>
        <v>#REF!</v>
      </c>
      <c r="AD67" s="9" t="e">
        <f>IF(tbl_Case_mins[[#This Row],[Case Type]]="Sch",1,0)</f>
        <v>#REF!</v>
      </c>
      <c r="AE6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7" s="9">
        <f>IFERROR(IF(ISBLANK(INDEX(Am_Close,MATCH(1,INDEX((tbl_Case_mins[[#This Row],[Theatre]]=Theatre_No)*(tbl_Case_mins[[#This Row],[Surgery Start Date]]=Date),0,1),0))*1440),0,INDEX(Am_Close,MATCH(1,INDEX((tbl_Case_mins[[#This Row],[Theatre]]=Theatre_No)*(tbl_Case_mins[[#This Row],[Surgery Start Date]]=Date),0,1),0))*1440),0)</f>
        <v>0</v>
      </c>
      <c r="AG67" s="9">
        <f>IFERROR(IF(ISBLANK(INDEX(PM_Open,MATCH(1,INDEX((tbl_Case_mins[[#This Row],[Theatre]]=Theatre_No)*(tbl_Case_mins[[#This Row],[Surgery Start Date]]=Date),0,1),0))*1440),0,INDEX(PM_Open,MATCH(1,INDEX((tbl_Case_mins[[#This Row],[Theatre]]=Theatre_No)*(tbl_Case_mins[[#This Row],[Surgery Start Date]]=Date),0,1),0))*1440),0)</f>
        <v>0</v>
      </c>
      <c r="AH6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7" s="9" t="e">
        <f>IF(tbl_Case_mins[[#This Row],[ThOpenAm]]=0,tbl_Case_mins[[#This Row],[ThOpenPM]],tbl_Case_mins[[#This Row],[ThOpenAm]])</f>
        <v>#REF!</v>
      </c>
      <c r="AJ67" s="9" t="e">
        <f>IF(tbl_Case_mins[[#This Row],[ThCloseAm]]&gt;0,IF(tbl_Case_mins[[#This Row],[ThOpenPM]]&gt;0,tbl_Case_mins[[#This Row],[ThClosePm]],tbl_Case_mins[[#This Row],[ThCloseAm]]),tbl_Case_mins[[#This Row],[ThClosePm]])</f>
        <v>#REF!</v>
      </c>
      <c r="AK67" s="9" t="e">
        <f>IF(tbl_Case_mins[[#This Row],[TOT]]&gt;0,1,0)</f>
        <v>#REF!</v>
      </c>
      <c r="AL6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7" s="9" t="e">
        <f>IF(AND(tbl_Case_mins[[#This Row],[Surgery Status]]&lt;&gt;2,tbl_Case_mins[[#This Row],[InCoreCase]]=0,tbl_Case_mins[[#This Row],[CancelledCase]]=0),1,0)</f>
        <v>#REF!</v>
      </c>
      <c r="AN67" s="9" t="e">
        <f>IF(tbl_Case_mins[[#This Row],[Surgery Status]]=1,1,0)</f>
        <v>#REF!</v>
      </c>
      <c r="AO6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7" s="9" t="e">
        <f>IF(AND(tbl_Case_mins[[#This Row],[NonCoreCase]]=1,tbl_Case_mins[[#This Row],[NoInCoreTime]]=0),1,0)</f>
        <v>#REF!</v>
      </c>
      <c r="AQ67" s="9" t="e">
        <f>IF(tbl_Case_mins[[#This Row],[Rank_AnaEnd]]&lt;tbl_Case_mins[[#This Row],[Rank_AnaSt]],1,0)</f>
        <v>#REF!</v>
      </c>
      <c r="AR67" s="9" t="e">
        <f>IF(AND(tbl_Case_mins[[#This Row],[InCoreCase]]=1,tbl_Case_mins[[#This Row],[Sch]]=1),1,0)</f>
        <v>#REF!</v>
      </c>
      <c r="AS67" s="9" t="e">
        <f>IF(AND(tbl_Case_mins[[#This Row],[InCoreCase]]=1,tbl_Case_mins[[#This Row],[Unsch]]=1),1,0)</f>
        <v>#REF!</v>
      </c>
      <c r="AT6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7" s="9" t="e">
        <f>IF(tbl_Case_mins[[#This Row],[Surgery Status]]=0,(tbl_Case_mins[[#This Row],[Anaesth End]]-tbl_Case_mins[[#This Row],[AnaesthStart]]),0)</f>
        <v>#REF!</v>
      </c>
      <c r="AX67" s="9" t="e">
        <f>IF(tbl_Case_mins[[#This Row],[Surgery Status]]=0,(tbl_Case_mins[[#This Row],[Surgery Finish]]-tbl_Case_mins[[#This Row],[Surgery Start]]),0)</f>
        <v>#REF!</v>
      </c>
      <c r="AY67" s="9" t="e">
        <f>tbl_Case_mins[[#This Row],[Surgery Start]]-tbl_Case_mins[[#This Row],[AnaesthStart]]</f>
        <v>#REF!</v>
      </c>
      <c r="AZ67" s="9" t="e">
        <f>tbl_Case_mins[[#This Row],[Anaesth End]]-tbl_Case_mins[[#This Row],[Surgery Finish]]</f>
        <v>#REF!</v>
      </c>
      <c r="BA6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7" s="16" cm="1">
        <f t="array" ref="BC6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7" s="16" t="e">
        <f>IF(AND(tbl_Case_mins[[#This Row],[FirstAMCase]]=1,tbl_Case_mins[[#This Row],[CancelledCase]]=0,OR(tbl_Case_mins[[#This Row],[EarlyStartAM]]&gt;0,tbl_Case_mins[[#This Row],[AnaesthStart]]=tbl_Case_mins[[#This Row],[ThOpenAm]])),1,0)</f>
        <v>#REF!</v>
      </c>
      <c r="BE67" s="16" t="e">
        <f>IF(AND(tbl_Case_mins[[#This Row],[Rank_AnaSt]]=tbl_Case_mins[[#This Row],[Min_RankAnaSt]],tbl_Case_mins[[#This Row],[Anaesth End]]&gt;=tbl_Case_mins[[#This Row],[ThOpenAm]],tbl_Case_mins[[#This Row],[PmCase]]=0),1,0)</f>
        <v>#REF!</v>
      </c>
      <c r="BF6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7" s="9" t="e" cm="1">
        <f t="array" ref="BH6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7" s="9" t="e">
        <f>IF(AND(tbl_Case_mins[[#This Row],[ThOpenPM]]&gt;0,tbl_Case_mins[[#This Row],[AnaesthStart]]&gt;tbl_Case_mins[[#This Row],[ThOpenPM]],tbl_Case_mins[[#This Row],[First PM Case]]=1),tbl_Case_mins[[#This Row],[AnaesthStart]]-tbl_Case_mins[[#This Row],[ThOpenPM]],0)</f>
        <v>#REF!</v>
      </c>
      <c r="BL6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7" s="9" t="e" cm="1">
        <f t="array" ref="BN6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7" s="9" t="e">
        <f>IF(AND(tbl_Case_mins[[#This Row],[ThClosePm]]&gt;0,tbl_Case_mins[[#This Row],[Anaesth End]]&gt;tbl_Case_mins[[#This Row],[ThClosePm]],tbl_Case_mins[[#This Row],[AnaesthStart]]&gt;tbl_Case_mins[[#This Row],[ThClosePm]]),tbl_Case_mins[[#This Row],[Into Recov]]-tbl_Case_mins[[#This Row],[AnaesthStart]],0)</f>
        <v>#REF!</v>
      </c>
      <c r="BP67" s="9" t="e">
        <f>IF(AND(tbl_Case_mins[[#This Row],[AnaesthStart]]&lt;tbl_Case_mins[[#This Row],[ThClosePm]],tbl_Case_mins[[#This Row],[Anaesth End]]&gt;tbl_Case_mins[[#This Row],[ThClosePm]]),tbl_Case_mins[[#This Row],[Anaesth End]]-tbl_Case_mins[[#This Row],[ThClosePm]],0)</f>
        <v>#REF!</v>
      </c>
      <c r="BQ67" s="9" t="e" cm="1">
        <f t="array" ref="BQ6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7" s="9" t="e" cm="1">
        <f t="array" ref="BR67">IF(tbl_Case_mins[[#This Row],[Rank_Adjust]]=SUMPRODUCT(-(tbl_Case_mins[Surgery Start Date]=tbl_Case_mins[[#This Row],[Surgery Start Date]]),-(tbl_Case_mins[Theatre]=tbl_Case_mins[[#This Row],[Theatre]])),INDEX(Poss_Time,MATCH(TEXT(tbl_Case_mins[[#This Row],[Surgery Start Date]],"ddd"),Day,0)),0)</f>
        <v>#REF!</v>
      </c>
      <c r="BS67" s="9" t="e">
        <f>tbl_Case_mins[[#This Row],[Core_Time]]*Util_Goal</f>
        <v>#REF!</v>
      </c>
      <c r="BT67" s="9" t="e" cm="1">
        <f t="array" ref="BT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7" s="9" t="e" cm="1">
        <f t="array" ref="BU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7" s="9" t="e">
        <f>IF(tbl_Case_mins[[#This Row],[Surgery End Date]]&gt;tbl_Case_mins[[#This Row],[Surgery Start Date]],tbl_Case_mins[[#This Row],[Anaesth End]]-1440,0)</f>
        <v>#REF!</v>
      </c>
      <c r="BY67" s="9" t="e">
        <f>tbl_Case_mins[[#This Row],[Total_NonCore]]-tbl_Case_mins[[#This Row],[NextDay_NonCore]]</f>
        <v>#REF!</v>
      </c>
      <c r="BZ67" s="10" t="e">
        <f>tbl_Case_mins[[#This Row],[InCoreUse]]/60</f>
        <v>#REF!</v>
      </c>
      <c r="CA67" s="10" t="e">
        <f>tbl_Case_mins[[#This Row],[Total_NonCore]]/60</f>
        <v>#REF!</v>
      </c>
      <c r="CB67" t="e" cm="1">
        <f t="array" ref="CB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7" s="9" t="e" cm="1">
        <f t="array" ref="CC6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7" s="9" t="e" cm="1">
        <f t="array" ref="CD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7" s="9" t="e" cm="1">
        <f t="array" ref="CE6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7" s="9" cm="1">
        <f t="array" ref="CF67">IFERROR(_xlfn.AGGREGATE(14,6,(tbl_Case_mins[Rank_AnaEnd])/((tbl_Case_mins[Surgery Start Date]=tbl_Case_mins[[#This Row],[Surgery Start Date]])*(tbl_Case_mins[Theatre]=tbl_Case_mins[[#This Row],[Theatre]])*(tbl_Case_mins[NoInCoreTime]=0)),1),-1)</f>
        <v>-1</v>
      </c>
      <c r="CG67" s="9" cm="1">
        <f t="array" ref="CG67">IFERROR(_xlfn.AGGREGATE(15,6,(tbl_Case_mins[Rank_AnaSt])/((tbl_Case_mins[Surgery Start Date]=tbl_Case_mins[[#This Row],[Surgery Start Date]])*(tbl_Case_mins[Theatre]=tbl_Case_mins[[#This Row],[Theatre]])*(tbl_Case_mins[NoInCoreTime]=0)),1),-1)</f>
        <v>-1</v>
      </c>
      <c r="CH6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7" t="e" cm="1">
        <f t="array" ref="CJ6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7" s="9" cm="1">
        <f t="array" ref="CO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7" s="9" cm="1">
        <f t="array" ref="CP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7" s="9" cm="1">
        <f t="array" ref="CQ67">IFERROR(IF(AND(tbl_Case_mins[[#This Row],[FirstAMCase]]=0,tbl_Case_mins[[#This Row],[Rank]]=_xlfn.AGGREGATE(14,6,(tbl_Case_mins[Rank])/((tbl_Case_mins[Surgery Start Date]=tbl_Case_mins[[#This Row],[Surgery Start Date]])*(tbl_Case_mins[Theatre]=tbl_Case_mins[[#This Row],[Theatre]])*(tbl_Case_mins[AmCase]=1)),1)),1,0),0)</f>
        <v>0</v>
      </c>
      <c r="CR67" s="9" cm="1">
        <f t="array" ref="CR6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7" s="9" t="e" cm="1">
        <f t="array" ref="CS6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7" s="9" cm="1">
        <f t="array" ref="CT67">IFERROR(IF(tbl_Case_mins[[#This Row],[Rank]]=_xlfn.AGGREGATE(15,6,(tbl_Case_mins[Rank])/((tbl_Case_mins[Surgery Start Date]=tbl_Case_mins[[#This Row],[Surgery Start Date]])*(tbl_Case_mins[Theatre]=tbl_Case_mins[[#This Row],[Theatre]])*(tbl_Case_mins[PmCase]=1)),1),1,0),0)</f>
        <v>0</v>
      </c>
      <c r="CU67">
        <f>IFERROR(#REF!,0)</f>
        <v>0</v>
      </c>
      <c r="CV67" s="9" t="e" cm="1">
        <f t="array" ref="CV6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7" s="9">
        <f>IFERROR(IF(ISBLANK(INDEX(Bay_AmClose,MATCH(1,INDEX((tbl_Case_mins[[#This Row],[Bay]]=BayNo)*(tbl_Case_mins[[#This Row],[Surgery Start Date]]=BDate),0,1),0))*1440),0,INDEX(Bay_AmClose,MATCH(1,INDEX((tbl_Case_mins[[#This Row],[Bay]]=BayNo)*(tbl_Case_mins[[#This Row],[Surgery Start Date]]=BDate),0,1),0))*1440),0)</f>
        <v>0</v>
      </c>
      <c r="CX67" s="9" cm="1">
        <f t="array" ref="CX67">IFERROR(IF(ISBLANK(INDEX(Bay_PmOpen,MATCH(1,INDEX((tbl_Case_mins[[#This Row],[Bay]]=BayNo)*(tbl_Case_mins[[#This Row],[Surgery Start Date]]=BDate),0,1),0))*1440),0,INDEX(Bay_PmOpen,MATCH(1,INDEX((tbl_Case_mins[[#This Row],[Bay]]=BayNo)*(tbl_Case_mins[[#This Row],[Surgery Start Date]]=BDate),0,1),0))*1440),0)</f>
        <v>0</v>
      </c>
      <c r="CY6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7" s="9"/>
    </row>
    <row r="68" spans="1:104" x14ac:dyDescent="0.2">
      <c r="A68">
        <v>67</v>
      </c>
      <c r="B68" t="e">
        <f>#REF!</f>
        <v>#REF!</v>
      </c>
      <c r="C68" t="e">
        <f>#REF!</f>
        <v>#REF!</v>
      </c>
      <c r="D68" t="e">
        <f>#REF!</f>
        <v>#REF!</v>
      </c>
      <c r="E68" t="e">
        <f>#REF!</f>
        <v>#REF!</v>
      </c>
      <c r="F68" t="e">
        <f>#REF!</f>
        <v>#REF!</v>
      </c>
      <c r="G68" t="e">
        <f>#REF!</f>
        <v>#REF!</v>
      </c>
      <c r="H68" t="e">
        <f>#REF!</f>
        <v>#REF!</v>
      </c>
      <c r="I68" t="e">
        <f>IF(#REF!="Case Cancelled",1,IF(#REF!="No Cases",2,0))</f>
        <v>#REF!</v>
      </c>
      <c r="J68" t="e">
        <f>#REF!</f>
        <v>#REF!</v>
      </c>
      <c r="K68" s="4" t="e">
        <f>#REF!</f>
        <v>#REF!</v>
      </c>
      <c r="L68" t="e">
        <f>"Wk "&amp;WEEKNUM(tbl_Case_mins[[#This Row],[Surgery Start Date]],21)</f>
        <v>#REF!</v>
      </c>
      <c r="M68" t="e">
        <f>TEXT(tbl_Case_mins[[#This Row],[Surgery Start Date]],"ddd")</f>
        <v>#REF!</v>
      </c>
      <c r="N68" s="9" t="e">
        <f>(#REF!-TIME(0,0,0))*1440</f>
        <v>#REF!</v>
      </c>
      <c r="O68" t="e">
        <f>IF(AND(ROUND((#REF!-TIME(0,0,0))*1440,0)&gt;0,ROUND((#REF!-TIME(0,0,0))*1440,0)&lt;tbl_Case_mins[[#This Row],[Patient Called]],tbl_Case_mins[[#This Row],[Surgery End Date]]&gt;tbl_Case_mins[[#This Row],[Surgery Start Date]]),ROUND((#REF!-TIME(0,0,0))*1440,0)+1440,ROUND((#REF!-TIME(0,0,0))*1440,0))</f>
        <v>#REF!</v>
      </c>
      <c r="P68" s="9" t="e">
        <f>IF(AND(ROUND((#REF!-TIME(0,0,0))*1440,0)&gt;0,ROUND((#REF!-TIME(0,0,0))*1440,0)&lt;tbl_Case_mins[[#This Row],[Arrival]],tbl_Case_mins[[#This Row],[Surgery End Date]]&gt;tbl_Case_mins[[#This Row],[Surgery Start Date]]),ROUND((#REF!-TIME(0,0,0))*1440,0)+1440,ROUND((#REF!-TIME(0,0,0))*1440,0))</f>
        <v>#REF!</v>
      </c>
      <c r="Q68" s="9" t="e">
        <f>IF(AND(ROUND((#REF!-TIME(0,0,0))*1440,0)&gt;0,ROUND((#REF!-TIME(0,0,0))*1440,0)&lt;tbl_Case_mins[[#This Row],[Into Th or AR]],tbl_Case_mins[[#This Row],[Surgery End Date]]&gt;tbl_Case_mins[[#This Row],[Surgery Start Date]]),ROUND((#REF!-TIME(0,0,0))*1440,0)+1440,ROUND((#REF!-TIME(0,0,0))*1440,0))</f>
        <v>#REF!</v>
      </c>
      <c r="R68" s="9" t="e">
        <f>IF(AND(ROUND((#REF!-TIME(0,0,0))*1440,0)&gt;0,ROUND((#REF!-TIME(0,0,0))*1440,0)&lt;tbl_Case_mins[[#This Row],[AnaesthStart]],tbl_Case_mins[[#This Row],[Surgery End Date]]&gt;tbl_Case_mins[[#This Row],[Surgery Start Date]]),ROUND((#REF!-TIME(0,0,0))*1440,0)+1440,ROUND((#REF!-TIME(0,0,0))*1440,0))</f>
        <v>#REF!</v>
      </c>
      <c r="S68" s="9" t="e">
        <f>IF(AND(ROUND((#REF!-TIME(0,0,0))*1440,0),ROUND((#REF!-TIME(0,0,0))*1440,0)&lt;tbl_Case_mins[[#This Row],[Surgery Start]],tbl_Case_mins[[#This Row],[Surgery End Date]]&gt;tbl_Case_mins[[#This Row],[Surgery Start Date]]),ROUND((#REF!-TIME(0,0,0))*1440,0)+1440,ROUND((#REF!-TIME(0,0,0))*1440,0))</f>
        <v>#REF!</v>
      </c>
      <c r="T68" s="9" t="e">
        <f>IF(AND(ROUND((#REF!-TIME(0,0,0))*1440,0)&gt;0,ROUND((#REF!-TIME(0,0,0))*1440,0)&lt;tbl_Case_mins[[#This Row],[Surgery Finish]],tbl_Case_mins[[#This Row],[Surgery End Date]]&gt;tbl_Case_mins[[#This Row],[Surgery Start Date]]),ROUND((#REF!-TIME(0,0,0))*1440,0)+1440,ROUND((#REF!-TIME(0,0,0))*1440,0))</f>
        <v>#REF!</v>
      </c>
      <c r="U68" s="9" t="e">
        <f>IF(AND(ROUND((#REF!-TIME(0,0,0))*1440,0)&gt;0,ROUND((#REF!-TIME(0,0,0))*1440,0)&lt;tbl_Case_mins[[#This Row],[Anaesth End]],tbl_Case_mins[[#This Row],[Surgery End Date]]&gt;tbl_Case_mins[[#This Row],[Surgery Start Date]]),ROUND((#REF!-TIME(0,0,0))*1440,0)+1440,ROUND((#REF!-TIME(0,0,0))*1440,0))</f>
        <v>#REF!</v>
      </c>
      <c r="V68" s="9" t="e">
        <f>IF(AND(ROUND((#REF!-TIME(0,0,0))*1440,0)&gt;0,ROUND((#REF!-TIME(0,0,0))*1440,0)&lt;tbl_Case_mins[[#This Row],[Into Recov]],tbl_Case_mins[[#This Row],[Surgery End Date]]&gt;tbl_Case_mins[[#This Row],[Surgery Start Date]]),ROUND((#REF!-TIME(0,0,0))*1440,0)+1440,ROUND((#REF!-TIME(0,0,0))*1440,0))</f>
        <v>#REF!</v>
      </c>
      <c r="W68" s="9" t="e">
        <f>IF(AND(ROUND((#REF!-TIME(0,0,0))*1440,0)&gt;0,ROUND((#REF!-TIME(0,0,0))*1440,0)&lt;tbl_Case_mins[[#This Row],[Ward Called]],tbl_Case_mins[[#This Row],[Surgery End Date]]&gt;tbl_Case_mins[[#This Row],[Surgery Start Date]]),ROUND((#REF!-TIME(0,0,0))*1440,0)+1440,ROUND((#REF!-TIME(0,0,0))*1440,0))</f>
        <v>#REF!</v>
      </c>
      <c r="X68" s="4" t="e">
        <f>IF(ISBLANK(#REF!),tbl_Case_mins[[#This Row],[Surgery Start Date]],#REF!)</f>
        <v>#REF!</v>
      </c>
      <c r="Y68">
        <f>IFERROR(IF(VLOOKUP(tbl_Case_mins[[#This Row],[Theatre]],'Mng Theatres'!$C$7:$G$12,3,FALSE)="Yes","Yes","No"),0)</f>
        <v>0</v>
      </c>
      <c r="Z68" s="9" t="e" cm="1">
        <f t="array" ref="Z6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8" s="9" t="e" cm="1">
        <f t="array" ref="AA6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8" s="9" t="e">
        <f>IF(tbl_Case_mins[[#This Row],[Case Type]]="Unsch",1,0)</f>
        <v>#REF!</v>
      </c>
      <c r="AD68" s="9" t="e">
        <f>IF(tbl_Case_mins[[#This Row],[Case Type]]="Sch",1,0)</f>
        <v>#REF!</v>
      </c>
      <c r="AE6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8" s="9">
        <f>IFERROR(IF(ISBLANK(INDEX(Am_Close,MATCH(1,INDEX((tbl_Case_mins[[#This Row],[Theatre]]=Theatre_No)*(tbl_Case_mins[[#This Row],[Surgery Start Date]]=Date),0,1),0))*1440),0,INDEX(Am_Close,MATCH(1,INDEX((tbl_Case_mins[[#This Row],[Theatre]]=Theatre_No)*(tbl_Case_mins[[#This Row],[Surgery Start Date]]=Date),0,1),0))*1440),0)</f>
        <v>0</v>
      </c>
      <c r="AG68" s="9">
        <f>IFERROR(IF(ISBLANK(INDEX(PM_Open,MATCH(1,INDEX((tbl_Case_mins[[#This Row],[Theatre]]=Theatre_No)*(tbl_Case_mins[[#This Row],[Surgery Start Date]]=Date),0,1),0))*1440),0,INDEX(PM_Open,MATCH(1,INDEX((tbl_Case_mins[[#This Row],[Theatre]]=Theatre_No)*(tbl_Case_mins[[#This Row],[Surgery Start Date]]=Date),0,1),0))*1440),0)</f>
        <v>0</v>
      </c>
      <c r="AH6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8" s="9" t="e">
        <f>IF(tbl_Case_mins[[#This Row],[ThOpenAm]]=0,tbl_Case_mins[[#This Row],[ThOpenPM]],tbl_Case_mins[[#This Row],[ThOpenAm]])</f>
        <v>#REF!</v>
      </c>
      <c r="AJ68" s="9" t="e">
        <f>IF(tbl_Case_mins[[#This Row],[ThCloseAm]]&gt;0,IF(tbl_Case_mins[[#This Row],[ThOpenPM]]&gt;0,tbl_Case_mins[[#This Row],[ThClosePm]],tbl_Case_mins[[#This Row],[ThCloseAm]]),tbl_Case_mins[[#This Row],[ThClosePm]])</f>
        <v>#REF!</v>
      </c>
      <c r="AK68" s="9" t="e">
        <f>IF(tbl_Case_mins[[#This Row],[TOT]]&gt;0,1,0)</f>
        <v>#REF!</v>
      </c>
      <c r="AL6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8" s="9" t="e">
        <f>IF(AND(tbl_Case_mins[[#This Row],[Surgery Status]]&lt;&gt;2,tbl_Case_mins[[#This Row],[InCoreCase]]=0,tbl_Case_mins[[#This Row],[CancelledCase]]=0),1,0)</f>
        <v>#REF!</v>
      </c>
      <c r="AN68" s="9" t="e">
        <f>IF(tbl_Case_mins[[#This Row],[Surgery Status]]=1,1,0)</f>
        <v>#REF!</v>
      </c>
      <c r="AO6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8" s="9" t="e">
        <f>IF(AND(tbl_Case_mins[[#This Row],[NonCoreCase]]=1,tbl_Case_mins[[#This Row],[NoInCoreTime]]=0),1,0)</f>
        <v>#REF!</v>
      </c>
      <c r="AQ68" s="9" t="e">
        <f>IF(tbl_Case_mins[[#This Row],[Rank_AnaEnd]]&lt;tbl_Case_mins[[#This Row],[Rank_AnaSt]],1,0)</f>
        <v>#REF!</v>
      </c>
      <c r="AR68" s="9" t="e">
        <f>IF(AND(tbl_Case_mins[[#This Row],[InCoreCase]]=1,tbl_Case_mins[[#This Row],[Sch]]=1),1,0)</f>
        <v>#REF!</v>
      </c>
      <c r="AS68" s="9" t="e">
        <f>IF(AND(tbl_Case_mins[[#This Row],[InCoreCase]]=1,tbl_Case_mins[[#This Row],[Unsch]]=1),1,0)</f>
        <v>#REF!</v>
      </c>
      <c r="AT6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8" s="9" t="e">
        <f>IF(tbl_Case_mins[[#This Row],[Surgery Status]]=0,(tbl_Case_mins[[#This Row],[Anaesth End]]-tbl_Case_mins[[#This Row],[AnaesthStart]]),0)</f>
        <v>#REF!</v>
      </c>
      <c r="AX68" s="9" t="e">
        <f>IF(tbl_Case_mins[[#This Row],[Surgery Status]]=0,(tbl_Case_mins[[#This Row],[Surgery Finish]]-tbl_Case_mins[[#This Row],[Surgery Start]]),0)</f>
        <v>#REF!</v>
      </c>
      <c r="AY68" s="9" t="e">
        <f>tbl_Case_mins[[#This Row],[Surgery Start]]-tbl_Case_mins[[#This Row],[AnaesthStart]]</f>
        <v>#REF!</v>
      </c>
      <c r="AZ68" s="9" t="e">
        <f>tbl_Case_mins[[#This Row],[Anaesth End]]-tbl_Case_mins[[#This Row],[Surgery Finish]]</f>
        <v>#REF!</v>
      </c>
      <c r="BA6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8" s="16" cm="1">
        <f t="array" ref="BC6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8" s="16" t="e">
        <f>IF(AND(tbl_Case_mins[[#This Row],[FirstAMCase]]=1,tbl_Case_mins[[#This Row],[CancelledCase]]=0,OR(tbl_Case_mins[[#This Row],[EarlyStartAM]]&gt;0,tbl_Case_mins[[#This Row],[AnaesthStart]]=tbl_Case_mins[[#This Row],[ThOpenAm]])),1,0)</f>
        <v>#REF!</v>
      </c>
      <c r="BE68" s="16" t="e">
        <f>IF(AND(tbl_Case_mins[[#This Row],[Rank_AnaSt]]=tbl_Case_mins[[#This Row],[Min_RankAnaSt]],tbl_Case_mins[[#This Row],[Anaesth End]]&gt;=tbl_Case_mins[[#This Row],[ThOpenAm]],tbl_Case_mins[[#This Row],[PmCase]]=0),1,0)</f>
        <v>#REF!</v>
      </c>
      <c r="BF6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8" s="9" t="e" cm="1">
        <f t="array" ref="BH6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8" s="9" t="e">
        <f>IF(AND(tbl_Case_mins[[#This Row],[ThOpenPM]]&gt;0,tbl_Case_mins[[#This Row],[AnaesthStart]]&gt;tbl_Case_mins[[#This Row],[ThOpenPM]],tbl_Case_mins[[#This Row],[First PM Case]]=1),tbl_Case_mins[[#This Row],[AnaesthStart]]-tbl_Case_mins[[#This Row],[ThOpenPM]],0)</f>
        <v>#REF!</v>
      </c>
      <c r="BL6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8" s="9" t="e" cm="1">
        <f t="array" ref="BN6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8" s="9" t="e">
        <f>IF(AND(tbl_Case_mins[[#This Row],[ThClosePm]]&gt;0,tbl_Case_mins[[#This Row],[Anaesth End]]&gt;tbl_Case_mins[[#This Row],[ThClosePm]],tbl_Case_mins[[#This Row],[AnaesthStart]]&gt;tbl_Case_mins[[#This Row],[ThClosePm]]),tbl_Case_mins[[#This Row],[Into Recov]]-tbl_Case_mins[[#This Row],[AnaesthStart]],0)</f>
        <v>#REF!</v>
      </c>
      <c r="BP68" s="9" t="e">
        <f>IF(AND(tbl_Case_mins[[#This Row],[AnaesthStart]]&lt;tbl_Case_mins[[#This Row],[ThClosePm]],tbl_Case_mins[[#This Row],[Anaesth End]]&gt;tbl_Case_mins[[#This Row],[ThClosePm]]),tbl_Case_mins[[#This Row],[Anaesth End]]-tbl_Case_mins[[#This Row],[ThClosePm]],0)</f>
        <v>#REF!</v>
      </c>
      <c r="BQ68" s="9" t="e" cm="1">
        <f t="array" ref="BQ6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8" s="9" t="e" cm="1">
        <f t="array" ref="BR68">IF(tbl_Case_mins[[#This Row],[Rank_Adjust]]=SUMPRODUCT(-(tbl_Case_mins[Surgery Start Date]=tbl_Case_mins[[#This Row],[Surgery Start Date]]),-(tbl_Case_mins[Theatre]=tbl_Case_mins[[#This Row],[Theatre]])),INDEX(Poss_Time,MATCH(TEXT(tbl_Case_mins[[#This Row],[Surgery Start Date]],"ddd"),Day,0)),0)</f>
        <v>#REF!</v>
      </c>
      <c r="BS68" s="9" t="e">
        <f>tbl_Case_mins[[#This Row],[Core_Time]]*Util_Goal</f>
        <v>#REF!</v>
      </c>
      <c r="BT68" s="9" t="e" cm="1">
        <f t="array" ref="BT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8" s="9" t="e" cm="1">
        <f t="array" ref="BU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8" s="9" t="e">
        <f>IF(tbl_Case_mins[[#This Row],[Surgery End Date]]&gt;tbl_Case_mins[[#This Row],[Surgery Start Date]],tbl_Case_mins[[#This Row],[Anaesth End]]-1440,0)</f>
        <v>#REF!</v>
      </c>
      <c r="BY68" s="9" t="e">
        <f>tbl_Case_mins[[#This Row],[Total_NonCore]]-tbl_Case_mins[[#This Row],[NextDay_NonCore]]</f>
        <v>#REF!</v>
      </c>
      <c r="BZ68" s="10" t="e">
        <f>tbl_Case_mins[[#This Row],[InCoreUse]]/60</f>
        <v>#REF!</v>
      </c>
      <c r="CA68" s="10" t="e">
        <f>tbl_Case_mins[[#This Row],[Total_NonCore]]/60</f>
        <v>#REF!</v>
      </c>
      <c r="CB68" t="e" cm="1">
        <f t="array" ref="CB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8" s="9" t="e" cm="1">
        <f t="array" ref="CC6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8" s="9" t="e" cm="1">
        <f t="array" ref="CD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8" s="9" t="e" cm="1">
        <f t="array" ref="CE6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8" s="9" cm="1">
        <f t="array" ref="CF68">IFERROR(_xlfn.AGGREGATE(14,6,(tbl_Case_mins[Rank_AnaEnd])/((tbl_Case_mins[Surgery Start Date]=tbl_Case_mins[[#This Row],[Surgery Start Date]])*(tbl_Case_mins[Theatre]=tbl_Case_mins[[#This Row],[Theatre]])*(tbl_Case_mins[NoInCoreTime]=0)),1),-1)</f>
        <v>-1</v>
      </c>
      <c r="CG68" s="9" cm="1">
        <f t="array" ref="CG68">IFERROR(_xlfn.AGGREGATE(15,6,(tbl_Case_mins[Rank_AnaSt])/((tbl_Case_mins[Surgery Start Date]=tbl_Case_mins[[#This Row],[Surgery Start Date]])*(tbl_Case_mins[Theatre]=tbl_Case_mins[[#This Row],[Theatre]])*(tbl_Case_mins[NoInCoreTime]=0)),1),-1)</f>
        <v>-1</v>
      </c>
      <c r="CH6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8" t="e" cm="1">
        <f t="array" ref="CJ6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8" s="9" cm="1">
        <f t="array" ref="CO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8" s="9" cm="1">
        <f t="array" ref="CP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8" s="9" cm="1">
        <f t="array" ref="CQ68">IFERROR(IF(AND(tbl_Case_mins[[#This Row],[FirstAMCase]]=0,tbl_Case_mins[[#This Row],[Rank]]=_xlfn.AGGREGATE(14,6,(tbl_Case_mins[Rank])/((tbl_Case_mins[Surgery Start Date]=tbl_Case_mins[[#This Row],[Surgery Start Date]])*(tbl_Case_mins[Theatre]=tbl_Case_mins[[#This Row],[Theatre]])*(tbl_Case_mins[AmCase]=1)),1)),1,0),0)</f>
        <v>0</v>
      </c>
      <c r="CR68" s="9" cm="1">
        <f t="array" ref="CR6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8" s="9" t="e" cm="1">
        <f t="array" ref="CS6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8" s="9" cm="1">
        <f t="array" ref="CT68">IFERROR(IF(tbl_Case_mins[[#This Row],[Rank]]=_xlfn.AGGREGATE(15,6,(tbl_Case_mins[Rank])/((tbl_Case_mins[Surgery Start Date]=tbl_Case_mins[[#This Row],[Surgery Start Date]])*(tbl_Case_mins[Theatre]=tbl_Case_mins[[#This Row],[Theatre]])*(tbl_Case_mins[PmCase]=1)),1),1,0),0)</f>
        <v>0</v>
      </c>
      <c r="CU68">
        <f>IFERROR(#REF!,0)</f>
        <v>0</v>
      </c>
      <c r="CV68" s="9" t="e" cm="1">
        <f t="array" ref="CV6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8" s="9">
        <f>IFERROR(IF(ISBLANK(INDEX(Bay_AmClose,MATCH(1,INDEX((tbl_Case_mins[[#This Row],[Bay]]=BayNo)*(tbl_Case_mins[[#This Row],[Surgery Start Date]]=BDate),0,1),0))*1440),0,INDEX(Bay_AmClose,MATCH(1,INDEX((tbl_Case_mins[[#This Row],[Bay]]=BayNo)*(tbl_Case_mins[[#This Row],[Surgery Start Date]]=BDate),0,1),0))*1440),0)</f>
        <v>0</v>
      </c>
      <c r="CX68" s="9" cm="1">
        <f t="array" ref="CX68">IFERROR(IF(ISBLANK(INDEX(Bay_PmOpen,MATCH(1,INDEX((tbl_Case_mins[[#This Row],[Bay]]=BayNo)*(tbl_Case_mins[[#This Row],[Surgery Start Date]]=BDate),0,1),0))*1440),0,INDEX(Bay_PmOpen,MATCH(1,INDEX((tbl_Case_mins[[#This Row],[Bay]]=BayNo)*(tbl_Case_mins[[#This Row],[Surgery Start Date]]=BDate),0,1),0))*1440),0)</f>
        <v>0</v>
      </c>
      <c r="CY6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8" s="9"/>
    </row>
    <row r="69" spans="1:104" x14ac:dyDescent="0.2">
      <c r="A69">
        <v>68</v>
      </c>
      <c r="B69" t="e">
        <f>#REF!</f>
        <v>#REF!</v>
      </c>
      <c r="C69" t="e">
        <f>#REF!</f>
        <v>#REF!</v>
      </c>
      <c r="D69" t="e">
        <f>#REF!</f>
        <v>#REF!</v>
      </c>
      <c r="E69" t="e">
        <f>#REF!</f>
        <v>#REF!</v>
      </c>
      <c r="F69" t="e">
        <f>#REF!</f>
        <v>#REF!</v>
      </c>
      <c r="G69" t="e">
        <f>#REF!</f>
        <v>#REF!</v>
      </c>
      <c r="H69" t="e">
        <f>#REF!</f>
        <v>#REF!</v>
      </c>
      <c r="I69" t="e">
        <f>IF(#REF!="Case Cancelled",1,IF(#REF!="No Cases",2,0))</f>
        <v>#REF!</v>
      </c>
      <c r="J69" t="e">
        <f>#REF!</f>
        <v>#REF!</v>
      </c>
      <c r="K69" s="4" t="e">
        <f>#REF!</f>
        <v>#REF!</v>
      </c>
      <c r="L69" t="e">
        <f>"Wk "&amp;WEEKNUM(tbl_Case_mins[[#This Row],[Surgery Start Date]],21)</f>
        <v>#REF!</v>
      </c>
      <c r="M69" t="e">
        <f>TEXT(tbl_Case_mins[[#This Row],[Surgery Start Date]],"ddd")</f>
        <v>#REF!</v>
      </c>
      <c r="N69" s="9" t="e">
        <f>(#REF!-TIME(0,0,0))*1440</f>
        <v>#REF!</v>
      </c>
      <c r="O69" t="e">
        <f>IF(AND(ROUND((#REF!-TIME(0,0,0))*1440,0)&gt;0,ROUND((#REF!-TIME(0,0,0))*1440,0)&lt;tbl_Case_mins[[#This Row],[Patient Called]],tbl_Case_mins[[#This Row],[Surgery End Date]]&gt;tbl_Case_mins[[#This Row],[Surgery Start Date]]),ROUND((#REF!-TIME(0,0,0))*1440,0)+1440,ROUND((#REF!-TIME(0,0,0))*1440,0))</f>
        <v>#REF!</v>
      </c>
      <c r="P69" s="9" t="e">
        <f>IF(AND(ROUND((#REF!-TIME(0,0,0))*1440,0)&gt;0,ROUND((#REF!-TIME(0,0,0))*1440,0)&lt;tbl_Case_mins[[#This Row],[Arrival]],tbl_Case_mins[[#This Row],[Surgery End Date]]&gt;tbl_Case_mins[[#This Row],[Surgery Start Date]]),ROUND((#REF!-TIME(0,0,0))*1440,0)+1440,ROUND((#REF!-TIME(0,0,0))*1440,0))</f>
        <v>#REF!</v>
      </c>
      <c r="Q69" s="9" t="e">
        <f>IF(AND(ROUND((#REF!-TIME(0,0,0))*1440,0)&gt;0,ROUND((#REF!-TIME(0,0,0))*1440,0)&lt;tbl_Case_mins[[#This Row],[Into Th or AR]],tbl_Case_mins[[#This Row],[Surgery End Date]]&gt;tbl_Case_mins[[#This Row],[Surgery Start Date]]),ROUND((#REF!-TIME(0,0,0))*1440,0)+1440,ROUND((#REF!-TIME(0,0,0))*1440,0))</f>
        <v>#REF!</v>
      </c>
      <c r="R69" s="9" t="e">
        <f>IF(AND(ROUND((#REF!-TIME(0,0,0))*1440,0)&gt;0,ROUND((#REF!-TIME(0,0,0))*1440,0)&lt;tbl_Case_mins[[#This Row],[AnaesthStart]],tbl_Case_mins[[#This Row],[Surgery End Date]]&gt;tbl_Case_mins[[#This Row],[Surgery Start Date]]),ROUND((#REF!-TIME(0,0,0))*1440,0)+1440,ROUND((#REF!-TIME(0,0,0))*1440,0))</f>
        <v>#REF!</v>
      </c>
      <c r="S69" s="9" t="e">
        <f>IF(AND(ROUND((#REF!-TIME(0,0,0))*1440,0),ROUND((#REF!-TIME(0,0,0))*1440,0)&lt;tbl_Case_mins[[#This Row],[Surgery Start]],tbl_Case_mins[[#This Row],[Surgery End Date]]&gt;tbl_Case_mins[[#This Row],[Surgery Start Date]]),ROUND((#REF!-TIME(0,0,0))*1440,0)+1440,ROUND((#REF!-TIME(0,0,0))*1440,0))</f>
        <v>#REF!</v>
      </c>
      <c r="T69" s="9" t="e">
        <f>IF(AND(ROUND((#REF!-TIME(0,0,0))*1440,0)&gt;0,ROUND((#REF!-TIME(0,0,0))*1440,0)&lt;tbl_Case_mins[[#This Row],[Surgery Finish]],tbl_Case_mins[[#This Row],[Surgery End Date]]&gt;tbl_Case_mins[[#This Row],[Surgery Start Date]]),ROUND((#REF!-TIME(0,0,0))*1440,0)+1440,ROUND((#REF!-TIME(0,0,0))*1440,0))</f>
        <v>#REF!</v>
      </c>
      <c r="U69" s="9" t="e">
        <f>IF(AND(ROUND((#REF!-TIME(0,0,0))*1440,0)&gt;0,ROUND((#REF!-TIME(0,0,0))*1440,0)&lt;tbl_Case_mins[[#This Row],[Anaesth End]],tbl_Case_mins[[#This Row],[Surgery End Date]]&gt;tbl_Case_mins[[#This Row],[Surgery Start Date]]),ROUND((#REF!-TIME(0,0,0))*1440,0)+1440,ROUND((#REF!-TIME(0,0,0))*1440,0))</f>
        <v>#REF!</v>
      </c>
      <c r="V69" s="9" t="e">
        <f>IF(AND(ROUND((#REF!-TIME(0,0,0))*1440,0)&gt;0,ROUND((#REF!-TIME(0,0,0))*1440,0)&lt;tbl_Case_mins[[#This Row],[Into Recov]],tbl_Case_mins[[#This Row],[Surgery End Date]]&gt;tbl_Case_mins[[#This Row],[Surgery Start Date]]),ROUND((#REF!-TIME(0,0,0))*1440,0)+1440,ROUND((#REF!-TIME(0,0,0))*1440,0))</f>
        <v>#REF!</v>
      </c>
      <c r="W69" s="9" t="e">
        <f>IF(AND(ROUND((#REF!-TIME(0,0,0))*1440,0)&gt;0,ROUND((#REF!-TIME(0,0,0))*1440,0)&lt;tbl_Case_mins[[#This Row],[Ward Called]],tbl_Case_mins[[#This Row],[Surgery End Date]]&gt;tbl_Case_mins[[#This Row],[Surgery Start Date]]),ROUND((#REF!-TIME(0,0,0))*1440,0)+1440,ROUND((#REF!-TIME(0,0,0))*1440,0))</f>
        <v>#REF!</v>
      </c>
      <c r="X69" s="4" t="e">
        <f>IF(ISBLANK(#REF!),tbl_Case_mins[[#This Row],[Surgery Start Date]],#REF!)</f>
        <v>#REF!</v>
      </c>
      <c r="Y69">
        <f>IFERROR(IF(VLOOKUP(tbl_Case_mins[[#This Row],[Theatre]],'Mng Theatres'!$C$7:$G$12,3,FALSE)="Yes","Yes","No"),0)</f>
        <v>0</v>
      </c>
      <c r="Z69" s="9" t="e" cm="1">
        <f t="array" ref="Z6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69" s="9" t="e" cm="1">
        <f t="array" ref="AA6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6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69" s="9" t="e">
        <f>IF(tbl_Case_mins[[#This Row],[Case Type]]="Unsch",1,0)</f>
        <v>#REF!</v>
      </c>
      <c r="AD69" s="9" t="e">
        <f>IF(tbl_Case_mins[[#This Row],[Case Type]]="Sch",1,0)</f>
        <v>#REF!</v>
      </c>
      <c r="AE6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69" s="9">
        <f>IFERROR(IF(ISBLANK(INDEX(Am_Close,MATCH(1,INDEX((tbl_Case_mins[[#This Row],[Theatre]]=Theatre_No)*(tbl_Case_mins[[#This Row],[Surgery Start Date]]=Date),0,1),0))*1440),0,INDEX(Am_Close,MATCH(1,INDEX((tbl_Case_mins[[#This Row],[Theatre]]=Theatre_No)*(tbl_Case_mins[[#This Row],[Surgery Start Date]]=Date),0,1),0))*1440),0)</f>
        <v>0</v>
      </c>
      <c r="AG69" s="9">
        <f>IFERROR(IF(ISBLANK(INDEX(PM_Open,MATCH(1,INDEX((tbl_Case_mins[[#This Row],[Theatre]]=Theatre_No)*(tbl_Case_mins[[#This Row],[Surgery Start Date]]=Date),0,1),0))*1440),0,INDEX(PM_Open,MATCH(1,INDEX((tbl_Case_mins[[#This Row],[Theatre]]=Theatre_No)*(tbl_Case_mins[[#This Row],[Surgery Start Date]]=Date),0,1),0))*1440),0)</f>
        <v>0</v>
      </c>
      <c r="AH6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69" s="9" t="e">
        <f>IF(tbl_Case_mins[[#This Row],[ThOpenAm]]=0,tbl_Case_mins[[#This Row],[ThOpenPM]],tbl_Case_mins[[#This Row],[ThOpenAm]])</f>
        <v>#REF!</v>
      </c>
      <c r="AJ69" s="9" t="e">
        <f>IF(tbl_Case_mins[[#This Row],[ThCloseAm]]&gt;0,IF(tbl_Case_mins[[#This Row],[ThOpenPM]]&gt;0,tbl_Case_mins[[#This Row],[ThClosePm]],tbl_Case_mins[[#This Row],[ThCloseAm]]),tbl_Case_mins[[#This Row],[ThClosePm]])</f>
        <v>#REF!</v>
      </c>
      <c r="AK69" s="9" t="e">
        <f>IF(tbl_Case_mins[[#This Row],[TOT]]&gt;0,1,0)</f>
        <v>#REF!</v>
      </c>
      <c r="AL6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69" s="9" t="e">
        <f>IF(AND(tbl_Case_mins[[#This Row],[Surgery Status]]&lt;&gt;2,tbl_Case_mins[[#This Row],[InCoreCase]]=0,tbl_Case_mins[[#This Row],[CancelledCase]]=0),1,0)</f>
        <v>#REF!</v>
      </c>
      <c r="AN69" s="9" t="e">
        <f>IF(tbl_Case_mins[[#This Row],[Surgery Status]]=1,1,0)</f>
        <v>#REF!</v>
      </c>
      <c r="AO6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69" s="9" t="e">
        <f>IF(AND(tbl_Case_mins[[#This Row],[NonCoreCase]]=1,tbl_Case_mins[[#This Row],[NoInCoreTime]]=0),1,0)</f>
        <v>#REF!</v>
      </c>
      <c r="AQ69" s="9" t="e">
        <f>IF(tbl_Case_mins[[#This Row],[Rank_AnaEnd]]&lt;tbl_Case_mins[[#This Row],[Rank_AnaSt]],1,0)</f>
        <v>#REF!</v>
      </c>
      <c r="AR69" s="9" t="e">
        <f>IF(AND(tbl_Case_mins[[#This Row],[InCoreCase]]=1,tbl_Case_mins[[#This Row],[Sch]]=1),1,0)</f>
        <v>#REF!</v>
      </c>
      <c r="AS69" s="9" t="e">
        <f>IF(AND(tbl_Case_mins[[#This Row],[InCoreCase]]=1,tbl_Case_mins[[#This Row],[Unsch]]=1),1,0)</f>
        <v>#REF!</v>
      </c>
      <c r="AT6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6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6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69" s="9" t="e">
        <f>IF(tbl_Case_mins[[#This Row],[Surgery Status]]=0,(tbl_Case_mins[[#This Row],[Anaesth End]]-tbl_Case_mins[[#This Row],[AnaesthStart]]),0)</f>
        <v>#REF!</v>
      </c>
      <c r="AX69" s="9" t="e">
        <f>IF(tbl_Case_mins[[#This Row],[Surgery Status]]=0,(tbl_Case_mins[[#This Row],[Surgery Finish]]-tbl_Case_mins[[#This Row],[Surgery Start]]),0)</f>
        <v>#REF!</v>
      </c>
      <c r="AY69" s="9" t="e">
        <f>tbl_Case_mins[[#This Row],[Surgery Start]]-tbl_Case_mins[[#This Row],[AnaesthStart]]</f>
        <v>#REF!</v>
      </c>
      <c r="AZ69" s="9" t="e">
        <f>tbl_Case_mins[[#This Row],[Anaesth End]]-tbl_Case_mins[[#This Row],[Surgery Finish]]</f>
        <v>#REF!</v>
      </c>
      <c r="BA6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6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69" s="16" cm="1">
        <f t="array" ref="BC6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69" s="16" t="e">
        <f>IF(AND(tbl_Case_mins[[#This Row],[FirstAMCase]]=1,tbl_Case_mins[[#This Row],[CancelledCase]]=0,OR(tbl_Case_mins[[#This Row],[EarlyStartAM]]&gt;0,tbl_Case_mins[[#This Row],[AnaesthStart]]=tbl_Case_mins[[#This Row],[ThOpenAm]])),1,0)</f>
        <v>#REF!</v>
      </c>
      <c r="BE69" s="16" t="e">
        <f>IF(AND(tbl_Case_mins[[#This Row],[Rank_AnaSt]]=tbl_Case_mins[[#This Row],[Min_RankAnaSt]],tbl_Case_mins[[#This Row],[Anaesth End]]&gt;=tbl_Case_mins[[#This Row],[ThOpenAm]],tbl_Case_mins[[#This Row],[PmCase]]=0),1,0)</f>
        <v>#REF!</v>
      </c>
      <c r="BF6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6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69" s="9" t="e" cm="1">
        <f t="array" ref="BH6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6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6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69" s="9" t="e">
        <f>IF(AND(tbl_Case_mins[[#This Row],[ThOpenPM]]&gt;0,tbl_Case_mins[[#This Row],[AnaesthStart]]&gt;tbl_Case_mins[[#This Row],[ThOpenPM]],tbl_Case_mins[[#This Row],[First PM Case]]=1),tbl_Case_mins[[#This Row],[AnaesthStart]]-tbl_Case_mins[[#This Row],[ThOpenPM]],0)</f>
        <v>#REF!</v>
      </c>
      <c r="BL6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6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69" s="9" t="e" cm="1">
        <f t="array" ref="BN6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69" s="9" t="e">
        <f>IF(AND(tbl_Case_mins[[#This Row],[ThClosePm]]&gt;0,tbl_Case_mins[[#This Row],[Anaesth End]]&gt;tbl_Case_mins[[#This Row],[ThClosePm]],tbl_Case_mins[[#This Row],[AnaesthStart]]&gt;tbl_Case_mins[[#This Row],[ThClosePm]]),tbl_Case_mins[[#This Row],[Into Recov]]-tbl_Case_mins[[#This Row],[AnaesthStart]],0)</f>
        <v>#REF!</v>
      </c>
      <c r="BP69" s="9" t="e">
        <f>IF(AND(tbl_Case_mins[[#This Row],[AnaesthStart]]&lt;tbl_Case_mins[[#This Row],[ThClosePm]],tbl_Case_mins[[#This Row],[Anaesth End]]&gt;tbl_Case_mins[[#This Row],[ThClosePm]]),tbl_Case_mins[[#This Row],[Anaesth End]]-tbl_Case_mins[[#This Row],[ThClosePm]],0)</f>
        <v>#REF!</v>
      </c>
      <c r="BQ69" s="9" t="e" cm="1">
        <f t="array" ref="BQ6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69" s="9" t="e" cm="1">
        <f t="array" ref="BR69">IF(tbl_Case_mins[[#This Row],[Rank_Adjust]]=SUMPRODUCT(-(tbl_Case_mins[Surgery Start Date]=tbl_Case_mins[[#This Row],[Surgery Start Date]]),-(tbl_Case_mins[Theatre]=tbl_Case_mins[[#This Row],[Theatre]])),INDEX(Poss_Time,MATCH(TEXT(tbl_Case_mins[[#This Row],[Surgery Start Date]],"ddd"),Day,0)),0)</f>
        <v>#REF!</v>
      </c>
      <c r="BS69" s="9" t="e">
        <f>tbl_Case_mins[[#This Row],[Core_Time]]*Util_Goal</f>
        <v>#REF!</v>
      </c>
      <c r="BT69" s="9" t="e" cm="1">
        <f t="array" ref="BT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69" s="9" t="e" cm="1">
        <f t="array" ref="BU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6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6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69" s="9" t="e">
        <f>IF(tbl_Case_mins[[#This Row],[Surgery End Date]]&gt;tbl_Case_mins[[#This Row],[Surgery Start Date]],tbl_Case_mins[[#This Row],[Anaesth End]]-1440,0)</f>
        <v>#REF!</v>
      </c>
      <c r="BY69" s="9" t="e">
        <f>tbl_Case_mins[[#This Row],[Total_NonCore]]-tbl_Case_mins[[#This Row],[NextDay_NonCore]]</f>
        <v>#REF!</v>
      </c>
      <c r="BZ69" s="10" t="e">
        <f>tbl_Case_mins[[#This Row],[InCoreUse]]/60</f>
        <v>#REF!</v>
      </c>
      <c r="CA69" s="10" t="e">
        <f>tbl_Case_mins[[#This Row],[Total_NonCore]]/60</f>
        <v>#REF!</v>
      </c>
      <c r="CB69" t="e" cm="1">
        <f t="array" ref="CB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69" s="9" t="e" cm="1">
        <f t="array" ref="CC6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69" s="9" t="e" cm="1">
        <f t="array" ref="CD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69" s="9" t="e" cm="1">
        <f t="array" ref="CE6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69" s="9" cm="1">
        <f t="array" ref="CF69">IFERROR(_xlfn.AGGREGATE(14,6,(tbl_Case_mins[Rank_AnaEnd])/((tbl_Case_mins[Surgery Start Date]=tbl_Case_mins[[#This Row],[Surgery Start Date]])*(tbl_Case_mins[Theatre]=tbl_Case_mins[[#This Row],[Theatre]])*(tbl_Case_mins[NoInCoreTime]=0)),1),-1)</f>
        <v>-1</v>
      </c>
      <c r="CG69" s="9" cm="1">
        <f t="array" ref="CG69">IFERROR(_xlfn.AGGREGATE(15,6,(tbl_Case_mins[Rank_AnaSt])/((tbl_Case_mins[Surgery Start Date]=tbl_Case_mins[[#This Row],[Surgery Start Date]])*(tbl_Case_mins[Theatre]=tbl_Case_mins[[#This Row],[Theatre]])*(tbl_Case_mins[NoInCoreTime]=0)),1),-1)</f>
        <v>-1</v>
      </c>
      <c r="CH6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6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69" t="e" cm="1">
        <f t="array" ref="CJ6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6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6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69" s="9" cm="1">
        <f t="array" ref="CO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69" s="9" cm="1">
        <f t="array" ref="CP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69" s="9" cm="1">
        <f t="array" ref="CQ69">IFERROR(IF(AND(tbl_Case_mins[[#This Row],[FirstAMCase]]=0,tbl_Case_mins[[#This Row],[Rank]]=_xlfn.AGGREGATE(14,6,(tbl_Case_mins[Rank])/((tbl_Case_mins[Surgery Start Date]=tbl_Case_mins[[#This Row],[Surgery Start Date]])*(tbl_Case_mins[Theatre]=tbl_Case_mins[[#This Row],[Theatre]])*(tbl_Case_mins[AmCase]=1)),1)),1,0),0)</f>
        <v>0</v>
      </c>
      <c r="CR69" s="9" cm="1">
        <f t="array" ref="CR6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69" s="9" t="e" cm="1">
        <f t="array" ref="CS6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69" s="9" cm="1">
        <f t="array" ref="CT69">IFERROR(IF(tbl_Case_mins[[#This Row],[Rank]]=_xlfn.AGGREGATE(15,6,(tbl_Case_mins[Rank])/((tbl_Case_mins[Surgery Start Date]=tbl_Case_mins[[#This Row],[Surgery Start Date]])*(tbl_Case_mins[Theatre]=tbl_Case_mins[[#This Row],[Theatre]])*(tbl_Case_mins[PmCase]=1)),1),1,0),0)</f>
        <v>0</v>
      </c>
      <c r="CU69">
        <f>IFERROR(#REF!,0)</f>
        <v>0</v>
      </c>
      <c r="CV69" s="9" t="e" cm="1">
        <f t="array" ref="CV6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69" s="9">
        <f>IFERROR(IF(ISBLANK(INDEX(Bay_AmClose,MATCH(1,INDEX((tbl_Case_mins[[#This Row],[Bay]]=BayNo)*(tbl_Case_mins[[#This Row],[Surgery Start Date]]=BDate),0,1),0))*1440),0,INDEX(Bay_AmClose,MATCH(1,INDEX((tbl_Case_mins[[#This Row],[Bay]]=BayNo)*(tbl_Case_mins[[#This Row],[Surgery Start Date]]=BDate),0,1),0))*1440),0)</f>
        <v>0</v>
      </c>
      <c r="CX69" s="9" cm="1">
        <f t="array" ref="CX69">IFERROR(IF(ISBLANK(INDEX(Bay_PmOpen,MATCH(1,INDEX((tbl_Case_mins[[#This Row],[Bay]]=BayNo)*(tbl_Case_mins[[#This Row],[Surgery Start Date]]=BDate),0,1),0))*1440),0,INDEX(Bay_PmOpen,MATCH(1,INDEX((tbl_Case_mins[[#This Row],[Bay]]=BayNo)*(tbl_Case_mins[[#This Row],[Surgery Start Date]]=BDate),0,1),0))*1440),0)</f>
        <v>0</v>
      </c>
      <c r="CY6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69" s="9"/>
    </row>
    <row r="70" spans="1:104" x14ac:dyDescent="0.2">
      <c r="A70">
        <v>69</v>
      </c>
      <c r="B70" t="e">
        <f>#REF!</f>
        <v>#REF!</v>
      </c>
      <c r="C70" t="e">
        <f>#REF!</f>
        <v>#REF!</v>
      </c>
      <c r="D70" t="e">
        <f>#REF!</f>
        <v>#REF!</v>
      </c>
      <c r="E70" t="e">
        <f>#REF!</f>
        <v>#REF!</v>
      </c>
      <c r="F70" t="e">
        <f>#REF!</f>
        <v>#REF!</v>
      </c>
      <c r="G70" t="e">
        <f>#REF!</f>
        <v>#REF!</v>
      </c>
      <c r="H70" t="e">
        <f>#REF!</f>
        <v>#REF!</v>
      </c>
      <c r="I70" t="e">
        <f>IF(#REF!="Case Cancelled",1,IF(#REF!="No Cases",2,0))</f>
        <v>#REF!</v>
      </c>
      <c r="J70" t="e">
        <f>#REF!</f>
        <v>#REF!</v>
      </c>
      <c r="K70" s="4" t="e">
        <f>#REF!</f>
        <v>#REF!</v>
      </c>
      <c r="L70" t="e">
        <f>"Wk "&amp;WEEKNUM(tbl_Case_mins[[#This Row],[Surgery Start Date]],21)</f>
        <v>#REF!</v>
      </c>
      <c r="M70" t="e">
        <f>TEXT(tbl_Case_mins[[#This Row],[Surgery Start Date]],"ddd")</f>
        <v>#REF!</v>
      </c>
      <c r="N70" s="9" t="e">
        <f>(#REF!-TIME(0,0,0))*1440</f>
        <v>#REF!</v>
      </c>
      <c r="O70" t="e">
        <f>IF(AND(ROUND((#REF!-TIME(0,0,0))*1440,0)&gt;0,ROUND((#REF!-TIME(0,0,0))*1440,0)&lt;tbl_Case_mins[[#This Row],[Patient Called]],tbl_Case_mins[[#This Row],[Surgery End Date]]&gt;tbl_Case_mins[[#This Row],[Surgery Start Date]]),ROUND((#REF!-TIME(0,0,0))*1440,0)+1440,ROUND((#REF!-TIME(0,0,0))*1440,0))</f>
        <v>#REF!</v>
      </c>
      <c r="P70" s="9" t="e">
        <f>IF(AND(ROUND((#REF!-TIME(0,0,0))*1440,0)&gt;0,ROUND((#REF!-TIME(0,0,0))*1440,0)&lt;tbl_Case_mins[[#This Row],[Arrival]],tbl_Case_mins[[#This Row],[Surgery End Date]]&gt;tbl_Case_mins[[#This Row],[Surgery Start Date]]),ROUND((#REF!-TIME(0,0,0))*1440,0)+1440,ROUND((#REF!-TIME(0,0,0))*1440,0))</f>
        <v>#REF!</v>
      </c>
      <c r="Q70" s="9" t="e">
        <f>IF(AND(ROUND((#REF!-TIME(0,0,0))*1440,0)&gt;0,ROUND((#REF!-TIME(0,0,0))*1440,0)&lt;tbl_Case_mins[[#This Row],[Into Th or AR]],tbl_Case_mins[[#This Row],[Surgery End Date]]&gt;tbl_Case_mins[[#This Row],[Surgery Start Date]]),ROUND((#REF!-TIME(0,0,0))*1440,0)+1440,ROUND((#REF!-TIME(0,0,0))*1440,0))</f>
        <v>#REF!</v>
      </c>
      <c r="R70" s="9" t="e">
        <f>IF(AND(ROUND((#REF!-TIME(0,0,0))*1440,0)&gt;0,ROUND((#REF!-TIME(0,0,0))*1440,0)&lt;tbl_Case_mins[[#This Row],[AnaesthStart]],tbl_Case_mins[[#This Row],[Surgery End Date]]&gt;tbl_Case_mins[[#This Row],[Surgery Start Date]]),ROUND((#REF!-TIME(0,0,0))*1440,0)+1440,ROUND((#REF!-TIME(0,0,0))*1440,0))</f>
        <v>#REF!</v>
      </c>
      <c r="S70" s="9" t="e">
        <f>IF(AND(ROUND((#REF!-TIME(0,0,0))*1440,0),ROUND((#REF!-TIME(0,0,0))*1440,0)&lt;tbl_Case_mins[[#This Row],[Surgery Start]],tbl_Case_mins[[#This Row],[Surgery End Date]]&gt;tbl_Case_mins[[#This Row],[Surgery Start Date]]),ROUND((#REF!-TIME(0,0,0))*1440,0)+1440,ROUND((#REF!-TIME(0,0,0))*1440,0))</f>
        <v>#REF!</v>
      </c>
      <c r="T70" s="9" t="e">
        <f>IF(AND(ROUND((#REF!-TIME(0,0,0))*1440,0)&gt;0,ROUND((#REF!-TIME(0,0,0))*1440,0)&lt;tbl_Case_mins[[#This Row],[Surgery Finish]],tbl_Case_mins[[#This Row],[Surgery End Date]]&gt;tbl_Case_mins[[#This Row],[Surgery Start Date]]),ROUND((#REF!-TIME(0,0,0))*1440,0)+1440,ROUND((#REF!-TIME(0,0,0))*1440,0))</f>
        <v>#REF!</v>
      </c>
      <c r="U70" s="9" t="e">
        <f>IF(AND(ROUND((#REF!-TIME(0,0,0))*1440,0)&gt;0,ROUND((#REF!-TIME(0,0,0))*1440,0)&lt;tbl_Case_mins[[#This Row],[Anaesth End]],tbl_Case_mins[[#This Row],[Surgery End Date]]&gt;tbl_Case_mins[[#This Row],[Surgery Start Date]]),ROUND((#REF!-TIME(0,0,0))*1440,0)+1440,ROUND((#REF!-TIME(0,0,0))*1440,0))</f>
        <v>#REF!</v>
      </c>
      <c r="V70" s="9" t="e">
        <f>IF(AND(ROUND((#REF!-TIME(0,0,0))*1440,0)&gt;0,ROUND((#REF!-TIME(0,0,0))*1440,0)&lt;tbl_Case_mins[[#This Row],[Into Recov]],tbl_Case_mins[[#This Row],[Surgery End Date]]&gt;tbl_Case_mins[[#This Row],[Surgery Start Date]]),ROUND((#REF!-TIME(0,0,0))*1440,0)+1440,ROUND((#REF!-TIME(0,0,0))*1440,0))</f>
        <v>#REF!</v>
      </c>
      <c r="W70" s="9" t="e">
        <f>IF(AND(ROUND((#REF!-TIME(0,0,0))*1440,0)&gt;0,ROUND((#REF!-TIME(0,0,0))*1440,0)&lt;tbl_Case_mins[[#This Row],[Ward Called]],tbl_Case_mins[[#This Row],[Surgery End Date]]&gt;tbl_Case_mins[[#This Row],[Surgery Start Date]]),ROUND((#REF!-TIME(0,0,0))*1440,0)+1440,ROUND((#REF!-TIME(0,0,0))*1440,0))</f>
        <v>#REF!</v>
      </c>
      <c r="X70" s="4" t="e">
        <f>IF(ISBLANK(#REF!),tbl_Case_mins[[#This Row],[Surgery Start Date]],#REF!)</f>
        <v>#REF!</v>
      </c>
      <c r="Y70">
        <f>IFERROR(IF(VLOOKUP(tbl_Case_mins[[#This Row],[Theatre]],'Mng Theatres'!$C$7:$G$12,3,FALSE)="Yes","Yes","No"),0)</f>
        <v>0</v>
      </c>
      <c r="Z70" s="9" t="e" cm="1">
        <f t="array" ref="Z7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0" s="9" t="e" cm="1">
        <f t="array" ref="AA7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0" s="9" t="e">
        <f>IF(tbl_Case_mins[[#This Row],[Case Type]]="Unsch",1,0)</f>
        <v>#REF!</v>
      </c>
      <c r="AD70" s="9" t="e">
        <f>IF(tbl_Case_mins[[#This Row],[Case Type]]="Sch",1,0)</f>
        <v>#REF!</v>
      </c>
      <c r="AE7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0" s="9">
        <f>IFERROR(IF(ISBLANK(INDEX(Am_Close,MATCH(1,INDEX((tbl_Case_mins[[#This Row],[Theatre]]=Theatre_No)*(tbl_Case_mins[[#This Row],[Surgery Start Date]]=Date),0,1),0))*1440),0,INDEX(Am_Close,MATCH(1,INDEX((tbl_Case_mins[[#This Row],[Theatre]]=Theatre_No)*(tbl_Case_mins[[#This Row],[Surgery Start Date]]=Date),0,1),0))*1440),0)</f>
        <v>0</v>
      </c>
      <c r="AG70" s="9">
        <f>IFERROR(IF(ISBLANK(INDEX(PM_Open,MATCH(1,INDEX((tbl_Case_mins[[#This Row],[Theatre]]=Theatre_No)*(tbl_Case_mins[[#This Row],[Surgery Start Date]]=Date),0,1),0))*1440),0,INDEX(PM_Open,MATCH(1,INDEX((tbl_Case_mins[[#This Row],[Theatre]]=Theatre_No)*(tbl_Case_mins[[#This Row],[Surgery Start Date]]=Date),0,1),0))*1440),0)</f>
        <v>0</v>
      </c>
      <c r="AH7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0" s="9" t="e">
        <f>IF(tbl_Case_mins[[#This Row],[ThOpenAm]]=0,tbl_Case_mins[[#This Row],[ThOpenPM]],tbl_Case_mins[[#This Row],[ThOpenAm]])</f>
        <v>#REF!</v>
      </c>
      <c r="AJ70" s="9" t="e">
        <f>IF(tbl_Case_mins[[#This Row],[ThCloseAm]]&gt;0,IF(tbl_Case_mins[[#This Row],[ThOpenPM]]&gt;0,tbl_Case_mins[[#This Row],[ThClosePm]],tbl_Case_mins[[#This Row],[ThCloseAm]]),tbl_Case_mins[[#This Row],[ThClosePm]])</f>
        <v>#REF!</v>
      </c>
      <c r="AK70" s="9" t="e">
        <f>IF(tbl_Case_mins[[#This Row],[TOT]]&gt;0,1,0)</f>
        <v>#REF!</v>
      </c>
      <c r="AL7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0" s="9" t="e">
        <f>IF(AND(tbl_Case_mins[[#This Row],[Surgery Status]]&lt;&gt;2,tbl_Case_mins[[#This Row],[InCoreCase]]=0,tbl_Case_mins[[#This Row],[CancelledCase]]=0),1,0)</f>
        <v>#REF!</v>
      </c>
      <c r="AN70" s="9" t="e">
        <f>IF(tbl_Case_mins[[#This Row],[Surgery Status]]=1,1,0)</f>
        <v>#REF!</v>
      </c>
      <c r="AO7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0" s="9" t="e">
        <f>IF(AND(tbl_Case_mins[[#This Row],[NonCoreCase]]=1,tbl_Case_mins[[#This Row],[NoInCoreTime]]=0),1,0)</f>
        <v>#REF!</v>
      </c>
      <c r="AQ70" s="9" t="e">
        <f>IF(tbl_Case_mins[[#This Row],[Rank_AnaEnd]]&lt;tbl_Case_mins[[#This Row],[Rank_AnaSt]],1,0)</f>
        <v>#REF!</v>
      </c>
      <c r="AR70" s="9" t="e">
        <f>IF(AND(tbl_Case_mins[[#This Row],[InCoreCase]]=1,tbl_Case_mins[[#This Row],[Sch]]=1),1,0)</f>
        <v>#REF!</v>
      </c>
      <c r="AS70" s="9" t="e">
        <f>IF(AND(tbl_Case_mins[[#This Row],[InCoreCase]]=1,tbl_Case_mins[[#This Row],[Unsch]]=1),1,0)</f>
        <v>#REF!</v>
      </c>
      <c r="AT7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0" s="9" t="e">
        <f>IF(tbl_Case_mins[[#This Row],[Surgery Status]]=0,(tbl_Case_mins[[#This Row],[Anaesth End]]-tbl_Case_mins[[#This Row],[AnaesthStart]]),0)</f>
        <v>#REF!</v>
      </c>
      <c r="AX70" s="9" t="e">
        <f>IF(tbl_Case_mins[[#This Row],[Surgery Status]]=0,(tbl_Case_mins[[#This Row],[Surgery Finish]]-tbl_Case_mins[[#This Row],[Surgery Start]]),0)</f>
        <v>#REF!</v>
      </c>
      <c r="AY70" s="9" t="e">
        <f>tbl_Case_mins[[#This Row],[Surgery Start]]-tbl_Case_mins[[#This Row],[AnaesthStart]]</f>
        <v>#REF!</v>
      </c>
      <c r="AZ70" s="9" t="e">
        <f>tbl_Case_mins[[#This Row],[Anaesth End]]-tbl_Case_mins[[#This Row],[Surgery Finish]]</f>
        <v>#REF!</v>
      </c>
      <c r="BA7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0" s="16" cm="1">
        <f t="array" ref="BC7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0" s="16" t="e">
        <f>IF(AND(tbl_Case_mins[[#This Row],[FirstAMCase]]=1,tbl_Case_mins[[#This Row],[CancelledCase]]=0,OR(tbl_Case_mins[[#This Row],[EarlyStartAM]]&gt;0,tbl_Case_mins[[#This Row],[AnaesthStart]]=tbl_Case_mins[[#This Row],[ThOpenAm]])),1,0)</f>
        <v>#REF!</v>
      </c>
      <c r="BE70" s="16" t="e">
        <f>IF(AND(tbl_Case_mins[[#This Row],[Rank_AnaSt]]=tbl_Case_mins[[#This Row],[Min_RankAnaSt]],tbl_Case_mins[[#This Row],[Anaesth End]]&gt;=tbl_Case_mins[[#This Row],[ThOpenAm]],tbl_Case_mins[[#This Row],[PmCase]]=0),1,0)</f>
        <v>#REF!</v>
      </c>
      <c r="BF7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0" s="9" t="e" cm="1">
        <f t="array" ref="BH7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0" s="9" t="e">
        <f>IF(AND(tbl_Case_mins[[#This Row],[ThOpenPM]]&gt;0,tbl_Case_mins[[#This Row],[AnaesthStart]]&gt;tbl_Case_mins[[#This Row],[ThOpenPM]],tbl_Case_mins[[#This Row],[First PM Case]]=1),tbl_Case_mins[[#This Row],[AnaesthStart]]-tbl_Case_mins[[#This Row],[ThOpenPM]],0)</f>
        <v>#REF!</v>
      </c>
      <c r="BL7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0" s="9" t="e" cm="1">
        <f t="array" ref="BN7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0" s="9" t="e">
        <f>IF(AND(tbl_Case_mins[[#This Row],[ThClosePm]]&gt;0,tbl_Case_mins[[#This Row],[Anaesth End]]&gt;tbl_Case_mins[[#This Row],[ThClosePm]],tbl_Case_mins[[#This Row],[AnaesthStart]]&gt;tbl_Case_mins[[#This Row],[ThClosePm]]),tbl_Case_mins[[#This Row],[Into Recov]]-tbl_Case_mins[[#This Row],[AnaesthStart]],0)</f>
        <v>#REF!</v>
      </c>
      <c r="BP70" s="9" t="e">
        <f>IF(AND(tbl_Case_mins[[#This Row],[AnaesthStart]]&lt;tbl_Case_mins[[#This Row],[ThClosePm]],tbl_Case_mins[[#This Row],[Anaesth End]]&gt;tbl_Case_mins[[#This Row],[ThClosePm]]),tbl_Case_mins[[#This Row],[Anaesth End]]-tbl_Case_mins[[#This Row],[ThClosePm]],0)</f>
        <v>#REF!</v>
      </c>
      <c r="BQ70" s="9" t="e" cm="1">
        <f t="array" ref="BQ7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0" s="9" t="e" cm="1">
        <f t="array" ref="BR70">IF(tbl_Case_mins[[#This Row],[Rank_Adjust]]=SUMPRODUCT(-(tbl_Case_mins[Surgery Start Date]=tbl_Case_mins[[#This Row],[Surgery Start Date]]),-(tbl_Case_mins[Theatre]=tbl_Case_mins[[#This Row],[Theatre]])),INDEX(Poss_Time,MATCH(TEXT(tbl_Case_mins[[#This Row],[Surgery Start Date]],"ddd"),Day,0)),0)</f>
        <v>#REF!</v>
      </c>
      <c r="BS70" s="9" t="e">
        <f>tbl_Case_mins[[#This Row],[Core_Time]]*Util_Goal</f>
        <v>#REF!</v>
      </c>
      <c r="BT70" s="9" t="e" cm="1">
        <f t="array" ref="BT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0" s="9" t="e" cm="1">
        <f t="array" ref="BU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0" s="9" t="e">
        <f>IF(tbl_Case_mins[[#This Row],[Surgery End Date]]&gt;tbl_Case_mins[[#This Row],[Surgery Start Date]],tbl_Case_mins[[#This Row],[Anaesth End]]-1440,0)</f>
        <v>#REF!</v>
      </c>
      <c r="BY70" s="9" t="e">
        <f>tbl_Case_mins[[#This Row],[Total_NonCore]]-tbl_Case_mins[[#This Row],[NextDay_NonCore]]</f>
        <v>#REF!</v>
      </c>
      <c r="BZ70" s="10" t="e">
        <f>tbl_Case_mins[[#This Row],[InCoreUse]]/60</f>
        <v>#REF!</v>
      </c>
      <c r="CA70" s="10" t="e">
        <f>tbl_Case_mins[[#This Row],[Total_NonCore]]/60</f>
        <v>#REF!</v>
      </c>
      <c r="CB70" t="e" cm="1">
        <f t="array" ref="CB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0" s="9" t="e" cm="1">
        <f t="array" ref="CC7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0" s="9" t="e" cm="1">
        <f t="array" ref="CD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0" s="9" t="e" cm="1">
        <f t="array" ref="CE7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0" s="9" cm="1">
        <f t="array" ref="CF70">IFERROR(_xlfn.AGGREGATE(14,6,(tbl_Case_mins[Rank_AnaEnd])/((tbl_Case_mins[Surgery Start Date]=tbl_Case_mins[[#This Row],[Surgery Start Date]])*(tbl_Case_mins[Theatre]=tbl_Case_mins[[#This Row],[Theatre]])*(tbl_Case_mins[NoInCoreTime]=0)),1),-1)</f>
        <v>-1</v>
      </c>
      <c r="CG70" s="9" cm="1">
        <f t="array" ref="CG70">IFERROR(_xlfn.AGGREGATE(15,6,(tbl_Case_mins[Rank_AnaSt])/((tbl_Case_mins[Surgery Start Date]=tbl_Case_mins[[#This Row],[Surgery Start Date]])*(tbl_Case_mins[Theatre]=tbl_Case_mins[[#This Row],[Theatre]])*(tbl_Case_mins[NoInCoreTime]=0)),1),-1)</f>
        <v>-1</v>
      </c>
      <c r="CH7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0" t="e" cm="1">
        <f t="array" ref="CJ7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0" s="9" cm="1">
        <f t="array" ref="CO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0" s="9" cm="1">
        <f t="array" ref="CP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0" s="9" cm="1">
        <f t="array" ref="CQ70">IFERROR(IF(AND(tbl_Case_mins[[#This Row],[FirstAMCase]]=0,tbl_Case_mins[[#This Row],[Rank]]=_xlfn.AGGREGATE(14,6,(tbl_Case_mins[Rank])/((tbl_Case_mins[Surgery Start Date]=tbl_Case_mins[[#This Row],[Surgery Start Date]])*(tbl_Case_mins[Theatre]=tbl_Case_mins[[#This Row],[Theatre]])*(tbl_Case_mins[AmCase]=1)),1)),1,0),0)</f>
        <v>0</v>
      </c>
      <c r="CR70" s="9" cm="1">
        <f t="array" ref="CR7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0" s="9" t="e" cm="1">
        <f t="array" ref="CS7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0" s="9" cm="1">
        <f t="array" ref="CT70">IFERROR(IF(tbl_Case_mins[[#This Row],[Rank]]=_xlfn.AGGREGATE(15,6,(tbl_Case_mins[Rank])/((tbl_Case_mins[Surgery Start Date]=tbl_Case_mins[[#This Row],[Surgery Start Date]])*(tbl_Case_mins[Theatre]=tbl_Case_mins[[#This Row],[Theatre]])*(tbl_Case_mins[PmCase]=1)),1),1,0),0)</f>
        <v>0</v>
      </c>
      <c r="CU70">
        <f>IFERROR(#REF!,0)</f>
        <v>0</v>
      </c>
      <c r="CV70" s="9" t="e" cm="1">
        <f t="array" ref="CV7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0" s="9">
        <f>IFERROR(IF(ISBLANK(INDEX(Bay_AmClose,MATCH(1,INDEX((tbl_Case_mins[[#This Row],[Bay]]=BayNo)*(tbl_Case_mins[[#This Row],[Surgery Start Date]]=BDate),0,1),0))*1440),0,INDEX(Bay_AmClose,MATCH(1,INDEX((tbl_Case_mins[[#This Row],[Bay]]=BayNo)*(tbl_Case_mins[[#This Row],[Surgery Start Date]]=BDate),0,1),0))*1440),0)</f>
        <v>0</v>
      </c>
      <c r="CX70" s="9" cm="1">
        <f t="array" ref="CX70">IFERROR(IF(ISBLANK(INDEX(Bay_PmOpen,MATCH(1,INDEX((tbl_Case_mins[[#This Row],[Bay]]=BayNo)*(tbl_Case_mins[[#This Row],[Surgery Start Date]]=BDate),0,1),0))*1440),0,INDEX(Bay_PmOpen,MATCH(1,INDEX((tbl_Case_mins[[#This Row],[Bay]]=BayNo)*(tbl_Case_mins[[#This Row],[Surgery Start Date]]=BDate),0,1),0))*1440),0)</f>
        <v>0</v>
      </c>
      <c r="CY7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0" s="9"/>
    </row>
    <row r="71" spans="1:104" x14ac:dyDescent="0.2">
      <c r="A71">
        <v>70</v>
      </c>
      <c r="B71" t="e">
        <f>#REF!</f>
        <v>#REF!</v>
      </c>
      <c r="C71" t="e">
        <f>#REF!</f>
        <v>#REF!</v>
      </c>
      <c r="D71" t="e">
        <f>#REF!</f>
        <v>#REF!</v>
      </c>
      <c r="E71" t="e">
        <f>#REF!</f>
        <v>#REF!</v>
      </c>
      <c r="F71" t="e">
        <f>#REF!</f>
        <v>#REF!</v>
      </c>
      <c r="G71" t="e">
        <f>#REF!</f>
        <v>#REF!</v>
      </c>
      <c r="H71" t="e">
        <f>#REF!</f>
        <v>#REF!</v>
      </c>
      <c r="I71" t="e">
        <f>IF(#REF!="Case Cancelled",1,IF(#REF!="No Cases",2,0))</f>
        <v>#REF!</v>
      </c>
      <c r="J71" t="e">
        <f>#REF!</f>
        <v>#REF!</v>
      </c>
      <c r="K71" s="4" t="e">
        <f>#REF!</f>
        <v>#REF!</v>
      </c>
      <c r="L71" t="e">
        <f>"Wk "&amp;WEEKNUM(tbl_Case_mins[[#This Row],[Surgery Start Date]],21)</f>
        <v>#REF!</v>
      </c>
      <c r="M71" t="e">
        <f>TEXT(tbl_Case_mins[[#This Row],[Surgery Start Date]],"ddd")</f>
        <v>#REF!</v>
      </c>
      <c r="N71" s="9" t="e">
        <f>(#REF!-TIME(0,0,0))*1440</f>
        <v>#REF!</v>
      </c>
      <c r="O71" t="e">
        <f>IF(AND(ROUND((#REF!-TIME(0,0,0))*1440,0)&gt;0,ROUND((#REF!-TIME(0,0,0))*1440,0)&lt;tbl_Case_mins[[#This Row],[Patient Called]],tbl_Case_mins[[#This Row],[Surgery End Date]]&gt;tbl_Case_mins[[#This Row],[Surgery Start Date]]),ROUND((#REF!-TIME(0,0,0))*1440,0)+1440,ROUND((#REF!-TIME(0,0,0))*1440,0))</f>
        <v>#REF!</v>
      </c>
      <c r="P71" s="9" t="e">
        <f>IF(AND(ROUND((#REF!-TIME(0,0,0))*1440,0)&gt;0,ROUND((#REF!-TIME(0,0,0))*1440,0)&lt;tbl_Case_mins[[#This Row],[Arrival]],tbl_Case_mins[[#This Row],[Surgery End Date]]&gt;tbl_Case_mins[[#This Row],[Surgery Start Date]]),ROUND((#REF!-TIME(0,0,0))*1440,0)+1440,ROUND((#REF!-TIME(0,0,0))*1440,0))</f>
        <v>#REF!</v>
      </c>
      <c r="Q71" s="9" t="e">
        <f>IF(AND(ROUND((#REF!-TIME(0,0,0))*1440,0)&gt;0,ROUND((#REF!-TIME(0,0,0))*1440,0)&lt;tbl_Case_mins[[#This Row],[Into Th or AR]],tbl_Case_mins[[#This Row],[Surgery End Date]]&gt;tbl_Case_mins[[#This Row],[Surgery Start Date]]),ROUND((#REF!-TIME(0,0,0))*1440,0)+1440,ROUND((#REF!-TIME(0,0,0))*1440,0))</f>
        <v>#REF!</v>
      </c>
      <c r="R71" s="9" t="e">
        <f>IF(AND(ROUND((#REF!-TIME(0,0,0))*1440,0)&gt;0,ROUND((#REF!-TIME(0,0,0))*1440,0)&lt;tbl_Case_mins[[#This Row],[AnaesthStart]],tbl_Case_mins[[#This Row],[Surgery End Date]]&gt;tbl_Case_mins[[#This Row],[Surgery Start Date]]),ROUND((#REF!-TIME(0,0,0))*1440,0)+1440,ROUND((#REF!-TIME(0,0,0))*1440,0))</f>
        <v>#REF!</v>
      </c>
      <c r="S71" s="9" t="e">
        <f>IF(AND(ROUND((#REF!-TIME(0,0,0))*1440,0),ROUND((#REF!-TIME(0,0,0))*1440,0)&lt;tbl_Case_mins[[#This Row],[Surgery Start]],tbl_Case_mins[[#This Row],[Surgery End Date]]&gt;tbl_Case_mins[[#This Row],[Surgery Start Date]]),ROUND((#REF!-TIME(0,0,0))*1440,0)+1440,ROUND((#REF!-TIME(0,0,0))*1440,0))</f>
        <v>#REF!</v>
      </c>
      <c r="T71" s="9" t="e">
        <f>IF(AND(ROUND((#REF!-TIME(0,0,0))*1440,0)&gt;0,ROUND((#REF!-TIME(0,0,0))*1440,0)&lt;tbl_Case_mins[[#This Row],[Surgery Finish]],tbl_Case_mins[[#This Row],[Surgery End Date]]&gt;tbl_Case_mins[[#This Row],[Surgery Start Date]]),ROUND((#REF!-TIME(0,0,0))*1440,0)+1440,ROUND((#REF!-TIME(0,0,0))*1440,0))</f>
        <v>#REF!</v>
      </c>
      <c r="U71" s="9" t="e">
        <f>IF(AND(ROUND((#REF!-TIME(0,0,0))*1440,0)&gt;0,ROUND((#REF!-TIME(0,0,0))*1440,0)&lt;tbl_Case_mins[[#This Row],[Anaesth End]],tbl_Case_mins[[#This Row],[Surgery End Date]]&gt;tbl_Case_mins[[#This Row],[Surgery Start Date]]),ROUND((#REF!-TIME(0,0,0))*1440,0)+1440,ROUND((#REF!-TIME(0,0,0))*1440,0))</f>
        <v>#REF!</v>
      </c>
      <c r="V71" s="9" t="e">
        <f>IF(AND(ROUND((#REF!-TIME(0,0,0))*1440,0)&gt;0,ROUND((#REF!-TIME(0,0,0))*1440,0)&lt;tbl_Case_mins[[#This Row],[Into Recov]],tbl_Case_mins[[#This Row],[Surgery End Date]]&gt;tbl_Case_mins[[#This Row],[Surgery Start Date]]),ROUND((#REF!-TIME(0,0,0))*1440,0)+1440,ROUND((#REF!-TIME(0,0,0))*1440,0))</f>
        <v>#REF!</v>
      </c>
      <c r="W71" s="9" t="e">
        <f>IF(AND(ROUND((#REF!-TIME(0,0,0))*1440,0)&gt;0,ROUND((#REF!-TIME(0,0,0))*1440,0)&lt;tbl_Case_mins[[#This Row],[Ward Called]],tbl_Case_mins[[#This Row],[Surgery End Date]]&gt;tbl_Case_mins[[#This Row],[Surgery Start Date]]),ROUND((#REF!-TIME(0,0,0))*1440,0)+1440,ROUND((#REF!-TIME(0,0,0))*1440,0))</f>
        <v>#REF!</v>
      </c>
      <c r="X71" s="4" t="e">
        <f>IF(ISBLANK(#REF!),tbl_Case_mins[[#This Row],[Surgery Start Date]],#REF!)</f>
        <v>#REF!</v>
      </c>
      <c r="Y71">
        <f>IFERROR(IF(VLOOKUP(tbl_Case_mins[[#This Row],[Theatre]],'Mng Theatres'!$C$7:$G$12,3,FALSE)="Yes","Yes","No"),0)</f>
        <v>0</v>
      </c>
      <c r="Z71" s="9" t="e" cm="1">
        <f t="array" ref="Z7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1" s="9" t="e" cm="1">
        <f t="array" ref="AA7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1" s="9" t="e">
        <f>IF(tbl_Case_mins[[#This Row],[Case Type]]="Unsch",1,0)</f>
        <v>#REF!</v>
      </c>
      <c r="AD71" s="9" t="e">
        <f>IF(tbl_Case_mins[[#This Row],[Case Type]]="Sch",1,0)</f>
        <v>#REF!</v>
      </c>
      <c r="AE7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1" s="9">
        <f>IFERROR(IF(ISBLANK(INDEX(Am_Close,MATCH(1,INDEX((tbl_Case_mins[[#This Row],[Theatre]]=Theatre_No)*(tbl_Case_mins[[#This Row],[Surgery Start Date]]=Date),0,1),0))*1440),0,INDEX(Am_Close,MATCH(1,INDEX((tbl_Case_mins[[#This Row],[Theatre]]=Theatre_No)*(tbl_Case_mins[[#This Row],[Surgery Start Date]]=Date),0,1),0))*1440),0)</f>
        <v>0</v>
      </c>
      <c r="AG71" s="9">
        <f>IFERROR(IF(ISBLANK(INDEX(PM_Open,MATCH(1,INDEX((tbl_Case_mins[[#This Row],[Theatre]]=Theatre_No)*(tbl_Case_mins[[#This Row],[Surgery Start Date]]=Date),0,1),0))*1440),0,INDEX(PM_Open,MATCH(1,INDEX((tbl_Case_mins[[#This Row],[Theatre]]=Theatre_No)*(tbl_Case_mins[[#This Row],[Surgery Start Date]]=Date),0,1),0))*1440),0)</f>
        <v>0</v>
      </c>
      <c r="AH7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1" s="9" t="e">
        <f>IF(tbl_Case_mins[[#This Row],[ThOpenAm]]=0,tbl_Case_mins[[#This Row],[ThOpenPM]],tbl_Case_mins[[#This Row],[ThOpenAm]])</f>
        <v>#REF!</v>
      </c>
      <c r="AJ71" s="9" t="e">
        <f>IF(tbl_Case_mins[[#This Row],[ThCloseAm]]&gt;0,IF(tbl_Case_mins[[#This Row],[ThOpenPM]]&gt;0,tbl_Case_mins[[#This Row],[ThClosePm]],tbl_Case_mins[[#This Row],[ThCloseAm]]),tbl_Case_mins[[#This Row],[ThClosePm]])</f>
        <v>#REF!</v>
      </c>
      <c r="AK71" s="9" t="e">
        <f>IF(tbl_Case_mins[[#This Row],[TOT]]&gt;0,1,0)</f>
        <v>#REF!</v>
      </c>
      <c r="AL7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1" s="9" t="e">
        <f>IF(AND(tbl_Case_mins[[#This Row],[Surgery Status]]&lt;&gt;2,tbl_Case_mins[[#This Row],[InCoreCase]]=0,tbl_Case_mins[[#This Row],[CancelledCase]]=0),1,0)</f>
        <v>#REF!</v>
      </c>
      <c r="AN71" s="9" t="e">
        <f>IF(tbl_Case_mins[[#This Row],[Surgery Status]]=1,1,0)</f>
        <v>#REF!</v>
      </c>
      <c r="AO7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1" s="9" t="e">
        <f>IF(AND(tbl_Case_mins[[#This Row],[NonCoreCase]]=1,tbl_Case_mins[[#This Row],[NoInCoreTime]]=0),1,0)</f>
        <v>#REF!</v>
      </c>
      <c r="AQ71" s="9" t="e">
        <f>IF(tbl_Case_mins[[#This Row],[Rank_AnaEnd]]&lt;tbl_Case_mins[[#This Row],[Rank_AnaSt]],1,0)</f>
        <v>#REF!</v>
      </c>
      <c r="AR71" s="9" t="e">
        <f>IF(AND(tbl_Case_mins[[#This Row],[InCoreCase]]=1,tbl_Case_mins[[#This Row],[Sch]]=1),1,0)</f>
        <v>#REF!</v>
      </c>
      <c r="AS71" s="9" t="e">
        <f>IF(AND(tbl_Case_mins[[#This Row],[InCoreCase]]=1,tbl_Case_mins[[#This Row],[Unsch]]=1),1,0)</f>
        <v>#REF!</v>
      </c>
      <c r="AT7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1" s="9" t="e">
        <f>IF(tbl_Case_mins[[#This Row],[Surgery Status]]=0,(tbl_Case_mins[[#This Row],[Anaesth End]]-tbl_Case_mins[[#This Row],[AnaesthStart]]),0)</f>
        <v>#REF!</v>
      </c>
      <c r="AX71" s="9" t="e">
        <f>IF(tbl_Case_mins[[#This Row],[Surgery Status]]=0,(tbl_Case_mins[[#This Row],[Surgery Finish]]-tbl_Case_mins[[#This Row],[Surgery Start]]),0)</f>
        <v>#REF!</v>
      </c>
      <c r="AY71" s="9" t="e">
        <f>tbl_Case_mins[[#This Row],[Surgery Start]]-tbl_Case_mins[[#This Row],[AnaesthStart]]</f>
        <v>#REF!</v>
      </c>
      <c r="AZ71" s="9" t="e">
        <f>tbl_Case_mins[[#This Row],[Anaesth End]]-tbl_Case_mins[[#This Row],[Surgery Finish]]</f>
        <v>#REF!</v>
      </c>
      <c r="BA7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1" s="16" cm="1">
        <f t="array" ref="BC7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1" s="16" t="e">
        <f>IF(AND(tbl_Case_mins[[#This Row],[FirstAMCase]]=1,tbl_Case_mins[[#This Row],[CancelledCase]]=0,OR(tbl_Case_mins[[#This Row],[EarlyStartAM]]&gt;0,tbl_Case_mins[[#This Row],[AnaesthStart]]=tbl_Case_mins[[#This Row],[ThOpenAm]])),1,0)</f>
        <v>#REF!</v>
      </c>
      <c r="BE71" s="16" t="e">
        <f>IF(AND(tbl_Case_mins[[#This Row],[Rank_AnaSt]]=tbl_Case_mins[[#This Row],[Min_RankAnaSt]],tbl_Case_mins[[#This Row],[Anaesth End]]&gt;=tbl_Case_mins[[#This Row],[ThOpenAm]],tbl_Case_mins[[#This Row],[PmCase]]=0),1,0)</f>
        <v>#REF!</v>
      </c>
      <c r="BF7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1" s="9" t="e" cm="1">
        <f t="array" ref="BH7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1" s="9" t="e">
        <f>IF(AND(tbl_Case_mins[[#This Row],[ThOpenPM]]&gt;0,tbl_Case_mins[[#This Row],[AnaesthStart]]&gt;tbl_Case_mins[[#This Row],[ThOpenPM]],tbl_Case_mins[[#This Row],[First PM Case]]=1),tbl_Case_mins[[#This Row],[AnaesthStart]]-tbl_Case_mins[[#This Row],[ThOpenPM]],0)</f>
        <v>#REF!</v>
      </c>
      <c r="BL7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1" s="9" t="e" cm="1">
        <f t="array" ref="BN7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1" s="9" t="e">
        <f>IF(AND(tbl_Case_mins[[#This Row],[ThClosePm]]&gt;0,tbl_Case_mins[[#This Row],[Anaesth End]]&gt;tbl_Case_mins[[#This Row],[ThClosePm]],tbl_Case_mins[[#This Row],[AnaesthStart]]&gt;tbl_Case_mins[[#This Row],[ThClosePm]]),tbl_Case_mins[[#This Row],[Into Recov]]-tbl_Case_mins[[#This Row],[AnaesthStart]],0)</f>
        <v>#REF!</v>
      </c>
      <c r="BP71" s="9" t="e">
        <f>IF(AND(tbl_Case_mins[[#This Row],[AnaesthStart]]&lt;tbl_Case_mins[[#This Row],[ThClosePm]],tbl_Case_mins[[#This Row],[Anaesth End]]&gt;tbl_Case_mins[[#This Row],[ThClosePm]]),tbl_Case_mins[[#This Row],[Anaesth End]]-tbl_Case_mins[[#This Row],[ThClosePm]],0)</f>
        <v>#REF!</v>
      </c>
      <c r="BQ71" s="9" t="e" cm="1">
        <f t="array" ref="BQ7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1" s="9" t="e" cm="1">
        <f t="array" ref="BR71">IF(tbl_Case_mins[[#This Row],[Rank_Adjust]]=SUMPRODUCT(-(tbl_Case_mins[Surgery Start Date]=tbl_Case_mins[[#This Row],[Surgery Start Date]]),-(tbl_Case_mins[Theatre]=tbl_Case_mins[[#This Row],[Theatre]])),INDEX(Poss_Time,MATCH(TEXT(tbl_Case_mins[[#This Row],[Surgery Start Date]],"ddd"),Day,0)),0)</f>
        <v>#REF!</v>
      </c>
      <c r="BS71" s="9" t="e">
        <f>tbl_Case_mins[[#This Row],[Core_Time]]*Util_Goal</f>
        <v>#REF!</v>
      </c>
      <c r="BT71" s="9" t="e" cm="1">
        <f t="array" ref="BT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1" s="9" t="e" cm="1">
        <f t="array" ref="BU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1" s="9" t="e">
        <f>IF(tbl_Case_mins[[#This Row],[Surgery End Date]]&gt;tbl_Case_mins[[#This Row],[Surgery Start Date]],tbl_Case_mins[[#This Row],[Anaesth End]]-1440,0)</f>
        <v>#REF!</v>
      </c>
      <c r="BY71" s="9" t="e">
        <f>tbl_Case_mins[[#This Row],[Total_NonCore]]-tbl_Case_mins[[#This Row],[NextDay_NonCore]]</f>
        <v>#REF!</v>
      </c>
      <c r="BZ71" s="10" t="e">
        <f>tbl_Case_mins[[#This Row],[InCoreUse]]/60</f>
        <v>#REF!</v>
      </c>
      <c r="CA71" s="10" t="e">
        <f>tbl_Case_mins[[#This Row],[Total_NonCore]]/60</f>
        <v>#REF!</v>
      </c>
      <c r="CB71" t="e" cm="1">
        <f t="array" ref="CB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1" s="9" t="e" cm="1">
        <f t="array" ref="CC7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1" s="9" t="e" cm="1">
        <f t="array" ref="CD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1" s="9" t="e" cm="1">
        <f t="array" ref="CE7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1" s="9" cm="1">
        <f t="array" ref="CF71">IFERROR(_xlfn.AGGREGATE(14,6,(tbl_Case_mins[Rank_AnaEnd])/((tbl_Case_mins[Surgery Start Date]=tbl_Case_mins[[#This Row],[Surgery Start Date]])*(tbl_Case_mins[Theatre]=tbl_Case_mins[[#This Row],[Theatre]])*(tbl_Case_mins[NoInCoreTime]=0)),1),-1)</f>
        <v>-1</v>
      </c>
      <c r="CG71" s="9" cm="1">
        <f t="array" ref="CG71">IFERROR(_xlfn.AGGREGATE(15,6,(tbl_Case_mins[Rank_AnaSt])/((tbl_Case_mins[Surgery Start Date]=tbl_Case_mins[[#This Row],[Surgery Start Date]])*(tbl_Case_mins[Theatre]=tbl_Case_mins[[#This Row],[Theatre]])*(tbl_Case_mins[NoInCoreTime]=0)),1),-1)</f>
        <v>-1</v>
      </c>
      <c r="CH7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1" t="e" cm="1">
        <f t="array" ref="CJ7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1" s="9" cm="1">
        <f t="array" ref="CO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1" s="9" cm="1">
        <f t="array" ref="CP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1" s="9" cm="1">
        <f t="array" ref="CQ71">IFERROR(IF(AND(tbl_Case_mins[[#This Row],[FirstAMCase]]=0,tbl_Case_mins[[#This Row],[Rank]]=_xlfn.AGGREGATE(14,6,(tbl_Case_mins[Rank])/((tbl_Case_mins[Surgery Start Date]=tbl_Case_mins[[#This Row],[Surgery Start Date]])*(tbl_Case_mins[Theatre]=tbl_Case_mins[[#This Row],[Theatre]])*(tbl_Case_mins[AmCase]=1)),1)),1,0),0)</f>
        <v>0</v>
      </c>
      <c r="CR71" s="9" cm="1">
        <f t="array" ref="CR7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1" s="9" t="e" cm="1">
        <f t="array" ref="CS7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1" s="9" cm="1">
        <f t="array" ref="CT71">IFERROR(IF(tbl_Case_mins[[#This Row],[Rank]]=_xlfn.AGGREGATE(15,6,(tbl_Case_mins[Rank])/((tbl_Case_mins[Surgery Start Date]=tbl_Case_mins[[#This Row],[Surgery Start Date]])*(tbl_Case_mins[Theatre]=tbl_Case_mins[[#This Row],[Theatre]])*(tbl_Case_mins[PmCase]=1)),1),1,0),0)</f>
        <v>0</v>
      </c>
      <c r="CU71">
        <f>IFERROR(#REF!,0)</f>
        <v>0</v>
      </c>
      <c r="CV71" s="9" t="e" cm="1">
        <f t="array" ref="CV7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1" s="9">
        <f>IFERROR(IF(ISBLANK(INDEX(Bay_AmClose,MATCH(1,INDEX((tbl_Case_mins[[#This Row],[Bay]]=BayNo)*(tbl_Case_mins[[#This Row],[Surgery Start Date]]=BDate),0,1),0))*1440),0,INDEX(Bay_AmClose,MATCH(1,INDEX((tbl_Case_mins[[#This Row],[Bay]]=BayNo)*(tbl_Case_mins[[#This Row],[Surgery Start Date]]=BDate),0,1),0))*1440),0)</f>
        <v>0</v>
      </c>
      <c r="CX71" s="9" cm="1">
        <f t="array" ref="CX71">IFERROR(IF(ISBLANK(INDEX(Bay_PmOpen,MATCH(1,INDEX((tbl_Case_mins[[#This Row],[Bay]]=BayNo)*(tbl_Case_mins[[#This Row],[Surgery Start Date]]=BDate),0,1),0))*1440),0,INDEX(Bay_PmOpen,MATCH(1,INDEX((tbl_Case_mins[[#This Row],[Bay]]=BayNo)*(tbl_Case_mins[[#This Row],[Surgery Start Date]]=BDate),0,1),0))*1440),0)</f>
        <v>0</v>
      </c>
      <c r="CY7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1" s="9"/>
    </row>
    <row r="72" spans="1:104" x14ac:dyDescent="0.2">
      <c r="A72">
        <v>71</v>
      </c>
      <c r="B72" t="e">
        <f>#REF!</f>
        <v>#REF!</v>
      </c>
      <c r="C72" t="e">
        <f>#REF!</f>
        <v>#REF!</v>
      </c>
      <c r="D72" t="e">
        <f>#REF!</f>
        <v>#REF!</v>
      </c>
      <c r="E72" t="e">
        <f>#REF!</f>
        <v>#REF!</v>
      </c>
      <c r="F72" t="e">
        <f>#REF!</f>
        <v>#REF!</v>
      </c>
      <c r="G72" t="e">
        <f>#REF!</f>
        <v>#REF!</v>
      </c>
      <c r="H72" t="e">
        <f>#REF!</f>
        <v>#REF!</v>
      </c>
      <c r="I72" t="e">
        <f>IF(#REF!="Case Cancelled",1,IF(#REF!="No Cases",2,0))</f>
        <v>#REF!</v>
      </c>
      <c r="J72" t="e">
        <f>#REF!</f>
        <v>#REF!</v>
      </c>
      <c r="K72" s="4" t="e">
        <f>#REF!</f>
        <v>#REF!</v>
      </c>
      <c r="L72" t="e">
        <f>"Wk "&amp;WEEKNUM(tbl_Case_mins[[#This Row],[Surgery Start Date]],21)</f>
        <v>#REF!</v>
      </c>
      <c r="M72" t="e">
        <f>TEXT(tbl_Case_mins[[#This Row],[Surgery Start Date]],"ddd")</f>
        <v>#REF!</v>
      </c>
      <c r="N72" s="9" t="e">
        <f>(#REF!-TIME(0,0,0))*1440</f>
        <v>#REF!</v>
      </c>
      <c r="O72" t="e">
        <f>IF(AND(ROUND((#REF!-TIME(0,0,0))*1440,0)&gt;0,ROUND((#REF!-TIME(0,0,0))*1440,0)&lt;tbl_Case_mins[[#This Row],[Patient Called]],tbl_Case_mins[[#This Row],[Surgery End Date]]&gt;tbl_Case_mins[[#This Row],[Surgery Start Date]]),ROUND((#REF!-TIME(0,0,0))*1440,0)+1440,ROUND((#REF!-TIME(0,0,0))*1440,0))</f>
        <v>#REF!</v>
      </c>
      <c r="P72" s="9" t="e">
        <f>IF(AND(ROUND((#REF!-TIME(0,0,0))*1440,0)&gt;0,ROUND((#REF!-TIME(0,0,0))*1440,0)&lt;tbl_Case_mins[[#This Row],[Arrival]],tbl_Case_mins[[#This Row],[Surgery End Date]]&gt;tbl_Case_mins[[#This Row],[Surgery Start Date]]),ROUND((#REF!-TIME(0,0,0))*1440,0)+1440,ROUND((#REF!-TIME(0,0,0))*1440,0))</f>
        <v>#REF!</v>
      </c>
      <c r="Q72" s="9" t="e">
        <f>IF(AND(ROUND((#REF!-TIME(0,0,0))*1440,0)&gt;0,ROUND((#REF!-TIME(0,0,0))*1440,0)&lt;tbl_Case_mins[[#This Row],[Into Th or AR]],tbl_Case_mins[[#This Row],[Surgery End Date]]&gt;tbl_Case_mins[[#This Row],[Surgery Start Date]]),ROUND((#REF!-TIME(0,0,0))*1440,0)+1440,ROUND((#REF!-TIME(0,0,0))*1440,0))</f>
        <v>#REF!</v>
      </c>
      <c r="R72" s="9" t="e">
        <f>IF(AND(ROUND((#REF!-TIME(0,0,0))*1440,0)&gt;0,ROUND((#REF!-TIME(0,0,0))*1440,0)&lt;tbl_Case_mins[[#This Row],[AnaesthStart]],tbl_Case_mins[[#This Row],[Surgery End Date]]&gt;tbl_Case_mins[[#This Row],[Surgery Start Date]]),ROUND((#REF!-TIME(0,0,0))*1440,0)+1440,ROUND((#REF!-TIME(0,0,0))*1440,0))</f>
        <v>#REF!</v>
      </c>
      <c r="S72" s="9" t="e">
        <f>IF(AND(ROUND((#REF!-TIME(0,0,0))*1440,0),ROUND((#REF!-TIME(0,0,0))*1440,0)&lt;tbl_Case_mins[[#This Row],[Surgery Start]],tbl_Case_mins[[#This Row],[Surgery End Date]]&gt;tbl_Case_mins[[#This Row],[Surgery Start Date]]),ROUND((#REF!-TIME(0,0,0))*1440,0)+1440,ROUND((#REF!-TIME(0,0,0))*1440,0))</f>
        <v>#REF!</v>
      </c>
      <c r="T72" s="9" t="e">
        <f>IF(AND(ROUND((#REF!-TIME(0,0,0))*1440,0)&gt;0,ROUND((#REF!-TIME(0,0,0))*1440,0)&lt;tbl_Case_mins[[#This Row],[Surgery Finish]],tbl_Case_mins[[#This Row],[Surgery End Date]]&gt;tbl_Case_mins[[#This Row],[Surgery Start Date]]),ROUND((#REF!-TIME(0,0,0))*1440,0)+1440,ROUND((#REF!-TIME(0,0,0))*1440,0))</f>
        <v>#REF!</v>
      </c>
      <c r="U72" s="9" t="e">
        <f>IF(AND(ROUND((#REF!-TIME(0,0,0))*1440,0)&gt;0,ROUND((#REF!-TIME(0,0,0))*1440,0)&lt;tbl_Case_mins[[#This Row],[Anaesth End]],tbl_Case_mins[[#This Row],[Surgery End Date]]&gt;tbl_Case_mins[[#This Row],[Surgery Start Date]]),ROUND((#REF!-TIME(0,0,0))*1440,0)+1440,ROUND((#REF!-TIME(0,0,0))*1440,0))</f>
        <v>#REF!</v>
      </c>
      <c r="V72" s="9" t="e">
        <f>IF(AND(ROUND((#REF!-TIME(0,0,0))*1440,0)&gt;0,ROUND((#REF!-TIME(0,0,0))*1440,0)&lt;tbl_Case_mins[[#This Row],[Into Recov]],tbl_Case_mins[[#This Row],[Surgery End Date]]&gt;tbl_Case_mins[[#This Row],[Surgery Start Date]]),ROUND((#REF!-TIME(0,0,0))*1440,0)+1440,ROUND((#REF!-TIME(0,0,0))*1440,0))</f>
        <v>#REF!</v>
      </c>
      <c r="W72" s="9" t="e">
        <f>IF(AND(ROUND((#REF!-TIME(0,0,0))*1440,0)&gt;0,ROUND((#REF!-TIME(0,0,0))*1440,0)&lt;tbl_Case_mins[[#This Row],[Ward Called]],tbl_Case_mins[[#This Row],[Surgery End Date]]&gt;tbl_Case_mins[[#This Row],[Surgery Start Date]]),ROUND((#REF!-TIME(0,0,0))*1440,0)+1440,ROUND((#REF!-TIME(0,0,0))*1440,0))</f>
        <v>#REF!</v>
      </c>
      <c r="X72" s="4" t="e">
        <f>IF(ISBLANK(#REF!),tbl_Case_mins[[#This Row],[Surgery Start Date]],#REF!)</f>
        <v>#REF!</v>
      </c>
      <c r="Y72">
        <f>IFERROR(IF(VLOOKUP(tbl_Case_mins[[#This Row],[Theatre]],'Mng Theatres'!$C$7:$G$12,3,FALSE)="Yes","Yes","No"),0)</f>
        <v>0</v>
      </c>
      <c r="Z72" s="9" t="e" cm="1">
        <f t="array" ref="Z7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2" s="9" t="e" cm="1">
        <f t="array" ref="AA7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2" s="9" t="e">
        <f>IF(tbl_Case_mins[[#This Row],[Case Type]]="Unsch",1,0)</f>
        <v>#REF!</v>
      </c>
      <c r="AD72" s="9" t="e">
        <f>IF(tbl_Case_mins[[#This Row],[Case Type]]="Sch",1,0)</f>
        <v>#REF!</v>
      </c>
      <c r="AE7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2" s="9">
        <f>IFERROR(IF(ISBLANK(INDEX(Am_Close,MATCH(1,INDEX((tbl_Case_mins[[#This Row],[Theatre]]=Theatre_No)*(tbl_Case_mins[[#This Row],[Surgery Start Date]]=Date),0,1),0))*1440),0,INDEX(Am_Close,MATCH(1,INDEX((tbl_Case_mins[[#This Row],[Theatre]]=Theatre_No)*(tbl_Case_mins[[#This Row],[Surgery Start Date]]=Date),0,1),0))*1440),0)</f>
        <v>0</v>
      </c>
      <c r="AG72" s="9">
        <f>IFERROR(IF(ISBLANK(INDEX(PM_Open,MATCH(1,INDEX((tbl_Case_mins[[#This Row],[Theatre]]=Theatre_No)*(tbl_Case_mins[[#This Row],[Surgery Start Date]]=Date),0,1),0))*1440),0,INDEX(PM_Open,MATCH(1,INDEX((tbl_Case_mins[[#This Row],[Theatre]]=Theatre_No)*(tbl_Case_mins[[#This Row],[Surgery Start Date]]=Date),0,1),0))*1440),0)</f>
        <v>0</v>
      </c>
      <c r="AH7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2" s="9" t="e">
        <f>IF(tbl_Case_mins[[#This Row],[ThOpenAm]]=0,tbl_Case_mins[[#This Row],[ThOpenPM]],tbl_Case_mins[[#This Row],[ThOpenAm]])</f>
        <v>#REF!</v>
      </c>
      <c r="AJ72" s="9" t="e">
        <f>IF(tbl_Case_mins[[#This Row],[ThCloseAm]]&gt;0,IF(tbl_Case_mins[[#This Row],[ThOpenPM]]&gt;0,tbl_Case_mins[[#This Row],[ThClosePm]],tbl_Case_mins[[#This Row],[ThCloseAm]]),tbl_Case_mins[[#This Row],[ThClosePm]])</f>
        <v>#REF!</v>
      </c>
      <c r="AK72" s="9" t="e">
        <f>IF(tbl_Case_mins[[#This Row],[TOT]]&gt;0,1,0)</f>
        <v>#REF!</v>
      </c>
      <c r="AL7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2" s="9" t="e">
        <f>IF(AND(tbl_Case_mins[[#This Row],[Surgery Status]]&lt;&gt;2,tbl_Case_mins[[#This Row],[InCoreCase]]=0,tbl_Case_mins[[#This Row],[CancelledCase]]=0),1,0)</f>
        <v>#REF!</v>
      </c>
      <c r="AN72" s="9" t="e">
        <f>IF(tbl_Case_mins[[#This Row],[Surgery Status]]=1,1,0)</f>
        <v>#REF!</v>
      </c>
      <c r="AO7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2" s="9" t="e">
        <f>IF(AND(tbl_Case_mins[[#This Row],[NonCoreCase]]=1,tbl_Case_mins[[#This Row],[NoInCoreTime]]=0),1,0)</f>
        <v>#REF!</v>
      </c>
      <c r="AQ72" s="9" t="e">
        <f>IF(tbl_Case_mins[[#This Row],[Rank_AnaEnd]]&lt;tbl_Case_mins[[#This Row],[Rank_AnaSt]],1,0)</f>
        <v>#REF!</v>
      </c>
      <c r="AR72" s="9" t="e">
        <f>IF(AND(tbl_Case_mins[[#This Row],[InCoreCase]]=1,tbl_Case_mins[[#This Row],[Sch]]=1),1,0)</f>
        <v>#REF!</v>
      </c>
      <c r="AS72" s="9" t="e">
        <f>IF(AND(tbl_Case_mins[[#This Row],[InCoreCase]]=1,tbl_Case_mins[[#This Row],[Unsch]]=1),1,0)</f>
        <v>#REF!</v>
      </c>
      <c r="AT7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2" s="9" t="e">
        <f>IF(tbl_Case_mins[[#This Row],[Surgery Status]]=0,(tbl_Case_mins[[#This Row],[Anaesth End]]-tbl_Case_mins[[#This Row],[AnaesthStart]]),0)</f>
        <v>#REF!</v>
      </c>
      <c r="AX72" s="9" t="e">
        <f>IF(tbl_Case_mins[[#This Row],[Surgery Status]]=0,(tbl_Case_mins[[#This Row],[Surgery Finish]]-tbl_Case_mins[[#This Row],[Surgery Start]]),0)</f>
        <v>#REF!</v>
      </c>
      <c r="AY72" s="9" t="e">
        <f>tbl_Case_mins[[#This Row],[Surgery Start]]-tbl_Case_mins[[#This Row],[AnaesthStart]]</f>
        <v>#REF!</v>
      </c>
      <c r="AZ72" s="9" t="e">
        <f>tbl_Case_mins[[#This Row],[Anaesth End]]-tbl_Case_mins[[#This Row],[Surgery Finish]]</f>
        <v>#REF!</v>
      </c>
      <c r="BA7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2" s="16" cm="1">
        <f t="array" ref="BC7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2" s="16" t="e">
        <f>IF(AND(tbl_Case_mins[[#This Row],[FirstAMCase]]=1,tbl_Case_mins[[#This Row],[CancelledCase]]=0,OR(tbl_Case_mins[[#This Row],[EarlyStartAM]]&gt;0,tbl_Case_mins[[#This Row],[AnaesthStart]]=tbl_Case_mins[[#This Row],[ThOpenAm]])),1,0)</f>
        <v>#REF!</v>
      </c>
      <c r="BE72" s="16" t="e">
        <f>IF(AND(tbl_Case_mins[[#This Row],[Rank_AnaSt]]=tbl_Case_mins[[#This Row],[Min_RankAnaSt]],tbl_Case_mins[[#This Row],[Anaesth End]]&gt;=tbl_Case_mins[[#This Row],[ThOpenAm]],tbl_Case_mins[[#This Row],[PmCase]]=0),1,0)</f>
        <v>#REF!</v>
      </c>
      <c r="BF7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2" s="9" t="e" cm="1">
        <f t="array" ref="BH7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2" s="9" t="e">
        <f>IF(AND(tbl_Case_mins[[#This Row],[ThOpenPM]]&gt;0,tbl_Case_mins[[#This Row],[AnaesthStart]]&gt;tbl_Case_mins[[#This Row],[ThOpenPM]],tbl_Case_mins[[#This Row],[First PM Case]]=1),tbl_Case_mins[[#This Row],[AnaesthStart]]-tbl_Case_mins[[#This Row],[ThOpenPM]],0)</f>
        <v>#REF!</v>
      </c>
      <c r="BL7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2" s="9" t="e" cm="1">
        <f t="array" ref="BN7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2" s="9" t="e">
        <f>IF(AND(tbl_Case_mins[[#This Row],[ThClosePm]]&gt;0,tbl_Case_mins[[#This Row],[Anaesth End]]&gt;tbl_Case_mins[[#This Row],[ThClosePm]],tbl_Case_mins[[#This Row],[AnaesthStart]]&gt;tbl_Case_mins[[#This Row],[ThClosePm]]),tbl_Case_mins[[#This Row],[Into Recov]]-tbl_Case_mins[[#This Row],[AnaesthStart]],0)</f>
        <v>#REF!</v>
      </c>
      <c r="BP72" s="9" t="e">
        <f>IF(AND(tbl_Case_mins[[#This Row],[AnaesthStart]]&lt;tbl_Case_mins[[#This Row],[ThClosePm]],tbl_Case_mins[[#This Row],[Anaesth End]]&gt;tbl_Case_mins[[#This Row],[ThClosePm]]),tbl_Case_mins[[#This Row],[Anaesth End]]-tbl_Case_mins[[#This Row],[ThClosePm]],0)</f>
        <v>#REF!</v>
      </c>
      <c r="BQ72" s="9" t="e" cm="1">
        <f t="array" ref="BQ7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2" s="9" t="e" cm="1">
        <f t="array" ref="BR72">IF(tbl_Case_mins[[#This Row],[Rank_Adjust]]=SUMPRODUCT(-(tbl_Case_mins[Surgery Start Date]=tbl_Case_mins[[#This Row],[Surgery Start Date]]),-(tbl_Case_mins[Theatre]=tbl_Case_mins[[#This Row],[Theatre]])),INDEX(Poss_Time,MATCH(TEXT(tbl_Case_mins[[#This Row],[Surgery Start Date]],"ddd"),Day,0)),0)</f>
        <v>#REF!</v>
      </c>
      <c r="BS72" s="9" t="e">
        <f>tbl_Case_mins[[#This Row],[Core_Time]]*Util_Goal</f>
        <v>#REF!</v>
      </c>
      <c r="BT72" s="9" t="e" cm="1">
        <f t="array" ref="BT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2" s="9" t="e" cm="1">
        <f t="array" ref="BU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2" s="9" t="e">
        <f>IF(tbl_Case_mins[[#This Row],[Surgery End Date]]&gt;tbl_Case_mins[[#This Row],[Surgery Start Date]],tbl_Case_mins[[#This Row],[Anaesth End]]-1440,0)</f>
        <v>#REF!</v>
      </c>
      <c r="BY72" s="9" t="e">
        <f>tbl_Case_mins[[#This Row],[Total_NonCore]]-tbl_Case_mins[[#This Row],[NextDay_NonCore]]</f>
        <v>#REF!</v>
      </c>
      <c r="BZ72" s="10" t="e">
        <f>tbl_Case_mins[[#This Row],[InCoreUse]]/60</f>
        <v>#REF!</v>
      </c>
      <c r="CA72" s="10" t="e">
        <f>tbl_Case_mins[[#This Row],[Total_NonCore]]/60</f>
        <v>#REF!</v>
      </c>
      <c r="CB72" t="e" cm="1">
        <f t="array" ref="CB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2" s="9" t="e" cm="1">
        <f t="array" ref="CC7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2" s="9" t="e" cm="1">
        <f t="array" ref="CD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2" s="9" t="e" cm="1">
        <f t="array" ref="CE7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2" s="9" cm="1">
        <f t="array" ref="CF72">IFERROR(_xlfn.AGGREGATE(14,6,(tbl_Case_mins[Rank_AnaEnd])/((tbl_Case_mins[Surgery Start Date]=tbl_Case_mins[[#This Row],[Surgery Start Date]])*(tbl_Case_mins[Theatre]=tbl_Case_mins[[#This Row],[Theatre]])*(tbl_Case_mins[NoInCoreTime]=0)),1),-1)</f>
        <v>-1</v>
      </c>
      <c r="CG72" s="9" cm="1">
        <f t="array" ref="CG72">IFERROR(_xlfn.AGGREGATE(15,6,(tbl_Case_mins[Rank_AnaSt])/((tbl_Case_mins[Surgery Start Date]=tbl_Case_mins[[#This Row],[Surgery Start Date]])*(tbl_Case_mins[Theatre]=tbl_Case_mins[[#This Row],[Theatre]])*(tbl_Case_mins[NoInCoreTime]=0)),1),-1)</f>
        <v>-1</v>
      </c>
      <c r="CH7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2" t="e" cm="1">
        <f t="array" ref="CJ7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2" s="9" cm="1">
        <f t="array" ref="CO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2" s="9" cm="1">
        <f t="array" ref="CP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2" s="9" cm="1">
        <f t="array" ref="CQ72">IFERROR(IF(AND(tbl_Case_mins[[#This Row],[FirstAMCase]]=0,tbl_Case_mins[[#This Row],[Rank]]=_xlfn.AGGREGATE(14,6,(tbl_Case_mins[Rank])/((tbl_Case_mins[Surgery Start Date]=tbl_Case_mins[[#This Row],[Surgery Start Date]])*(tbl_Case_mins[Theatre]=tbl_Case_mins[[#This Row],[Theatre]])*(tbl_Case_mins[AmCase]=1)),1)),1,0),0)</f>
        <v>0</v>
      </c>
      <c r="CR72" s="9" cm="1">
        <f t="array" ref="CR7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2" s="9" t="e" cm="1">
        <f t="array" ref="CS7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2" s="9" cm="1">
        <f t="array" ref="CT72">IFERROR(IF(tbl_Case_mins[[#This Row],[Rank]]=_xlfn.AGGREGATE(15,6,(tbl_Case_mins[Rank])/((tbl_Case_mins[Surgery Start Date]=tbl_Case_mins[[#This Row],[Surgery Start Date]])*(tbl_Case_mins[Theatre]=tbl_Case_mins[[#This Row],[Theatre]])*(tbl_Case_mins[PmCase]=1)),1),1,0),0)</f>
        <v>0</v>
      </c>
      <c r="CU72">
        <f>IFERROR(#REF!,0)</f>
        <v>0</v>
      </c>
      <c r="CV72" s="9" t="e" cm="1">
        <f t="array" ref="CV7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2" s="9">
        <f>IFERROR(IF(ISBLANK(INDEX(Bay_AmClose,MATCH(1,INDEX((tbl_Case_mins[[#This Row],[Bay]]=BayNo)*(tbl_Case_mins[[#This Row],[Surgery Start Date]]=BDate),0,1),0))*1440),0,INDEX(Bay_AmClose,MATCH(1,INDEX((tbl_Case_mins[[#This Row],[Bay]]=BayNo)*(tbl_Case_mins[[#This Row],[Surgery Start Date]]=BDate),0,1),0))*1440),0)</f>
        <v>0</v>
      </c>
      <c r="CX72" s="9" cm="1">
        <f t="array" ref="CX72">IFERROR(IF(ISBLANK(INDEX(Bay_PmOpen,MATCH(1,INDEX((tbl_Case_mins[[#This Row],[Bay]]=BayNo)*(tbl_Case_mins[[#This Row],[Surgery Start Date]]=BDate),0,1),0))*1440),0,INDEX(Bay_PmOpen,MATCH(1,INDEX((tbl_Case_mins[[#This Row],[Bay]]=BayNo)*(tbl_Case_mins[[#This Row],[Surgery Start Date]]=BDate),0,1),0))*1440),0)</f>
        <v>0</v>
      </c>
      <c r="CY7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2" s="9"/>
    </row>
    <row r="73" spans="1:104" x14ac:dyDescent="0.2">
      <c r="A73">
        <v>72</v>
      </c>
      <c r="B73" t="e">
        <f>#REF!</f>
        <v>#REF!</v>
      </c>
      <c r="C73" t="e">
        <f>#REF!</f>
        <v>#REF!</v>
      </c>
      <c r="D73" t="e">
        <f>#REF!</f>
        <v>#REF!</v>
      </c>
      <c r="E73" t="e">
        <f>#REF!</f>
        <v>#REF!</v>
      </c>
      <c r="F73" t="e">
        <f>#REF!</f>
        <v>#REF!</v>
      </c>
      <c r="G73" t="e">
        <f>#REF!</f>
        <v>#REF!</v>
      </c>
      <c r="H73" t="e">
        <f>#REF!</f>
        <v>#REF!</v>
      </c>
      <c r="I73" t="e">
        <f>IF(#REF!="Case Cancelled",1,IF(#REF!="No Cases",2,0))</f>
        <v>#REF!</v>
      </c>
      <c r="J73" t="e">
        <f>#REF!</f>
        <v>#REF!</v>
      </c>
      <c r="K73" s="4" t="e">
        <f>#REF!</f>
        <v>#REF!</v>
      </c>
      <c r="L73" t="e">
        <f>"Wk "&amp;WEEKNUM(tbl_Case_mins[[#This Row],[Surgery Start Date]],21)</f>
        <v>#REF!</v>
      </c>
      <c r="M73" t="e">
        <f>TEXT(tbl_Case_mins[[#This Row],[Surgery Start Date]],"ddd")</f>
        <v>#REF!</v>
      </c>
      <c r="N73" s="9" t="e">
        <f>(#REF!-TIME(0,0,0))*1440</f>
        <v>#REF!</v>
      </c>
      <c r="O73" t="e">
        <f>IF(AND(ROUND((#REF!-TIME(0,0,0))*1440,0)&gt;0,ROUND((#REF!-TIME(0,0,0))*1440,0)&lt;tbl_Case_mins[[#This Row],[Patient Called]],tbl_Case_mins[[#This Row],[Surgery End Date]]&gt;tbl_Case_mins[[#This Row],[Surgery Start Date]]),ROUND((#REF!-TIME(0,0,0))*1440,0)+1440,ROUND((#REF!-TIME(0,0,0))*1440,0))</f>
        <v>#REF!</v>
      </c>
      <c r="P73" s="9" t="e">
        <f>IF(AND(ROUND((#REF!-TIME(0,0,0))*1440,0)&gt;0,ROUND((#REF!-TIME(0,0,0))*1440,0)&lt;tbl_Case_mins[[#This Row],[Arrival]],tbl_Case_mins[[#This Row],[Surgery End Date]]&gt;tbl_Case_mins[[#This Row],[Surgery Start Date]]),ROUND((#REF!-TIME(0,0,0))*1440,0)+1440,ROUND((#REF!-TIME(0,0,0))*1440,0))</f>
        <v>#REF!</v>
      </c>
      <c r="Q73" s="9" t="e">
        <f>IF(AND(ROUND((#REF!-TIME(0,0,0))*1440,0)&gt;0,ROUND((#REF!-TIME(0,0,0))*1440,0)&lt;tbl_Case_mins[[#This Row],[Into Th or AR]],tbl_Case_mins[[#This Row],[Surgery End Date]]&gt;tbl_Case_mins[[#This Row],[Surgery Start Date]]),ROUND((#REF!-TIME(0,0,0))*1440,0)+1440,ROUND((#REF!-TIME(0,0,0))*1440,0))</f>
        <v>#REF!</v>
      </c>
      <c r="R73" s="9" t="e">
        <f>IF(AND(ROUND((#REF!-TIME(0,0,0))*1440,0)&gt;0,ROUND((#REF!-TIME(0,0,0))*1440,0)&lt;tbl_Case_mins[[#This Row],[AnaesthStart]],tbl_Case_mins[[#This Row],[Surgery End Date]]&gt;tbl_Case_mins[[#This Row],[Surgery Start Date]]),ROUND((#REF!-TIME(0,0,0))*1440,0)+1440,ROUND((#REF!-TIME(0,0,0))*1440,0))</f>
        <v>#REF!</v>
      </c>
      <c r="S73" s="9" t="e">
        <f>IF(AND(ROUND((#REF!-TIME(0,0,0))*1440,0),ROUND((#REF!-TIME(0,0,0))*1440,0)&lt;tbl_Case_mins[[#This Row],[Surgery Start]],tbl_Case_mins[[#This Row],[Surgery End Date]]&gt;tbl_Case_mins[[#This Row],[Surgery Start Date]]),ROUND((#REF!-TIME(0,0,0))*1440,0)+1440,ROUND((#REF!-TIME(0,0,0))*1440,0))</f>
        <v>#REF!</v>
      </c>
      <c r="T73" s="9" t="e">
        <f>IF(AND(ROUND((#REF!-TIME(0,0,0))*1440,0)&gt;0,ROUND((#REF!-TIME(0,0,0))*1440,0)&lt;tbl_Case_mins[[#This Row],[Surgery Finish]],tbl_Case_mins[[#This Row],[Surgery End Date]]&gt;tbl_Case_mins[[#This Row],[Surgery Start Date]]),ROUND((#REF!-TIME(0,0,0))*1440,0)+1440,ROUND((#REF!-TIME(0,0,0))*1440,0))</f>
        <v>#REF!</v>
      </c>
      <c r="U73" s="9" t="e">
        <f>IF(AND(ROUND((#REF!-TIME(0,0,0))*1440,0)&gt;0,ROUND((#REF!-TIME(0,0,0))*1440,0)&lt;tbl_Case_mins[[#This Row],[Anaesth End]],tbl_Case_mins[[#This Row],[Surgery End Date]]&gt;tbl_Case_mins[[#This Row],[Surgery Start Date]]),ROUND((#REF!-TIME(0,0,0))*1440,0)+1440,ROUND((#REF!-TIME(0,0,0))*1440,0))</f>
        <v>#REF!</v>
      </c>
      <c r="V73" s="9" t="e">
        <f>IF(AND(ROUND((#REF!-TIME(0,0,0))*1440,0)&gt;0,ROUND((#REF!-TIME(0,0,0))*1440,0)&lt;tbl_Case_mins[[#This Row],[Into Recov]],tbl_Case_mins[[#This Row],[Surgery End Date]]&gt;tbl_Case_mins[[#This Row],[Surgery Start Date]]),ROUND((#REF!-TIME(0,0,0))*1440,0)+1440,ROUND((#REF!-TIME(0,0,0))*1440,0))</f>
        <v>#REF!</v>
      </c>
      <c r="W73" s="9" t="e">
        <f>IF(AND(ROUND((#REF!-TIME(0,0,0))*1440,0)&gt;0,ROUND((#REF!-TIME(0,0,0))*1440,0)&lt;tbl_Case_mins[[#This Row],[Ward Called]],tbl_Case_mins[[#This Row],[Surgery End Date]]&gt;tbl_Case_mins[[#This Row],[Surgery Start Date]]),ROUND((#REF!-TIME(0,0,0))*1440,0)+1440,ROUND((#REF!-TIME(0,0,0))*1440,0))</f>
        <v>#REF!</v>
      </c>
      <c r="X73" s="4" t="e">
        <f>IF(ISBLANK(#REF!),tbl_Case_mins[[#This Row],[Surgery Start Date]],#REF!)</f>
        <v>#REF!</v>
      </c>
      <c r="Y73">
        <f>IFERROR(IF(VLOOKUP(tbl_Case_mins[[#This Row],[Theatre]],'Mng Theatres'!$C$7:$G$12,3,FALSE)="Yes","Yes","No"),0)</f>
        <v>0</v>
      </c>
      <c r="Z73" s="9" t="e" cm="1">
        <f t="array" ref="Z7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3" s="9" t="e" cm="1">
        <f t="array" ref="AA7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3" s="9" t="e">
        <f>IF(tbl_Case_mins[[#This Row],[Case Type]]="Unsch",1,0)</f>
        <v>#REF!</v>
      </c>
      <c r="AD73" s="9" t="e">
        <f>IF(tbl_Case_mins[[#This Row],[Case Type]]="Sch",1,0)</f>
        <v>#REF!</v>
      </c>
      <c r="AE7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3" s="9">
        <f>IFERROR(IF(ISBLANK(INDEX(Am_Close,MATCH(1,INDEX((tbl_Case_mins[[#This Row],[Theatre]]=Theatre_No)*(tbl_Case_mins[[#This Row],[Surgery Start Date]]=Date),0,1),0))*1440),0,INDEX(Am_Close,MATCH(1,INDEX((tbl_Case_mins[[#This Row],[Theatre]]=Theatre_No)*(tbl_Case_mins[[#This Row],[Surgery Start Date]]=Date),0,1),0))*1440),0)</f>
        <v>0</v>
      </c>
      <c r="AG73" s="9">
        <f>IFERROR(IF(ISBLANK(INDEX(PM_Open,MATCH(1,INDEX((tbl_Case_mins[[#This Row],[Theatre]]=Theatre_No)*(tbl_Case_mins[[#This Row],[Surgery Start Date]]=Date),0,1),0))*1440),0,INDEX(PM_Open,MATCH(1,INDEX((tbl_Case_mins[[#This Row],[Theatre]]=Theatre_No)*(tbl_Case_mins[[#This Row],[Surgery Start Date]]=Date),0,1),0))*1440),0)</f>
        <v>0</v>
      </c>
      <c r="AH7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3" s="9" t="e">
        <f>IF(tbl_Case_mins[[#This Row],[ThOpenAm]]=0,tbl_Case_mins[[#This Row],[ThOpenPM]],tbl_Case_mins[[#This Row],[ThOpenAm]])</f>
        <v>#REF!</v>
      </c>
      <c r="AJ73" s="9" t="e">
        <f>IF(tbl_Case_mins[[#This Row],[ThCloseAm]]&gt;0,IF(tbl_Case_mins[[#This Row],[ThOpenPM]]&gt;0,tbl_Case_mins[[#This Row],[ThClosePm]],tbl_Case_mins[[#This Row],[ThCloseAm]]),tbl_Case_mins[[#This Row],[ThClosePm]])</f>
        <v>#REF!</v>
      </c>
      <c r="AK73" s="9" t="e">
        <f>IF(tbl_Case_mins[[#This Row],[TOT]]&gt;0,1,0)</f>
        <v>#REF!</v>
      </c>
      <c r="AL7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3" s="9" t="e">
        <f>IF(AND(tbl_Case_mins[[#This Row],[Surgery Status]]&lt;&gt;2,tbl_Case_mins[[#This Row],[InCoreCase]]=0,tbl_Case_mins[[#This Row],[CancelledCase]]=0),1,0)</f>
        <v>#REF!</v>
      </c>
      <c r="AN73" s="9" t="e">
        <f>IF(tbl_Case_mins[[#This Row],[Surgery Status]]=1,1,0)</f>
        <v>#REF!</v>
      </c>
      <c r="AO7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3" s="9" t="e">
        <f>IF(AND(tbl_Case_mins[[#This Row],[NonCoreCase]]=1,tbl_Case_mins[[#This Row],[NoInCoreTime]]=0),1,0)</f>
        <v>#REF!</v>
      </c>
      <c r="AQ73" s="9" t="e">
        <f>IF(tbl_Case_mins[[#This Row],[Rank_AnaEnd]]&lt;tbl_Case_mins[[#This Row],[Rank_AnaSt]],1,0)</f>
        <v>#REF!</v>
      </c>
      <c r="AR73" s="9" t="e">
        <f>IF(AND(tbl_Case_mins[[#This Row],[InCoreCase]]=1,tbl_Case_mins[[#This Row],[Sch]]=1),1,0)</f>
        <v>#REF!</v>
      </c>
      <c r="AS73" s="9" t="e">
        <f>IF(AND(tbl_Case_mins[[#This Row],[InCoreCase]]=1,tbl_Case_mins[[#This Row],[Unsch]]=1),1,0)</f>
        <v>#REF!</v>
      </c>
      <c r="AT7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3" s="9" t="e">
        <f>IF(tbl_Case_mins[[#This Row],[Surgery Status]]=0,(tbl_Case_mins[[#This Row],[Anaesth End]]-tbl_Case_mins[[#This Row],[AnaesthStart]]),0)</f>
        <v>#REF!</v>
      </c>
      <c r="AX73" s="9" t="e">
        <f>IF(tbl_Case_mins[[#This Row],[Surgery Status]]=0,(tbl_Case_mins[[#This Row],[Surgery Finish]]-tbl_Case_mins[[#This Row],[Surgery Start]]),0)</f>
        <v>#REF!</v>
      </c>
      <c r="AY73" s="9" t="e">
        <f>tbl_Case_mins[[#This Row],[Surgery Start]]-tbl_Case_mins[[#This Row],[AnaesthStart]]</f>
        <v>#REF!</v>
      </c>
      <c r="AZ73" s="9" t="e">
        <f>tbl_Case_mins[[#This Row],[Anaesth End]]-tbl_Case_mins[[#This Row],[Surgery Finish]]</f>
        <v>#REF!</v>
      </c>
      <c r="BA7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3" s="16" cm="1">
        <f t="array" ref="BC7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3" s="16" t="e">
        <f>IF(AND(tbl_Case_mins[[#This Row],[FirstAMCase]]=1,tbl_Case_mins[[#This Row],[CancelledCase]]=0,OR(tbl_Case_mins[[#This Row],[EarlyStartAM]]&gt;0,tbl_Case_mins[[#This Row],[AnaesthStart]]=tbl_Case_mins[[#This Row],[ThOpenAm]])),1,0)</f>
        <v>#REF!</v>
      </c>
      <c r="BE73" s="16" t="e">
        <f>IF(AND(tbl_Case_mins[[#This Row],[Rank_AnaSt]]=tbl_Case_mins[[#This Row],[Min_RankAnaSt]],tbl_Case_mins[[#This Row],[Anaesth End]]&gt;=tbl_Case_mins[[#This Row],[ThOpenAm]],tbl_Case_mins[[#This Row],[PmCase]]=0),1,0)</f>
        <v>#REF!</v>
      </c>
      <c r="BF7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3" s="9" t="e" cm="1">
        <f t="array" ref="BH7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3" s="9" t="e">
        <f>IF(AND(tbl_Case_mins[[#This Row],[ThOpenPM]]&gt;0,tbl_Case_mins[[#This Row],[AnaesthStart]]&gt;tbl_Case_mins[[#This Row],[ThOpenPM]],tbl_Case_mins[[#This Row],[First PM Case]]=1),tbl_Case_mins[[#This Row],[AnaesthStart]]-tbl_Case_mins[[#This Row],[ThOpenPM]],0)</f>
        <v>#REF!</v>
      </c>
      <c r="BL7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3" s="9" t="e" cm="1">
        <f t="array" ref="BN7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3" s="9" t="e">
        <f>IF(AND(tbl_Case_mins[[#This Row],[ThClosePm]]&gt;0,tbl_Case_mins[[#This Row],[Anaesth End]]&gt;tbl_Case_mins[[#This Row],[ThClosePm]],tbl_Case_mins[[#This Row],[AnaesthStart]]&gt;tbl_Case_mins[[#This Row],[ThClosePm]]),tbl_Case_mins[[#This Row],[Into Recov]]-tbl_Case_mins[[#This Row],[AnaesthStart]],0)</f>
        <v>#REF!</v>
      </c>
      <c r="BP73" s="9" t="e">
        <f>IF(AND(tbl_Case_mins[[#This Row],[AnaesthStart]]&lt;tbl_Case_mins[[#This Row],[ThClosePm]],tbl_Case_mins[[#This Row],[Anaesth End]]&gt;tbl_Case_mins[[#This Row],[ThClosePm]]),tbl_Case_mins[[#This Row],[Anaesth End]]-tbl_Case_mins[[#This Row],[ThClosePm]],0)</f>
        <v>#REF!</v>
      </c>
      <c r="BQ73" s="9" t="e" cm="1">
        <f t="array" ref="BQ7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3" s="9" t="e" cm="1">
        <f t="array" ref="BR73">IF(tbl_Case_mins[[#This Row],[Rank_Adjust]]=SUMPRODUCT(-(tbl_Case_mins[Surgery Start Date]=tbl_Case_mins[[#This Row],[Surgery Start Date]]),-(tbl_Case_mins[Theatre]=tbl_Case_mins[[#This Row],[Theatre]])),INDEX(Poss_Time,MATCH(TEXT(tbl_Case_mins[[#This Row],[Surgery Start Date]],"ddd"),Day,0)),0)</f>
        <v>#REF!</v>
      </c>
      <c r="BS73" s="9" t="e">
        <f>tbl_Case_mins[[#This Row],[Core_Time]]*Util_Goal</f>
        <v>#REF!</v>
      </c>
      <c r="BT73" s="9" t="e" cm="1">
        <f t="array" ref="BT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3" s="9" t="e" cm="1">
        <f t="array" ref="BU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3" s="9" t="e">
        <f>IF(tbl_Case_mins[[#This Row],[Surgery End Date]]&gt;tbl_Case_mins[[#This Row],[Surgery Start Date]],tbl_Case_mins[[#This Row],[Anaesth End]]-1440,0)</f>
        <v>#REF!</v>
      </c>
      <c r="BY73" s="9" t="e">
        <f>tbl_Case_mins[[#This Row],[Total_NonCore]]-tbl_Case_mins[[#This Row],[NextDay_NonCore]]</f>
        <v>#REF!</v>
      </c>
      <c r="BZ73" s="10" t="e">
        <f>tbl_Case_mins[[#This Row],[InCoreUse]]/60</f>
        <v>#REF!</v>
      </c>
      <c r="CA73" s="10" t="e">
        <f>tbl_Case_mins[[#This Row],[Total_NonCore]]/60</f>
        <v>#REF!</v>
      </c>
      <c r="CB73" t="e" cm="1">
        <f t="array" ref="CB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3" s="9" t="e" cm="1">
        <f t="array" ref="CC7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3" s="9" t="e" cm="1">
        <f t="array" ref="CD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3" s="9" t="e" cm="1">
        <f t="array" ref="CE7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3" s="9" cm="1">
        <f t="array" ref="CF73">IFERROR(_xlfn.AGGREGATE(14,6,(tbl_Case_mins[Rank_AnaEnd])/((tbl_Case_mins[Surgery Start Date]=tbl_Case_mins[[#This Row],[Surgery Start Date]])*(tbl_Case_mins[Theatre]=tbl_Case_mins[[#This Row],[Theatre]])*(tbl_Case_mins[NoInCoreTime]=0)),1),-1)</f>
        <v>-1</v>
      </c>
      <c r="CG73" s="9" cm="1">
        <f t="array" ref="CG73">IFERROR(_xlfn.AGGREGATE(15,6,(tbl_Case_mins[Rank_AnaSt])/((tbl_Case_mins[Surgery Start Date]=tbl_Case_mins[[#This Row],[Surgery Start Date]])*(tbl_Case_mins[Theatre]=tbl_Case_mins[[#This Row],[Theatre]])*(tbl_Case_mins[NoInCoreTime]=0)),1),-1)</f>
        <v>-1</v>
      </c>
      <c r="CH7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3" t="e" cm="1">
        <f t="array" ref="CJ7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3" s="9" cm="1">
        <f t="array" ref="CO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3" s="9" cm="1">
        <f t="array" ref="CP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3" s="9" cm="1">
        <f t="array" ref="CQ73">IFERROR(IF(AND(tbl_Case_mins[[#This Row],[FirstAMCase]]=0,tbl_Case_mins[[#This Row],[Rank]]=_xlfn.AGGREGATE(14,6,(tbl_Case_mins[Rank])/((tbl_Case_mins[Surgery Start Date]=tbl_Case_mins[[#This Row],[Surgery Start Date]])*(tbl_Case_mins[Theatre]=tbl_Case_mins[[#This Row],[Theatre]])*(tbl_Case_mins[AmCase]=1)),1)),1,0),0)</f>
        <v>0</v>
      </c>
      <c r="CR73" s="9" cm="1">
        <f t="array" ref="CR7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3" s="9" t="e" cm="1">
        <f t="array" ref="CS7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3" s="9" cm="1">
        <f t="array" ref="CT73">IFERROR(IF(tbl_Case_mins[[#This Row],[Rank]]=_xlfn.AGGREGATE(15,6,(tbl_Case_mins[Rank])/((tbl_Case_mins[Surgery Start Date]=tbl_Case_mins[[#This Row],[Surgery Start Date]])*(tbl_Case_mins[Theatre]=tbl_Case_mins[[#This Row],[Theatre]])*(tbl_Case_mins[PmCase]=1)),1),1,0),0)</f>
        <v>0</v>
      </c>
      <c r="CU73">
        <f>IFERROR(#REF!,0)</f>
        <v>0</v>
      </c>
      <c r="CV73" s="9" t="e" cm="1">
        <f t="array" ref="CV7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3" s="9">
        <f>IFERROR(IF(ISBLANK(INDEX(Bay_AmClose,MATCH(1,INDEX((tbl_Case_mins[[#This Row],[Bay]]=BayNo)*(tbl_Case_mins[[#This Row],[Surgery Start Date]]=BDate),0,1),0))*1440),0,INDEX(Bay_AmClose,MATCH(1,INDEX((tbl_Case_mins[[#This Row],[Bay]]=BayNo)*(tbl_Case_mins[[#This Row],[Surgery Start Date]]=BDate),0,1),0))*1440),0)</f>
        <v>0</v>
      </c>
      <c r="CX73" s="9" cm="1">
        <f t="array" ref="CX73">IFERROR(IF(ISBLANK(INDEX(Bay_PmOpen,MATCH(1,INDEX((tbl_Case_mins[[#This Row],[Bay]]=BayNo)*(tbl_Case_mins[[#This Row],[Surgery Start Date]]=BDate),0,1),0))*1440),0,INDEX(Bay_PmOpen,MATCH(1,INDEX((tbl_Case_mins[[#This Row],[Bay]]=BayNo)*(tbl_Case_mins[[#This Row],[Surgery Start Date]]=BDate),0,1),0))*1440),0)</f>
        <v>0</v>
      </c>
      <c r="CY7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3" s="9"/>
    </row>
    <row r="74" spans="1:104" x14ac:dyDescent="0.2">
      <c r="A74">
        <v>73</v>
      </c>
      <c r="B74" t="e">
        <f>#REF!</f>
        <v>#REF!</v>
      </c>
      <c r="C74" t="e">
        <f>#REF!</f>
        <v>#REF!</v>
      </c>
      <c r="D74" t="e">
        <f>#REF!</f>
        <v>#REF!</v>
      </c>
      <c r="E74" t="e">
        <f>#REF!</f>
        <v>#REF!</v>
      </c>
      <c r="F74" t="e">
        <f>#REF!</f>
        <v>#REF!</v>
      </c>
      <c r="G74" t="e">
        <f>#REF!</f>
        <v>#REF!</v>
      </c>
      <c r="H74" t="e">
        <f>#REF!</f>
        <v>#REF!</v>
      </c>
      <c r="I74" t="e">
        <f>IF(#REF!="Case Cancelled",1,IF(#REF!="No Cases",2,0))</f>
        <v>#REF!</v>
      </c>
      <c r="J74" t="e">
        <f>#REF!</f>
        <v>#REF!</v>
      </c>
      <c r="K74" s="4" t="e">
        <f>#REF!</f>
        <v>#REF!</v>
      </c>
      <c r="L74" t="e">
        <f>"Wk "&amp;WEEKNUM(tbl_Case_mins[[#This Row],[Surgery Start Date]],21)</f>
        <v>#REF!</v>
      </c>
      <c r="M74" t="e">
        <f>TEXT(tbl_Case_mins[[#This Row],[Surgery Start Date]],"ddd")</f>
        <v>#REF!</v>
      </c>
      <c r="N74" s="9" t="e">
        <f>(#REF!-TIME(0,0,0))*1440</f>
        <v>#REF!</v>
      </c>
      <c r="O74" t="e">
        <f>IF(AND(ROUND((#REF!-TIME(0,0,0))*1440,0)&gt;0,ROUND((#REF!-TIME(0,0,0))*1440,0)&lt;tbl_Case_mins[[#This Row],[Patient Called]],tbl_Case_mins[[#This Row],[Surgery End Date]]&gt;tbl_Case_mins[[#This Row],[Surgery Start Date]]),ROUND((#REF!-TIME(0,0,0))*1440,0)+1440,ROUND((#REF!-TIME(0,0,0))*1440,0))</f>
        <v>#REF!</v>
      </c>
      <c r="P74" s="9" t="e">
        <f>IF(AND(ROUND((#REF!-TIME(0,0,0))*1440,0)&gt;0,ROUND((#REF!-TIME(0,0,0))*1440,0)&lt;tbl_Case_mins[[#This Row],[Arrival]],tbl_Case_mins[[#This Row],[Surgery End Date]]&gt;tbl_Case_mins[[#This Row],[Surgery Start Date]]),ROUND((#REF!-TIME(0,0,0))*1440,0)+1440,ROUND((#REF!-TIME(0,0,0))*1440,0))</f>
        <v>#REF!</v>
      </c>
      <c r="Q74" s="9" t="e">
        <f>IF(AND(ROUND((#REF!-TIME(0,0,0))*1440,0)&gt;0,ROUND((#REF!-TIME(0,0,0))*1440,0)&lt;tbl_Case_mins[[#This Row],[Into Th or AR]],tbl_Case_mins[[#This Row],[Surgery End Date]]&gt;tbl_Case_mins[[#This Row],[Surgery Start Date]]),ROUND((#REF!-TIME(0,0,0))*1440,0)+1440,ROUND((#REF!-TIME(0,0,0))*1440,0))</f>
        <v>#REF!</v>
      </c>
      <c r="R74" s="9" t="e">
        <f>IF(AND(ROUND((#REF!-TIME(0,0,0))*1440,0)&gt;0,ROUND((#REF!-TIME(0,0,0))*1440,0)&lt;tbl_Case_mins[[#This Row],[AnaesthStart]],tbl_Case_mins[[#This Row],[Surgery End Date]]&gt;tbl_Case_mins[[#This Row],[Surgery Start Date]]),ROUND((#REF!-TIME(0,0,0))*1440,0)+1440,ROUND((#REF!-TIME(0,0,0))*1440,0))</f>
        <v>#REF!</v>
      </c>
      <c r="S74" s="9" t="e">
        <f>IF(AND(ROUND((#REF!-TIME(0,0,0))*1440,0),ROUND((#REF!-TIME(0,0,0))*1440,0)&lt;tbl_Case_mins[[#This Row],[Surgery Start]],tbl_Case_mins[[#This Row],[Surgery End Date]]&gt;tbl_Case_mins[[#This Row],[Surgery Start Date]]),ROUND((#REF!-TIME(0,0,0))*1440,0)+1440,ROUND((#REF!-TIME(0,0,0))*1440,0))</f>
        <v>#REF!</v>
      </c>
      <c r="T74" s="9" t="e">
        <f>IF(AND(ROUND((#REF!-TIME(0,0,0))*1440,0)&gt;0,ROUND((#REF!-TIME(0,0,0))*1440,0)&lt;tbl_Case_mins[[#This Row],[Surgery Finish]],tbl_Case_mins[[#This Row],[Surgery End Date]]&gt;tbl_Case_mins[[#This Row],[Surgery Start Date]]),ROUND((#REF!-TIME(0,0,0))*1440,0)+1440,ROUND((#REF!-TIME(0,0,0))*1440,0))</f>
        <v>#REF!</v>
      </c>
      <c r="U74" s="9" t="e">
        <f>IF(AND(ROUND((#REF!-TIME(0,0,0))*1440,0)&gt;0,ROUND((#REF!-TIME(0,0,0))*1440,0)&lt;tbl_Case_mins[[#This Row],[Anaesth End]],tbl_Case_mins[[#This Row],[Surgery End Date]]&gt;tbl_Case_mins[[#This Row],[Surgery Start Date]]),ROUND((#REF!-TIME(0,0,0))*1440,0)+1440,ROUND((#REF!-TIME(0,0,0))*1440,0))</f>
        <v>#REF!</v>
      </c>
      <c r="V74" s="9" t="e">
        <f>IF(AND(ROUND((#REF!-TIME(0,0,0))*1440,0)&gt;0,ROUND((#REF!-TIME(0,0,0))*1440,0)&lt;tbl_Case_mins[[#This Row],[Into Recov]],tbl_Case_mins[[#This Row],[Surgery End Date]]&gt;tbl_Case_mins[[#This Row],[Surgery Start Date]]),ROUND((#REF!-TIME(0,0,0))*1440,0)+1440,ROUND((#REF!-TIME(0,0,0))*1440,0))</f>
        <v>#REF!</v>
      </c>
      <c r="W74" s="9" t="e">
        <f>IF(AND(ROUND((#REF!-TIME(0,0,0))*1440,0)&gt;0,ROUND((#REF!-TIME(0,0,0))*1440,0)&lt;tbl_Case_mins[[#This Row],[Ward Called]],tbl_Case_mins[[#This Row],[Surgery End Date]]&gt;tbl_Case_mins[[#This Row],[Surgery Start Date]]),ROUND((#REF!-TIME(0,0,0))*1440,0)+1440,ROUND((#REF!-TIME(0,0,0))*1440,0))</f>
        <v>#REF!</v>
      </c>
      <c r="X74" s="4" t="e">
        <f>IF(ISBLANK(#REF!),tbl_Case_mins[[#This Row],[Surgery Start Date]],#REF!)</f>
        <v>#REF!</v>
      </c>
      <c r="Y74">
        <f>IFERROR(IF(VLOOKUP(tbl_Case_mins[[#This Row],[Theatre]],'Mng Theatres'!$C$7:$G$12,3,FALSE)="Yes","Yes","No"),0)</f>
        <v>0</v>
      </c>
      <c r="Z74" s="9" t="e" cm="1">
        <f t="array" ref="Z7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4" s="9" t="e" cm="1">
        <f t="array" ref="AA7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4" s="9" t="e">
        <f>IF(tbl_Case_mins[[#This Row],[Case Type]]="Unsch",1,0)</f>
        <v>#REF!</v>
      </c>
      <c r="AD74" s="9" t="e">
        <f>IF(tbl_Case_mins[[#This Row],[Case Type]]="Sch",1,0)</f>
        <v>#REF!</v>
      </c>
      <c r="AE7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4" s="9">
        <f>IFERROR(IF(ISBLANK(INDEX(Am_Close,MATCH(1,INDEX((tbl_Case_mins[[#This Row],[Theatre]]=Theatre_No)*(tbl_Case_mins[[#This Row],[Surgery Start Date]]=Date),0,1),0))*1440),0,INDEX(Am_Close,MATCH(1,INDEX((tbl_Case_mins[[#This Row],[Theatre]]=Theatre_No)*(tbl_Case_mins[[#This Row],[Surgery Start Date]]=Date),0,1),0))*1440),0)</f>
        <v>0</v>
      </c>
      <c r="AG74" s="9">
        <f>IFERROR(IF(ISBLANK(INDEX(PM_Open,MATCH(1,INDEX((tbl_Case_mins[[#This Row],[Theatre]]=Theatre_No)*(tbl_Case_mins[[#This Row],[Surgery Start Date]]=Date),0,1),0))*1440),0,INDEX(PM_Open,MATCH(1,INDEX((tbl_Case_mins[[#This Row],[Theatre]]=Theatre_No)*(tbl_Case_mins[[#This Row],[Surgery Start Date]]=Date),0,1),0))*1440),0)</f>
        <v>0</v>
      </c>
      <c r="AH7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4" s="9" t="e">
        <f>IF(tbl_Case_mins[[#This Row],[ThOpenAm]]=0,tbl_Case_mins[[#This Row],[ThOpenPM]],tbl_Case_mins[[#This Row],[ThOpenAm]])</f>
        <v>#REF!</v>
      </c>
      <c r="AJ74" s="9" t="e">
        <f>IF(tbl_Case_mins[[#This Row],[ThCloseAm]]&gt;0,IF(tbl_Case_mins[[#This Row],[ThOpenPM]]&gt;0,tbl_Case_mins[[#This Row],[ThClosePm]],tbl_Case_mins[[#This Row],[ThCloseAm]]),tbl_Case_mins[[#This Row],[ThClosePm]])</f>
        <v>#REF!</v>
      </c>
      <c r="AK74" s="9" t="e">
        <f>IF(tbl_Case_mins[[#This Row],[TOT]]&gt;0,1,0)</f>
        <v>#REF!</v>
      </c>
      <c r="AL7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4" s="9" t="e">
        <f>IF(AND(tbl_Case_mins[[#This Row],[Surgery Status]]&lt;&gt;2,tbl_Case_mins[[#This Row],[InCoreCase]]=0,tbl_Case_mins[[#This Row],[CancelledCase]]=0),1,0)</f>
        <v>#REF!</v>
      </c>
      <c r="AN74" s="9" t="e">
        <f>IF(tbl_Case_mins[[#This Row],[Surgery Status]]=1,1,0)</f>
        <v>#REF!</v>
      </c>
      <c r="AO7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4" s="9" t="e">
        <f>IF(AND(tbl_Case_mins[[#This Row],[NonCoreCase]]=1,tbl_Case_mins[[#This Row],[NoInCoreTime]]=0),1,0)</f>
        <v>#REF!</v>
      </c>
      <c r="AQ74" s="9" t="e">
        <f>IF(tbl_Case_mins[[#This Row],[Rank_AnaEnd]]&lt;tbl_Case_mins[[#This Row],[Rank_AnaSt]],1,0)</f>
        <v>#REF!</v>
      </c>
      <c r="AR74" s="9" t="e">
        <f>IF(AND(tbl_Case_mins[[#This Row],[InCoreCase]]=1,tbl_Case_mins[[#This Row],[Sch]]=1),1,0)</f>
        <v>#REF!</v>
      </c>
      <c r="AS74" s="9" t="e">
        <f>IF(AND(tbl_Case_mins[[#This Row],[InCoreCase]]=1,tbl_Case_mins[[#This Row],[Unsch]]=1),1,0)</f>
        <v>#REF!</v>
      </c>
      <c r="AT7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4" s="9" t="e">
        <f>IF(tbl_Case_mins[[#This Row],[Surgery Status]]=0,(tbl_Case_mins[[#This Row],[Anaesth End]]-tbl_Case_mins[[#This Row],[AnaesthStart]]),0)</f>
        <v>#REF!</v>
      </c>
      <c r="AX74" s="9" t="e">
        <f>IF(tbl_Case_mins[[#This Row],[Surgery Status]]=0,(tbl_Case_mins[[#This Row],[Surgery Finish]]-tbl_Case_mins[[#This Row],[Surgery Start]]),0)</f>
        <v>#REF!</v>
      </c>
      <c r="AY74" s="9" t="e">
        <f>tbl_Case_mins[[#This Row],[Surgery Start]]-tbl_Case_mins[[#This Row],[AnaesthStart]]</f>
        <v>#REF!</v>
      </c>
      <c r="AZ74" s="9" t="e">
        <f>tbl_Case_mins[[#This Row],[Anaesth End]]-tbl_Case_mins[[#This Row],[Surgery Finish]]</f>
        <v>#REF!</v>
      </c>
      <c r="BA7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4" s="16" cm="1">
        <f t="array" ref="BC7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4" s="16" t="e">
        <f>IF(AND(tbl_Case_mins[[#This Row],[FirstAMCase]]=1,tbl_Case_mins[[#This Row],[CancelledCase]]=0,OR(tbl_Case_mins[[#This Row],[EarlyStartAM]]&gt;0,tbl_Case_mins[[#This Row],[AnaesthStart]]=tbl_Case_mins[[#This Row],[ThOpenAm]])),1,0)</f>
        <v>#REF!</v>
      </c>
      <c r="BE74" s="16" t="e">
        <f>IF(AND(tbl_Case_mins[[#This Row],[Rank_AnaSt]]=tbl_Case_mins[[#This Row],[Min_RankAnaSt]],tbl_Case_mins[[#This Row],[Anaesth End]]&gt;=tbl_Case_mins[[#This Row],[ThOpenAm]],tbl_Case_mins[[#This Row],[PmCase]]=0),1,0)</f>
        <v>#REF!</v>
      </c>
      <c r="BF7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4" s="9" t="e" cm="1">
        <f t="array" ref="BH7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4" s="9" t="e">
        <f>IF(AND(tbl_Case_mins[[#This Row],[ThOpenPM]]&gt;0,tbl_Case_mins[[#This Row],[AnaesthStart]]&gt;tbl_Case_mins[[#This Row],[ThOpenPM]],tbl_Case_mins[[#This Row],[First PM Case]]=1),tbl_Case_mins[[#This Row],[AnaesthStart]]-tbl_Case_mins[[#This Row],[ThOpenPM]],0)</f>
        <v>#REF!</v>
      </c>
      <c r="BL7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4" s="9" t="e" cm="1">
        <f t="array" ref="BN7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4" s="9" t="e">
        <f>IF(AND(tbl_Case_mins[[#This Row],[ThClosePm]]&gt;0,tbl_Case_mins[[#This Row],[Anaesth End]]&gt;tbl_Case_mins[[#This Row],[ThClosePm]],tbl_Case_mins[[#This Row],[AnaesthStart]]&gt;tbl_Case_mins[[#This Row],[ThClosePm]]),tbl_Case_mins[[#This Row],[Into Recov]]-tbl_Case_mins[[#This Row],[AnaesthStart]],0)</f>
        <v>#REF!</v>
      </c>
      <c r="BP74" s="9" t="e">
        <f>IF(AND(tbl_Case_mins[[#This Row],[AnaesthStart]]&lt;tbl_Case_mins[[#This Row],[ThClosePm]],tbl_Case_mins[[#This Row],[Anaesth End]]&gt;tbl_Case_mins[[#This Row],[ThClosePm]]),tbl_Case_mins[[#This Row],[Anaesth End]]-tbl_Case_mins[[#This Row],[ThClosePm]],0)</f>
        <v>#REF!</v>
      </c>
      <c r="BQ74" s="9" t="e" cm="1">
        <f t="array" ref="BQ7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4" s="9" t="e" cm="1">
        <f t="array" ref="BR74">IF(tbl_Case_mins[[#This Row],[Rank_Adjust]]=SUMPRODUCT(-(tbl_Case_mins[Surgery Start Date]=tbl_Case_mins[[#This Row],[Surgery Start Date]]),-(tbl_Case_mins[Theatre]=tbl_Case_mins[[#This Row],[Theatre]])),INDEX(Poss_Time,MATCH(TEXT(tbl_Case_mins[[#This Row],[Surgery Start Date]],"ddd"),Day,0)),0)</f>
        <v>#REF!</v>
      </c>
      <c r="BS74" s="9" t="e">
        <f>tbl_Case_mins[[#This Row],[Core_Time]]*Util_Goal</f>
        <v>#REF!</v>
      </c>
      <c r="BT74" s="9" t="e" cm="1">
        <f t="array" ref="BT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4" s="9" t="e" cm="1">
        <f t="array" ref="BU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4" s="9" t="e">
        <f>IF(tbl_Case_mins[[#This Row],[Surgery End Date]]&gt;tbl_Case_mins[[#This Row],[Surgery Start Date]],tbl_Case_mins[[#This Row],[Anaesth End]]-1440,0)</f>
        <v>#REF!</v>
      </c>
      <c r="BY74" s="9" t="e">
        <f>tbl_Case_mins[[#This Row],[Total_NonCore]]-tbl_Case_mins[[#This Row],[NextDay_NonCore]]</f>
        <v>#REF!</v>
      </c>
      <c r="BZ74" s="10" t="e">
        <f>tbl_Case_mins[[#This Row],[InCoreUse]]/60</f>
        <v>#REF!</v>
      </c>
      <c r="CA74" s="10" t="e">
        <f>tbl_Case_mins[[#This Row],[Total_NonCore]]/60</f>
        <v>#REF!</v>
      </c>
      <c r="CB74" t="e" cm="1">
        <f t="array" ref="CB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4" s="9" t="e" cm="1">
        <f t="array" ref="CC7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4" s="9" t="e" cm="1">
        <f t="array" ref="CD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4" s="9" t="e" cm="1">
        <f t="array" ref="CE7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4" s="9" cm="1">
        <f t="array" ref="CF74">IFERROR(_xlfn.AGGREGATE(14,6,(tbl_Case_mins[Rank_AnaEnd])/((tbl_Case_mins[Surgery Start Date]=tbl_Case_mins[[#This Row],[Surgery Start Date]])*(tbl_Case_mins[Theatre]=tbl_Case_mins[[#This Row],[Theatre]])*(tbl_Case_mins[NoInCoreTime]=0)),1),-1)</f>
        <v>-1</v>
      </c>
      <c r="CG74" s="9" cm="1">
        <f t="array" ref="CG74">IFERROR(_xlfn.AGGREGATE(15,6,(tbl_Case_mins[Rank_AnaSt])/((tbl_Case_mins[Surgery Start Date]=tbl_Case_mins[[#This Row],[Surgery Start Date]])*(tbl_Case_mins[Theatre]=tbl_Case_mins[[#This Row],[Theatre]])*(tbl_Case_mins[NoInCoreTime]=0)),1),-1)</f>
        <v>-1</v>
      </c>
      <c r="CH7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4" t="e" cm="1">
        <f t="array" ref="CJ7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4" s="9" cm="1">
        <f t="array" ref="CO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4" s="9" cm="1">
        <f t="array" ref="CP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4" s="9" cm="1">
        <f t="array" ref="CQ74">IFERROR(IF(AND(tbl_Case_mins[[#This Row],[FirstAMCase]]=0,tbl_Case_mins[[#This Row],[Rank]]=_xlfn.AGGREGATE(14,6,(tbl_Case_mins[Rank])/((tbl_Case_mins[Surgery Start Date]=tbl_Case_mins[[#This Row],[Surgery Start Date]])*(tbl_Case_mins[Theatre]=tbl_Case_mins[[#This Row],[Theatre]])*(tbl_Case_mins[AmCase]=1)),1)),1,0),0)</f>
        <v>0</v>
      </c>
      <c r="CR74" s="9" cm="1">
        <f t="array" ref="CR7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4" s="9" t="e" cm="1">
        <f t="array" ref="CS7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4" s="9" cm="1">
        <f t="array" ref="CT74">IFERROR(IF(tbl_Case_mins[[#This Row],[Rank]]=_xlfn.AGGREGATE(15,6,(tbl_Case_mins[Rank])/((tbl_Case_mins[Surgery Start Date]=tbl_Case_mins[[#This Row],[Surgery Start Date]])*(tbl_Case_mins[Theatre]=tbl_Case_mins[[#This Row],[Theatre]])*(tbl_Case_mins[PmCase]=1)),1),1,0),0)</f>
        <v>0</v>
      </c>
      <c r="CU74">
        <f>IFERROR(#REF!,0)</f>
        <v>0</v>
      </c>
      <c r="CV74" s="9" t="e" cm="1">
        <f t="array" ref="CV7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4" s="9">
        <f>IFERROR(IF(ISBLANK(INDEX(Bay_AmClose,MATCH(1,INDEX((tbl_Case_mins[[#This Row],[Bay]]=BayNo)*(tbl_Case_mins[[#This Row],[Surgery Start Date]]=BDate),0,1),0))*1440),0,INDEX(Bay_AmClose,MATCH(1,INDEX((tbl_Case_mins[[#This Row],[Bay]]=BayNo)*(tbl_Case_mins[[#This Row],[Surgery Start Date]]=BDate),0,1),0))*1440),0)</f>
        <v>0</v>
      </c>
      <c r="CX74" s="9" cm="1">
        <f t="array" ref="CX74">IFERROR(IF(ISBLANK(INDEX(Bay_PmOpen,MATCH(1,INDEX((tbl_Case_mins[[#This Row],[Bay]]=BayNo)*(tbl_Case_mins[[#This Row],[Surgery Start Date]]=BDate),0,1),0))*1440),0,INDEX(Bay_PmOpen,MATCH(1,INDEX((tbl_Case_mins[[#This Row],[Bay]]=BayNo)*(tbl_Case_mins[[#This Row],[Surgery Start Date]]=BDate),0,1),0))*1440),0)</f>
        <v>0</v>
      </c>
      <c r="CY7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4" s="9"/>
    </row>
    <row r="75" spans="1:104" x14ac:dyDescent="0.2">
      <c r="A75">
        <v>74</v>
      </c>
      <c r="B75" t="e">
        <f>#REF!</f>
        <v>#REF!</v>
      </c>
      <c r="C75" t="e">
        <f>#REF!</f>
        <v>#REF!</v>
      </c>
      <c r="D75" t="e">
        <f>#REF!</f>
        <v>#REF!</v>
      </c>
      <c r="E75" t="e">
        <f>#REF!</f>
        <v>#REF!</v>
      </c>
      <c r="F75" t="e">
        <f>#REF!</f>
        <v>#REF!</v>
      </c>
      <c r="G75" t="e">
        <f>#REF!</f>
        <v>#REF!</v>
      </c>
      <c r="H75" t="e">
        <f>#REF!</f>
        <v>#REF!</v>
      </c>
      <c r="I75" t="e">
        <f>IF(#REF!="Case Cancelled",1,IF(#REF!="No Cases",2,0))</f>
        <v>#REF!</v>
      </c>
      <c r="J75" t="e">
        <f>#REF!</f>
        <v>#REF!</v>
      </c>
      <c r="K75" s="4" t="e">
        <f>#REF!</f>
        <v>#REF!</v>
      </c>
      <c r="L75" t="e">
        <f>"Wk "&amp;WEEKNUM(tbl_Case_mins[[#This Row],[Surgery Start Date]],21)</f>
        <v>#REF!</v>
      </c>
      <c r="M75" t="e">
        <f>TEXT(tbl_Case_mins[[#This Row],[Surgery Start Date]],"ddd")</f>
        <v>#REF!</v>
      </c>
      <c r="N75" s="9" t="e">
        <f>(#REF!-TIME(0,0,0))*1440</f>
        <v>#REF!</v>
      </c>
      <c r="O75" t="e">
        <f>IF(AND(ROUND((#REF!-TIME(0,0,0))*1440,0)&gt;0,ROUND((#REF!-TIME(0,0,0))*1440,0)&lt;tbl_Case_mins[[#This Row],[Patient Called]],tbl_Case_mins[[#This Row],[Surgery End Date]]&gt;tbl_Case_mins[[#This Row],[Surgery Start Date]]),ROUND((#REF!-TIME(0,0,0))*1440,0)+1440,ROUND((#REF!-TIME(0,0,0))*1440,0))</f>
        <v>#REF!</v>
      </c>
      <c r="P75" s="9" t="e">
        <f>IF(AND(ROUND((#REF!-TIME(0,0,0))*1440,0)&gt;0,ROUND((#REF!-TIME(0,0,0))*1440,0)&lt;tbl_Case_mins[[#This Row],[Arrival]],tbl_Case_mins[[#This Row],[Surgery End Date]]&gt;tbl_Case_mins[[#This Row],[Surgery Start Date]]),ROUND((#REF!-TIME(0,0,0))*1440,0)+1440,ROUND((#REF!-TIME(0,0,0))*1440,0))</f>
        <v>#REF!</v>
      </c>
      <c r="Q75" s="9" t="e">
        <f>IF(AND(ROUND((#REF!-TIME(0,0,0))*1440,0)&gt;0,ROUND((#REF!-TIME(0,0,0))*1440,0)&lt;tbl_Case_mins[[#This Row],[Into Th or AR]],tbl_Case_mins[[#This Row],[Surgery End Date]]&gt;tbl_Case_mins[[#This Row],[Surgery Start Date]]),ROUND((#REF!-TIME(0,0,0))*1440,0)+1440,ROUND((#REF!-TIME(0,0,0))*1440,0))</f>
        <v>#REF!</v>
      </c>
      <c r="R75" s="9" t="e">
        <f>IF(AND(ROUND((#REF!-TIME(0,0,0))*1440,0)&gt;0,ROUND((#REF!-TIME(0,0,0))*1440,0)&lt;tbl_Case_mins[[#This Row],[AnaesthStart]],tbl_Case_mins[[#This Row],[Surgery End Date]]&gt;tbl_Case_mins[[#This Row],[Surgery Start Date]]),ROUND((#REF!-TIME(0,0,0))*1440,0)+1440,ROUND((#REF!-TIME(0,0,0))*1440,0))</f>
        <v>#REF!</v>
      </c>
      <c r="S75" s="9" t="e">
        <f>IF(AND(ROUND((#REF!-TIME(0,0,0))*1440,0),ROUND((#REF!-TIME(0,0,0))*1440,0)&lt;tbl_Case_mins[[#This Row],[Surgery Start]],tbl_Case_mins[[#This Row],[Surgery End Date]]&gt;tbl_Case_mins[[#This Row],[Surgery Start Date]]),ROUND((#REF!-TIME(0,0,0))*1440,0)+1440,ROUND((#REF!-TIME(0,0,0))*1440,0))</f>
        <v>#REF!</v>
      </c>
      <c r="T75" s="9" t="e">
        <f>IF(AND(ROUND((#REF!-TIME(0,0,0))*1440,0)&gt;0,ROUND((#REF!-TIME(0,0,0))*1440,0)&lt;tbl_Case_mins[[#This Row],[Surgery Finish]],tbl_Case_mins[[#This Row],[Surgery End Date]]&gt;tbl_Case_mins[[#This Row],[Surgery Start Date]]),ROUND((#REF!-TIME(0,0,0))*1440,0)+1440,ROUND((#REF!-TIME(0,0,0))*1440,0))</f>
        <v>#REF!</v>
      </c>
      <c r="U75" s="9" t="e">
        <f>IF(AND(ROUND((#REF!-TIME(0,0,0))*1440,0)&gt;0,ROUND((#REF!-TIME(0,0,0))*1440,0)&lt;tbl_Case_mins[[#This Row],[Anaesth End]],tbl_Case_mins[[#This Row],[Surgery End Date]]&gt;tbl_Case_mins[[#This Row],[Surgery Start Date]]),ROUND((#REF!-TIME(0,0,0))*1440,0)+1440,ROUND((#REF!-TIME(0,0,0))*1440,0))</f>
        <v>#REF!</v>
      </c>
      <c r="V75" s="9" t="e">
        <f>IF(AND(ROUND((#REF!-TIME(0,0,0))*1440,0)&gt;0,ROUND((#REF!-TIME(0,0,0))*1440,0)&lt;tbl_Case_mins[[#This Row],[Into Recov]],tbl_Case_mins[[#This Row],[Surgery End Date]]&gt;tbl_Case_mins[[#This Row],[Surgery Start Date]]),ROUND((#REF!-TIME(0,0,0))*1440,0)+1440,ROUND((#REF!-TIME(0,0,0))*1440,0))</f>
        <v>#REF!</v>
      </c>
      <c r="W75" s="9" t="e">
        <f>IF(AND(ROUND((#REF!-TIME(0,0,0))*1440,0)&gt;0,ROUND((#REF!-TIME(0,0,0))*1440,0)&lt;tbl_Case_mins[[#This Row],[Ward Called]],tbl_Case_mins[[#This Row],[Surgery End Date]]&gt;tbl_Case_mins[[#This Row],[Surgery Start Date]]),ROUND((#REF!-TIME(0,0,0))*1440,0)+1440,ROUND((#REF!-TIME(0,0,0))*1440,0))</f>
        <v>#REF!</v>
      </c>
      <c r="X75" s="4" t="e">
        <f>IF(ISBLANK(#REF!),tbl_Case_mins[[#This Row],[Surgery Start Date]],#REF!)</f>
        <v>#REF!</v>
      </c>
      <c r="Y75">
        <f>IFERROR(IF(VLOOKUP(tbl_Case_mins[[#This Row],[Theatre]],'Mng Theatres'!$C$7:$G$12,3,FALSE)="Yes","Yes","No"),0)</f>
        <v>0</v>
      </c>
      <c r="Z75" s="9" t="e" cm="1">
        <f t="array" ref="Z7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5" s="9" t="e" cm="1">
        <f t="array" ref="AA7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5" s="9" t="e">
        <f>IF(tbl_Case_mins[[#This Row],[Case Type]]="Unsch",1,0)</f>
        <v>#REF!</v>
      </c>
      <c r="AD75" s="9" t="e">
        <f>IF(tbl_Case_mins[[#This Row],[Case Type]]="Sch",1,0)</f>
        <v>#REF!</v>
      </c>
      <c r="AE7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5" s="9">
        <f>IFERROR(IF(ISBLANK(INDEX(Am_Close,MATCH(1,INDEX((tbl_Case_mins[[#This Row],[Theatre]]=Theatre_No)*(tbl_Case_mins[[#This Row],[Surgery Start Date]]=Date),0,1),0))*1440),0,INDEX(Am_Close,MATCH(1,INDEX((tbl_Case_mins[[#This Row],[Theatre]]=Theatre_No)*(tbl_Case_mins[[#This Row],[Surgery Start Date]]=Date),0,1),0))*1440),0)</f>
        <v>0</v>
      </c>
      <c r="AG75" s="9">
        <f>IFERROR(IF(ISBLANK(INDEX(PM_Open,MATCH(1,INDEX((tbl_Case_mins[[#This Row],[Theatre]]=Theatre_No)*(tbl_Case_mins[[#This Row],[Surgery Start Date]]=Date),0,1),0))*1440),0,INDEX(PM_Open,MATCH(1,INDEX((tbl_Case_mins[[#This Row],[Theatre]]=Theatre_No)*(tbl_Case_mins[[#This Row],[Surgery Start Date]]=Date),0,1),0))*1440),0)</f>
        <v>0</v>
      </c>
      <c r="AH7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5" s="9" t="e">
        <f>IF(tbl_Case_mins[[#This Row],[ThOpenAm]]=0,tbl_Case_mins[[#This Row],[ThOpenPM]],tbl_Case_mins[[#This Row],[ThOpenAm]])</f>
        <v>#REF!</v>
      </c>
      <c r="AJ75" s="9" t="e">
        <f>IF(tbl_Case_mins[[#This Row],[ThCloseAm]]&gt;0,IF(tbl_Case_mins[[#This Row],[ThOpenPM]]&gt;0,tbl_Case_mins[[#This Row],[ThClosePm]],tbl_Case_mins[[#This Row],[ThCloseAm]]),tbl_Case_mins[[#This Row],[ThClosePm]])</f>
        <v>#REF!</v>
      </c>
      <c r="AK75" s="9" t="e">
        <f>IF(tbl_Case_mins[[#This Row],[TOT]]&gt;0,1,0)</f>
        <v>#REF!</v>
      </c>
      <c r="AL7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5" s="9" t="e">
        <f>IF(AND(tbl_Case_mins[[#This Row],[Surgery Status]]&lt;&gt;2,tbl_Case_mins[[#This Row],[InCoreCase]]=0,tbl_Case_mins[[#This Row],[CancelledCase]]=0),1,0)</f>
        <v>#REF!</v>
      </c>
      <c r="AN75" s="9" t="e">
        <f>IF(tbl_Case_mins[[#This Row],[Surgery Status]]=1,1,0)</f>
        <v>#REF!</v>
      </c>
      <c r="AO7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5" s="9" t="e">
        <f>IF(AND(tbl_Case_mins[[#This Row],[NonCoreCase]]=1,tbl_Case_mins[[#This Row],[NoInCoreTime]]=0),1,0)</f>
        <v>#REF!</v>
      </c>
      <c r="AQ75" s="9" t="e">
        <f>IF(tbl_Case_mins[[#This Row],[Rank_AnaEnd]]&lt;tbl_Case_mins[[#This Row],[Rank_AnaSt]],1,0)</f>
        <v>#REF!</v>
      </c>
      <c r="AR75" s="9" t="e">
        <f>IF(AND(tbl_Case_mins[[#This Row],[InCoreCase]]=1,tbl_Case_mins[[#This Row],[Sch]]=1),1,0)</f>
        <v>#REF!</v>
      </c>
      <c r="AS75" s="9" t="e">
        <f>IF(AND(tbl_Case_mins[[#This Row],[InCoreCase]]=1,tbl_Case_mins[[#This Row],[Unsch]]=1),1,0)</f>
        <v>#REF!</v>
      </c>
      <c r="AT7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5" s="9" t="e">
        <f>IF(tbl_Case_mins[[#This Row],[Surgery Status]]=0,(tbl_Case_mins[[#This Row],[Anaesth End]]-tbl_Case_mins[[#This Row],[AnaesthStart]]),0)</f>
        <v>#REF!</v>
      </c>
      <c r="AX75" s="9" t="e">
        <f>IF(tbl_Case_mins[[#This Row],[Surgery Status]]=0,(tbl_Case_mins[[#This Row],[Surgery Finish]]-tbl_Case_mins[[#This Row],[Surgery Start]]),0)</f>
        <v>#REF!</v>
      </c>
      <c r="AY75" s="9" t="e">
        <f>tbl_Case_mins[[#This Row],[Surgery Start]]-tbl_Case_mins[[#This Row],[AnaesthStart]]</f>
        <v>#REF!</v>
      </c>
      <c r="AZ75" s="9" t="e">
        <f>tbl_Case_mins[[#This Row],[Anaesth End]]-tbl_Case_mins[[#This Row],[Surgery Finish]]</f>
        <v>#REF!</v>
      </c>
      <c r="BA7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5" s="16" cm="1">
        <f t="array" ref="BC7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5" s="16" t="e">
        <f>IF(AND(tbl_Case_mins[[#This Row],[FirstAMCase]]=1,tbl_Case_mins[[#This Row],[CancelledCase]]=0,OR(tbl_Case_mins[[#This Row],[EarlyStartAM]]&gt;0,tbl_Case_mins[[#This Row],[AnaesthStart]]=tbl_Case_mins[[#This Row],[ThOpenAm]])),1,0)</f>
        <v>#REF!</v>
      </c>
      <c r="BE75" s="16" t="e">
        <f>IF(AND(tbl_Case_mins[[#This Row],[Rank_AnaSt]]=tbl_Case_mins[[#This Row],[Min_RankAnaSt]],tbl_Case_mins[[#This Row],[Anaesth End]]&gt;=tbl_Case_mins[[#This Row],[ThOpenAm]],tbl_Case_mins[[#This Row],[PmCase]]=0),1,0)</f>
        <v>#REF!</v>
      </c>
      <c r="BF7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5" s="9" t="e" cm="1">
        <f t="array" ref="BH7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5" s="9" t="e">
        <f>IF(AND(tbl_Case_mins[[#This Row],[ThOpenPM]]&gt;0,tbl_Case_mins[[#This Row],[AnaesthStart]]&gt;tbl_Case_mins[[#This Row],[ThOpenPM]],tbl_Case_mins[[#This Row],[First PM Case]]=1),tbl_Case_mins[[#This Row],[AnaesthStart]]-tbl_Case_mins[[#This Row],[ThOpenPM]],0)</f>
        <v>#REF!</v>
      </c>
      <c r="BL7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5" s="9" t="e" cm="1">
        <f t="array" ref="BN7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5" s="9" t="e">
        <f>IF(AND(tbl_Case_mins[[#This Row],[ThClosePm]]&gt;0,tbl_Case_mins[[#This Row],[Anaesth End]]&gt;tbl_Case_mins[[#This Row],[ThClosePm]],tbl_Case_mins[[#This Row],[AnaesthStart]]&gt;tbl_Case_mins[[#This Row],[ThClosePm]]),tbl_Case_mins[[#This Row],[Into Recov]]-tbl_Case_mins[[#This Row],[AnaesthStart]],0)</f>
        <v>#REF!</v>
      </c>
      <c r="BP75" s="9" t="e">
        <f>IF(AND(tbl_Case_mins[[#This Row],[AnaesthStart]]&lt;tbl_Case_mins[[#This Row],[ThClosePm]],tbl_Case_mins[[#This Row],[Anaesth End]]&gt;tbl_Case_mins[[#This Row],[ThClosePm]]),tbl_Case_mins[[#This Row],[Anaesth End]]-tbl_Case_mins[[#This Row],[ThClosePm]],0)</f>
        <v>#REF!</v>
      </c>
      <c r="BQ75" s="9" t="e" cm="1">
        <f t="array" ref="BQ7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5" s="9" t="e" cm="1">
        <f t="array" ref="BR75">IF(tbl_Case_mins[[#This Row],[Rank_Adjust]]=SUMPRODUCT(-(tbl_Case_mins[Surgery Start Date]=tbl_Case_mins[[#This Row],[Surgery Start Date]]),-(tbl_Case_mins[Theatre]=tbl_Case_mins[[#This Row],[Theatre]])),INDEX(Poss_Time,MATCH(TEXT(tbl_Case_mins[[#This Row],[Surgery Start Date]],"ddd"),Day,0)),0)</f>
        <v>#REF!</v>
      </c>
      <c r="BS75" s="9" t="e">
        <f>tbl_Case_mins[[#This Row],[Core_Time]]*Util_Goal</f>
        <v>#REF!</v>
      </c>
      <c r="BT75" s="9" t="e" cm="1">
        <f t="array" ref="BT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5" s="9" t="e" cm="1">
        <f t="array" ref="BU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5" s="9" t="e">
        <f>IF(tbl_Case_mins[[#This Row],[Surgery End Date]]&gt;tbl_Case_mins[[#This Row],[Surgery Start Date]],tbl_Case_mins[[#This Row],[Anaesth End]]-1440,0)</f>
        <v>#REF!</v>
      </c>
      <c r="BY75" s="9" t="e">
        <f>tbl_Case_mins[[#This Row],[Total_NonCore]]-tbl_Case_mins[[#This Row],[NextDay_NonCore]]</f>
        <v>#REF!</v>
      </c>
      <c r="BZ75" s="10" t="e">
        <f>tbl_Case_mins[[#This Row],[InCoreUse]]/60</f>
        <v>#REF!</v>
      </c>
      <c r="CA75" s="10" t="e">
        <f>tbl_Case_mins[[#This Row],[Total_NonCore]]/60</f>
        <v>#REF!</v>
      </c>
      <c r="CB75" t="e" cm="1">
        <f t="array" ref="CB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5" s="9" t="e" cm="1">
        <f t="array" ref="CC7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5" s="9" t="e" cm="1">
        <f t="array" ref="CD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5" s="9" t="e" cm="1">
        <f t="array" ref="CE7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5" s="9" cm="1">
        <f t="array" ref="CF75">IFERROR(_xlfn.AGGREGATE(14,6,(tbl_Case_mins[Rank_AnaEnd])/((tbl_Case_mins[Surgery Start Date]=tbl_Case_mins[[#This Row],[Surgery Start Date]])*(tbl_Case_mins[Theatre]=tbl_Case_mins[[#This Row],[Theatre]])*(tbl_Case_mins[NoInCoreTime]=0)),1),-1)</f>
        <v>-1</v>
      </c>
      <c r="CG75" s="9" cm="1">
        <f t="array" ref="CG75">IFERROR(_xlfn.AGGREGATE(15,6,(tbl_Case_mins[Rank_AnaSt])/((tbl_Case_mins[Surgery Start Date]=tbl_Case_mins[[#This Row],[Surgery Start Date]])*(tbl_Case_mins[Theatre]=tbl_Case_mins[[#This Row],[Theatre]])*(tbl_Case_mins[NoInCoreTime]=0)),1),-1)</f>
        <v>-1</v>
      </c>
      <c r="CH7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5" t="e" cm="1">
        <f t="array" ref="CJ7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5" s="9" cm="1">
        <f t="array" ref="CO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5" s="9" cm="1">
        <f t="array" ref="CP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5" s="9" cm="1">
        <f t="array" ref="CQ75">IFERROR(IF(AND(tbl_Case_mins[[#This Row],[FirstAMCase]]=0,tbl_Case_mins[[#This Row],[Rank]]=_xlfn.AGGREGATE(14,6,(tbl_Case_mins[Rank])/((tbl_Case_mins[Surgery Start Date]=tbl_Case_mins[[#This Row],[Surgery Start Date]])*(tbl_Case_mins[Theatre]=tbl_Case_mins[[#This Row],[Theatre]])*(tbl_Case_mins[AmCase]=1)),1)),1,0),0)</f>
        <v>0</v>
      </c>
      <c r="CR75" s="9" cm="1">
        <f t="array" ref="CR7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5" s="9" t="e" cm="1">
        <f t="array" ref="CS7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5" s="9" cm="1">
        <f t="array" ref="CT75">IFERROR(IF(tbl_Case_mins[[#This Row],[Rank]]=_xlfn.AGGREGATE(15,6,(tbl_Case_mins[Rank])/((tbl_Case_mins[Surgery Start Date]=tbl_Case_mins[[#This Row],[Surgery Start Date]])*(tbl_Case_mins[Theatre]=tbl_Case_mins[[#This Row],[Theatre]])*(tbl_Case_mins[PmCase]=1)),1),1,0),0)</f>
        <v>0</v>
      </c>
      <c r="CU75">
        <f>IFERROR(#REF!,0)</f>
        <v>0</v>
      </c>
      <c r="CV75" s="9" t="e" cm="1">
        <f t="array" ref="CV7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5" s="9">
        <f>IFERROR(IF(ISBLANK(INDEX(Bay_AmClose,MATCH(1,INDEX((tbl_Case_mins[[#This Row],[Bay]]=BayNo)*(tbl_Case_mins[[#This Row],[Surgery Start Date]]=BDate),0,1),0))*1440),0,INDEX(Bay_AmClose,MATCH(1,INDEX((tbl_Case_mins[[#This Row],[Bay]]=BayNo)*(tbl_Case_mins[[#This Row],[Surgery Start Date]]=BDate),0,1),0))*1440),0)</f>
        <v>0</v>
      </c>
      <c r="CX75" s="9" cm="1">
        <f t="array" ref="CX75">IFERROR(IF(ISBLANK(INDEX(Bay_PmOpen,MATCH(1,INDEX((tbl_Case_mins[[#This Row],[Bay]]=BayNo)*(tbl_Case_mins[[#This Row],[Surgery Start Date]]=BDate),0,1),0))*1440),0,INDEX(Bay_PmOpen,MATCH(1,INDEX((tbl_Case_mins[[#This Row],[Bay]]=BayNo)*(tbl_Case_mins[[#This Row],[Surgery Start Date]]=BDate),0,1),0))*1440),0)</f>
        <v>0</v>
      </c>
      <c r="CY7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5" s="9"/>
    </row>
    <row r="76" spans="1:104" x14ac:dyDescent="0.2">
      <c r="A76">
        <v>75</v>
      </c>
      <c r="B76" t="e">
        <f>#REF!</f>
        <v>#REF!</v>
      </c>
      <c r="C76" t="e">
        <f>#REF!</f>
        <v>#REF!</v>
      </c>
      <c r="D76" t="e">
        <f>#REF!</f>
        <v>#REF!</v>
      </c>
      <c r="E76" t="e">
        <f>#REF!</f>
        <v>#REF!</v>
      </c>
      <c r="F76" t="e">
        <f>#REF!</f>
        <v>#REF!</v>
      </c>
      <c r="G76" t="e">
        <f>#REF!</f>
        <v>#REF!</v>
      </c>
      <c r="H76" t="e">
        <f>#REF!</f>
        <v>#REF!</v>
      </c>
      <c r="I76" t="e">
        <f>IF(#REF!="Case Cancelled",1,IF(#REF!="No Cases",2,0))</f>
        <v>#REF!</v>
      </c>
      <c r="J76" t="e">
        <f>#REF!</f>
        <v>#REF!</v>
      </c>
      <c r="K76" s="4" t="e">
        <f>#REF!</f>
        <v>#REF!</v>
      </c>
      <c r="L76" t="e">
        <f>"Wk "&amp;WEEKNUM(tbl_Case_mins[[#This Row],[Surgery Start Date]],21)</f>
        <v>#REF!</v>
      </c>
      <c r="M76" t="e">
        <f>TEXT(tbl_Case_mins[[#This Row],[Surgery Start Date]],"ddd")</f>
        <v>#REF!</v>
      </c>
      <c r="N76" s="9" t="e">
        <f>(#REF!-TIME(0,0,0))*1440</f>
        <v>#REF!</v>
      </c>
      <c r="O76" t="e">
        <f>IF(AND(ROUND((#REF!-TIME(0,0,0))*1440,0)&gt;0,ROUND((#REF!-TIME(0,0,0))*1440,0)&lt;tbl_Case_mins[[#This Row],[Patient Called]],tbl_Case_mins[[#This Row],[Surgery End Date]]&gt;tbl_Case_mins[[#This Row],[Surgery Start Date]]),ROUND((#REF!-TIME(0,0,0))*1440,0)+1440,ROUND((#REF!-TIME(0,0,0))*1440,0))</f>
        <v>#REF!</v>
      </c>
      <c r="P76" s="9" t="e">
        <f>IF(AND(ROUND((#REF!-TIME(0,0,0))*1440,0)&gt;0,ROUND((#REF!-TIME(0,0,0))*1440,0)&lt;tbl_Case_mins[[#This Row],[Arrival]],tbl_Case_mins[[#This Row],[Surgery End Date]]&gt;tbl_Case_mins[[#This Row],[Surgery Start Date]]),ROUND((#REF!-TIME(0,0,0))*1440,0)+1440,ROUND((#REF!-TIME(0,0,0))*1440,0))</f>
        <v>#REF!</v>
      </c>
      <c r="Q76" s="9" t="e">
        <f>IF(AND(ROUND((#REF!-TIME(0,0,0))*1440,0)&gt;0,ROUND((#REF!-TIME(0,0,0))*1440,0)&lt;tbl_Case_mins[[#This Row],[Into Th or AR]],tbl_Case_mins[[#This Row],[Surgery End Date]]&gt;tbl_Case_mins[[#This Row],[Surgery Start Date]]),ROUND((#REF!-TIME(0,0,0))*1440,0)+1440,ROUND((#REF!-TIME(0,0,0))*1440,0))</f>
        <v>#REF!</v>
      </c>
      <c r="R76" s="9" t="e">
        <f>IF(AND(ROUND((#REF!-TIME(0,0,0))*1440,0)&gt;0,ROUND((#REF!-TIME(0,0,0))*1440,0)&lt;tbl_Case_mins[[#This Row],[AnaesthStart]],tbl_Case_mins[[#This Row],[Surgery End Date]]&gt;tbl_Case_mins[[#This Row],[Surgery Start Date]]),ROUND((#REF!-TIME(0,0,0))*1440,0)+1440,ROUND((#REF!-TIME(0,0,0))*1440,0))</f>
        <v>#REF!</v>
      </c>
      <c r="S76" s="9" t="e">
        <f>IF(AND(ROUND((#REF!-TIME(0,0,0))*1440,0),ROUND((#REF!-TIME(0,0,0))*1440,0)&lt;tbl_Case_mins[[#This Row],[Surgery Start]],tbl_Case_mins[[#This Row],[Surgery End Date]]&gt;tbl_Case_mins[[#This Row],[Surgery Start Date]]),ROUND((#REF!-TIME(0,0,0))*1440,0)+1440,ROUND((#REF!-TIME(0,0,0))*1440,0))</f>
        <v>#REF!</v>
      </c>
      <c r="T76" s="9" t="e">
        <f>IF(AND(ROUND((#REF!-TIME(0,0,0))*1440,0)&gt;0,ROUND((#REF!-TIME(0,0,0))*1440,0)&lt;tbl_Case_mins[[#This Row],[Surgery Finish]],tbl_Case_mins[[#This Row],[Surgery End Date]]&gt;tbl_Case_mins[[#This Row],[Surgery Start Date]]),ROUND((#REF!-TIME(0,0,0))*1440,0)+1440,ROUND((#REF!-TIME(0,0,0))*1440,0))</f>
        <v>#REF!</v>
      </c>
      <c r="U76" s="9" t="e">
        <f>IF(AND(ROUND((#REF!-TIME(0,0,0))*1440,0)&gt;0,ROUND((#REF!-TIME(0,0,0))*1440,0)&lt;tbl_Case_mins[[#This Row],[Anaesth End]],tbl_Case_mins[[#This Row],[Surgery End Date]]&gt;tbl_Case_mins[[#This Row],[Surgery Start Date]]),ROUND((#REF!-TIME(0,0,0))*1440,0)+1440,ROUND((#REF!-TIME(0,0,0))*1440,0))</f>
        <v>#REF!</v>
      </c>
      <c r="V76" s="9" t="e">
        <f>IF(AND(ROUND((#REF!-TIME(0,0,0))*1440,0)&gt;0,ROUND((#REF!-TIME(0,0,0))*1440,0)&lt;tbl_Case_mins[[#This Row],[Into Recov]],tbl_Case_mins[[#This Row],[Surgery End Date]]&gt;tbl_Case_mins[[#This Row],[Surgery Start Date]]),ROUND((#REF!-TIME(0,0,0))*1440,0)+1440,ROUND((#REF!-TIME(0,0,0))*1440,0))</f>
        <v>#REF!</v>
      </c>
      <c r="W76" s="9" t="e">
        <f>IF(AND(ROUND((#REF!-TIME(0,0,0))*1440,0)&gt;0,ROUND((#REF!-TIME(0,0,0))*1440,0)&lt;tbl_Case_mins[[#This Row],[Ward Called]],tbl_Case_mins[[#This Row],[Surgery End Date]]&gt;tbl_Case_mins[[#This Row],[Surgery Start Date]]),ROUND((#REF!-TIME(0,0,0))*1440,0)+1440,ROUND((#REF!-TIME(0,0,0))*1440,0))</f>
        <v>#REF!</v>
      </c>
      <c r="X76" s="4" t="e">
        <f>IF(ISBLANK(#REF!),tbl_Case_mins[[#This Row],[Surgery Start Date]],#REF!)</f>
        <v>#REF!</v>
      </c>
      <c r="Y76">
        <f>IFERROR(IF(VLOOKUP(tbl_Case_mins[[#This Row],[Theatre]],'Mng Theatres'!$C$7:$G$12,3,FALSE)="Yes","Yes","No"),0)</f>
        <v>0</v>
      </c>
      <c r="Z76" s="9" t="e" cm="1">
        <f t="array" ref="Z7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6" s="9" t="e" cm="1">
        <f t="array" ref="AA7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6" s="9" t="e">
        <f>IF(tbl_Case_mins[[#This Row],[Case Type]]="Unsch",1,0)</f>
        <v>#REF!</v>
      </c>
      <c r="AD76" s="9" t="e">
        <f>IF(tbl_Case_mins[[#This Row],[Case Type]]="Sch",1,0)</f>
        <v>#REF!</v>
      </c>
      <c r="AE7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6" s="9">
        <f>IFERROR(IF(ISBLANK(INDEX(Am_Close,MATCH(1,INDEX((tbl_Case_mins[[#This Row],[Theatre]]=Theatre_No)*(tbl_Case_mins[[#This Row],[Surgery Start Date]]=Date),0,1),0))*1440),0,INDEX(Am_Close,MATCH(1,INDEX((tbl_Case_mins[[#This Row],[Theatre]]=Theatre_No)*(tbl_Case_mins[[#This Row],[Surgery Start Date]]=Date),0,1),0))*1440),0)</f>
        <v>0</v>
      </c>
      <c r="AG76" s="9">
        <f>IFERROR(IF(ISBLANK(INDEX(PM_Open,MATCH(1,INDEX((tbl_Case_mins[[#This Row],[Theatre]]=Theatre_No)*(tbl_Case_mins[[#This Row],[Surgery Start Date]]=Date),0,1),0))*1440),0,INDEX(PM_Open,MATCH(1,INDEX((tbl_Case_mins[[#This Row],[Theatre]]=Theatre_No)*(tbl_Case_mins[[#This Row],[Surgery Start Date]]=Date),0,1),0))*1440),0)</f>
        <v>0</v>
      </c>
      <c r="AH7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6" s="9" t="e">
        <f>IF(tbl_Case_mins[[#This Row],[ThOpenAm]]=0,tbl_Case_mins[[#This Row],[ThOpenPM]],tbl_Case_mins[[#This Row],[ThOpenAm]])</f>
        <v>#REF!</v>
      </c>
      <c r="AJ76" s="9" t="e">
        <f>IF(tbl_Case_mins[[#This Row],[ThCloseAm]]&gt;0,IF(tbl_Case_mins[[#This Row],[ThOpenPM]]&gt;0,tbl_Case_mins[[#This Row],[ThClosePm]],tbl_Case_mins[[#This Row],[ThCloseAm]]),tbl_Case_mins[[#This Row],[ThClosePm]])</f>
        <v>#REF!</v>
      </c>
      <c r="AK76" s="9" t="e">
        <f>IF(tbl_Case_mins[[#This Row],[TOT]]&gt;0,1,0)</f>
        <v>#REF!</v>
      </c>
      <c r="AL7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6" s="9" t="e">
        <f>IF(AND(tbl_Case_mins[[#This Row],[Surgery Status]]&lt;&gt;2,tbl_Case_mins[[#This Row],[InCoreCase]]=0,tbl_Case_mins[[#This Row],[CancelledCase]]=0),1,0)</f>
        <v>#REF!</v>
      </c>
      <c r="AN76" s="9" t="e">
        <f>IF(tbl_Case_mins[[#This Row],[Surgery Status]]=1,1,0)</f>
        <v>#REF!</v>
      </c>
      <c r="AO7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6" s="9" t="e">
        <f>IF(AND(tbl_Case_mins[[#This Row],[NonCoreCase]]=1,tbl_Case_mins[[#This Row],[NoInCoreTime]]=0),1,0)</f>
        <v>#REF!</v>
      </c>
      <c r="AQ76" s="9" t="e">
        <f>IF(tbl_Case_mins[[#This Row],[Rank_AnaEnd]]&lt;tbl_Case_mins[[#This Row],[Rank_AnaSt]],1,0)</f>
        <v>#REF!</v>
      </c>
      <c r="AR76" s="9" t="e">
        <f>IF(AND(tbl_Case_mins[[#This Row],[InCoreCase]]=1,tbl_Case_mins[[#This Row],[Sch]]=1),1,0)</f>
        <v>#REF!</v>
      </c>
      <c r="AS76" s="9" t="e">
        <f>IF(AND(tbl_Case_mins[[#This Row],[InCoreCase]]=1,tbl_Case_mins[[#This Row],[Unsch]]=1),1,0)</f>
        <v>#REF!</v>
      </c>
      <c r="AT7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6" s="9" t="e">
        <f>IF(tbl_Case_mins[[#This Row],[Surgery Status]]=0,(tbl_Case_mins[[#This Row],[Anaesth End]]-tbl_Case_mins[[#This Row],[AnaesthStart]]),0)</f>
        <v>#REF!</v>
      </c>
      <c r="AX76" s="9" t="e">
        <f>IF(tbl_Case_mins[[#This Row],[Surgery Status]]=0,(tbl_Case_mins[[#This Row],[Surgery Finish]]-tbl_Case_mins[[#This Row],[Surgery Start]]),0)</f>
        <v>#REF!</v>
      </c>
      <c r="AY76" s="9" t="e">
        <f>tbl_Case_mins[[#This Row],[Surgery Start]]-tbl_Case_mins[[#This Row],[AnaesthStart]]</f>
        <v>#REF!</v>
      </c>
      <c r="AZ76" s="9" t="e">
        <f>tbl_Case_mins[[#This Row],[Anaesth End]]-tbl_Case_mins[[#This Row],[Surgery Finish]]</f>
        <v>#REF!</v>
      </c>
      <c r="BA7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6" s="16" cm="1">
        <f t="array" ref="BC7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6" s="16" t="e">
        <f>IF(AND(tbl_Case_mins[[#This Row],[FirstAMCase]]=1,tbl_Case_mins[[#This Row],[CancelledCase]]=0,OR(tbl_Case_mins[[#This Row],[EarlyStartAM]]&gt;0,tbl_Case_mins[[#This Row],[AnaesthStart]]=tbl_Case_mins[[#This Row],[ThOpenAm]])),1,0)</f>
        <v>#REF!</v>
      </c>
      <c r="BE76" s="16" t="e">
        <f>IF(AND(tbl_Case_mins[[#This Row],[Rank_AnaSt]]=tbl_Case_mins[[#This Row],[Min_RankAnaSt]],tbl_Case_mins[[#This Row],[Anaesth End]]&gt;=tbl_Case_mins[[#This Row],[ThOpenAm]],tbl_Case_mins[[#This Row],[PmCase]]=0),1,0)</f>
        <v>#REF!</v>
      </c>
      <c r="BF7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6" s="9" t="e" cm="1">
        <f t="array" ref="BH7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6" s="9" t="e">
        <f>IF(AND(tbl_Case_mins[[#This Row],[ThOpenPM]]&gt;0,tbl_Case_mins[[#This Row],[AnaesthStart]]&gt;tbl_Case_mins[[#This Row],[ThOpenPM]],tbl_Case_mins[[#This Row],[First PM Case]]=1),tbl_Case_mins[[#This Row],[AnaesthStart]]-tbl_Case_mins[[#This Row],[ThOpenPM]],0)</f>
        <v>#REF!</v>
      </c>
      <c r="BL7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6" s="9" t="e" cm="1">
        <f t="array" ref="BN7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6" s="9" t="e">
        <f>IF(AND(tbl_Case_mins[[#This Row],[ThClosePm]]&gt;0,tbl_Case_mins[[#This Row],[Anaesth End]]&gt;tbl_Case_mins[[#This Row],[ThClosePm]],tbl_Case_mins[[#This Row],[AnaesthStart]]&gt;tbl_Case_mins[[#This Row],[ThClosePm]]),tbl_Case_mins[[#This Row],[Into Recov]]-tbl_Case_mins[[#This Row],[AnaesthStart]],0)</f>
        <v>#REF!</v>
      </c>
      <c r="BP76" s="9" t="e">
        <f>IF(AND(tbl_Case_mins[[#This Row],[AnaesthStart]]&lt;tbl_Case_mins[[#This Row],[ThClosePm]],tbl_Case_mins[[#This Row],[Anaesth End]]&gt;tbl_Case_mins[[#This Row],[ThClosePm]]),tbl_Case_mins[[#This Row],[Anaesth End]]-tbl_Case_mins[[#This Row],[ThClosePm]],0)</f>
        <v>#REF!</v>
      </c>
      <c r="BQ76" s="9" t="e" cm="1">
        <f t="array" ref="BQ7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6" s="9" t="e" cm="1">
        <f t="array" ref="BR76">IF(tbl_Case_mins[[#This Row],[Rank_Adjust]]=SUMPRODUCT(-(tbl_Case_mins[Surgery Start Date]=tbl_Case_mins[[#This Row],[Surgery Start Date]]),-(tbl_Case_mins[Theatre]=tbl_Case_mins[[#This Row],[Theatre]])),INDEX(Poss_Time,MATCH(TEXT(tbl_Case_mins[[#This Row],[Surgery Start Date]],"ddd"),Day,0)),0)</f>
        <v>#REF!</v>
      </c>
      <c r="BS76" s="9" t="e">
        <f>tbl_Case_mins[[#This Row],[Core_Time]]*Util_Goal</f>
        <v>#REF!</v>
      </c>
      <c r="BT76" s="9" t="e" cm="1">
        <f t="array" ref="BT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6" s="9" t="e" cm="1">
        <f t="array" ref="BU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6" s="9" t="e">
        <f>IF(tbl_Case_mins[[#This Row],[Surgery End Date]]&gt;tbl_Case_mins[[#This Row],[Surgery Start Date]],tbl_Case_mins[[#This Row],[Anaesth End]]-1440,0)</f>
        <v>#REF!</v>
      </c>
      <c r="BY76" s="9" t="e">
        <f>tbl_Case_mins[[#This Row],[Total_NonCore]]-tbl_Case_mins[[#This Row],[NextDay_NonCore]]</f>
        <v>#REF!</v>
      </c>
      <c r="BZ76" s="10" t="e">
        <f>tbl_Case_mins[[#This Row],[InCoreUse]]/60</f>
        <v>#REF!</v>
      </c>
      <c r="CA76" s="10" t="e">
        <f>tbl_Case_mins[[#This Row],[Total_NonCore]]/60</f>
        <v>#REF!</v>
      </c>
      <c r="CB76" t="e" cm="1">
        <f t="array" ref="CB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6" s="9" t="e" cm="1">
        <f t="array" ref="CC7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6" s="9" t="e" cm="1">
        <f t="array" ref="CD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6" s="9" t="e" cm="1">
        <f t="array" ref="CE7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6" s="9" cm="1">
        <f t="array" ref="CF76">IFERROR(_xlfn.AGGREGATE(14,6,(tbl_Case_mins[Rank_AnaEnd])/((tbl_Case_mins[Surgery Start Date]=tbl_Case_mins[[#This Row],[Surgery Start Date]])*(tbl_Case_mins[Theatre]=tbl_Case_mins[[#This Row],[Theatre]])*(tbl_Case_mins[NoInCoreTime]=0)),1),-1)</f>
        <v>-1</v>
      </c>
      <c r="CG76" s="9" cm="1">
        <f t="array" ref="CG76">IFERROR(_xlfn.AGGREGATE(15,6,(tbl_Case_mins[Rank_AnaSt])/((tbl_Case_mins[Surgery Start Date]=tbl_Case_mins[[#This Row],[Surgery Start Date]])*(tbl_Case_mins[Theatre]=tbl_Case_mins[[#This Row],[Theatre]])*(tbl_Case_mins[NoInCoreTime]=0)),1),-1)</f>
        <v>-1</v>
      </c>
      <c r="CH7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6" t="e" cm="1">
        <f t="array" ref="CJ7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6" s="9" cm="1">
        <f t="array" ref="CO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6" s="9" cm="1">
        <f t="array" ref="CP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6" s="9" cm="1">
        <f t="array" ref="CQ76">IFERROR(IF(AND(tbl_Case_mins[[#This Row],[FirstAMCase]]=0,tbl_Case_mins[[#This Row],[Rank]]=_xlfn.AGGREGATE(14,6,(tbl_Case_mins[Rank])/((tbl_Case_mins[Surgery Start Date]=tbl_Case_mins[[#This Row],[Surgery Start Date]])*(tbl_Case_mins[Theatre]=tbl_Case_mins[[#This Row],[Theatre]])*(tbl_Case_mins[AmCase]=1)),1)),1,0),0)</f>
        <v>0</v>
      </c>
      <c r="CR76" s="9" cm="1">
        <f t="array" ref="CR7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6" s="9" t="e" cm="1">
        <f t="array" ref="CS7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6" s="9" cm="1">
        <f t="array" ref="CT76">IFERROR(IF(tbl_Case_mins[[#This Row],[Rank]]=_xlfn.AGGREGATE(15,6,(tbl_Case_mins[Rank])/((tbl_Case_mins[Surgery Start Date]=tbl_Case_mins[[#This Row],[Surgery Start Date]])*(tbl_Case_mins[Theatre]=tbl_Case_mins[[#This Row],[Theatre]])*(tbl_Case_mins[PmCase]=1)),1),1,0),0)</f>
        <v>0</v>
      </c>
      <c r="CU76">
        <f>IFERROR(#REF!,0)</f>
        <v>0</v>
      </c>
      <c r="CV76" s="9" t="e" cm="1">
        <f t="array" ref="CV7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6" s="9">
        <f>IFERROR(IF(ISBLANK(INDEX(Bay_AmClose,MATCH(1,INDEX((tbl_Case_mins[[#This Row],[Bay]]=BayNo)*(tbl_Case_mins[[#This Row],[Surgery Start Date]]=BDate),0,1),0))*1440),0,INDEX(Bay_AmClose,MATCH(1,INDEX((tbl_Case_mins[[#This Row],[Bay]]=BayNo)*(tbl_Case_mins[[#This Row],[Surgery Start Date]]=BDate),0,1),0))*1440),0)</f>
        <v>0</v>
      </c>
      <c r="CX76" s="9" cm="1">
        <f t="array" ref="CX76">IFERROR(IF(ISBLANK(INDEX(Bay_PmOpen,MATCH(1,INDEX((tbl_Case_mins[[#This Row],[Bay]]=BayNo)*(tbl_Case_mins[[#This Row],[Surgery Start Date]]=BDate),0,1),0))*1440),0,INDEX(Bay_PmOpen,MATCH(1,INDEX((tbl_Case_mins[[#This Row],[Bay]]=BayNo)*(tbl_Case_mins[[#This Row],[Surgery Start Date]]=BDate),0,1),0))*1440),0)</f>
        <v>0</v>
      </c>
      <c r="CY7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6" s="9"/>
    </row>
    <row r="77" spans="1:104" x14ac:dyDescent="0.2">
      <c r="A77">
        <v>76</v>
      </c>
      <c r="B77" t="e">
        <f>#REF!</f>
        <v>#REF!</v>
      </c>
      <c r="C77" t="e">
        <f>#REF!</f>
        <v>#REF!</v>
      </c>
      <c r="D77" t="e">
        <f>#REF!</f>
        <v>#REF!</v>
      </c>
      <c r="E77" t="e">
        <f>#REF!</f>
        <v>#REF!</v>
      </c>
      <c r="F77" t="e">
        <f>#REF!</f>
        <v>#REF!</v>
      </c>
      <c r="G77" t="e">
        <f>#REF!</f>
        <v>#REF!</v>
      </c>
      <c r="H77" t="e">
        <f>#REF!</f>
        <v>#REF!</v>
      </c>
      <c r="I77" t="e">
        <f>IF(#REF!="Case Cancelled",1,IF(#REF!="No Cases",2,0))</f>
        <v>#REF!</v>
      </c>
      <c r="J77" t="e">
        <f>#REF!</f>
        <v>#REF!</v>
      </c>
      <c r="K77" s="4" t="e">
        <f>#REF!</f>
        <v>#REF!</v>
      </c>
      <c r="L77" t="e">
        <f>"Wk "&amp;WEEKNUM(tbl_Case_mins[[#This Row],[Surgery Start Date]],21)</f>
        <v>#REF!</v>
      </c>
      <c r="M77" t="e">
        <f>TEXT(tbl_Case_mins[[#This Row],[Surgery Start Date]],"ddd")</f>
        <v>#REF!</v>
      </c>
      <c r="N77" s="9" t="e">
        <f>(#REF!-TIME(0,0,0))*1440</f>
        <v>#REF!</v>
      </c>
      <c r="O77" t="e">
        <f>IF(AND(ROUND((#REF!-TIME(0,0,0))*1440,0)&gt;0,ROUND((#REF!-TIME(0,0,0))*1440,0)&lt;tbl_Case_mins[[#This Row],[Patient Called]],tbl_Case_mins[[#This Row],[Surgery End Date]]&gt;tbl_Case_mins[[#This Row],[Surgery Start Date]]),ROUND((#REF!-TIME(0,0,0))*1440,0)+1440,ROUND((#REF!-TIME(0,0,0))*1440,0))</f>
        <v>#REF!</v>
      </c>
      <c r="P77" s="9" t="e">
        <f>IF(AND(ROUND((#REF!-TIME(0,0,0))*1440,0)&gt;0,ROUND((#REF!-TIME(0,0,0))*1440,0)&lt;tbl_Case_mins[[#This Row],[Arrival]],tbl_Case_mins[[#This Row],[Surgery End Date]]&gt;tbl_Case_mins[[#This Row],[Surgery Start Date]]),ROUND((#REF!-TIME(0,0,0))*1440,0)+1440,ROUND((#REF!-TIME(0,0,0))*1440,0))</f>
        <v>#REF!</v>
      </c>
      <c r="Q77" s="9" t="e">
        <f>IF(AND(ROUND((#REF!-TIME(0,0,0))*1440,0)&gt;0,ROUND((#REF!-TIME(0,0,0))*1440,0)&lt;tbl_Case_mins[[#This Row],[Into Th or AR]],tbl_Case_mins[[#This Row],[Surgery End Date]]&gt;tbl_Case_mins[[#This Row],[Surgery Start Date]]),ROUND((#REF!-TIME(0,0,0))*1440,0)+1440,ROUND((#REF!-TIME(0,0,0))*1440,0))</f>
        <v>#REF!</v>
      </c>
      <c r="R77" s="9" t="e">
        <f>IF(AND(ROUND((#REF!-TIME(0,0,0))*1440,0)&gt;0,ROUND((#REF!-TIME(0,0,0))*1440,0)&lt;tbl_Case_mins[[#This Row],[AnaesthStart]],tbl_Case_mins[[#This Row],[Surgery End Date]]&gt;tbl_Case_mins[[#This Row],[Surgery Start Date]]),ROUND((#REF!-TIME(0,0,0))*1440,0)+1440,ROUND((#REF!-TIME(0,0,0))*1440,0))</f>
        <v>#REF!</v>
      </c>
      <c r="S77" s="9" t="e">
        <f>IF(AND(ROUND((#REF!-TIME(0,0,0))*1440,0),ROUND((#REF!-TIME(0,0,0))*1440,0)&lt;tbl_Case_mins[[#This Row],[Surgery Start]],tbl_Case_mins[[#This Row],[Surgery End Date]]&gt;tbl_Case_mins[[#This Row],[Surgery Start Date]]),ROUND((#REF!-TIME(0,0,0))*1440,0)+1440,ROUND((#REF!-TIME(0,0,0))*1440,0))</f>
        <v>#REF!</v>
      </c>
      <c r="T77" s="9" t="e">
        <f>IF(AND(ROUND((#REF!-TIME(0,0,0))*1440,0)&gt;0,ROUND((#REF!-TIME(0,0,0))*1440,0)&lt;tbl_Case_mins[[#This Row],[Surgery Finish]],tbl_Case_mins[[#This Row],[Surgery End Date]]&gt;tbl_Case_mins[[#This Row],[Surgery Start Date]]),ROUND((#REF!-TIME(0,0,0))*1440,0)+1440,ROUND((#REF!-TIME(0,0,0))*1440,0))</f>
        <v>#REF!</v>
      </c>
      <c r="U77" s="9" t="e">
        <f>IF(AND(ROUND((#REF!-TIME(0,0,0))*1440,0)&gt;0,ROUND((#REF!-TIME(0,0,0))*1440,0)&lt;tbl_Case_mins[[#This Row],[Anaesth End]],tbl_Case_mins[[#This Row],[Surgery End Date]]&gt;tbl_Case_mins[[#This Row],[Surgery Start Date]]),ROUND((#REF!-TIME(0,0,0))*1440,0)+1440,ROUND((#REF!-TIME(0,0,0))*1440,0))</f>
        <v>#REF!</v>
      </c>
      <c r="V77" s="9" t="e">
        <f>IF(AND(ROUND((#REF!-TIME(0,0,0))*1440,0)&gt;0,ROUND((#REF!-TIME(0,0,0))*1440,0)&lt;tbl_Case_mins[[#This Row],[Into Recov]],tbl_Case_mins[[#This Row],[Surgery End Date]]&gt;tbl_Case_mins[[#This Row],[Surgery Start Date]]),ROUND((#REF!-TIME(0,0,0))*1440,0)+1440,ROUND((#REF!-TIME(0,0,0))*1440,0))</f>
        <v>#REF!</v>
      </c>
      <c r="W77" s="9" t="e">
        <f>IF(AND(ROUND((#REF!-TIME(0,0,0))*1440,0)&gt;0,ROUND((#REF!-TIME(0,0,0))*1440,0)&lt;tbl_Case_mins[[#This Row],[Ward Called]],tbl_Case_mins[[#This Row],[Surgery End Date]]&gt;tbl_Case_mins[[#This Row],[Surgery Start Date]]),ROUND((#REF!-TIME(0,0,0))*1440,0)+1440,ROUND((#REF!-TIME(0,0,0))*1440,0))</f>
        <v>#REF!</v>
      </c>
      <c r="X77" s="4" t="e">
        <f>IF(ISBLANK(#REF!),tbl_Case_mins[[#This Row],[Surgery Start Date]],#REF!)</f>
        <v>#REF!</v>
      </c>
      <c r="Y77">
        <f>IFERROR(IF(VLOOKUP(tbl_Case_mins[[#This Row],[Theatre]],'Mng Theatres'!$C$7:$G$12,3,FALSE)="Yes","Yes","No"),0)</f>
        <v>0</v>
      </c>
      <c r="Z77" s="9" t="e" cm="1">
        <f t="array" ref="Z7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7" s="9" t="e" cm="1">
        <f t="array" ref="AA7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7" s="9" t="e">
        <f>IF(tbl_Case_mins[[#This Row],[Case Type]]="Unsch",1,0)</f>
        <v>#REF!</v>
      </c>
      <c r="AD77" s="9" t="e">
        <f>IF(tbl_Case_mins[[#This Row],[Case Type]]="Sch",1,0)</f>
        <v>#REF!</v>
      </c>
      <c r="AE7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7" s="9">
        <f>IFERROR(IF(ISBLANK(INDEX(Am_Close,MATCH(1,INDEX((tbl_Case_mins[[#This Row],[Theatre]]=Theatre_No)*(tbl_Case_mins[[#This Row],[Surgery Start Date]]=Date),0,1),0))*1440),0,INDEX(Am_Close,MATCH(1,INDEX((tbl_Case_mins[[#This Row],[Theatre]]=Theatre_No)*(tbl_Case_mins[[#This Row],[Surgery Start Date]]=Date),0,1),0))*1440),0)</f>
        <v>0</v>
      </c>
      <c r="AG77" s="9">
        <f>IFERROR(IF(ISBLANK(INDEX(PM_Open,MATCH(1,INDEX((tbl_Case_mins[[#This Row],[Theatre]]=Theatre_No)*(tbl_Case_mins[[#This Row],[Surgery Start Date]]=Date),0,1),0))*1440),0,INDEX(PM_Open,MATCH(1,INDEX((tbl_Case_mins[[#This Row],[Theatre]]=Theatre_No)*(tbl_Case_mins[[#This Row],[Surgery Start Date]]=Date),0,1),0))*1440),0)</f>
        <v>0</v>
      </c>
      <c r="AH7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7" s="9" t="e">
        <f>IF(tbl_Case_mins[[#This Row],[ThOpenAm]]=0,tbl_Case_mins[[#This Row],[ThOpenPM]],tbl_Case_mins[[#This Row],[ThOpenAm]])</f>
        <v>#REF!</v>
      </c>
      <c r="AJ77" s="9" t="e">
        <f>IF(tbl_Case_mins[[#This Row],[ThCloseAm]]&gt;0,IF(tbl_Case_mins[[#This Row],[ThOpenPM]]&gt;0,tbl_Case_mins[[#This Row],[ThClosePm]],tbl_Case_mins[[#This Row],[ThCloseAm]]),tbl_Case_mins[[#This Row],[ThClosePm]])</f>
        <v>#REF!</v>
      </c>
      <c r="AK77" s="9" t="e">
        <f>IF(tbl_Case_mins[[#This Row],[TOT]]&gt;0,1,0)</f>
        <v>#REF!</v>
      </c>
      <c r="AL7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7" s="9" t="e">
        <f>IF(AND(tbl_Case_mins[[#This Row],[Surgery Status]]&lt;&gt;2,tbl_Case_mins[[#This Row],[InCoreCase]]=0,tbl_Case_mins[[#This Row],[CancelledCase]]=0),1,0)</f>
        <v>#REF!</v>
      </c>
      <c r="AN77" s="9" t="e">
        <f>IF(tbl_Case_mins[[#This Row],[Surgery Status]]=1,1,0)</f>
        <v>#REF!</v>
      </c>
      <c r="AO7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7" s="9" t="e">
        <f>IF(AND(tbl_Case_mins[[#This Row],[NonCoreCase]]=1,tbl_Case_mins[[#This Row],[NoInCoreTime]]=0),1,0)</f>
        <v>#REF!</v>
      </c>
      <c r="AQ77" s="9" t="e">
        <f>IF(tbl_Case_mins[[#This Row],[Rank_AnaEnd]]&lt;tbl_Case_mins[[#This Row],[Rank_AnaSt]],1,0)</f>
        <v>#REF!</v>
      </c>
      <c r="AR77" s="9" t="e">
        <f>IF(AND(tbl_Case_mins[[#This Row],[InCoreCase]]=1,tbl_Case_mins[[#This Row],[Sch]]=1),1,0)</f>
        <v>#REF!</v>
      </c>
      <c r="AS77" s="9" t="e">
        <f>IF(AND(tbl_Case_mins[[#This Row],[InCoreCase]]=1,tbl_Case_mins[[#This Row],[Unsch]]=1),1,0)</f>
        <v>#REF!</v>
      </c>
      <c r="AT7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7" s="9" t="e">
        <f>IF(tbl_Case_mins[[#This Row],[Surgery Status]]=0,(tbl_Case_mins[[#This Row],[Anaesth End]]-tbl_Case_mins[[#This Row],[AnaesthStart]]),0)</f>
        <v>#REF!</v>
      </c>
      <c r="AX77" s="9" t="e">
        <f>IF(tbl_Case_mins[[#This Row],[Surgery Status]]=0,(tbl_Case_mins[[#This Row],[Surgery Finish]]-tbl_Case_mins[[#This Row],[Surgery Start]]),0)</f>
        <v>#REF!</v>
      </c>
      <c r="AY77" s="9" t="e">
        <f>tbl_Case_mins[[#This Row],[Surgery Start]]-tbl_Case_mins[[#This Row],[AnaesthStart]]</f>
        <v>#REF!</v>
      </c>
      <c r="AZ77" s="9" t="e">
        <f>tbl_Case_mins[[#This Row],[Anaesth End]]-tbl_Case_mins[[#This Row],[Surgery Finish]]</f>
        <v>#REF!</v>
      </c>
      <c r="BA7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7" s="16" cm="1">
        <f t="array" ref="BC7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7" s="16" t="e">
        <f>IF(AND(tbl_Case_mins[[#This Row],[FirstAMCase]]=1,tbl_Case_mins[[#This Row],[CancelledCase]]=0,OR(tbl_Case_mins[[#This Row],[EarlyStartAM]]&gt;0,tbl_Case_mins[[#This Row],[AnaesthStart]]=tbl_Case_mins[[#This Row],[ThOpenAm]])),1,0)</f>
        <v>#REF!</v>
      </c>
      <c r="BE77" s="16" t="e">
        <f>IF(AND(tbl_Case_mins[[#This Row],[Rank_AnaSt]]=tbl_Case_mins[[#This Row],[Min_RankAnaSt]],tbl_Case_mins[[#This Row],[Anaesth End]]&gt;=tbl_Case_mins[[#This Row],[ThOpenAm]],tbl_Case_mins[[#This Row],[PmCase]]=0),1,0)</f>
        <v>#REF!</v>
      </c>
      <c r="BF7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7" s="9" t="e" cm="1">
        <f t="array" ref="BH7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7" s="9" t="e">
        <f>IF(AND(tbl_Case_mins[[#This Row],[ThOpenPM]]&gt;0,tbl_Case_mins[[#This Row],[AnaesthStart]]&gt;tbl_Case_mins[[#This Row],[ThOpenPM]],tbl_Case_mins[[#This Row],[First PM Case]]=1),tbl_Case_mins[[#This Row],[AnaesthStart]]-tbl_Case_mins[[#This Row],[ThOpenPM]],0)</f>
        <v>#REF!</v>
      </c>
      <c r="BL7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7" s="9" t="e" cm="1">
        <f t="array" ref="BN7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7" s="9" t="e">
        <f>IF(AND(tbl_Case_mins[[#This Row],[ThClosePm]]&gt;0,tbl_Case_mins[[#This Row],[Anaesth End]]&gt;tbl_Case_mins[[#This Row],[ThClosePm]],tbl_Case_mins[[#This Row],[AnaesthStart]]&gt;tbl_Case_mins[[#This Row],[ThClosePm]]),tbl_Case_mins[[#This Row],[Into Recov]]-tbl_Case_mins[[#This Row],[AnaesthStart]],0)</f>
        <v>#REF!</v>
      </c>
      <c r="BP77" s="9" t="e">
        <f>IF(AND(tbl_Case_mins[[#This Row],[AnaesthStart]]&lt;tbl_Case_mins[[#This Row],[ThClosePm]],tbl_Case_mins[[#This Row],[Anaesth End]]&gt;tbl_Case_mins[[#This Row],[ThClosePm]]),tbl_Case_mins[[#This Row],[Anaesth End]]-tbl_Case_mins[[#This Row],[ThClosePm]],0)</f>
        <v>#REF!</v>
      </c>
      <c r="BQ77" s="9" t="e" cm="1">
        <f t="array" ref="BQ7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7" s="9" t="e" cm="1">
        <f t="array" ref="BR77">IF(tbl_Case_mins[[#This Row],[Rank_Adjust]]=SUMPRODUCT(-(tbl_Case_mins[Surgery Start Date]=tbl_Case_mins[[#This Row],[Surgery Start Date]]),-(tbl_Case_mins[Theatre]=tbl_Case_mins[[#This Row],[Theatre]])),INDEX(Poss_Time,MATCH(TEXT(tbl_Case_mins[[#This Row],[Surgery Start Date]],"ddd"),Day,0)),0)</f>
        <v>#REF!</v>
      </c>
      <c r="BS77" s="9" t="e">
        <f>tbl_Case_mins[[#This Row],[Core_Time]]*Util_Goal</f>
        <v>#REF!</v>
      </c>
      <c r="BT77" s="9" t="e" cm="1">
        <f t="array" ref="BT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7" s="9" t="e" cm="1">
        <f t="array" ref="BU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7" s="9" t="e">
        <f>IF(tbl_Case_mins[[#This Row],[Surgery End Date]]&gt;tbl_Case_mins[[#This Row],[Surgery Start Date]],tbl_Case_mins[[#This Row],[Anaesth End]]-1440,0)</f>
        <v>#REF!</v>
      </c>
      <c r="BY77" s="9" t="e">
        <f>tbl_Case_mins[[#This Row],[Total_NonCore]]-tbl_Case_mins[[#This Row],[NextDay_NonCore]]</f>
        <v>#REF!</v>
      </c>
      <c r="BZ77" s="10" t="e">
        <f>tbl_Case_mins[[#This Row],[InCoreUse]]/60</f>
        <v>#REF!</v>
      </c>
      <c r="CA77" s="10" t="e">
        <f>tbl_Case_mins[[#This Row],[Total_NonCore]]/60</f>
        <v>#REF!</v>
      </c>
      <c r="CB77" t="e" cm="1">
        <f t="array" ref="CB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7" s="9" t="e" cm="1">
        <f t="array" ref="CC7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7" s="9" t="e" cm="1">
        <f t="array" ref="CD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7" s="9" t="e" cm="1">
        <f t="array" ref="CE7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7" s="9" cm="1">
        <f t="array" ref="CF77">IFERROR(_xlfn.AGGREGATE(14,6,(tbl_Case_mins[Rank_AnaEnd])/((tbl_Case_mins[Surgery Start Date]=tbl_Case_mins[[#This Row],[Surgery Start Date]])*(tbl_Case_mins[Theatre]=tbl_Case_mins[[#This Row],[Theatre]])*(tbl_Case_mins[NoInCoreTime]=0)),1),-1)</f>
        <v>-1</v>
      </c>
      <c r="CG77" s="9" cm="1">
        <f t="array" ref="CG77">IFERROR(_xlfn.AGGREGATE(15,6,(tbl_Case_mins[Rank_AnaSt])/((tbl_Case_mins[Surgery Start Date]=tbl_Case_mins[[#This Row],[Surgery Start Date]])*(tbl_Case_mins[Theatre]=tbl_Case_mins[[#This Row],[Theatre]])*(tbl_Case_mins[NoInCoreTime]=0)),1),-1)</f>
        <v>-1</v>
      </c>
      <c r="CH7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7" t="e" cm="1">
        <f t="array" ref="CJ7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7" s="9" cm="1">
        <f t="array" ref="CO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7" s="9" cm="1">
        <f t="array" ref="CP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7" s="9" cm="1">
        <f t="array" ref="CQ77">IFERROR(IF(AND(tbl_Case_mins[[#This Row],[FirstAMCase]]=0,tbl_Case_mins[[#This Row],[Rank]]=_xlfn.AGGREGATE(14,6,(tbl_Case_mins[Rank])/((tbl_Case_mins[Surgery Start Date]=tbl_Case_mins[[#This Row],[Surgery Start Date]])*(tbl_Case_mins[Theatre]=tbl_Case_mins[[#This Row],[Theatre]])*(tbl_Case_mins[AmCase]=1)),1)),1,0),0)</f>
        <v>0</v>
      </c>
      <c r="CR77" s="9" cm="1">
        <f t="array" ref="CR7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7" s="9" t="e" cm="1">
        <f t="array" ref="CS7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7" s="9" cm="1">
        <f t="array" ref="CT77">IFERROR(IF(tbl_Case_mins[[#This Row],[Rank]]=_xlfn.AGGREGATE(15,6,(tbl_Case_mins[Rank])/((tbl_Case_mins[Surgery Start Date]=tbl_Case_mins[[#This Row],[Surgery Start Date]])*(tbl_Case_mins[Theatre]=tbl_Case_mins[[#This Row],[Theatre]])*(tbl_Case_mins[PmCase]=1)),1),1,0),0)</f>
        <v>0</v>
      </c>
      <c r="CU77">
        <f>IFERROR(#REF!,0)</f>
        <v>0</v>
      </c>
      <c r="CV77" s="9" t="e" cm="1">
        <f t="array" ref="CV7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7" s="9">
        <f>IFERROR(IF(ISBLANK(INDEX(Bay_AmClose,MATCH(1,INDEX((tbl_Case_mins[[#This Row],[Bay]]=BayNo)*(tbl_Case_mins[[#This Row],[Surgery Start Date]]=BDate),0,1),0))*1440),0,INDEX(Bay_AmClose,MATCH(1,INDEX((tbl_Case_mins[[#This Row],[Bay]]=BayNo)*(tbl_Case_mins[[#This Row],[Surgery Start Date]]=BDate),0,1),0))*1440),0)</f>
        <v>0</v>
      </c>
      <c r="CX77" s="9" cm="1">
        <f t="array" ref="CX77">IFERROR(IF(ISBLANK(INDEX(Bay_PmOpen,MATCH(1,INDEX((tbl_Case_mins[[#This Row],[Bay]]=BayNo)*(tbl_Case_mins[[#This Row],[Surgery Start Date]]=BDate),0,1),0))*1440),0,INDEX(Bay_PmOpen,MATCH(1,INDEX((tbl_Case_mins[[#This Row],[Bay]]=BayNo)*(tbl_Case_mins[[#This Row],[Surgery Start Date]]=BDate),0,1),0))*1440),0)</f>
        <v>0</v>
      </c>
      <c r="CY7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7" s="9"/>
    </row>
    <row r="78" spans="1:104" x14ac:dyDescent="0.2">
      <c r="A78">
        <v>77</v>
      </c>
      <c r="B78" t="e">
        <f>#REF!</f>
        <v>#REF!</v>
      </c>
      <c r="C78" t="e">
        <f>#REF!</f>
        <v>#REF!</v>
      </c>
      <c r="D78" t="e">
        <f>#REF!</f>
        <v>#REF!</v>
      </c>
      <c r="E78" t="e">
        <f>#REF!</f>
        <v>#REF!</v>
      </c>
      <c r="F78" t="e">
        <f>#REF!</f>
        <v>#REF!</v>
      </c>
      <c r="G78" t="e">
        <f>#REF!</f>
        <v>#REF!</v>
      </c>
      <c r="H78" t="e">
        <f>#REF!</f>
        <v>#REF!</v>
      </c>
      <c r="I78" t="e">
        <f>IF(#REF!="Case Cancelled",1,IF(#REF!="No Cases",2,0))</f>
        <v>#REF!</v>
      </c>
      <c r="J78" t="e">
        <f>#REF!</f>
        <v>#REF!</v>
      </c>
      <c r="K78" s="4" t="e">
        <f>#REF!</f>
        <v>#REF!</v>
      </c>
      <c r="L78" t="e">
        <f>"Wk "&amp;WEEKNUM(tbl_Case_mins[[#This Row],[Surgery Start Date]],21)</f>
        <v>#REF!</v>
      </c>
      <c r="M78" t="e">
        <f>TEXT(tbl_Case_mins[[#This Row],[Surgery Start Date]],"ddd")</f>
        <v>#REF!</v>
      </c>
      <c r="N78" s="9" t="e">
        <f>(#REF!-TIME(0,0,0))*1440</f>
        <v>#REF!</v>
      </c>
      <c r="O78" t="e">
        <f>IF(AND(ROUND((#REF!-TIME(0,0,0))*1440,0)&gt;0,ROUND((#REF!-TIME(0,0,0))*1440,0)&lt;tbl_Case_mins[[#This Row],[Patient Called]],tbl_Case_mins[[#This Row],[Surgery End Date]]&gt;tbl_Case_mins[[#This Row],[Surgery Start Date]]),ROUND((#REF!-TIME(0,0,0))*1440,0)+1440,ROUND((#REF!-TIME(0,0,0))*1440,0))</f>
        <v>#REF!</v>
      </c>
      <c r="P78" s="9" t="e">
        <f>IF(AND(ROUND((#REF!-TIME(0,0,0))*1440,0)&gt;0,ROUND((#REF!-TIME(0,0,0))*1440,0)&lt;tbl_Case_mins[[#This Row],[Arrival]],tbl_Case_mins[[#This Row],[Surgery End Date]]&gt;tbl_Case_mins[[#This Row],[Surgery Start Date]]),ROUND((#REF!-TIME(0,0,0))*1440,0)+1440,ROUND((#REF!-TIME(0,0,0))*1440,0))</f>
        <v>#REF!</v>
      </c>
      <c r="Q78" s="9" t="e">
        <f>IF(AND(ROUND((#REF!-TIME(0,0,0))*1440,0)&gt;0,ROUND((#REF!-TIME(0,0,0))*1440,0)&lt;tbl_Case_mins[[#This Row],[Into Th or AR]],tbl_Case_mins[[#This Row],[Surgery End Date]]&gt;tbl_Case_mins[[#This Row],[Surgery Start Date]]),ROUND((#REF!-TIME(0,0,0))*1440,0)+1440,ROUND((#REF!-TIME(0,0,0))*1440,0))</f>
        <v>#REF!</v>
      </c>
      <c r="R78" s="9" t="e">
        <f>IF(AND(ROUND((#REF!-TIME(0,0,0))*1440,0)&gt;0,ROUND((#REF!-TIME(0,0,0))*1440,0)&lt;tbl_Case_mins[[#This Row],[AnaesthStart]],tbl_Case_mins[[#This Row],[Surgery End Date]]&gt;tbl_Case_mins[[#This Row],[Surgery Start Date]]),ROUND((#REF!-TIME(0,0,0))*1440,0)+1440,ROUND((#REF!-TIME(0,0,0))*1440,0))</f>
        <v>#REF!</v>
      </c>
      <c r="S78" s="9" t="e">
        <f>IF(AND(ROUND((#REF!-TIME(0,0,0))*1440,0),ROUND((#REF!-TIME(0,0,0))*1440,0)&lt;tbl_Case_mins[[#This Row],[Surgery Start]],tbl_Case_mins[[#This Row],[Surgery End Date]]&gt;tbl_Case_mins[[#This Row],[Surgery Start Date]]),ROUND((#REF!-TIME(0,0,0))*1440,0)+1440,ROUND((#REF!-TIME(0,0,0))*1440,0))</f>
        <v>#REF!</v>
      </c>
      <c r="T78" s="9" t="e">
        <f>IF(AND(ROUND((#REF!-TIME(0,0,0))*1440,0)&gt;0,ROUND((#REF!-TIME(0,0,0))*1440,0)&lt;tbl_Case_mins[[#This Row],[Surgery Finish]],tbl_Case_mins[[#This Row],[Surgery End Date]]&gt;tbl_Case_mins[[#This Row],[Surgery Start Date]]),ROUND((#REF!-TIME(0,0,0))*1440,0)+1440,ROUND((#REF!-TIME(0,0,0))*1440,0))</f>
        <v>#REF!</v>
      </c>
      <c r="U78" s="9" t="e">
        <f>IF(AND(ROUND((#REF!-TIME(0,0,0))*1440,0)&gt;0,ROUND((#REF!-TIME(0,0,0))*1440,0)&lt;tbl_Case_mins[[#This Row],[Anaesth End]],tbl_Case_mins[[#This Row],[Surgery End Date]]&gt;tbl_Case_mins[[#This Row],[Surgery Start Date]]),ROUND((#REF!-TIME(0,0,0))*1440,0)+1440,ROUND((#REF!-TIME(0,0,0))*1440,0))</f>
        <v>#REF!</v>
      </c>
      <c r="V78" s="9" t="e">
        <f>IF(AND(ROUND((#REF!-TIME(0,0,0))*1440,0)&gt;0,ROUND((#REF!-TIME(0,0,0))*1440,0)&lt;tbl_Case_mins[[#This Row],[Into Recov]],tbl_Case_mins[[#This Row],[Surgery End Date]]&gt;tbl_Case_mins[[#This Row],[Surgery Start Date]]),ROUND((#REF!-TIME(0,0,0))*1440,0)+1440,ROUND((#REF!-TIME(0,0,0))*1440,0))</f>
        <v>#REF!</v>
      </c>
      <c r="W78" s="9" t="e">
        <f>IF(AND(ROUND((#REF!-TIME(0,0,0))*1440,0)&gt;0,ROUND((#REF!-TIME(0,0,0))*1440,0)&lt;tbl_Case_mins[[#This Row],[Ward Called]],tbl_Case_mins[[#This Row],[Surgery End Date]]&gt;tbl_Case_mins[[#This Row],[Surgery Start Date]]),ROUND((#REF!-TIME(0,0,0))*1440,0)+1440,ROUND((#REF!-TIME(0,0,0))*1440,0))</f>
        <v>#REF!</v>
      </c>
      <c r="X78" s="4" t="e">
        <f>IF(ISBLANK(#REF!),tbl_Case_mins[[#This Row],[Surgery Start Date]],#REF!)</f>
        <v>#REF!</v>
      </c>
      <c r="Y78">
        <f>IFERROR(IF(VLOOKUP(tbl_Case_mins[[#This Row],[Theatre]],'Mng Theatres'!$C$7:$G$12,3,FALSE)="Yes","Yes","No"),0)</f>
        <v>0</v>
      </c>
      <c r="Z78" s="9" t="e" cm="1">
        <f t="array" ref="Z7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8" s="9" t="e" cm="1">
        <f t="array" ref="AA7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8" s="9" t="e">
        <f>IF(tbl_Case_mins[[#This Row],[Case Type]]="Unsch",1,0)</f>
        <v>#REF!</v>
      </c>
      <c r="AD78" s="9" t="e">
        <f>IF(tbl_Case_mins[[#This Row],[Case Type]]="Sch",1,0)</f>
        <v>#REF!</v>
      </c>
      <c r="AE7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8" s="9">
        <f>IFERROR(IF(ISBLANK(INDEX(Am_Close,MATCH(1,INDEX((tbl_Case_mins[[#This Row],[Theatre]]=Theatre_No)*(tbl_Case_mins[[#This Row],[Surgery Start Date]]=Date),0,1),0))*1440),0,INDEX(Am_Close,MATCH(1,INDEX((tbl_Case_mins[[#This Row],[Theatre]]=Theatre_No)*(tbl_Case_mins[[#This Row],[Surgery Start Date]]=Date),0,1),0))*1440),0)</f>
        <v>0</v>
      </c>
      <c r="AG78" s="9">
        <f>IFERROR(IF(ISBLANK(INDEX(PM_Open,MATCH(1,INDEX((tbl_Case_mins[[#This Row],[Theatre]]=Theatre_No)*(tbl_Case_mins[[#This Row],[Surgery Start Date]]=Date),0,1),0))*1440),0,INDEX(PM_Open,MATCH(1,INDEX((tbl_Case_mins[[#This Row],[Theatre]]=Theatre_No)*(tbl_Case_mins[[#This Row],[Surgery Start Date]]=Date),0,1),0))*1440),0)</f>
        <v>0</v>
      </c>
      <c r="AH7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8" s="9" t="e">
        <f>IF(tbl_Case_mins[[#This Row],[ThOpenAm]]=0,tbl_Case_mins[[#This Row],[ThOpenPM]],tbl_Case_mins[[#This Row],[ThOpenAm]])</f>
        <v>#REF!</v>
      </c>
      <c r="AJ78" s="9" t="e">
        <f>IF(tbl_Case_mins[[#This Row],[ThCloseAm]]&gt;0,IF(tbl_Case_mins[[#This Row],[ThOpenPM]]&gt;0,tbl_Case_mins[[#This Row],[ThClosePm]],tbl_Case_mins[[#This Row],[ThCloseAm]]),tbl_Case_mins[[#This Row],[ThClosePm]])</f>
        <v>#REF!</v>
      </c>
      <c r="AK78" s="9" t="e">
        <f>IF(tbl_Case_mins[[#This Row],[TOT]]&gt;0,1,0)</f>
        <v>#REF!</v>
      </c>
      <c r="AL7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8" s="9" t="e">
        <f>IF(AND(tbl_Case_mins[[#This Row],[Surgery Status]]&lt;&gt;2,tbl_Case_mins[[#This Row],[InCoreCase]]=0,tbl_Case_mins[[#This Row],[CancelledCase]]=0),1,0)</f>
        <v>#REF!</v>
      </c>
      <c r="AN78" s="9" t="e">
        <f>IF(tbl_Case_mins[[#This Row],[Surgery Status]]=1,1,0)</f>
        <v>#REF!</v>
      </c>
      <c r="AO7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8" s="9" t="e">
        <f>IF(AND(tbl_Case_mins[[#This Row],[NonCoreCase]]=1,tbl_Case_mins[[#This Row],[NoInCoreTime]]=0),1,0)</f>
        <v>#REF!</v>
      </c>
      <c r="AQ78" s="9" t="e">
        <f>IF(tbl_Case_mins[[#This Row],[Rank_AnaEnd]]&lt;tbl_Case_mins[[#This Row],[Rank_AnaSt]],1,0)</f>
        <v>#REF!</v>
      </c>
      <c r="AR78" s="9" t="e">
        <f>IF(AND(tbl_Case_mins[[#This Row],[InCoreCase]]=1,tbl_Case_mins[[#This Row],[Sch]]=1),1,0)</f>
        <v>#REF!</v>
      </c>
      <c r="AS78" s="9" t="e">
        <f>IF(AND(tbl_Case_mins[[#This Row],[InCoreCase]]=1,tbl_Case_mins[[#This Row],[Unsch]]=1),1,0)</f>
        <v>#REF!</v>
      </c>
      <c r="AT7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8" s="9" t="e">
        <f>IF(tbl_Case_mins[[#This Row],[Surgery Status]]=0,(tbl_Case_mins[[#This Row],[Anaesth End]]-tbl_Case_mins[[#This Row],[AnaesthStart]]),0)</f>
        <v>#REF!</v>
      </c>
      <c r="AX78" s="9" t="e">
        <f>IF(tbl_Case_mins[[#This Row],[Surgery Status]]=0,(tbl_Case_mins[[#This Row],[Surgery Finish]]-tbl_Case_mins[[#This Row],[Surgery Start]]),0)</f>
        <v>#REF!</v>
      </c>
      <c r="AY78" s="9" t="e">
        <f>tbl_Case_mins[[#This Row],[Surgery Start]]-tbl_Case_mins[[#This Row],[AnaesthStart]]</f>
        <v>#REF!</v>
      </c>
      <c r="AZ78" s="9" t="e">
        <f>tbl_Case_mins[[#This Row],[Anaesth End]]-tbl_Case_mins[[#This Row],[Surgery Finish]]</f>
        <v>#REF!</v>
      </c>
      <c r="BA7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8" s="16" cm="1">
        <f t="array" ref="BC7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8" s="16" t="e">
        <f>IF(AND(tbl_Case_mins[[#This Row],[FirstAMCase]]=1,tbl_Case_mins[[#This Row],[CancelledCase]]=0,OR(tbl_Case_mins[[#This Row],[EarlyStartAM]]&gt;0,tbl_Case_mins[[#This Row],[AnaesthStart]]=tbl_Case_mins[[#This Row],[ThOpenAm]])),1,0)</f>
        <v>#REF!</v>
      </c>
      <c r="BE78" s="16" t="e">
        <f>IF(AND(tbl_Case_mins[[#This Row],[Rank_AnaSt]]=tbl_Case_mins[[#This Row],[Min_RankAnaSt]],tbl_Case_mins[[#This Row],[Anaesth End]]&gt;=tbl_Case_mins[[#This Row],[ThOpenAm]],tbl_Case_mins[[#This Row],[PmCase]]=0),1,0)</f>
        <v>#REF!</v>
      </c>
      <c r="BF7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8" s="9" t="e" cm="1">
        <f t="array" ref="BH7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8" s="9" t="e">
        <f>IF(AND(tbl_Case_mins[[#This Row],[ThOpenPM]]&gt;0,tbl_Case_mins[[#This Row],[AnaesthStart]]&gt;tbl_Case_mins[[#This Row],[ThOpenPM]],tbl_Case_mins[[#This Row],[First PM Case]]=1),tbl_Case_mins[[#This Row],[AnaesthStart]]-tbl_Case_mins[[#This Row],[ThOpenPM]],0)</f>
        <v>#REF!</v>
      </c>
      <c r="BL7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8" s="9" t="e" cm="1">
        <f t="array" ref="BN7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8" s="9" t="e">
        <f>IF(AND(tbl_Case_mins[[#This Row],[ThClosePm]]&gt;0,tbl_Case_mins[[#This Row],[Anaesth End]]&gt;tbl_Case_mins[[#This Row],[ThClosePm]],tbl_Case_mins[[#This Row],[AnaesthStart]]&gt;tbl_Case_mins[[#This Row],[ThClosePm]]),tbl_Case_mins[[#This Row],[Into Recov]]-tbl_Case_mins[[#This Row],[AnaesthStart]],0)</f>
        <v>#REF!</v>
      </c>
      <c r="BP78" s="9" t="e">
        <f>IF(AND(tbl_Case_mins[[#This Row],[AnaesthStart]]&lt;tbl_Case_mins[[#This Row],[ThClosePm]],tbl_Case_mins[[#This Row],[Anaesth End]]&gt;tbl_Case_mins[[#This Row],[ThClosePm]]),tbl_Case_mins[[#This Row],[Anaesth End]]-tbl_Case_mins[[#This Row],[ThClosePm]],0)</f>
        <v>#REF!</v>
      </c>
      <c r="BQ78" s="9" t="e" cm="1">
        <f t="array" ref="BQ7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8" s="9" t="e" cm="1">
        <f t="array" ref="BR78">IF(tbl_Case_mins[[#This Row],[Rank_Adjust]]=SUMPRODUCT(-(tbl_Case_mins[Surgery Start Date]=tbl_Case_mins[[#This Row],[Surgery Start Date]]),-(tbl_Case_mins[Theatre]=tbl_Case_mins[[#This Row],[Theatre]])),INDEX(Poss_Time,MATCH(TEXT(tbl_Case_mins[[#This Row],[Surgery Start Date]],"ddd"),Day,0)),0)</f>
        <v>#REF!</v>
      </c>
      <c r="BS78" s="9" t="e">
        <f>tbl_Case_mins[[#This Row],[Core_Time]]*Util_Goal</f>
        <v>#REF!</v>
      </c>
      <c r="BT78" s="9" t="e" cm="1">
        <f t="array" ref="BT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8" s="9" t="e" cm="1">
        <f t="array" ref="BU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8" s="9" t="e">
        <f>IF(tbl_Case_mins[[#This Row],[Surgery End Date]]&gt;tbl_Case_mins[[#This Row],[Surgery Start Date]],tbl_Case_mins[[#This Row],[Anaesth End]]-1440,0)</f>
        <v>#REF!</v>
      </c>
      <c r="BY78" s="9" t="e">
        <f>tbl_Case_mins[[#This Row],[Total_NonCore]]-tbl_Case_mins[[#This Row],[NextDay_NonCore]]</f>
        <v>#REF!</v>
      </c>
      <c r="BZ78" s="10" t="e">
        <f>tbl_Case_mins[[#This Row],[InCoreUse]]/60</f>
        <v>#REF!</v>
      </c>
      <c r="CA78" s="10" t="e">
        <f>tbl_Case_mins[[#This Row],[Total_NonCore]]/60</f>
        <v>#REF!</v>
      </c>
      <c r="CB78" t="e" cm="1">
        <f t="array" ref="CB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8" s="9" t="e" cm="1">
        <f t="array" ref="CC7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8" s="9" t="e" cm="1">
        <f t="array" ref="CD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8" s="9" t="e" cm="1">
        <f t="array" ref="CE7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8" s="9" cm="1">
        <f t="array" ref="CF78">IFERROR(_xlfn.AGGREGATE(14,6,(tbl_Case_mins[Rank_AnaEnd])/((tbl_Case_mins[Surgery Start Date]=tbl_Case_mins[[#This Row],[Surgery Start Date]])*(tbl_Case_mins[Theatre]=tbl_Case_mins[[#This Row],[Theatre]])*(tbl_Case_mins[NoInCoreTime]=0)),1),-1)</f>
        <v>-1</v>
      </c>
      <c r="CG78" s="9" cm="1">
        <f t="array" ref="CG78">IFERROR(_xlfn.AGGREGATE(15,6,(tbl_Case_mins[Rank_AnaSt])/((tbl_Case_mins[Surgery Start Date]=tbl_Case_mins[[#This Row],[Surgery Start Date]])*(tbl_Case_mins[Theatre]=tbl_Case_mins[[#This Row],[Theatre]])*(tbl_Case_mins[NoInCoreTime]=0)),1),-1)</f>
        <v>-1</v>
      </c>
      <c r="CH7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8" t="e" cm="1">
        <f t="array" ref="CJ7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8" s="9" cm="1">
        <f t="array" ref="CO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8" s="9" cm="1">
        <f t="array" ref="CP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8" s="9" cm="1">
        <f t="array" ref="CQ78">IFERROR(IF(AND(tbl_Case_mins[[#This Row],[FirstAMCase]]=0,tbl_Case_mins[[#This Row],[Rank]]=_xlfn.AGGREGATE(14,6,(tbl_Case_mins[Rank])/((tbl_Case_mins[Surgery Start Date]=tbl_Case_mins[[#This Row],[Surgery Start Date]])*(tbl_Case_mins[Theatre]=tbl_Case_mins[[#This Row],[Theatre]])*(tbl_Case_mins[AmCase]=1)),1)),1,0),0)</f>
        <v>0</v>
      </c>
      <c r="CR78" s="9" cm="1">
        <f t="array" ref="CR7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8" s="9" t="e" cm="1">
        <f t="array" ref="CS7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8" s="9" cm="1">
        <f t="array" ref="CT78">IFERROR(IF(tbl_Case_mins[[#This Row],[Rank]]=_xlfn.AGGREGATE(15,6,(tbl_Case_mins[Rank])/((tbl_Case_mins[Surgery Start Date]=tbl_Case_mins[[#This Row],[Surgery Start Date]])*(tbl_Case_mins[Theatre]=tbl_Case_mins[[#This Row],[Theatre]])*(tbl_Case_mins[PmCase]=1)),1),1,0),0)</f>
        <v>0</v>
      </c>
      <c r="CU78">
        <f>IFERROR(#REF!,0)</f>
        <v>0</v>
      </c>
      <c r="CV78" s="9" t="e" cm="1">
        <f t="array" ref="CV7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8" s="9">
        <f>IFERROR(IF(ISBLANK(INDEX(Bay_AmClose,MATCH(1,INDEX((tbl_Case_mins[[#This Row],[Bay]]=BayNo)*(tbl_Case_mins[[#This Row],[Surgery Start Date]]=BDate),0,1),0))*1440),0,INDEX(Bay_AmClose,MATCH(1,INDEX((tbl_Case_mins[[#This Row],[Bay]]=BayNo)*(tbl_Case_mins[[#This Row],[Surgery Start Date]]=BDate),0,1),0))*1440),0)</f>
        <v>0</v>
      </c>
      <c r="CX78" s="9" cm="1">
        <f t="array" ref="CX78">IFERROR(IF(ISBLANK(INDEX(Bay_PmOpen,MATCH(1,INDEX((tbl_Case_mins[[#This Row],[Bay]]=BayNo)*(tbl_Case_mins[[#This Row],[Surgery Start Date]]=BDate),0,1),0))*1440),0,INDEX(Bay_PmOpen,MATCH(1,INDEX((tbl_Case_mins[[#This Row],[Bay]]=BayNo)*(tbl_Case_mins[[#This Row],[Surgery Start Date]]=BDate),0,1),0))*1440),0)</f>
        <v>0</v>
      </c>
      <c r="CY7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8" s="9"/>
    </row>
    <row r="79" spans="1:104" x14ac:dyDescent="0.2">
      <c r="A79">
        <v>78</v>
      </c>
      <c r="B79" t="e">
        <f>#REF!</f>
        <v>#REF!</v>
      </c>
      <c r="C79" t="e">
        <f>#REF!</f>
        <v>#REF!</v>
      </c>
      <c r="D79" t="e">
        <f>#REF!</f>
        <v>#REF!</v>
      </c>
      <c r="E79" t="e">
        <f>#REF!</f>
        <v>#REF!</v>
      </c>
      <c r="F79" t="e">
        <f>#REF!</f>
        <v>#REF!</v>
      </c>
      <c r="G79" t="e">
        <f>#REF!</f>
        <v>#REF!</v>
      </c>
      <c r="H79" t="e">
        <f>#REF!</f>
        <v>#REF!</v>
      </c>
      <c r="I79" t="e">
        <f>IF(#REF!="Case Cancelled",1,IF(#REF!="No Cases",2,0))</f>
        <v>#REF!</v>
      </c>
      <c r="J79" t="e">
        <f>#REF!</f>
        <v>#REF!</v>
      </c>
      <c r="K79" s="4" t="e">
        <f>#REF!</f>
        <v>#REF!</v>
      </c>
      <c r="L79" t="e">
        <f>"Wk "&amp;WEEKNUM(tbl_Case_mins[[#This Row],[Surgery Start Date]],21)</f>
        <v>#REF!</v>
      </c>
      <c r="M79" t="e">
        <f>TEXT(tbl_Case_mins[[#This Row],[Surgery Start Date]],"ddd")</f>
        <v>#REF!</v>
      </c>
      <c r="N79" s="9" t="e">
        <f>(#REF!-TIME(0,0,0))*1440</f>
        <v>#REF!</v>
      </c>
      <c r="O79" t="e">
        <f>IF(AND(ROUND((#REF!-TIME(0,0,0))*1440,0)&gt;0,ROUND((#REF!-TIME(0,0,0))*1440,0)&lt;tbl_Case_mins[[#This Row],[Patient Called]],tbl_Case_mins[[#This Row],[Surgery End Date]]&gt;tbl_Case_mins[[#This Row],[Surgery Start Date]]),ROUND((#REF!-TIME(0,0,0))*1440,0)+1440,ROUND((#REF!-TIME(0,0,0))*1440,0))</f>
        <v>#REF!</v>
      </c>
      <c r="P79" s="9" t="e">
        <f>IF(AND(ROUND((#REF!-TIME(0,0,0))*1440,0)&gt;0,ROUND((#REF!-TIME(0,0,0))*1440,0)&lt;tbl_Case_mins[[#This Row],[Arrival]],tbl_Case_mins[[#This Row],[Surgery End Date]]&gt;tbl_Case_mins[[#This Row],[Surgery Start Date]]),ROUND((#REF!-TIME(0,0,0))*1440,0)+1440,ROUND((#REF!-TIME(0,0,0))*1440,0))</f>
        <v>#REF!</v>
      </c>
      <c r="Q79" s="9" t="e">
        <f>IF(AND(ROUND((#REF!-TIME(0,0,0))*1440,0)&gt;0,ROUND((#REF!-TIME(0,0,0))*1440,0)&lt;tbl_Case_mins[[#This Row],[Into Th or AR]],tbl_Case_mins[[#This Row],[Surgery End Date]]&gt;tbl_Case_mins[[#This Row],[Surgery Start Date]]),ROUND((#REF!-TIME(0,0,0))*1440,0)+1440,ROUND((#REF!-TIME(0,0,0))*1440,0))</f>
        <v>#REF!</v>
      </c>
      <c r="R79" s="9" t="e">
        <f>IF(AND(ROUND((#REF!-TIME(0,0,0))*1440,0)&gt;0,ROUND((#REF!-TIME(0,0,0))*1440,0)&lt;tbl_Case_mins[[#This Row],[AnaesthStart]],tbl_Case_mins[[#This Row],[Surgery End Date]]&gt;tbl_Case_mins[[#This Row],[Surgery Start Date]]),ROUND((#REF!-TIME(0,0,0))*1440,0)+1440,ROUND((#REF!-TIME(0,0,0))*1440,0))</f>
        <v>#REF!</v>
      </c>
      <c r="S79" s="9" t="e">
        <f>IF(AND(ROUND((#REF!-TIME(0,0,0))*1440,0),ROUND((#REF!-TIME(0,0,0))*1440,0)&lt;tbl_Case_mins[[#This Row],[Surgery Start]],tbl_Case_mins[[#This Row],[Surgery End Date]]&gt;tbl_Case_mins[[#This Row],[Surgery Start Date]]),ROUND((#REF!-TIME(0,0,0))*1440,0)+1440,ROUND((#REF!-TIME(0,0,0))*1440,0))</f>
        <v>#REF!</v>
      </c>
      <c r="T79" s="9" t="e">
        <f>IF(AND(ROUND((#REF!-TIME(0,0,0))*1440,0)&gt;0,ROUND((#REF!-TIME(0,0,0))*1440,0)&lt;tbl_Case_mins[[#This Row],[Surgery Finish]],tbl_Case_mins[[#This Row],[Surgery End Date]]&gt;tbl_Case_mins[[#This Row],[Surgery Start Date]]),ROUND((#REF!-TIME(0,0,0))*1440,0)+1440,ROUND((#REF!-TIME(0,0,0))*1440,0))</f>
        <v>#REF!</v>
      </c>
      <c r="U79" s="9" t="e">
        <f>IF(AND(ROUND((#REF!-TIME(0,0,0))*1440,0)&gt;0,ROUND((#REF!-TIME(0,0,0))*1440,0)&lt;tbl_Case_mins[[#This Row],[Anaesth End]],tbl_Case_mins[[#This Row],[Surgery End Date]]&gt;tbl_Case_mins[[#This Row],[Surgery Start Date]]),ROUND((#REF!-TIME(0,0,0))*1440,0)+1440,ROUND((#REF!-TIME(0,0,0))*1440,0))</f>
        <v>#REF!</v>
      </c>
      <c r="V79" s="9" t="e">
        <f>IF(AND(ROUND((#REF!-TIME(0,0,0))*1440,0)&gt;0,ROUND((#REF!-TIME(0,0,0))*1440,0)&lt;tbl_Case_mins[[#This Row],[Into Recov]],tbl_Case_mins[[#This Row],[Surgery End Date]]&gt;tbl_Case_mins[[#This Row],[Surgery Start Date]]),ROUND((#REF!-TIME(0,0,0))*1440,0)+1440,ROUND((#REF!-TIME(0,0,0))*1440,0))</f>
        <v>#REF!</v>
      </c>
      <c r="W79" s="9" t="e">
        <f>IF(AND(ROUND((#REF!-TIME(0,0,0))*1440,0)&gt;0,ROUND((#REF!-TIME(0,0,0))*1440,0)&lt;tbl_Case_mins[[#This Row],[Ward Called]],tbl_Case_mins[[#This Row],[Surgery End Date]]&gt;tbl_Case_mins[[#This Row],[Surgery Start Date]]),ROUND((#REF!-TIME(0,0,0))*1440,0)+1440,ROUND((#REF!-TIME(0,0,0))*1440,0))</f>
        <v>#REF!</v>
      </c>
      <c r="X79" s="4" t="e">
        <f>IF(ISBLANK(#REF!),tbl_Case_mins[[#This Row],[Surgery Start Date]],#REF!)</f>
        <v>#REF!</v>
      </c>
      <c r="Y79">
        <f>IFERROR(IF(VLOOKUP(tbl_Case_mins[[#This Row],[Theatre]],'Mng Theatres'!$C$7:$G$12,3,FALSE)="Yes","Yes","No"),0)</f>
        <v>0</v>
      </c>
      <c r="Z79" s="9" t="e" cm="1">
        <f t="array" ref="Z7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79" s="9" t="e" cm="1">
        <f t="array" ref="AA7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7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79" s="9" t="e">
        <f>IF(tbl_Case_mins[[#This Row],[Case Type]]="Unsch",1,0)</f>
        <v>#REF!</v>
      </c>
      <c r="AD79" s="9" t="e">
        <f>IF(tbl_Case_mins[[#This Row],[Case Type]]="Sch",1,0)</f>
        <v>#REF!</v>
      </c>
      <c r="AE7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79" s="9">
        <f>IFERROR(IF(ISBLANK(INDEX(Am_Close,MATCH(1,INDEX((tbl_Case_mins[[#This Row],[Theatre]]=Theatre_No)*(tbl_Case_mins[[#This Row],[Surgery Start Date]]=Date),0,1),0))*1440),0,INDEX(Am_Close,MATCH(1,INDEX((tbl_Case_mins[[#This Row],[Theatre]]=Theatre_No)*(tbl_Case_mins[[#This Row],[Surgery Start Date]]=Date),0,1),0))*1440),0)</f>
        <v>0</v>
      </c>
      <c r="AG79" s="9">
        <f>IFERROR(IF(ISBLANK(INDEX(PM_Open,MATCH(1,INDEX((tbl_Case_mins[[#This Row],[Theatre]]=Theatre_No)*(tbl_Case_mins[[#This Row],[Surgery Start Date]]=Date),0,1),0))*1440),0,INDEX(PM_Open,MATCH(1,INDEX((tbl_Case_mins[[#This Row],[Theatre]]=Theatre_No)*(tbl_Case_mins[[#This Row],[Surgery Start Date]]=Date),0,1),0))*1440),0)</f>
        <v>0</v>
      </c>
      <c r="AH7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79" s="9" t="e">
        <f>IF(tbl_Case_mins[[#This Row],[ThOpenAm]]=0,tbl_Case_mins[[#This Row],[ThOpenPM]],tbl_Case_mins[[#This Row],[ThOpenAm]])</f>
        <v>#REF!</v>
      </c>
      <c r="AJ79" s="9" t="e">
        <f>IF(tbl_Case_mins[[#This Row],[ThCloseAm]]&gt;0,IF(tbl_Case_mins[[#This Row],[ThOpenPM]]&gt;0,tbl_Case_mins[[#This Row],[ThClosePm]],tbl_Case_mins[[#This Row],[ThCloseAm]]),tbl_Case_mins[[#This Row],[ThClosePm]])</f>
        <v>#REF!</v>
      </c>
      <c r="AK79" s="9" t="e">
        <f>IF(tbl_Case_mins[[#This Row],[TOT]]&gt;0,1,0)</f>
        <v>#REF!</v>
      </c>
      <c r="AL7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79" s="9" t="e">
        <f>IF(AND(tbl_Case_mins[[#This Row],[Surgery Status]]&lt;&gt;2,tbl_Case_mins[[#This Row],[InCoreCase]]=0,tbl_Case_mins[[#This Row],[CancelledCase]]=0),1,0)</f>
        <v>#REF!</v>
      </c>
      <c r="AN79" s="9" t="e">
        <f>IF(tbl_Case_mins[[#This Row],[Surgery Status]]=1,1,0)</f>
        <v>#REF!</v>
      </c>
      <c r="AO7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79" s="9" t="e">
        <f>IF(AND(tbl_Case_mins[[#This Row],[NonCoreCase]]=1,tbl_Case_mins[[#This Row],[NoInCoreTime]]=0),1,0)</f>
        <v>#REF!</v>
      </c>
      <c r="AQ79" s="9" t="e">
        <f>IF(tbl_Case_mins[[#This Row],[Rank_AnaEnd]]&lt;tbl_Case_mins[[#This Row],[Rank_AnaSt]],1,0)</f>
        <v>#REF!</v>
      </c>
      <c r="AR79" s="9" t="e">
        <f>IF(AND(tbl_Case_mins[[#This Row],[InCoreCase]]=1,tbl_Case_mins[[#This Row],[Sch]]=1),1,0)</f>
        <v>#REF!</v>
      </c>
      <c r="AS79" s="9" t="e">
        <f>IF(AND(tbl_Case_mins[[#This Row],[InCoreCase]]=1,tbl_Case_mins[[#This Row],[Unsch]]=1),1,0)</f>
        <v>#REF!</v>
      </c>
      <c r="AT7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7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7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79" s="9" t="e">
        <f>IF(tbl_Case_mins[[#This Row],[Surgery Status]]=0,(tbl_Case_mins[[#This Row],[Anaesth End]]-tbl_Case_mins[[#This Row],[AnaesthStart]]),0)</f>
        <v>#REF!</v>
      </c>
      <c r="AX79" s="9" t="e">
        <f>IF(tbl_Case_mins[[#This Row],[Surgery Status]]=0,(tbl_Case_mins[[#This Row],[Surgery Finish]]-tbl_Case_mins[[#This Row],[Surgery Start]]),0)</f>
        <v>#REF!</v>
      </c>
      <c r="AY79" s="9" t="e">
        <f>tbl_Case_mins[[#This Row],[Surgery Start]]-tbl_Case_mins[[#This Row],[AnaesthStart]]</f>
        <v>#REF!</v>
      </c>
      <c r="AZ79" s="9" t="e">
        <f>tbl_Case_mins[[#This Row],[Anaesth End]]-tbl_Case_mins[[#This Row],[Surgery Finish]]</f>
        <v>#REF!</v>
      </c>
      <c r="BA7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7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79" s="16" cm="1">
        <f t="array" ref="BC7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79" s="16" t="e">
        <f>IF(AND(tbl_Case_mins[[#This Row],[FirstAMCase]]=1,tbl_Case_mins[[#This Row],[CancelledCase]]=0,OR(tbl_Case_mins[[#This Row],[EarlyStartAM]]&gt;0,tbl_Case_mins[[#This Row],[AnaesthStart]]=tbl_Case_mins[[#This Row],[ThOpenAm]])),1,0)</f>
        <v>#REF!</v>
      </c>
      <c r="BE79" s="16" t="e">
        <f>IF(AND(tbl_Case_mins[[#This Row],[Rank_AnaSt]]=tbl_Case_mins[[#This Row],[Min_RankAnaSt]],tbl_Case_mins[[#This Row],[Anaesth End]]&gt;=tbl_Case_mins[[#This Row],[ThOpenAm]],tbl_Case_mins[[#This Row],[PmCase]]=0),1,0)</f>
        <v>#REF!</v>
      </c>
      <c r="BF7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7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79" s="9" t="e" cm="1">
        <f t="array" ref="BH7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7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7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79" s="9" t="e">
        <f>IF(AND(tbl_Case_mins[[#This Row],[ThOpenPM]]&gt;0,tbl_Case_mins[[#This Row],[AnaesthStart]]&gt;tbl_Case_mins[[#This Row],[ThOpenPM]],tbl_Case_mins[[#This Row],[First PM Case]]=1),tbl_Case_mins[[#This Row],[AnaesthStart]]-tbl_Case_mins[[#This Row],[ThOpenPM]],0)</f>
        <v>#REF!</v>
      </c>
      <c r="BL7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7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79" s="9" t="e" cm="1">
        <f t="array" ref="BN7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79" s="9" t="e">
        <f>IF(AND(tbl_Case_mins[[#This Row],[ThClosePm]]&gt;0,tbl_Case_mins[[#This Row],[Anaesth End]]&gt;tbl_Case_mins[[#This Row],[ThClosePm]],tbl_Case_mins[[#This Row],[AnaesthStart]]&gt;tbl_Case_mins[[#This Row],[ThClosePm]]),tbl_Case_mins[[#This Row],[Into Recov]]-tbl_Case_mins[[#This Row],[AnaesthStart]],0)</f>
        <v>#REF!</v>
      </c>
      <c r="BP79" s="9" t="e">
        <f>IF(AND(tbl_Case_mins[[#This Row],[AnaesthStart]]&lt;tbl_Case_mins[[#This Row],[ThClosePm]],tbl_Case_mins[[#This Row],[Anaesth End]]&gt;tbl_Case_mins[[#This Row],[ThClosePm]]),tbl_Case_mins[[#This Row],[Anaesth End]]-tbl_Case_mins[[#This Row],[ThClosePm]],0)</f>
        <v>#REF!</v>
      </c>
      <c r="BQ79" s="9" t="e" cm="1">
        <f t="array" ref="BQ7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79" s="9" t="e" cm="1">
        <f t="array" ref="BR79">IF(tbl_Case_mins[[#This Row],[Rank_Adjust]]=SUMPRODUCT(-(tbl_Case_mins[Surgery Start Date]=tbl_Case_mins[[#This Row],[Surgery Start Date]]),-(tbl_Case_mins[Theatre]=tbl_Case_mins[[#This Row],[Theatre]])),INDEX(Poss_Time,MATCH(TEXT(tbl_Case_mins[[#This Row],[Surgery Start Date]],"ddd"),Day,0)),0)</f>
        <v>#REF!</v>
      </c>
      <c r="BS79" s="9" t="e">
        <f>tbl_Case_mins[[#This Row],[Core_Time]]*Util_Goal</f>
        <v>#REF!</v>
      </c>
      <c r="BT79" s="9" t="e" cm="1">
        <f t="array" ref="BT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79" s="9" t="e" cm="1">
        <f t="array" ref="BU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7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7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79" s="9" t="e">
        <f>IF(tbl_Case_mins[[#This Row],[Surgery End Date]]&gt;tbl_Case_mins[[#This Row],[Surgery Start Date]],tbl_Case_mins[[#This Row],[Anaesth End]]-1440,0)</f>
        <v>#REF!</v>
      </c>
      <c r="BY79" s="9" t="e">
        <f>tbl_Case_mins[[#This Row],[Total_NonCore]]-tbl_Case_mins[[#This Row],[NextDay_NonCore]]</f>
        <v>#REF!</v>
      </c>
      <c r="BZ79" s="10" t="e">
        <f>tbl_Case_mins[[#This Row],[InCoreUse]]/60</f>
        <v>#REF!</v>
      </c>
      <c r="CA79" s="10" t="e">
        <f>tbl_Case_mins[[#This Row],[Total_NonCore]]/60</f>
        <v>#REF!</v>
      </c>
      <c r="CB79" t="e" cm="1">
        <f t="array" ref="CB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79" s="9" t="e" cm="1">
        <f t="array" ref="CC7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79" s="9" t="e" cm="1">
        <f t="array" ref="CD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79" s="9" t="e" cm="1">
        <f t="array" ref="CE7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79" s="9" cm="1">
        <f t="array" ref="CF79">IFERROR(_xlfn.AGGREGATE(14,6,(tbl_Case_mins[Rank_AnaEnd])/((tbl_Case_mins[Surgery Start Date]=tbl_Case_mins[[#This Row],[Surgery Start Date]])*(tbl_Case_mins[Theatre]=tbl_Case_mins[[#This Row],[Theatre]])*(tbl_Case_mins[NoInCoreTime]=0)),1),-1)</f>
        <v>-1</v>
      </c>
      <c r="CG79" s="9" cm="1">
        <f t="array" ref="CG79">IFERROR(_xlfn.AGGREGATE(15,6,(tbl_Case_mins[Rank_AnaSt])/((tbl_Case_mins[Surgery Start Date]=tbl_Case_mins[[#This Row],[Surgery Start Date]])*(tbl_Case_mins[Theatre]=tbl_Case_mins[[#This Row],[Theatre]])*(tbl_Case_mins[NoInCoreTime]=0)),1),-1)</f>
        <v>-1</v>
      </c>
      <c r="CH7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7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79" t="e" cm="1">
        <f t="array" ref="CJ7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7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7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79" s="9" cm="1">
        <f t="array" ref="CO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79" s="9" cm="1">
        <f t="array" ref="CP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79" s="9" cm="1">
        <f t="array" ref="CQ79">IFERROR(IF(AND(tbl_Case_mins[[#This Row],[FirstAMCase]]=0,tbl_Case_mins[[#This Row],[Rank]]=_xlfn.AGGREGATE(14,6,(tbl_Case_mins[Rank])/((tbl_Case_mins[Surgery Start Date]=tbl_Case_mins[[#This Row],[Surgery Start Date]])*(tbl_Case_mins[Theatre]=tbl_Case_mins[[#This Row],[Theatre]])*(tbl_Case_mins[AmCase]=1)),1)),1,0),0)</f>
        <v>0</v>
      </c>
      <c r="CR79" s="9" cm="1">
        <f t="array" ref="CR7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79" s="9" t="e" cm="1">
        <f t="array" ref="CS7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79" s="9" cm="1">
        <f t="array" ref="CT79">IFERROR(IF(tbl_Case_mins[[#This Row],[Rank]]=_xlfn.AGGREGATE(15,6,(tbl_Case_mins[Rank])/((tbl_Case_mins[Surgery Start Date]=tbl_Case_mins[[#This Row],[Surgery Start Date]])*(tbl_Case_mins[Theatre]=tbl_Case_mins[[#This Row],[Theatre]])*(tbl_Case_mins[PmCase]=1)),1),1,0),0)</f>
        <v>0</v>
      </c>
      <c r="CU79">
        <f>IFERROR(#REF!,0)</f>
        <v>0</v>
      </c>
      <c r="CV79" s="9" t="e" cm="1">
        <f t="array" ref="CV7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79" s="9">
        <f>IFERROR(IF(ISBLANK(INDEX(Bay_AmClose,MATCH(1,INDEX((tbl_Case_mins[[#This Row],[Bay]]=BayNo)*(tbl_Case_mins[[#This Row],[Surgery Start Date]]=BDate),0,1),0))*1440),0,INDEX(Bay_AmClose,MATCH(1,INDEX((tbl_Case_mins[[#This Row],[Bay]]=BayNo)*(tbl_Case_mins[[#This Row],[Surgery Start Date]]=BDate),0,1),0))*1440),0)</f>
        <v>0</v>
      </c>
      <c r="CX79" s="9" cm="1">
        <f t="array" ref="CX79">IFERROR(IF(ISBLANK(INDEX(Bay_PmOpen,MATCH(1,INDEX((tbl_Case_mins[[#This Row],[Bay]]=BayNo)*(tbl_Case_mins[[#This Row],[Surgery Start Date]]=BDate),0,1),0))*1440),0,INDEX(Bay_PmOpen,MATCH(1,INDEX((tbl_Case_mins[[#This Row],[Bay]]=BayNo)*(tbl_Case_mins[[#This Row],[Surgery Start Date]]=BDate),0,1),0))*1440),0)</f>
        <v>0</v>
      </c>
      <c r="CY7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79" s="9"/>
    </row>
    <row r="80" spans="1:104" x14ac:dyDescent="0.2">
      <c r="A80">
        <v>79</v>
      </c>
      <c r="B80" t="e">
        <f>#REF!</f>
        <v>#REF!</v>
      </c>
      <c r="C80" t="e">
        <f>#REF!</f>
        <v>#REF!</v>
      </c>
      <c r="D80" t="e">
        <f>#REF!</f>
        <v>#REF!</v>
      </c>
      <c r="E80" t="e">
        <f>#REF!</f>
        <v>#REF!</v>
      </c>
      <c r="F80" t="e">
        <f>#REF!</f>
        <v>#REF!</v>
      </c>
      <c r="G80" t="e">
        <f>#REF!</f>
        <v>#REF!</v>
      </c>
      <c r="H80" t="e">
        <f>#REF!</f>
        <v>#REF!</v>
      </c>
      <c r="I80" t="e">
        <f>IF(#REF!="Case Cancelled",1,IF(#REF!="No Cases",2,0))</f>
        <v>#REF!</v>
      </c>
      <c r="J80" t="e">
        <f>#REF!</f>
        <v>#REF!</v>
      </c>
      <c r="K80" s="4" t="e">
        <f>#REF!</f>
        <v>#REF!</v>
      </c>
      <c r="L80" t="e">
        <f>"Wk "&amp;WEEKNUM(tbl_Case_mins[[#This Row],[Surgery Start Date]],21)</f>
        <v>#REF!</v>
      </c>
      <c r="M80" t="e">
        <f>TEXT(tbl_Case_mins[[#This Row],[Surgery Start Date]],"ddd")</f>
        <v>#REF!</v>
      </c>
      <c r="N80" s="9" t="e">
        <f>(#REF!-TIME(0,0,0))*1440</f>
        <v>#REF!</v>
      </c>
      <c r="O80" t="e">
        <f>IF(AND(ROUND((#REF!-TIME(0,0,0))*1440,0)&gt;0,ROUND((#REF!-TIME(0,0,0))*1440,0)&lt;tbl_Case_mins[[#This Row],[Patient Called]],tbl_Case_mins[[#This Row],[Surgery End Date]]&gt;tbl_Case_mins[[#This Row],[Surgery Start Date]]),ROUND((#REF!-TIME(0,0,0))*1440,0)+1440,ROUND((#REF!-TIME(0,0,0))*1440,0))</f>
        <v>#REF!</v>
      </c>
      <c r="P80" s="9" t="e">
        <f>IF(AND(ROUND((#REF!-TIME(0,0,0))*1440,0)&gt;0,ROUND((#REF!-TIME(0,0,0))*1440,0)&lt;tbl_Case_mins[[#This Row],[Arrival]],tbl_Case_mins[[#This Row],[Surgery End Date]]&gt;tbl_Case_mins[[#This Row],[Surgery Start Date]]),ROUND((#REF!-TIME(0,0,0))*1440,0)+1440,ROUND((#REF!-TIME(0,0,0))*1440,0))</f>
        <v>#REF!</v>
      </c>
      <c r="Q80" s="9" t="e">
        <f>IF(AND(ROUND((#REF!-TIME(0,0,0))*1440,0)&gt;0,ROUND((#REF!-TIME(0,0,0))*1440,0)&lt;tbl_Case_mins[[#This Row],[Into Th or AR]],tbl_Case_mins[[#This Row],[Surgery End Date]]&gt;tbl_Case_mins[[#This Row],[Surgery Start Date]]),ROUND((#REF!-TIME(0,0,0))*1440,0)+1440,ROUND((#REF!-TIME(0,0,0))*1440,0))</f>
        <v>#REF!</v>
      </c>
      <c r="R80" s="9" t="e">
        <f>IF(AND(ROUND((#REF!-TIME(0,0,0))*1440,0)&gt;0,ROUND((#REF!-TIME(0,0,0))*1440,0)&lt;tbl_Case_mins[[#This Row],[AnaesthStart]],tbl_Case_mins[[#This Row],[Surgery End Date]]&gt;tbl_Case_mins[[#This Row],[Surgery Start Date]]),ROUND((#REF!-TIME(0,0,0))*1440,0)+1440,ROUND((#REF!-TIME(0,0,0))*1440,0))</f>
        <v>#REF!</v>
      </c>
      <c r="S80" s="9" t="e">
        <f>IF(AND(ROUND((#REF!-TIME(0,0,0))*1440,0),ROUND((#REF!-TIME(0,0,0))*1440,0)&lt;tbl_Case_mins[[#This Row],[Surgery Start]],tbl_Case_mins[[#This Row],[Surgery End Date]]&gt;tbl_Case_mins[[#This Row],[Surgery Start Date]]),ROUND((#REF!-TIME(0,0,0))*1440,0)+1440,ROUND((#REF!-TIME(0,0,0))*1440,0))</f>
        <v>#REF!</v>
      </c>
      <c r="T80" s="9" t="e">
        <f>IF(AND(ROUND((#REF!-TIME(0,0,0))*1440,0)&gt;0,ROUND((#REF!-TIME(0,0,0))*1440,0)&lt;tbl_Case_mins[[#This Row],[Surgery Finish]],tbl_Case_mins[[#This Row],[Surgery End Date]]&gt;tbl_Case_mins[[#This Row],[Surgery Start Date]]),ROUND((#REF!-TIME(0,0,0))*1440,0)+1440,ROUND((#REF!-TIME(0,0,0))*1440,0))</f>
        <v>#REF!</v>
      </c>
      <c r="U80" s="9" t="e">
        <f>IF(AND(ROUND((#REF!-TIME(0,0,0))*1440,0)&gt;0,ROUND((#REF!-TIME(0,0,0))*1440,0)&lt;tbl_Case_mins[[#This Row],[Anaesth End]],tbl_Case_mins[[#This Row],[Surgery End Date]]&gt;tbl_Case_mins[[#This Row],[Surgery Start Date]]),ROUND((#REF!-TIME(0,0,0))*1440,0)+1440,ROUND((#REF!-TIME(0,0,0))*1440,0))</f>
        <v>#REF!</v>
      </c>
      <c r="V80" s="9" t="e">
        <f>IF(AND(ROUND((#REF!-TIME(0,0,0))*1440,0)&gt;0,ROUND((#REF!-TIME(0,0,0))*1440,0)&lt;tbl_Case_mins[[#This Row],[Into Recov]],tbl_Case_mins[[#This Row],[Surgery End Date]]&gt;tbl_Case_mins[[#This Row],[Surgery Start Date]]),ROUND((#REF!-TIME(0,0,0))*1440,0)+1440,ROUND((#REF!-TIME(0,0,0))*1440,0))</f>
        <v>#REF!</v>
      </c>
      <c r="W80" s="9" t="e">
        <f>IF(AND(ROUND((#REF!-TIME(0,0,0))*1440,0)&gt;0,ROUND((#REF!-TIME(0,0,0))*1440,0)&lt;tbl_Case_mins[[#This Row],[Ward Called]],tbl_Case_mins[[#This Row],[Surgery End Date]]&gt;tbl_Case_mins[[#This Row],[Surgery Start Date]]),ROUND((#REF!-TIME(0,0,0))*1440,0)+1440,ROUND((#REF!-TIME(0,0,0))*1440,0))</f>
        <v>#REF!</v>
      </c>
      <c r="X80" s="4" t="e">
        <f>IF(ISBLANK(#REF!),tbl_Case_mins[[#This Row],[Surgery Start Date]],#REF!)</f>
        <v>#REF!</v>
      </c>
      <c r="Y80">
        <f>IFERROR(IF(VLOOKUP(tbl_Case_mins[[#This Row],[Theatre]],'Mng Theatres'!$C$7:$G$12,3,FALSE)="Yes","Yes","No"),0)</f>
        <v>0</v>
      </c>
      <c r="Z80" s="9" t="e" cm="1">
        <f t="array" ref="Z8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0" s="9" t="e" cm="1">
        <f t="array" ref="AA8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0" s="9" t="e">
        <f>IF(tbl_Case_mins[[#This Row],[Case Type]]="Unsch",1,0)</f>
        <v>#REF!</v>
      </c>
      <c r="AD80" s="9" t="e">
        <f>IF(tbl_Case_mins[[#This Row],[Case Type]]="Sch",1,0)</f>
        <v>#REF!</v>
      </c>
      <c r="AE8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0" s="9">
        <f>IFERROR(IF(ISBLANK(INDEX(Am_Close,MATCH(1,INDEX((tbl_Case_mins[[#This Row],[Theatre]]=Theatre_No)*(tbl_Case_mins[[#This Row],[Surgery Start Date]]=Date),0,1),0))*1440),0,INDEX(Am_Close,MATCH(1,INDEX((tbl_Case_mins[[#This Row],[Theatre]]=Theatre_No)*(tbl_Case_mins[[#This Row],[Surgery Start Date]]=Date),0,1),0))*1440),0)</f>
        <v>0</v>
      </c>
      <c r="AG80" s="9">
        <f>IFERROR(IF(ISBLANK(INDEX(PM_Open,MATCH(1,INDEX((tbl_Case_mins[[#This Row],[Theatre]]=Theatre_No)*(tbl_Case_mins[[#This Row],[Surgery Start Date]]=Date),0,1),0))*1440),0,INDEX(PM_Open,MATCH(1,INDEX((tbl_Case_mins[[#This Row],[Theatre]]=Theatre_No)*(tbl_Case_mins[[#This Row],[Surgery Start Date]]=Date),0,1),0))*1440),0)</f>
        <v>0</v>
      </c>
      <c r="AH8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0" s="9" t="e">
        <f>IF(tbl_Case_mins[[#This Row],[ThOpenAm]]=0,tbl_Case_mins[[#This Row],[ThOpenPM]],tbl_Case_mins[[#This Row],[ThOpenAm]])</f>
        <v>#REF!</v>
      </c>
      <c r="AJ80" s="9" t="e">
        <f>IF(tbl_Case_mins[[#This Row],[ThCloseAm]]&gt;0,IF(tbl_Case_mins[[#This Row],[ThOpenPM]]&gt;0,tbl_Case_mins[[#This Row],[ThClosePm]],tbl_Case_mins[[#This Row],[ThCloseAm]]),tbl_Case_mins[[#This Row],[ThClosePm]])</f>
        <v>#REF!</v>
      </c>
      <c r="AK80" s="9" t="e">
        <f>IF(tbl_Case_mins[[#This Row],[TOT]]&gt;0,1,0)</f>
        <v>#REF!</v>
      </c>
      <c r="AL8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0" s="9" t="e">
        <f>IF(AND(tbl_Case_mins[[#This Row],[Surgery Status]]&lt;&gt;2,tbl_Case_mins[[#This Row],[InCoreCase]]=0,tbl_Case_mins[[#This Row],[CancelledCase]]=0),1,0)</f>
        <v>#REF!</v>
      </c>
      <c r="AN80" s="9" t="e">
        <f>IF(tbl_Case_mins[[#This Row],[Surgery Status]]=1,1,0)</f>
        <v>#REF!</v>
      </c>
      <c r="AO8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0" s="9" t="e">
        <f>IF(AND(tbl_Case_mins[[#This Row],[NonCoreCase]]=1,tbl_Case_mins[[#This Row],[NoInCoreTime]]=0),1,0)</f>
        <v>#REF!</v>
      </c>
      <c r="AQ80" s="9" t="e">
        <f>IF(tbl_Case_mins[[#This Row],[Rank_AnaEnd]]&lt;tbl_Case_mins[[#This Row],[Rank_AnaSt]],1,0)</f>
        <v>#REF!</v>
      </c>
      <c r="AR80" s="9" t="e">
        <f>IF(AND(tbl_Case_mins[[#This Row],[InCoreCase]]=1,tbl_Case_mins[[#This Row],[Sch]]=1),1,0)</f>
        <v>#REF!</v>
      </c>
      <c r="AS80" s="9" t="e">
        <f>IF(AND(tbl_Case_mins[[#This Row],[InCoreCase]]=1,tbl_Case_mins[[#This Row],[Unsch]]=1),1,0)</f>
        <v>#REF!</v>
      </c>
      <c r="AT8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0" s="9" t="e">
        <f>IF(tbl_Case_mins[[#This Row],[Surgery Status]]=0,(tbl_Case_mins[[#This Row],[Anaesth End]]-tbl_Case_mins[[#This Row],[AnaesthStart]]),0)</f>
        <v>#REF!</v>
      </c>
      <c r="AX80" s="9" t="e">
        <f>IF(tbl_Case_mins[[#This Row],[Surgery Status]]=0,(tbl_Case_mins[[#This Row],[Surgery Finish]]-tbl_Case_mins[[#This Row],[Surgery Start]]),0)</f>
        <v>#REF!</v>
      </c>
      <c r="AY80" s="9" t="e">
        <f>tbl_Case_mins[[#This Row],[Surgery Start]]-tbl_Case_mins[[#This Row],[AnaesthStart]]</f>
        <v>#REF!</v>
      </c>
      <c r="AZ80" s="9" t="e">
        <f>tbl_Case_mins[[#This Row],[Anaesth End]]-tbl_Case_mins[[#This Row],[Surgery Finish]]</f>
        <v>#REF!</v>
      </c>
      <c r="BA8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0" s="16" cm="1">
        <f t="array" ref="BC8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0" s="16" t="e">
        <f>IF(AND(tbl_Case_mins[[#This Row],[FirstAMCase]]=1,tbl_Case_mins[[#This Row],[CancelledCase]]=0,OR(tbl_Case_mins[[#This Row],[EarlyStartAM]]&gt;0,tbl_Case_mins[[#This Row],[AnaesthStart]]=tbl_Case_mins[[#This Row],[ThOpenAm]])),1,0)</f>
        <v>#REF!</v>
      </c>
      <c r="BE80" s="16" t="e">
        <f>IF(AND(tbl_Case_mins[[#This Row],[Rank_AnaSt]]=tbl_Case_mins[[#This Row],[Min_RankAnaSt]],tbl_Case_mins[[#This Row],[Anaesth End]]&gt;=tbl_Case_mins[[#This Row],[ThOpenAm]],tbl_Case_mins[[#This Row],[PmCase]]=0),1,0)</f>
        <v>#REF!</v>
      </c>
      <c r="BF8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0" s="9" t="e" cm="1">
        <f t="array" ref="BH8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0" s="9" t="e">
        <f>IF(AND(tbl_Case_mins[[#This Row],[ThOpenPM]]&gt;0,tbl_Case_mins[[#This Row],[AnaesthStart]]&gt;tbl_Case_mins[[#This Row],[ThOpenPM]],tbl_Case_mins[[#This Row],[First PM Case]]=1),tbl_Case_mins[[#This Row],[AnaesthStart]]-tbl_Case_mins[[#This Row],[ThOpenPM]],0)</f>
        <v>#REF!</v>
      </c>
      <c r="BL8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0" s="9" t="e" cm="1">
        <f t="array" ref="BN8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0" s="9" t="e">
        <f>IF(AND(tbl_Case_mins[[#This Row],[ThClosePm]]&gt;0,tbl_Case_mins[[#This Row],[Anaesth End]]&gt;tbl_Case_mins[[#This Row],[ThClosePm]],tbl_Case_mins[[#This Row],[AnaesthStart]]&gt;tbl_Case_mins[[#This Row],[ThClosePm]]),tbl_Case_mins[[#This Row],[Into Recov]]-tbl_Case_mins[[#This Row],[AnaesthStart]],0)</f>
        <v>#REF!</v>
      </c>
      <c r="BP80" s="9" t="e">
        <f>IF(AND(tbl_Case_mins[[#This Row],[AnaesthStart]]&lt;tbl_Case_mins[[#This Row],[ThClosePm]],tbl_Case_mins[[#This Row],[Anaesth End]]&gt;tbl_Case_mins[[#This Row],[ThClosePm]]),tbl_Case_mins[[#This Row],[Anaesth End]]-tbl_Case_mins[[#This Row],[ThClosePm]],0)</f>
        <v>#REF!</v>
      </c>
      <c r="BQ80" s="9" t="e" cm="1">
        <f t="array" ref="BQ8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0" s="9" t="e" cm="1">
        <f t="array" ref="BR80">IF(tbl_Case_mins[[#This Row],[Rank_Adjust]]=SUMPRODUCT(-(tbl_Case_mins[Surgery Start Date]=tbl_Case_mins[[#This Row],[Surgery Start Date]]),-(tbl_Case_mins[Theatre]=tbl_Case_mins[[#This Row],[Theatre]])),INDEX(Poss_Time,MATCH(TEXT(tbl_Case_mins[[#This Row],[Surgery Start Date]],"ddd"),Day,0)),0)</f>
        <v>#REF!</v>
      </c>
      <c r="BS80" s="9" t="e">
        <f>tbl_Case_mins[[#This Row],[Core_Time]]*Util_Goal</f>
        <v>#REF!</v>
      </c>
      <c r="BT80" s="9" t="e" cm="1">
        <f t="array" ref="BT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0" s="9" t="e" cm="1">
        <f t="array" ref="BU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0" s="9" t="e">
        <f>IF(tbl_Case_mins[[#This Row],[Surgery End Date]]&gt;tbl_Case_mins[[#This Row],[Surgery Start Date]],tbl_Case_mins[[#This Row],[Anaesth End]]-1440,0)</f>
        <v>#REF!</v>
      </c>
      <c r="BY80" s="9" t="e">
        <f>tbl_Case_mins[[#This Row],[Total_NonCore]]-tbl_Case_mins[[#This Row],[NextDay_NonCore]]</f>
        <v>#REF!</v>
      </c>
      <c r="BZ80" s="10" t="e">
        <f>tbl_Case_mins[[#This Row],[InCoreUse]]/60</f>
        <v>#REF!</v>
      </c>
      <c r="CA80" s="10" t="e">
        <f>tbl_Case_mins[[#This Row],[Total_NonCore]]/60</f>
        <v>#REF!</v>
      </c>
      <c r="CB80" t="e" cm="1">
        <f t="array" ref="CB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0" s="9" t="e" cm="1">
        <f t="array" ref="CC8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0" s="9" t="e" cm="1">
        <f t="array" ref="CD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0" s="9" t="e" cm="1">
        <f t="array" ref="CE8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0" s="9" cm="1">
        <f t="array" ref="CF80">IFERROR(_xlfn.AGGREGATE(14,6,(tbl_Case_mins[Rank_AnaEnd])/((tbl_Case_mins[Surgery Start Date]=tbl_Case_mins[[#This Row],[Surgery Start Date]])*(tbl_Case_mins[Theatre]=tbl_Case_mins[[#This Row],[Theatre]])*(tbl_Case_mins[NoInCoreTime]=0)),1),-1)</f>
        <v>-1</v>
      </c>
      <c r="CG80" s="9" cm="1">
        <f t="array" ref="CG80">IFERROR(_xlfn.AGGREGATE(15,6,(tbl_Case_mins[Rank_AnaSt])/((tbl_Case_mins[Surgery Start Date]=tbl_Case_mins[[#This Row],[Surgery Start Date]])*(tbl_Case_mins[Theatre]=tbl_Case_mins[[#This Row],[Theatre]])*(tbl_Case_mins[NoInCoreTime]=0)),1),-1)</f>
        <v>-1</v>
      </c>
      <c r="CH8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0" t="e" cm="1">
        <f t="array" ref="CJ8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0" s="9" cm="1">
        <f t="array" ref="CO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0" s="9" cm="1">
        <f t="array" ref="CP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0" s="9" cm="1">
        <f t="array" ref="CQ80">IFERROR(IF(AND(tbl_Case_mins[[#This Row],[FirstAMCase]]=0,tbl_Case_mins[[#This Row],[Rank]]=_xlfn.AGGREGATE(14,6,(tbl_Case_mins[Rank])/((tbl_Case_mins[Surgery Start Date]=tbl_Case_mins[[#This Row],[Surgery Start Date]])*(tbl_Case_mins[Theatre]=tbl_Case_mins[[#This Row],[Theatre]])*(tbl_Case_mins[AmCase]=1)),1)),1,0),0)</f>
        <v>0</v>
      </c>
      <c r="CR80" s="9" cm="1">
        <f t="array" ref="CR8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0" s="9" t="e" cm="1">
        <f t="array" ref="CS8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0" s="9" cm="1">
        <f t="array" ref="CT80">IFERROR(IF(tbl_Case_mins[[#This Row],[Rank]]=_xlfn.AGGREGATE(15,6,(tbl_Case_mins[Rank])/((tbl_Case_mins[Surgery Start Date]=tbl_Case_mins[[#This Row],[Surgery Start Date]])*(tbl_Case_mins[Theatre]=tbl_Case_mins[[#This Row],[Theatre]])*(tbl_Case_mins[PmCase]=1)),1),1,0),0)</f>
        <v>0</v>
      </c>
      <c r="CU80">
        <f>IFERROR(#REF!,0)</f>
        <v>0</v>
      </c>
      <c r="CV80" s="9" t="e" cm="1">
        <f t="array" ref="CV8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0" s="9">
        <f>IFERROR(IF(ISBLANK(INDEX(Bay_AmClose,MATCH(1,INDEX((tbl_Case_mins[[#This Row],[Bay]]=BayNo)*(tbl_Case_mins[[#This Row],[Surgery Start Date]]=BDate),0,1),0))*1440),0,INDEX(Bay_AmClose,MATCH(1,INDEX((tbl_Case_mins[[#This Row],[Bay]]=BayNo)*(tbl_Case_mins[[#This Row],[Surgery Start Date]]=BDate),0,1),0))*1440),0)</f>
        <v>0</v>
      </c>
      <c r="CX80" s="9" cm="1">
        <f t="array" ref="CX80">IFERROR(IF(ISBLANK(INDEX(Bay_PmOpen,MATCH(1,INDEX((tbl_Case_mins[[#This Row],[Bay]]=BayNo)*(tbl_Case_mins[[#This Row],[Surgery Start Date]]=BDate),0,1),0))*1440),0,INDEX(Bay_PmOpen,MATCH(1,INDEX((tbl_Case_mins[[#This Row],[Bay]]=BayNo)*(tbl_Case_mins[[#This Row],[Surgery Start Date]]=BDate),0,1),0))*1440),0)</f>
        <v>0</v>
      </c>
      <c r="CY8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0" s="9"/>
    </row>
    <row r="81" spans="1:104" x14ac:dyDescent="0.2">
      <c r="A81">
        <v>80</v>
      </c>
      <c r="B81" t="e">
        <f>#REF!</f>
        <v>#REF!</v>
      </c>
      <c r="C81" t="e">
        <f>#REF!</f>
        <v>#REF!</v>
      </c>
      <c r="D81" t="e">
        <f>#REF!</f>
        <v>#REF!</v>
      </c>
      <c r="E81" t="e">
        <f>#REF!</f>
        <v>#REF!</v>
      </c>
      <c r="F81" t="e">
        <f>#REF!</f>
        <v>#REF!</v>
      </c>
      <c r="G81" t="e">
        <f>#REF!</f>
        <v>#REF!</v>
      </c>
      <c r="H81" t="e">
        <f>#REF!</f>
        <v>#REF!</v>
      </c>
      <c r="I81" t="e">
        <f>IF(#REF!="Case Cancelled",1,IF(#REF!="No Cases",2,0))</f>
        <v>#REF!</v>
      </c>
      <c r="J81" t="e">
        <f>#REF!</f>
        <v>#REF!</v>
      </c>
      <c r="K81" s="4" t="e">
        <f>#REF!</f>
        <v>#REF!</v>
      </c>
      <c r="L81" t="e">
        <f>"Wk "&amp;WEEKNUM(tbl_Case_mins[[#This Row],[Surgery Start Date]],21)</f>
        <v>#REF!</v>
      </c>
      <c r="M81" t="e">
        <f>TEXT(tbl_Case_mins[[#This Row],[Surgery Start Date]],"ddd")</f>
        <v>#REF!</v>
      </c>
      <c r="N81" s="9" t="e">
        <f>(#REF!-TIME(0,0,0))*1440</f>
        <v>#REF!</v>
      </c>
      <c r="O81" t="e">
        <f>IF(AND(ROUND((#REF!-TIME(0,0,0))*1440,0)&gt;0,ROUND((#REF!-TIME(0,0,0))*1440,0)&lt;tbl_Case_mins[[#This Row],[Patient Called]],tbl_Case_mins[[#This Row],[Surgery End Date]]&gt;tbl_Case_mins[[#This Row],[Surgery Start Date]]),ROUND((#REF!-TIME(0,0,0))*1440,0)+1440,ROUND((#REF!-TIME(0,0,0))*1440,0))</f>
        <v>#REF!</v>
      </c>
      <c r="P81" s="9" t="e">
        <f>IF(AND(ROUND((#REF!-TIME(0,0,0))*1440,0)&gt;0,ROUND((#REF!-TIME(0,0,0))*1440,0)&lt;tbl_Case_mins[[#This Row],[Arrival]],tbl_Case_mins[[#This Row],[Surgery End Date]]&gt;tbl_Case_mins[[#This Row],[Surgery Start Date]]),ROUND((#REF!-TIME(0,0,0))*1440,0)+1440,ROUND((#REF!-TIME(0,0,0))*1440,0))</f>
        <v>#REF!</v>
      </c>
      <c r="Q81" s="9" t="e">
        <f>IF(AND(ROUND((#REF!-TIME(0,0,0))*1440,0)&gt;0,ROUND((#REF!-TIME(0,0,0))*1440,0)&lt;tbl_Case_mins[[#This Row],[Into Th or AR]],tbl_Case_mins[[#This Row],[Surgery End Date]]&gt;tbl_Case_mins[[#This Row],[Surgery Start Date]]),ROUND((#REF!-TIME(0,0,0))*1440,0)+1440,ROUND((#REF!-TIME(0,0,0))*1440,0))</f>
        <v>#REF!</v>
      </c>
      <c r="R81" s="9" t="e">
        <f>IF(AND(ROUND((#REF!-TIME(0,0,0))*1440,0)&gt;0,ROUND((#REF!-TIME(0,0,0))*1440,0)&lt;tbl_Case_mins[[#This Row],[AnaesthStart]],tbl_Case_mins[[#This Row],[Surgery End Date]]&gt;tbl_Case_mins[[#This Row],[Surgery Start Date]]),ROUND((#REF!-TIME(0,0,0))*1440,0)+1440,ROUND((#REF!-TIME(0,0,0))*1440,0))</f>
        <v>#REF!</v>
      </c>
      <c r="S81" s="9" t="e">
        <f>IF(AND(ROUND((#REF!-TIME(0,0,0))*1440,0),ROUND((#REF!-TIME(0,0,0))*1440,0)&lt;tbl_Case_mins[[#This Row],[Surgery Start]],tbl_Case_mins[[#This Row],[Surgery End Date]]&gt;tbl_Case_mins[[#This Row],[Surgery Start Date]]),ROUND((#REF!-TIME(0,0,0))*1440,0)+1440,ROUND((#REF!-TIME(0,0,0))*1440,0))</f>
        <v>#REF!</v>
      </c>
      <c r="T81" s="9" t="e">
        <f>IF(AND(ROUND((#REF!-TIME(0,0,0))*1440,0)&gt;0,ROUND((#REF!-TIME(0,0,0))*1440,0)&lt;tbl_Case_mins[[#This Row],[Surgery Finish]],tbl_Case_mins[[#This Row],[Surgery End Date]]&gt;tbl_Case_mins[[#This Row],[Surgery Start Date]]),ROUND((#REF!-TIME(0,0,0))*1440,0)+1440,ROUND((#REF!-TIME(0,0,0))*1440,0))</f>
        <v>#REF!</v>
      </c>
      <c r="U81" s="9" t="e">
        <f>IF(AND(ROUND((#REF!-TIME(0,0,0))*1440,0)&gt;0,ROUND((#REF!-TIME(0,0,0))*1440,0)&lt;tbl_Case_mins[[#This Row],[Anaesth End]],tbl_Case_mins[[#This Row],[Surgery End Date]]&gt;tbl_Case_mins[[#This Row],[Surgery Start Date]]),ROUND((#REF!-TIME(0,0,0))*1440,0)+1440,ROUND((#REF!-TIME(0,0,0))*1440,0))</f>
        <v>#REF!</v>
      </c>
      <c r="V81" s="9" t="e">
        <f>IF(AND(ROUND((#REF!-TIME(0,0,0))*1440,0)&gt;0,ROUND((#REF!-TIME(0,0,0))*1440,0)&lt;tbl_Case_mins[[#This Row],[Into Recov]],tbl_Case_mins[[#This Row],[Surgery End Date]]&gt;tbl_Case_mins[[#This Row],[Surgery Start Date]]),ROUND((#REF!-TIME(0,0,0))*1440,0)+1440,ROUND((#REF!-TIME(0,0,0))*1440,0))</f>
        <v>#REF!</v>
      </c>
      <c r="W81" s="9" t="e">
        <f>IF(AND(ROUND((#REF!-TIME(0,0,0))*1440,0)&gt;0,ROUND((#REF!-TIME(0,0,0))*1440,0)&lt;tbl_Case_mins[[#This Row],[Ward Called]],tbl_Case_mins[[#This Row],[Surgery End Date]]&gt;tbl_Case_mins[[#This Row],[Surgery Start Date]]),ROUND((#REF!-TIME(0,0,0))*1440,0)+1440,ROUND((#REF!-TIME(0,0,0))*1440,0))</f>
        <v>#REF!</v>
      </c>
      <c r="X81" s="4" t="e">
        <f>IF(ISBLANK(#REF!),tbl_Case_mins[[#This Row],[Surgery Start Date]],#REF!)</f>
        <v>#REF!</v>
      </c>
      <c r="Y81">
        <f>IFERROR(IF(VLOOKUP(tbl_Case_mins[[#This Row],[Theatre]],'Mng Theatres'!$C$7:$G$12,3,FALSE)="Yes","Yes","No"),0)</f>
        <v>0</v>
      </c>
      <c r="Z81" s="9" t="e" cm="1">
        <f t="array" ref="Z8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1" s="9" t="e" cm="1">
        <f t="array" ref="AA8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1" s="9" t="e">
        <f>IF(tbl_Case_mins[[#This Row],[Case Type]]="Unsch",1,0)</f>
        <v>#REF!</v>
      </c>
      <c r="AD81" s="9" t="e">
        <f>IF(tbl_Case_mins[[#This Row],[Case Type]]="Sch",1,0)</f>
        <v>#REF!</v>
      </c>
      <c r="AE8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1" s="9">
        <f>IFERROR(IF(ISBLANK(INDEX(Am_Close,MATCH(1,INDEX((tbl_Case_mins[[#This Row],[Theatre]]=Theatre_No)*(tbl_Case_mins[[#This Row],[Surgery Start Date]]=Date),0,1),0))*1440),0,INDEX(Am_Close,MATCH(1,INDEX((tbl_Case_mins[[#This Row],[Theatre]]=Theatre_No)*(tbl_Case_mins[[#This Row],[Surgery Start Date]]=Date),0,1),0))*1440),0)</f>
        <v>0</v>
      </c>
      <c r="AG81" s="9">
        <f>IFERROR(IF(ISBLANK(INDEX(PM_Open,MATCH(1,INDEX((tbl_Case_mins[[#This Row],[Theatre]]=Theatre_No)*(tbl_Case_mins[[#This Row],[Surgery Start Date]]=Date),0,1),0))*1440),0,INDEX(PM_Open,MATCH(1,INDEX((tbl_Case_mins[[#This Row],[Theatre]]=Theatre_No)*(tbl_Case_mins[[#This Row],[Surgery Start Date]]=Date),0,1),0))*1440),0)</f>
        <v>0</v>
      </c>
      <c r="AH8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1" s="9" t="e">
        <f>IF(tbl_Case_mins[[#This Row],[ThOpenAm]]=0,tbl_Case_mins[[#This Row],[ThOpenPM]],tbl_Case_mins[[#This Row],[ThOpenAm]])</f>
        <v>#REF!</v>
      </c>
      <c r="AJ81" s="9" t="e">
        <f>IF(tbl_Case_mins[[#This Row],[ThCloseAm]]&gt;0,IF(tbl_Case_mins[[#This Row],[ThOpenPM]]&gt;0,tbl_Case_mins[[#This Row],[ThClosePm]],tbl_Case_mins[[#This Row],[ThCloseAm]]),tbl_Case_mins[[#This Row],[ThClosePm]])</f>
        <v>#REF!</v>
      </c>
      <c r="AK81" s="9" t="e">
        <f>IF(tbl_Case_mins[[#This Row],[TOT]]&gt;0,1,0)</f>
        <v>#REF!</v>
      </c>
      <c r="AL8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1" s="9" t="e">
        <f>IF(AND(tbl_Case_mins[[#This Row],[Surgery Status]]&lt;&gt;2,tbl_Case_mins[[#This Row],[InCoreCase]]=0,tbl_Case_mins[[#This Row],[CancelledCase]]=0),1,0)</f>
        <v>#REF!</v>
      </c>
      <c r="AN81" s="9" t="e">
        <f>IF(tbl_Case_mins[[#This Row],[Surgery Status]]=1,1,0)</f>
        <v>#REF!</v>
      </c>
      <c r="AO8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1" s="9" t="e">
        <f>IF(AND(tbl_Case_mins[[#This Row],[NonCoreCase]]=1,tbl_Case_mins[[#This Row],[NoInCoreTime]]=0),1,0)</f>
        <v>#REF!</v>
      </c>
      <c r="AQ81" s="9" t="e">
        <f>IF(tbl_Case_mins[[#This Row],[Rank_AnaEnd]]&lt;tbl_Case_mins[[#This Row],[Rank_AnaSt]],1,0)</f>
        <v>#REF!</v>
      </c>
      <c r="AR81" s="9" t="e">
        <f>IF(AND(tbl_Case_mins[[#This Row],[InCoreCase]]=1,tbl_Case_mins[[#This Row],[Sch]]=1),1,0)</f>
        <v>#REF!</v>
      </c>
      <c r="AS81" s="9" t="e">
        <f>IF(AND(tbl_Case_mins[[#This Row],[InCoreCase]]=1,tbl_Case_mins[[#This Row],[Unsch]]=1),1,0)</f>
        <v>#REF!</v>
      </c>
      <c r="AT8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1" s="9" t="e">
        <f>IF(tbl_Case_mins[[#This Row],[Surgery Status]]=0,(tbl_Case_mins[[#This Row],[Anaesth End]]-tbl_Case_mins[[#This Row],[AnaesthStart]]),0)</f>
        <v>#REF!</v>
      </c>
      <c r="AX81" s="9" t="e">
        <f>IF(tbl_Case_mins[[#This Row],[Surgery Status]]=0,(tbl_Case_mins[[#This Row],[Surgery Finish]]-tbl_Case_mins[[#This Row],[Surgery Start]]),0)</f>
        <v>#REF!</v>
      </c>
      <c r="AY81" s="9" t="e">
        <f>tbl_Case_mins[[#This Row],[Surgery Start]]-tbl_Case_mins[[#This Row],[AnaesthStart]]</f>
        <v>#REF!</v>
      </c>
      <c r="AZ81" s="9" t="e">
        <f>tbl_Case_mins[[#This Row],[Anaesth End]]-tbl_Case_mins[[#This Row],[Surgery Finish]]</f>
        <v>#REF!</v>
      </c>
      <c r="BA8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1" s="16" cm="1">
        <f t="array" ref="BC8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1" s="16" t="e">
        <f>IF(AND(tbl_Case_mins[[#This Row],[FirstAMCase]]=1,tbl_Case_mins[[#This Row],[CancelledCase]]=0,OR(tbl_Case_mins[[#This Row],[EarlyStartAM]]&gt;0,tbl_Case_mins[[#This Row],[AnaesthStart]]=tbl_Case_mins[[#This Row],[ThOpenAm]])),1,0)</f>
        <v>#REF!</v>
      </c>
      <c r="BE81" s="16" t="e">
        <f>IF(AND(tbl_Case_mins[[#This Row],[Rank_AnaSt]]=tbl_Case_mins[[#This Row],[Min_RankAnaSt]],tbl_Case_mins[[#This Row],[Anaesth End]]&gt;=tbl_Case_mins[[#This Row],[ThOpenAm]],tbl_Case_mins[[#This Row],[PmCase]]=0),1,0)</f>
        <v>#REF!</v>
      </c>
      <c r="BF8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1" s="9" t="e" cm="1">
        <f t="array" ref="BH8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1" s="9" t="e">
        <f>IF(AND(tbl_Case_mins[[#This Row],[ThOpenPM]]&gt;0,tbl_Case_mins[[#This Row],[AnaesthStart]]&gt;tbl_Case_mins[[#This Row],[ThOpenPM]],tbl_Case_mins[[#This Row],[First PM Case]]=1),tbl_Case_mins[[#This Row],[AnaesthStart]]-tbl_Case_mins[[#This Row],[ThOpenPM]],0)</f>
        <v>#REF!</v>
      </c>
      <c r="BL8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1" s="9" t="e" cm="1">
        <f t="array" ref="BN8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1" s="9" t="e">
        <f>IF(AND(tbl_Case_mins[[#This Row],[ThClosePm]]&gt;0,tbl_Case_mins[[#This Row],[Anaesth End]]&gt;tbl_Case_mins[[#This Row],[ThClosePm]],tbl_Case_mins[[#This Row],[AnaesthStart]]&gt;tbl_Case_mins[[#This Row],[ThClosePm]]),tbl_Case_mins[[#This Row],[Into Recov]]-tbl_Case_mins[[#This Row],[AnaesthStart]],0)</f>
        <v>#REF!</v>
      </c>
      <c r="BP81" s="9" t="e">
        <f>IF(AND(tbl_Case_mins[[#This Row],[AnaesthStart]]&lt;tbl_Case_mins[[#This Row],[ThClosePm]],tbl_Case_mins[[#This Row],[Anaesth End]]&gt;tbl_Case_mins[[#This Row],[ThClosePm]]),tbl_Case_mins[[#This Row],[Anaesth End]]-tbl_Case_mins[[#This Row],[ThClosePm]],0)</f>
        <v>#REF!</v>
      </c>
      <c r="BQ81" s="9" t="e" cm="1">
        <f t="array" ref="BQ8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1" s="9" t="e" cm="1">
        <f t="array" ref="BR81">IF(tbl_Case_mins[[#This Row],[Rank_Adjust]]=SUMPRODUCT(-(tbl_Case_mins[Surgery Start Date]=tbl_Case_mins[[#This Row],[Surgery Start Date]]),-(tbl_Case_mins[Theatre]=tbl_Case_mins[[#This Row],[Theatre]])),INDEX(Poss_Time,MATCH(TEXT(tbl_Case_mins[[#This Row],[Surgery Start Date]],"ddd"),Day,0)),0)</f>
        <v>#REF!</v>
      </c>
      <c r="BS81" s="9" t="e">
        <f>tbl_Case_mins[[#This Row],[Core_Time]]*Util_Goal</f>
        <v>#REF!</v>
      </c>
      <c r="BT81" s="9" t="e" cm="1">
        <f t="array" ref="BT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1" s="9" t="e" cm="1">
        <f t="array" ref="BU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1" s="9" t="e">
        <f>IF(tbl_Case_mins[[#This Row],[Surgery End Date]]&gt;tbl_Case_mins[[#This Row],[Surgery Start Date]],tbl_Case_mins[[#This Row],[Anaesth End]]-1440,0)</f>
        <v>#REF!</v>
      </c>
      <c r="BY81" s="9" t="e">
        <f>tbl_Case_mins[[#This Row],[Total_NonCore]]-tbl_Case_mins[[#This Row],[NextDay_NonCore]]</f>
        <v>#REF!</v>
      </c>
      <c r="BZ81" s="10" t="e">
        <f>tbl_Case_mins[[#This Row],[InCoreUse]]/60</f>
        <v>#REF!</v>
      </c>
      <c r="CA81" s="10" t="e">
        <f>tbl_Case_mins[[#This Row],[Total_NonCore]]/60</f>
        <v>#REF!</v>
      </c>
      <c r="CB81" t="e" cm="1">
        <f t="array" ref="CB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1" s="9" t="e" cm="1">
        <f t="array" ref="CC8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1" s="9" t="e" cm="1">
        <f t="array" ref="CD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1" s="9" t="e" cm="1">
        <f t="array" ref="CE8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1" s="9" cm="1">
        <f t="array" ref="CF81">IFERROR(_xlfn.AGGREGATE(14,6,(tbl_Case_mins[Rank_AnaEnd])/((tbl_Case_mins[Surgery Start Date]=tbl_Case_mins[[#This Row],[Surgery Start Date]])*(tbl_Case_mins[Theatre]=tbl_Case_mins[[#This Row],[Theatre]])*(tbl_Case_mins[NoInCoreTime]=0)),1),-1)</f>
        <v>-1</v>
      </c>
      <c r="CG81" s="9" cm="1">
        <f t="array" ref="CG81">IFERROR(_xlfn.AGGREGATE(15,6,(tbl_Case_mins[Rank_AnaSt])/((tbl_Case_mins[Surgery Start Date]=tbl_Case_mins[[#This Row],[Surgery Start Date]])*(tbl_Case_mins[Theatre]=tbl_Case_mins[[#This Row],[Theatre]])*(tbl_Case_mins[NoInCoreTime]=0)),1),-1)</f>
        <v>-1</v>
      </c>
      <c r="CH8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1" t="e" cm="1">
        <f t="array" ref="CJ8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1" s="9" cm="1">
        <f t="array" ref="CO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1" s="9" cm="1">
        <f t="array" ref="CP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1" s="9" cm="1">
        <f t="array" ref="CQ81">IFERROR(IF(AND(tbl_Case_mins[[#This Row],[FirstAMCase]]=0,tbl_Case_mins[[#This Row],[Rank]]=_xlfn.AGGREGATE(14,6,(tbl_Case_mins[Rank])/((tbl_Case_mins[Surgery Start Date]=tbl_Case_mins[[#This Row],[Surgery Start Date]])*(tbl_Case_mins[Theatre]=tbl_Case_mins[[#This Row],[Theatre]])*(tbl_Case_mins[AmCase]=1)),1)),1,0),0)</f>
        <v>0</v>
      </c>
      <c r="CR81" s="9" cm="1">
        <f t="array" ref="CR8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1" s="9" t="e" cm="1">
        <f t="array" ref="CS8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1" s="9" cm="1">
        <f t="array" ref="CT81">IFERROR(IF(tbl_Case_mins[[#This Row],[Rank]]=_xlfn.AGGREGATE(15,6,(tbl_Case_mins[Rank])/((tbl_Case_mins[Surgery Start Date]=tbl_Case_mins[[#This Row],[Surgery Start Date]])*(tbl_Case_mins[Theatre]=tbl_Case_mins[[#This Row],[Theatre]])*(tbl_Case_mins[PmCase]=1)),1),1,0),0)</f>
        <v>0</v>
      </c>
      <c r="CU81">
        <f>IFERROR(#REF!,0)</f>
        <v>0</v>
      </c>
      <c r="CV81" s="9" t="e" cm="1">
        <f t="array" ref="CV8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1" s="9">
        <f>IFERROR(IF(ISBLANK(INDEX(Bay_AmClose,MATCH(1,INDEX((tbl_Case_mins[[#This Row],[Bay]]=BayNo)*(tbl_Case_mins[[#This Row],[Surgery Start Date]]=BDate),0,1),0))*1440),0,INDEX(Bay_AmClose,MATCH(1,INDEX((tbl_Case_mins[[#This Row],[Bay]]=BayNo)*(tbl_Case_mins[[#This Row],[Surgery Start Date]]=BDate),0,1),0))*1440),0)</f>
        <v>0</v>
      </c>
      <c r="CX81" s="9" cm="1">
        <f t="array" ref="CX81">IFERROR(IF(ISBLANK(INDEX(Bay_PmOpen,MATCH(1,INDEX((tbl_Case_mins[[#This Row],[Bay]]=BayNo)*(tbl_Case_mins[[#This Row],[Surgery Start Date]]=BDate),0,1),0))*1440),0,INDEX(Bay_PmOpen,MATCH(1,INDEX((tbl_Case_mins[[#This Row],[Bay]]=BayNo)*(tbl_Case_mins[[#This Row],[Surgery Start Date]]=BDate),0,1),0))*1440),0)</f>
        <v>0</v>
      </c>
      <c r="CY8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1" s="9"/>
    </row>
    <row r="82" spans="1:104" x14ac:dyDescent="0.2">
      <c r="A82">
        <v>81</v>
      </c>
      <c r="B82" t="e">
        <f>#REF!</f>
        <v>#REF!</v>
      </c>
      <c r="C82" t="e">
        <f>#REF!</f>
        <v>#REF!</v>
      </c>
      <c r="D82" t="e">
        <f>#REF!</f>
        <v>#REF!</v>
      </c>
      <c r="E82" t="e">
        <f>#REF!</f>
        <v>#REF!</v>
      </c>
      <c r="F82" t="e">
        <f>#REF!</f>
        <v>#REF!</v>
      </c>
      <c r="G82" t="e">
        <f>#REF!</f>
        <v>#REF!</v>
      </c>
      <c r="H82" t="e">
        <f>#REF!</f>
        <v>#REF!</v>
      </c>
      <c r="I82" t="e">
        <f>IF(#REF!="Case Cancelled",1,IF(#REF!="No Cases",2,0))</f>
        <v>#REF!</v>
      </c>
      <c r="J82" t="e">
        <f>#REF!</f>
        <v>#REF!</v>
      </c>
      <c r="K82" s="4" t="e">
        <f>#REF!</f>
        <v>#REF!</v>
      </c>
      <c r="L82" t="e">
        <f>"Wk "&amp;WEEKNUM(tbl_Case_mins[[#This Row],[Surgery Start Date]],21)</f>
        <v>#REF!</v>
      </c>
      <c r="M82" t="e">
        <f>TEXT(tbl_Case_mins[[#This Row],[Surgery Start Date]],"ddd")</f>
        <v>#REF!</v>
      </c>
      <c r="N82" s="9" t="e">
        <f>(#REF!-TIME(0,0,0))*1440</f>
        <v>#REF!</v>
      </c>
      <c r="O82" t="e">
        <f>IF(AND(ROUND((#REF!-TIME(0,0,0))*1440,0)&gt;0,ROUND((#REF!-TIME(0,0,0))*1440,0)&lt;tbl_Case_mins[[#This Row],[Patient Called]],tbl_Case_mins[[#This Row],[Surgery End Date]]&gt;tbl_Case_mins[[#This Row],[Surgery Start Date]]),ROUND((#REF!-TIME(0,0,0))*1440,0)+1440,ROUND((#REF!-TIME(0,0,0))*1440,0))</f>
        <v>#REF!</v>
      </c>
      <c r="P82" s="9" t="e">
        <f>IF(AND(ROUND((#REF!-TIME(0,0,0))*1440,0)&gt;0,ROUND((#REF!-TIME(0,0,0))*1440,0)&lt;tbl_Case_mins[[#This Row],[Arrival]],tbl_Case_mins[[#This Row],[Surgery End Date]]&gt;tbl_Case_mins[[#This Row],[Surgery Start Date]]),ROUND((#REF!-TIME(0,0,0))*1440,0)+1440,ROUND((#REF!-TIME(0,0,0))*1440,0))</f>
        <v>#REF!</v>
      </c>
      <c r="Q82" s="9" t="e">
        <f>IF(AND(ROUND((#REF!-TIME(0,0,0))*1440,0)&gt;0,ROUND((#REF!-TIME(0,0,0))*1440,0)&lt;tbl_Case_mins[[#This Row],[Into Th or AR]],tbl_Case_mins[[#This Row],[Surgery End Date]]&gt;tbl_Case_mins[[#This Row],[Surgery Start Date]]),ROUND((#REF!-TIME(0,0,0))*1440,0)+1440,ROUND((#REF!-TIME(0,0,0))*1440,0))</f>
        <v>#REF!</v>
      </c>
      <c r="R82" s="9" t="e">
        <f>IF(AND(ROUND((#REF!-TIME(0,0,0))*1440,0)&gt;0,ROUND((#REF!-TIME(0,0,0))*1440,0)&lt;tbl_Case_mins[[#This Row],[AnaesthStart]],tbl_Case_mins[[#This Row],[Surgery End Date]]&gt;tbl_Case_mins[[#This Row],[Surgery Start Date]]),ROUND((#REF!-TIME(0,0,0))*1440,0)+1440,ROUND((#REF!-TIME(0,0,0))*1440,0))</f>
        <v>#REF!</v>
      </c>
      <c r="S82" s="9" t="e">
        <f>IF(AND(ROUND((#REF!-TIME(0,0,0))*1440,0),ROUND((#REF!-TIME(0,0,0))*1440,0)&lt;tbl_Case_mins[[#This Row],[Surgery Start]],tbl_Case_mins[[#This Row],[Surgery End Date]]&gt;tbl_Case_mins[[#This Row],[Surgery Start Date]]),ROUND((#REF!-TIME(0,0,0))*1440,0)+1440,ROUND((#REF!-TIME(0,0,0))*1440,0))</f>
        <v>#REF!</v>
      </c>
      <c r="T82" s="9" t="e">
        <f>IF(AND(ROUND((#REF!-TIME(0,0,0))*1440,0)&gt;0,ROUND((#REF!-TIME(0,0,0))*1440,0)&lt;tbl_Case_mins[[#This Row],[Surgery Finish]],tbl_Case_mins[[#This Row],[Surgery End Date]]&gt;tbl_Case_mins[[#This Row],[Surgery Start Date]]),ROUND((#REF!-TIME(0,0,0))*1440,0)+1440,ROUND((#REF!-TIME(0,0,0))*1440,0))</f>
        <v>#REF!</v>
      </c>
      <c r="U82" s="9" t="e">
        <f>IF(AND(ROUND((#REF!-TIME(0,0,0))*1440,0)&gt;0,ROUND((#REF!-TIME(0,0,0))*1440,0)&lt;tbl_Case_mins[[#This Row],[Anaesth End]],tbl_Case_mins[[#This Row],[Surgery End Date]]&gt;tbl_Case_mins[[#This Row],[Surgery Start Date]]),ROUND((#REF!-TIME(0,0,0))*1440,0)+1440,ROUND((#REF!-TIME(0,0,0))*1440,0))</f>
        <v>#REF!</v>
      </c>
      <c r="V82" s="9" t="e">
        <f>IF(AND(ROUND((#REF!-TIME(0,0,0))*1440,0)&gt;0,ROUND((#REF!-TIME(0,0,0))*1440,0)&lt;tbl_Case_mins[[#This Row],[Into Recov]],tbl_Case_mins[[#This Row],[Surgery End Date]]&gt;tbl_Case_mins[[#This Row],[Surgery Start Date]]),ROUND((#REF!-TIME(0,0,0))*1440,0)+1440,ROUND((#REF!-TIME(0,0,0))*1440,0))</f>
        <v>#REF!</v>
      </c>
      <c r="W82" s="9" t="e">
        <f>IF(AND(ROUND((#REF!-TIME(0,0,0))*1440,0)&gt;0,ROUND((#REF!-TIME(0,0,0))*1440,0)&lt;tbl_Case_mins[[#This Row],[Ward Called]],tbl_Case_mins[[#This Row],[Surgery End Date]]&gt;tbl_Case_mins[[#This Row],[Surgery Start Date]]),ROUND((#REF!-TIME(0,0,0))*1440,0)+1440,ROUND((#REF!-TIME(0,0,0))*1440,0))</f>
        <v>#REF!</v>
      </c>
      <c r="X82" s="4" t="e">
        <f>IF(ISBLANK(#REF!),tbl_Case_mins[[#This Row],[Surgery Start Date]],#REF!)</f>
        <v>#REF!</v>
      </c>
      <c r="Y82">
        <f>IFERROR(IF(VLOOKUP(tbl_Case_mins[[#This Row],[Theatre]],'Mng Theatres'!$C$7:$G$12,3,FALSE)="Yes","Yes","No"),0)</f>
        <v>0</v>
      </c>
      <c r="Z82" s="9" t="e" cm="1">
        <f t="array" ref="Z8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2" s="9" t="e" cm="1">
        <f t="array" ref="AA8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2" s="9" t="e">
        <f>IF(tbl_Case_mins[[#This Row],[Case Type]]="Unsch",1,0)</f>
        <v>#REF!</v>
      </c>
      <c r="AD82" s="9" t="e">
        <f>IF(tbl_Case_mins[[#This Row],[Case Type]]="Sch",1,0)</f>
        <v>#REF!</v>
      </c>
      <c r="AE8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2" s="9">
        <f>IFERROR(IF(ISBLANK(INDEX(Am_Close,MATCH(1,INDEX((tbl_Case_mins[[#This Row],[Theatre]]=Theatre_No)*(tbl_Case_mins[[#This Row],[Surgery Start Date]]=Date),0,1),0))*1440),0,INDEX(Am_Close,MATCH(1,INDEX((tbl_Case_mins[[#This Row],[Theatre]]=Theatre_No)*(tbl_Case_mins[[#This Row],[Surgery Start Date]]=Date),0,1),0))*1440),0)</f>
        <v>0</v>
      </c>
      <c r="AG82" s="9">
        <f>IFERROR(IF(ISBLANK(INDEX(PM_Open,MATCH(1,INDEX((tbl_Case_mins[[#This Row],[Theatre]]=Theatre_No)*(tbl_Case_mins[[#This Row],[Surgery Start Date]]=Date),0,1),0))*1440),0,INDEX(PM_Open,MATCH(1,INDEX((tbl_Case_mins[[#This Row],[Theatre]]=Theatre_No)*(tbl_Case_mins[[#This Row],[Surgery Start Date]]=Date),0,1),0))*1440),0)</f>
        <v>0</v>
      </c>
      <c r="AH8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2" s="9" t="e">
        <f>IF(tbl_Case_mins[[#This Row],[ThOpenAm]]=0,tbl_Case_mins[[#This Row],[ThOpenPM]],tbl_Case_mins[[#This Row],[ThOpenAm]])</f>
        <v>#REF!</v>
      </c>
      <c r="AJ82" s="9" t="e">
        <f>IF(tbl_Case_mins[[#This Row],[ThCloseAm]]&gt;0,IF(tbl_Case_mins[[#This Row],[ThOpenPM]]&gt;0,tbl_Case_mins[[#This Row],[ThClosePm]],tbl_Case_mins[[#This Row],[ThCloseAm]]),tbl_Case_mins[[#This Row],[ThClosePm]])</f>
        <v>#REF!</v>
      </c>
      <c r="AK82" s="9" t="e">
        <f>IF(tbl_Case_mins[[#This Row],[TOT]]&gt;0,1,0)</f>
        <v>#REF!</v>
      </c>
      <c r="AL8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2" s="9" t="e">
        <f>IF(AND(tbl_Case_mins[[#This Row],[Surgery Status]]&lt;&gt;2,tbl_Case_mins[[#This Row],[InCoreCase]]=0,tbl_Case_mins[[#This Row],[CancelledCase]]=0),1,0)</f>
        <v>#REF!</v>
      </c>
      <c r="AN82" s="9" t="e">
        <f>IF(tbl_Case_mins[[#This Row],[Surgery Status]]=1,1,0)</f>
        <v>#REF!</v>
      </c>
      <c r="AO8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2" s="9" t="e">
        <f>IF(AND(tbl_Case_mins[[#This Row],[NonCoreCase]]=1,tbl_Case_mins[[#This Row],[NoInCoreTime]]=0),1,0)</f>
        <v>#REF!</v>
      </c>
      <c r="AQ82" s="9" t="e">
        <f>IF(tbl_Case_mins[[#This Row],[Rank_AnaEnd]]&lt;tbl_Case_mins[[#This Row],[Rank_AnaSt]],1,0)</f>
        <v>#REF!</v>
      </c>
      <c r="AR82" s="9" t="e">
        <f>IF(AND(tbl_Case_mins[[#This Row],[InCoreCase]]=1,tbl_Case_mins[[#This Row],[Sch]]=1),1,0)</f>
        <v>#REF!</v>
      </c>
      <c r="AS82" s="9" t="e">
        <f>IF(AND(tbl_Case_mins[[#This Row],[InCoreCase]]=1,tbl_Case_mins[[#This Row],[Unsch]]=1),1,0)</f>
        <v>#REF!</v>
      </c>
      <c r="AT8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2" s="9" t="e">
        <f>IF(tbl_Case_mins[[#This Row],[Surgery Status]]=0,(tbl_Case_mins[[#This Row],[Anaesth End]]-tbl_Case_mins[[#This Row],[AnaesthStart]]),0)</f>
        <v>#REF!</v>
      </c>
      <c r="AX82" s="9" t="e">
        <f>IF(tbl_Case_mins[[#This Row],[Surgery Status]]=0,(tbl_Case_mins[[#This Row],[Surgery Finish]]-tbl_Case_mins[[#This Row],[Surgery Start]]),0)</f>
        <v>#REF!</v>
      </c>
      <c r="AY82" s="9" t="e">
        <f>tbl_Case_mins[[#This Row],[Surgery Start]]-tbl_Case_mins[[#This Row],[AnaesthStart]]</f>
        <v>#REF!</v>
      </c>
      <c r="AZ82" s="9" t="e">
        <f>tbl_Case_mins[[#This Row],[Anaesth End]]-tbl_Case_mins[[#This Row],[Surgery Finish]]</f>
        <v>#REF!</v>
      </c>
      <c r="BA8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2" s="16" cm="1">
        <f t="array" ref="BC8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2" s="16" t="e">
        <f>IF(AND(tbl_Case_mins[[#This Row],[FirstAMCase]]=1,tbl_Case_mins[[#This Row],[CancelledCase]]=0,OR(tbl_Case_mins[[#This Row],[EarlyStartAM]]&gt;0,tbl_Case_mins[[#This Row],[AnaesthStart]]=tbl_Case_mins[[#This Row],[ThOpenAm]])),1,0)</f>
        <v>#REF!</v>
      </c>
      <c r="BE82" s="16" t="e">
        <f>IF(AND(tbl_Case_mins[[#This Row],[Rank_AnaSt]]=tbl_Case_mins[[#This Row],[Min_RankAnaSt]],tbl_Case_mins[[#This Row],[Anaesth End]]&gt;=tbl_Case_mins[[#This Row],[ThOpenAm]],tbl_Case_mins[[#This Row],[PmCase]]=0),1,0)</f>
        <v>#REF!</v>
      </c>
      <c r="BF8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2" s="9" t="e" cm="1">
        <f t="array" ref="BH8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2" s="9" t="e">
        <f>IF(AND(tbl_Case_mins[[#This Row],[ThOpenPM]]&gt;0,tbl_Case_mins[[#This Row],[AnaesthStart]]&gt;tbl_Case_mins[[#This Row],[ThOpenPM]],tbl_Case_mins[[#This Row],[First PM Case]]=1),tbl_Case_mins[[#This Row],[AnaesthStart]]-tbl_Case_mins[[#This Row],[ThOpenPM]],0)</f>
        <v>#REF!</v>
      </c>
      <c r="BL8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2" s="9" t="e" cm="1">
        <f t="array" ref="BN8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2" s="9" t="e">
        <f>IF(AND(tbl_Case_mins[[#This Row],[ThClosePm]]&gt;0,tbl_Case_mins[[#This Row],[Anaesth End]]&gt;tbl_Case_mins[[#This Row],[ThClosePm]],tbl_Case_mins[[#This Row],[AnaesthStart]]&gt;tbl_Case_mins[[#This Row],[ThClosePm]]),tbl_Case_mins[[#This Row],[Into Recov]]-tbl_Case_mins[[#This Row],[AnaesthStart]],0)</f>
        <v>#REF!</v>
      </c>
      <c r="BP82" s="9" t="e">
        <f>IF(AND(tbl_Case_mins[[#This Row],[AnaesthStart]]&lt;tbl_Case_mins[[#This Row],[ThClosePm]],tbl_Case_mins[[#This Row],[Anaesth End]]&gt;tbl_Case_mins[[#This Row],[ThClosePm]]),tbl_Case_mins[[#This Row],[Anaesth End]]-tbl_Case_mins[[#This Row],[ThClosePm]],0)</f>
        <v>#REF!</v>
      </c>
      <c r="BQ82" s="9" t="e" cm="1">
        <f t="array" ref="BQ8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2" s="9" t="e" cm="1">
        <f t="array" ref="BR82">IF(tbl_Case_mins[[#This Row],[Rank_Adjust]]=SUMPRODUCT(-(tbl_Case_mins[Surgery Start Date]=tbl_Case_mins[[#This Row],[Surgery Start Date]]),-(tbl_Case_mins[Theatre]=tbl_Case_mins[[#This Row],[Theatre]])),INDEX(Poss_Time,MATCH(TEXT(tbl_Case_mins[[#This Row],[Surgery Start Date]],"ddd"),Day,0)),0)</f>
        <v>#REF!</v>
      </c>
      <c r="BS82" s="9" t="e">
        <f>tbl_Case_mins[[#This Row],[Core_Time]]*Util_Goal</f>
        <v>#REF!</v>
      </c>
      <c r="BT82" s="9" t="e" cm="1">
        <f t="array" ref="BT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2" s="9" t="e" cm="1">
        <f t="array" ref="BU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2" s="9" t="e">
        <f>IF(tbl_Case_mins[[#This Row],[Surgery End Date]]&gt;tbl_Case_mins[[#This Row],[Surgery Start Date]],tbl_Case_mins[[#This Row],[Anaesth End]]-1440,0)</f>
        <v>#REF!</v>
      </c>
      <c r="BY82" s="9" t="e">
        <f>tbl_Case_mins[[#This Row],[Total_NonCore]]-tbl_Case_mins[[#This Row],[NextDay_NonCore]]</f>
        <v>#REF!</v>
      </c>
      <c r="BZ82" s="10" t="e">
        <f>tbl_Case_mins[[#This Row],[InCoreUse]]/60</f>
        <v>#REF!</v>
      </c>
      <c r="CA82" s="10" t="e">
        <f>tbl_Case_mins[[#This Row],[Total_NonCore]]/60</f>
        <v>#REF!</v>
      </c>
      <c r="CB82" t="e" cm="1">
        <f t="array" ref="CB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2" s="9" t="e" cm="1">
        <f t="array" ref="CC8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2" s="9" t="e" cm="1">
        <f t="array" ref="CD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2" s="9" t="e" cm="1">
        <f t="array" ref="CE8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2" s="9" cm="1">
        <f t="array" ref="CF82">IFERROR(_xlfn.AGGREGATE(14,6,(tbl_Case_mins[Rank_AnaEnd])/((tbl_Case_mins[Surgery Start Date]=tbl_Case_mins[[#This Row],[Surgery Start Date]])*(tbl_Case_mins[Theatre]=tbl_Case_mins[[#This Row],[Theatre]])*(tbl_Case_mins[NoInCoreTime]=0)),1),-1)</f>
        <v>-1</v>
      </c>
      <c r="CG82" s="9" cm="1">
        <f t="array" ref="CG82">IFERROR(_xlfn.AGGREGATE(15,6,(tbl_Case_mins[Rank_AnaSt])/((tbl_Case_mins[Surgery Start Date]=tbl_Case_mins[[#This Row],[Surgery Start Date]])*(tbl_Case_mins[Theatre]=tbl_Case_mins[[#This Row],[Theatre]])*(tbl_Case_mins[NoInCoreTime]=0)),1),-1)</f>
        <v>-1</v>
      </c>
      <c r="CH8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2" t="e" cm="1">
        <f t="array" ref="CJ8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2" s="9" cm="1">
        <f t="array" ref="CO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2" s="9" cm="1">
        <f t="array" ref="CP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2" s="9" cm="1">
        <f t="array" ref="CQ82">IFERROR(IF(AND(tbl_Case_mins[[#This Row],[FirstAMCase]]=0,tbl_Case_mins[[#This Row],[Rank]]=_xlfn.AGGREGATE(14,6,(tbl_Case_mins[Rank])/((tbl_Case_mins[Surgery Start Date]=tbl_Case_mins[[#This Row],[Surgery Start Date]])*(tbl_Case_mins[Theatre]=tbl_Case_mins[[#This Row],[Theatre]])*(tbl_Case_mins[AmCase]=1)),1)),1,0),0)</f>
        <v>0</v>
      </c>
      <c r="CR82" s="9" cm="1">
        <f t="array" ref="CR8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2" s="9" t="e" cm="1">
        <f t="array" ref="CS8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2" s="9" cm="1">
        <f t="array" ref="CT82">IFERROR(IF(tbl_Case_mins[[#This Row],[Rank]]=_xlfn.AGGREGATE(15,6,(tbl_Case_mins[Rank])/((tbl_Case_mins[Surgery Start Date]=tbl_Case_mins[[#This Row],[Surgery Start Date]])*(tbl_Case_mins[Theatre]=tbl_Case_mins[[#This Row],[Theatre]])*(tbl_Case_mins[PmCase]=1)),1),1,0),0)</f>
        <v>0</v>
      </c>
      <c r="CU82">
        <f>IFERROR(#REF!,0)</f>
        <v>0</v>
      </c>
      <c r="CV82" s="9" t="e" cm="1">
        <f t="array" ref="CV8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2" s="9">
        <f>IFERROR(IF(ISBLANK(INDEX(Bay_AmClose,MATCH(1,INDEX((tbl_Case_mins[[#This Row],[Bay]]=BayNo)*(tbl_Case_mins[[#This Row],[Surgery Start Date]]=BDate),0,1),0))*1440),0,INDEX(Bay_AmClose,MATCH(1,INDEX((tbl_Case_mins[[#This Row],[Bay]]=BayNo)*(tbl_Case_mins[[#This Row],[Surgery Start Date]]=BDate),0,1),0))*1440),0)</f>
        <v>0</v>
      </c>
      <c r="CX82" s="9" cm="1">
        <f t="array" ref="CX82">IFERROR(IF(ISBLANK(INDEX(Bay_PmOpen,MATCH(1,INDEX((tbl_Case_mins[[#This Row],[Bay]]=BayNo)*(tbl_Case_mins[[#This Row],[Surgery Start Date]]=BDate),0,1),0))*1440),0,INDEX(Bay_PmOpen,MATCH(1,INDEX((tbl_Case_mins[[#This Row],[Bay]]=BayNo)*(tbl_Case_mins[[#This Row],[Surgery Start Date]]=BDate),0,1),0))*1440),0)</f>
        <v>0</v>
      </c>
      <c r="CY8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2" s="9"/>
    </row>
    <row r="83" spans="1:104" x14ac:dyDescent="0.2">
      <c r="A83">
        <v>82</v>
      </c>
      <c r="B83" t="e">
        <f>#REF!</f>
        <v>#REF!</v>
      </c>
      <c r="C83" t="e">
        <f>#REF!</f>
        <v>#REF!</v>
      </c>
      <c r="D83" t="e">
        <f>#REF!</f>
        <v>#REF!</v>
      </c>
      <c r="E83" t="e">
        <f>#REF!</f>
        <v>#REF!</v>
      </c>
      <c r="F83" t="e">
        <f>#REF!</f>
        <v>#REF!</v>
      </c>
      <c r="G83" t="e">
        <f>#REF!</f>
        <v>#REF!</v>
      </c>
      <c r="H83" t="e">
        <f>#REF!</f>
        <v>#REF!</v>
      </c>
      <c r="I83" t="e">
        <f>IF(#REF!="Case Cancelled",1,IF(#REF!="No Cases",2,0))</f>
        <v>#REF!</v>
      </c>
      <c r="J83" t="e">
        <f>#REF!</f>
        <v>#REF!</v>
      </c>
      <c r="K83" s="4" t="e">
        <f>#REF!</f>
        <v>#REF!</v>
      </c>
      <c r="L83" t="e">
        <f>"Wk "&amp;WEEKNUM(tbl_Case_mins[[#This Row],[Surgery Start Date]],21)</f>
        <v>#REF!</v>
      </c>
      <c r="M83" t="e">
        <f>TEXT(tbl_Case_mins[[#This Row],[Surgery Start Date]],"ddd")</f>
        <v>#REF!</v>
      </c>
      <c r="N83" s="9" t="e">
        <f>(#REF!-TIME(0,0,0))*1440</f>
        <v>#REF!</v>
      </c>
      <c r="O83" t="e">
        <f>IF(AND(ROUND((#REF!-TIME(0,0,0))*1440,0)&gt;0,ROUND((#REF!-TIME(0,0,0))*1440,0)&lt;tbl_Case_mins[[#This Row],[Patient Called]],tbl_Case_mins[[#This Row],[Surgery End Date]]&gt;tbl_Case_mins[[#This Row],[Surgery Start Date]]),ROUND((#REF!-TIME(0,0,0))*1440,0)+1440,ROUND((#REF!-TIME(0,0,0))*1440,0))</f>
        <v>#REF!</v>
      </c>
      <c r="P83" s="9" t="e">
        <f>IF(AND(ROUND((#REF!-TIME(0,0,0))*1440,0)&gt;0,ROUND((#REF!-TIME(0,0,0))*1440,0)&lt;tbl_Case_mins[[#This Row],[Arrival]],tbl_Case_mins[[#This Row],[Surgery End Date]]&gt;tbl_Case_mins[[#This Row],[Surgery Start Date]]),ROUND((#REF!-TIME(0,0,0))*1440,0)+1440,ROUND((#REF!-TIME(0,0,0))*1440,0))</f>
        <v>#REF!</v>
      </c>
      <c r="Q83" s="9" t="e">
        <f>IF(AND(ROUND((#REF!-TIME(0,0,0))*1440,0)&gt;0,ROUND((#REF!-TIME(0,0,0))*1440,0)&lt;tbl_Case_mins[[#This Row],[Into Th or AR]],tbl_Case_mins[[#This Row],[Surgery End Date]]&gt;tbl_Case_mins[[#This Row],[Surgery Start Date]]),ROUND((#REF!-TIME(0,0,0))*1440,0)+1440,ROUND((#REF!-TIME(0,0,0))*1440,0))</f>
        <v>#REF!</v>
      </c>
      <c r="R83" s="9" t="e">
        <f>IF(AND(ROUND((#REF!-TIME(0,0,0))*1440,0)&gt;0,ROUND((#REF!-TIME(0,0,0))*1440,0)&lt;tbl_Case_mins[[#This Row],[AnaesthStart]],tbl_Case_mins[[#This Row],[Surgery End Date]]&gt;tbl_Case_mins[[#This Row],[Surgery Start Date]]),ROUND((#REF!-TIME(0,0,0))*1440,0)+1440,ROUND((#REF!-TIME(0,0,0))*1440,0))</f>
        <v>#REF!</v>
      </c>
      <c r="S83" s="9" t="e">
        <f>IF(AND(ROUND((#REF!-TIME(0,0,0))*1440,0),ROUND((#REF!-TIME(0,0,0))*1440,0)&lt;tbl_Case_mins[[#This Row],[Surgery Start]],tbl_Case_mins[[#This Row],[Surgery End Date]]&gt;tbl_Case_mins[[#This Row],[Surgery Start Date]]),ROUND((#REF!-TIME(0,0,0))*1440,0)+1440,ROUND((#REF!-TIME(0,0,0))*1440,0))</f>
        <v>#REF!</v>
      </c>
      <c r="T83" s="9" t="e">
        <f>IF(AND(ROUND((#REF!-TIME(0,0,0))*1440,0)&gt;0,ROUND((#REF!-TIME(0,0,0))*1440,0)&lt;tbl_Case_mins[[#This Row],[Surgery Finish]],tbl_Case_mins[[#This Row],[Surgery End Date]]&gt;tbl_Case_mins[[#This Row],[Surgery Start Date]]),ROUND((#REF!-TIME(0,0,0))*1440,0)+1440,ROUND((#REF!-TIME(0,0,0))*1440,0))</f>
        <v>#REF!</v>
      </c>
      <c r="U83" s="9" t="e">
        <f>IF(AND(ROUND((#REF!-TIME(0,0,0))*1440,0)&gt;0,ROUND((#REF!-TIME(0,0,0))*1440,0)&lt;tbl_Case_mins[[#This Row],[Anaesth End]],tbl_Case_mins[[#This Row],[Surgery End Date]]&gt;tbl_Case_mins[[#This Row],[Surgery Start Date]]),ROUND((#REF!-TIME(0,0,0))*1440,0)+1440,ROUND((#REF!-TIME(0,0,0))*1440,0))</f>
        <v>#REF!</v>
      </c>
      <c r="V83" s="9" t="e">
        <f>IF(AND(ROUND((#REF!-TIME(0,0,0))*1440,0)&gt;0,ROUND((#REF!-TIME(0,0,0))*1440,0)&lt;tbl_Case_mins[[#This Row],[Into Recov]],tbl_Case_mins[[#This Row],[Surgery End Date]]&gt;tbl_Case_mins[[#This Row],[Surgery Start Date]]),ROUND((#REF!-TIME(0,0,0))*1440,0)+1440,ROUND((#REF!-TIME(0,0,0))*1440,0))</f>
        <v>#REF!</v>
      </c>
      <c r="W83" s="9" t="e">
        <f>IF(AND(ROUND((#REF!-TIME(0,0,0))*1440,0)&gt;0,ROUND((#REF!-TIME(0,0,0))*1440,0)&lt;tbl_Case_mins[[#This Row],[Ward Called]],tbl_Case_mins[[#This Row],[Surgery End Date]]&gt;tbl_Case_mins[[#This Row],[Surgery Start Date]]),ROUND((#REF!-TIME(0,0,0))*1440,0)+1440,ROUND((#REF!-TIME(0,0,0))*1440,0))</f>
        <v>#REF!</v>
      </c>
      <c r="X83" s="4" t="e">
        <f>IF(ISBLANK(#REF!),tbl_Case_mins[[#This Row],[Surgery Start Date]],#REF!)</f>
        <v>#REF!</v>
      </c>
      <c r="Y83">
        <f>IFERROR(IF(VLOOKUP(tbl_Case_mins[[#This Row],[Theatre]],'Mng Theatres'!$C$7:$G$12,3,FALSE)="Yes","Yes","No"),0)</f>
        <v>0</v>
      </c>
      <c r="Z83" s="9" t="e" cm="1">
        <f t="array" ref="Z8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3" s="9" t="e" cm="1">
        <f t="array" ref="AA8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3" s="9" t="e">
        <f>IF(tbl_Case_mins[[#This Row],[Case Type]]="Unsch",1,0)</f>
        <v>#REF!</v>
      </c>
      <c r="AD83" s="9" t="e">
        <f>IF(tbl_Case_mins[[#This Row],[Case Type]]="Sch",1,0)</f>
        <v>#REF!</v>
      </c>
      <c r="AE8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3" s="9">
        <f>IFERROR(IF(ISBLANK(INDEX(Am_Close,MATCH(1,INDEX((tbl_Case_mins[[#This Row],[Theatre]]=Theatre_No)*(tbl_Case_mins[[#This Row],[Surgery Start Date]]=Date),0,1),0))*1440),0,INDEX(Am_Close,MATCH(1,INDEX((tbl_Case_mins[[#This Row],[Theatre]]=Theatre_No)*(tbl_Case_mins[[#This Row],[Surgery Start Date]]=Date),0,1),0))*1440),0)</f>
        <v>0</v>
      </c>
      <c r="AG83" s="9">
        <f>IFERROR(IF(ISBLANK(INDEX(PM_Open,MATCH(1,INDEX((tbl_Case_mins[[#This Row],[Theatre]]=Theatre_No)*(tbl_Case_mins[[#This Row],[Surgery Start Date]]=Date),0,1),0))*1440),0,INDEX(PM_Open,MATCH(1,INDEX((tbl_Case_mins[[#This Row],[Theatre]]=Theatre_No)*(tbl_Case_mins[[#This Row],[Surgery Start Date]]=Date),0,1),0))*1440),0)</f>
        <v>0</v>
      </c>
      <c r="AH8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3" s="9" t="e">
        <f>IF(tbl_Case_mins[[#This Row],[ThOpenAm]]=0,tbl_Case_mins[[#This Row],[ThOpenPM]],tbl_Case_mins[[#This Row],[ThOpenAm]])</f>
        <v>#REF!</v>
      </c>
      <c r="AJ83" s="9" t="e">
        <f>IF(tbl_Case_mins[[#This Row],[ThCloseAm]]&gt;0,IF(tbl_Case_mins[[#This Row],[ThOpenPM]]&gt;0,tbl_Case_mins[[#This Row],[ThClosePm]],tbl_Case_mins[[#This Row],[ThCloseAm]]),tbl_Case_mins[[#This Row],[ThClosePm]])</f>
        <v>#REF!</v>
      </c>
      <c r="AK83" s="9" t="e">
        <f>IF(tbl_Case_mins[[#This Row],[TOT]]&gt;0,1,0)</f>
        <v>#REF!</v>
      </c>
      <c r="AL8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3" s="9" t="e">
        <f>IF(AND(tbl_Case_mins[[#This Row],[Surgery Status]]&lt;&gt;2,tbl_Case_mins[[#This Row],[InCoreCase]]=0,tbl_Case_mins[[#This Row],[CancelledCase]]=0),1,0)</f>
        <v>#REF!</v>
      </c>
      <c r="AN83" s="9" t="e">
        <f>IF(tbl_Case_mins[[#This Row],[Surgery Status]]=1,1,0)</f>
        <v>#REF!</v>
      </c>
      <c r="AO8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3" s="9" t="e">
        <f>IF(AND(tbl_Case_mins[[#This Row],[NonCoreCase]]=1,tbl_Case_mins[[#This Row],[NoInCoreTime]]=0),1,0)</f>
        <v>#REF!</v>
      </c>
      <c r="AQ83" s="9" t="e">
        <f>IF(tbl_Case_mins[[#This Row],[Rank_AnaEnd]]&lt;tbl_Case_mins[[#This Row],[Rank_AnaSt]],1,0)</f>
        <v>#REF!</v>
      </c>
      <c r="AR83" s="9" t="e">
        <f>IF(AND(tbl_Case_mins[[#This Row],[InCoreCase]]=1,tbl_Case_mins[[#This Row],[Sch]]=1),1,0)</f>
        <v>#REF!</v>
      </c>
      <c r="AS83" s="9" t="e">
        <f>IF(AND(tbl_Case_mins[[#This Row],[InCoreCase]]=1,tbl_Case_mins[[#This Row],[Unsch]]=1),1,0)</f>
        <v>#REF!</v>
      </c>
      <c r="AT8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3" s="9" t="e">
        <f>IF(tbl_Case_mins[[#This Row],[Surgery Status]]=0,(tbl_Case_mins[[#This Row],[Anaesth End]]-tbl_Case_mins[[#This Row],[AnaesthStart]]),0)</f>
        <v>#REF!</v>
      </c>
      <c r="AX83" s="9" t="e">
        <f>IF(tbl_Case_mins[[#This Row],[Surgery Status]]=0,(tbl_Case_mins[[#This Row],[Surgery Finish]]-tbl_Case_mins[[#This Row],[Surgery Start]]),0)</f>
        <v>#REF!</v>
      </c>
      <c r="AY83" s="9" t="e">
        <f>tbl_Case_mins[[#This Row],[Surgery Start]]-tbl_Case_mins[[#This Row],[AnaesthStart]]</f>
        <v>#REF!</v>
      </c>
      <c r="AZ83" s="9" t="e">
        <f>tbl_Case_mins[[#This Row],[Anaesth End]]-tbl_Case_mins[[#This Row],[Surgery Finish]]</f>
        <v>#REF!</v>
      </c>
      <c r="BA8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3" s="16" cm="1">
        <f t="array" ref="BC8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3" s="16" t="e">
        <f>IF(AND(tbl_Case_mins[[#This Row],[FirstAMCase]]=1,tbl_Case_mins[[#This Row],[CancelledCase]]=0,OR(tbl_Case_mins[[#This Row],[EarlyStartAM]]&gt;0,tbl_Case_mins[[#This Row],[AnaesthStart]]=tbl_Case_mins[[#This Row],[ThOpenAm]])),1,0)</f>
        <v>#REF!</v>
      </c>
      <c r="BE83" s="16" t="e">
        <f>IF(AND(tbl_Case_mins[[#This Row],[Rank_AnaSt]]=tbl_Case_mins[[#This Row],[Min_RankAnaSt]],tbl_Case_mins[[#This Row],[Anaesth End]]&gt;=tbl_Case_mins[[#This Row],[ThOpenAm]],tbl_Case_mins[[#This Row],[PmCase]]=0),1,0)</f>
        <v>#REF!</v>
      </c>
      <c r="BF8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3" s="9" t="e" cm="1">
        <f t="array" ref="BH8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3" s="9" t="e">
        <f>IF(AND(tbl_Case_mins[[#This Row],[ThOpenPM]]&gt;0,tbl_Case_mins[[#This Row],[AnaesthStart]]&gt;tbl_Case_mins[[#This Row],[ThOpenPM]],tbl_Case_mins[[#This Row],[First PM Case]]=1),tbl_Case_mins[[#This Row],[AnaesthStart]]-tbl_Case_mins[[#This Row],[ThOpenPM]],0)</f>
        <v>#REF!</v>
      </c>
      <c r="BL8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3" s="9" t="e" cm="1">
        <f t="array" ref="BN8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3" s="9" t="e">
        <f>IF(AND(tbl_Case_mins[[#This Row],[ThClosePm]]&gt;0,tbl_Case_mins[[#This Row],[Anaesth End]]&gt;tbl_Case_mins[[#This Row],[ThClosePm]],tbl_Case_mins[[#This Row],[AnaesthStart]]&gt;tbl_Case_mins[[#This Row],[ThClosePm]]),tbl_Case_mins[[#This Row],[Into Recov]]-tbl_Case_mins[[#This Row],[AnaesthStart]],0)</f>
        <v>#REF!</v>
      </c>
      <c r="BP83" s="9" t="e">
        <f>IF(AND(tbl_Case_mins[[#This Row],[AnaesthStart]]&lt;tbl_Case_mins[[#This Row],[ThClosePm]],tbl_Case_mins[[#This Row],[Anaesth End]]&gt;tbl_Case_mins[[#This Row],[ThClosePm]]),tbl_Case_mins[[#This Row],[Anaesth End]]-tbl_Case_mins[[#This Row],[ThClosePm]],0)</f>
        <v>#REF!</v>
      </c>
      <c r="BQ83" s="9" t="e" cm="1">
        <f t="array" ref="BQ8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3" s="9" t="e" cm="1">
        <f t="array" ref="BR83">IF(tbl_Case_mins[[#This Row],[Rank_Adjust]]=SUMPRODUCT(-(tbl_Case_mins[Surgery Start Date]=tbl_Case_mins[[#This Row],[Surgery Start Date]]),-(tbl_Case_mins[Theatre]=tbl_Case_mins[[#This Row],[Theatre]])),INDEX(Poss_Time,MATCH(TEXT(tbl_Case_mins[[#This Row],[Surgery Start Date]],"ddd"),Day,0)),0)</f>
        <v>#REF!</v>
      </c>
      <c r="BS83" s="9" t="e">
        <f>tbl_Case_mins[[#This Row],[Core_Time]]*Util_Goal</f>
        <v>#REF!</v>
      </c>
      <c r="BT83" s="9" t="e" cm="1">
        <f t="array" ref="BT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3" s="9" t="e" cm="1">
        <f t="array" ref="BU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3" s="9" t="e">
        <f>IF(tbl_Case_mins[[#This Row],[Surgery End Date]]&gt;tbl_Case_mins[[#This Row],[Surgery Start Date]],tbl_Case_mins[[#This Row],[Anaesth End]]-1440,0)</f>
        <v>#REF!</v>
      </c>
      <c r="BY83" s="9" t="e">
        <f>tbl_Case_mins[[#This Row],[Total_NonCore]]-tbl_Case_mins[[#This Row],[NextDay_NonCore]]</f>
        <v>#REF!</v>
      </c>
      <c r="BZ83" s="10" t="e">
        <f>tbl_Case_mins[[#This Row],[InCoreUse]]/60</f>
        <v>#REF!</v>
      </c>
      <c r="CA83" s="10" t="e">
        <f>tbl_Case_mins[[#This Row],[Total_NonCore]]/60</f>
        <v>#REF!</v>
      </c>
      <c r="CB83" t="e" cm="1">
        <f t="array" ref="CB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3" s="9" t="e" cm="1">
        <f t="array" ref="CC8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3" s="9" t="e" cm="1">
        <f t="array" ref="CD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3" s="9" t="e" cm="1">
        <f t="array" ref="CE8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3" s="9" cm="1">
        <f t="array" ref="CF83">IFERROR(_xlfn.AGGREGATE(14,6,(tbl_Case_mins[Rank_AnaEnd])/((tbl_Case_mins[Surgery Start Date]=tbl_Case_mins[[#This Row],[Surgery Start Date]])*(tbl_Case_mins[Theatre]=tbl_Case_mins[[#This Row],[Theatre]])*(tbl_Case_mins[NoInCoreTime]=0)),1),-1)</f>
        <v>-1</v>
      </c>
      <c r="CG83" s="9" cm="1">
        <f t="array" ref="CG83">IFERROR(_xlfn.AGGREGATE(15,6,(tbl_Case_mins[Rank_AnaSt])/((tbl_Case_mins[Surgery Start Date]=tbl_Case_mins[[#This Row],[Surgery Start Date]])*(tbl_Case_mins[Theatre]=tbl_Case_mins[[#This Row],[Theatre]])*(tbl_Case_mins[NoInCoreTime]=0)),1),-1)</f>
        <v>-1</v>
      </c>
      <c r="CH8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3" t="e" cm="1">
        <f t="array" ref="CJ8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3" s="9" cm="1">
        <f t="array" ref="CO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3" s="9" cm="1">
        <f t="array" ref="CP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3" s="9" cm="1">
        <f t="array" ref="CQ83">IFERROR(IF(AND(tbl_Case_mins[[#This Row],[FirstAMCase]]=0,tbl_Case_mins[[#This Row],[Rank]]=_xlfn.AGGREGATE(14,6,(tbl_Case_mins[Rank])/((tbl_Case_mins[Surgery Start Date]=tbl_Case_mins[[#This Row],[Surgery Start Date]])*(tbl_Case_mins[Theatre]=tbl_Case_mins[[#This Row],[Theatre]])*(tbl_Case_mins[AmCase]=1)),1)),1,0),0)</f>
        <v>0</v>
      </c>
      <c r="CR83" s="9" cm="1">
        <f t="array" ref="CR8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3" s="9" t="e" cm="1">
        <f t="array" ref="CS8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3" s="9" cm="1">
        <f t="array" ref="CT83">IFERROR(IF(tbl_Case_mins[[#This Row],[Rank]]=_xlfn.AGGREGATE(15,6,(tbl_Case_mins[Rank])/((tbl_Case_mins[Surgery Start Date]=tbl_Case_mins[[#This Row],[Surgery Start Date]])*(tbl_Case_mins[Theatre]=tbl_Case_mins[[#This Row],[Theatre]])*(tbl_Case_mins[PmCase]=1)),1),1,0),0)</f>
        <v>0</v>
      </c>
      <c r="CU83">
        <f>IFERROR(#REF!,0)</f>
        <v>0</v>
      </c>
      <c r="CV83" s="9" t="e" cm="1">
        <f t="array" ref="CV8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3" s="9">
        <f>IFERROR(IF(ISBLANK(INDEX(Bay_AmClose,MATCH(1,INDEX((tbl_Case_mins[[#This Row],[Bay]]=BayNo)*(tbl_Case_mins[[#This Row],[Surgery Start Date]]=BDate),0,1),0))*1440),0,INDEX(Bay_AmClose,MATCH(1,INDEX((tbl_Case_mins[[#This Row],[Bay]]=BayNo)*(tbl_Case_mins[[#This Row],[Surgery Start Date]]=BDate),0,1),0))*1440),0)</f>
        <v>0</v>
      </c>
      <c r="CX83" s="9" cm="1">
        <f t="array" ref="CX83">IFERROR(IF(ISBLANK(INDEX(Bay_PmOpen,MATCH(1,INDEX((tbl_Case_mins[[#This Row],[Bay]]=BayNo)*(tbl_Case_mins[[#This Row],[Surgery Start Date]]=BDate),0,1),0))*1440),0,INDEX(Bay_PmOpen,MATCH(1,INDEX((tbl_Case_mins[[#This Row],[Bay]]=BayNo)*(tbl_Case_mins[[#This Row],[Surgery Start Date]]=BDate),0,1),0))*1440),0)</f>
        <v>0</v>
      </c>
      <c r="CY8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3" s="9"/>
    </row>
    <row r="84" spans="1:104" x14ac:dyDescent="0.2">
      <c r="A84">
        <v>83</v>
      </c>
      <c r="B84" t="e">
        <f>#REF!</f>
        <v>#REF!</v>
      </c>
      <c r="C84" t="e">
        <f>#REF!</f>
        <v>#REF!</v>
      </c>
      <c r="D84" t="e">
        <f>#REF!</f>
        <v>#REF!</v>
      </c>
      <c r="E84" t="e">
        <f>#REF!</f>
        <v>#REF!</v>
      </c>
      <c r="F84" t="e">
        <f>#REF!</f>
        <v>#REF!</v>
      </c>
      <c r="G84" t="e">
        <f>#REF!</f>
        <v>#REF!</v>
      </c>
      <c r="H84" t="e">
        <f>#REF!</f>
        <v>#REF!</v>
      </c>
      <c r="I84" t="e">
        <f>IF(#REF!="Case Cancelled",1,IF(#REF!="No Cases",2,0))</f>
        <v>#REF!</v>
      </c>
      <c r="J84" t="e">
        <f>#REF!</f>
        <v>#REF!</v>
      </c>
      <c r="K84" s="4" t="e">
        <f>#REF!</f>
        <v>#REF!</v>
      </c>
      <c r="L84" t="e">
        <f>"Wk "&amp;WEEKNUM(tbl_Case_mins[[#This Row],[Surgery Start Date]],21)</f>
        <v>#REF!</v>
      </c>
      <c r="M84" t="e">
        <f>TEXT(tbl_Case_mins[[#This Row],[Surgery Start Date]],"ddd")</f>
        <v>#REF!</v>
      </c>
      <c r="N84" s="9" t="e">
        <f>(#REF!-TIME(0,0,0))*1440</f>
        <v>#REF!</v>
      </c>
      <c r="O84" t="e">
        <f>IF(AND(ROUND((#REF!-TIME(0,0,0))*1440,0)&gt;0,ROUND((#REF!-TIME(0,0,0))*1440,0)&lt;tbl_Case_mins[[#This Row],[Patient Called]],tbl_Case_mins[[#This Row],[Surgery End Date]]&gt;tbl_Case_mins[[#This Row],[Surgery Start Date]]),ROUND((#REF!-TIME(0,0,0))*1440,0)+1440,ROUND((#REF!-TIME(0,0,0))*1440,0))</f>
        <v>#REF!</v>
      </c>
      <c r="P84" s="9" t="e">
        <f>IF(AND(ROUND((#REF!-TIME(0,0,0))*1440,0)&gt;0,ROUND((#REF!-TIME(0,0,0))*1440,0)&lt;tbl_Case_mins[[#This Row],[Arrival]],tbl_Case_mins[[#This Row],[Surgery End Date]]&gt;tbl_Case_mins[[#This Row],[Surgery Start Date]]),ROUND((#REF!-TIME(0,0,0))*1440,0)+1440,ROUND((#REF!-TIME(0,0,0))*1440,0))</f>
        <v>#REF!</v>
      </c>
      <c r="Q84" s="9" t="e">
        <f>IF(AND(ROUND((#REF!-TIME(0,0,0))*1440,0)&gt;0,ROUND((#REF!-TIME(0,0,0))*1440,0)&lt;tbl_Case_mins[[#This Row],[Into Th or AR]],tbl_Case_mins[[#This Row],[Surgery End Date]]&gt;tbl_Case_mins[[#This Row],[Surgery Start Date]]),ROUND((#REF!-TIME(0,0,0))*1440,0)+1440,ROUND((#REF!-TIME(0,0,0))*1440,0))</f>
        <v>#REF!</v>
      </c>
      <c r="R84" s="9" t="e">
        <f>IF(AND(ROUND((#REF!-TIME(0,0,0))*1440,0)&gt;0,ROUND((#REF!-TIME(0,0,0))*1440,0)&lt;tbl_Case_mins[[#This Row],[AnaesthStart]],tbl_Case_mins[[#This Row],[Surgery End Date]]&gt;tbl_Case_mins[[#This Row],[Surgery Start Date]]),ROUND((#REF!-TIME(0,0,0))*1440,0)+1440,ROUND((#REF!-TIME(0,0,0))*1440,0))</f>
        <v>#REF!</v>
      </c>
      <c r="S84" s="9" t="e">
        <f>IF(AND(ROUND((#REF!-TIME(0,0,0))*1440,0),ROUND((#REF!-TIME(0,0,0))*1440,0)&lt;tbl_Case_mins[[#This Row],[Surgery Start]],tbl_Case_mins[[#This Row],[Surgery End Date]]&gt;tbl_Case_mins[[#This Row],[Surgery Start Date]]),ROUND((#REF!-TIME(0,0,0))*1440,0)+1440,ROUND((#REF!-TIME(0,0,0))*1440,0))</f>
        <v>#REF!</v>
      </c>
      <c r="T84" s="9" t="e">
        <f>IF(AND(ROUND((#REF!-TIME(0,0,0))*1440,0)&gt;0,ROUND((#REF!-TIME(0,0,0))*1440,0)&lt;tbl_Case_mins[[#This Row],[Surgery Finish]],tbl_Case_mins[[#This Row],[Surgery End Date]]&gt;tbl_Case_mins[[#This Row],[Surgery Start Date]]),ROUND((#REF!-TIME(0,0,0))*1440,0)+1440,ROUND((#REF!-TIME(0,0,0))*1440,0))</f>
        <v>#REF!</v>
      </c>
      <c r="U84" s="9" t="e">
        <f>IF(AND(ROUND((#REF!-TIME(0,0,0))*1440,0)&gt;0,ROUND((#REF!-TIME(0,0,0))*1440,0)&lt;tbl_Case_mins[[#This Row],[Anaesth End]],tbl_Case_mins[[#This Row],[Surgery End Date]]&gt;tbl_Case_mins[[#This Row],[Surgery Start Date]]),ROUND((#REF!-TIME(0,0,0))*1440,0)+1440,ROUND((#REF!-TIME(0,0,0))*1440,0))</f>
        <v>#REF!</v>
      </c>
      <c r="V84" s="9" t="e">
        <f>IF(AND(ROUND((#REF!-TIME(0,0,0))*1440,0)&gt;0,ROUND((#REF!-TIME(0,0,0))*1440,0)&lt;tbl_Case_mins[[#This Row],[Into Recov]],tbl_Case_mins[[#This Row],[Surgery End Date]]&gt;tbl_Case_mins[[#This Row],[Surgery Start Date]]),ROUND((#REF!-TIME(0,0,0))*1440,0)+1440,ROUND((#REF!-TIME(0,0,0))*1440,0))</f>
        <v>#REF!</v>
      </c>
      <c r="W84" s="9" t="e">
        <f>IF(AND(ROUND((#REF!-TIME(0,0,0))*1440,0)&gt;0,ROUND((#REF!-TIME(0,0,0))*1440,0)&lt;tbl_Case_mins[[#This Row],[Ward Called]],tbl_Case_mins[[#This Row],[Surgery End Date]]&gt;tbl_Case_mins[[#This Row],[Surgery Start Date]]),ROUND((#REF!-TIME(0,0,0))*1440,0)+1440,ROUND((#REF!-TIME(0,0,0))*1440,0))</f>
        <v>#REF!</v>
      </c>
      <c r="X84" s="4" t="e">
        <f>IF(ISBLANK(#REF!),tbl_Case_mins[[#This Row],[Surgery Start Date]],#REF!)</f>
        <v>#REF!</v>
      </c>
      <c r="Y84">
        <f>IFERROR(IF(VLOOKUP(tbl_Case_mins[[#This Row],[Theatre]],'Mng Theatres'!$C$7:$G$12,3,FALSE)="Yes","Yes","No"),0)</f>
        <v>0</v>
      </c>
      <c r="Z84" s="9" t="e" cm="1">
        <f t="array" ref="Z8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4" s="9" t="e" cm="1">
        <f t="array" ref="AA8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4" s="9" t="e">
        <f>IF(tbl_Case_mins[[#This Row],[Case Type]]="Unsch",1,0)</f>
        <v>#REF!</v>
      </c>
      <c r="AD84" s="9" t="e">
        <f>IF(tbl_Case_mins[[#This Row],[Case Type]]="Sch",1,0)</f>
        <v>#REF!</v>
      </c>
      <c r="AE8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4" s="9">
        <f>IFERROR(IF(ISBLANK(INDEX(Am_Close,MATCH(1,INDEX((tbl_Case_mins[[#This Row],[Theatre]]=Theatre_No)*(tbl_Case_mins[[#This Row],[Surgery Start Date]]=Date),0,1),0))*1440),0,INDEX(Am_Close,MATCH(1,INDEX((tbl_Case_mins[[#This Row],[Theatre]]=Theatre_No)*(tbl_Case_mins[[#This Row],[Surgery Start Date]]=Date),0,1),0))*1440),0)</f>
        <v>0</v>
      </c>
      <c r="AG84" s="9">
        <f>IFERROR(IF(ISBLANK(INDEX(PM_Open,MATCH(1,INDEX((tbl_Case_mins[[#This Row],[Theatre]]=Theatre_No)*(tbl_Case_mins[[#This Row],[Surgery Start Date]]=Date),0,1),0))*1440),0,INDEX(PM_Open,MATCH(1,INDEX((tbl_Case_mins[[#This Row],[Theatre]]=Theatre_No)*(tbl_Case_mins[[#This Row],[Surgery Start Date]]=Date),0,1),0))*1440),0)</f>
        <v>0</v>
      </c>
      <c r="AH8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4" s="9" t="e">
        <f>IF(tbl_Case_mins[[#This Row],[ThOpenAm]]=0,tbl_Case_mins[[#This Row],[ThOpenPM]],tbl_Case_mins[[#This Row],[ThOpenAm]])</f>
        <v>#REF!</v>
      </c>
      <c r="AJ84" s="9" t="e">
        <f>IF(tbl_Case_mins[[#This Row],[ThCloseAm]]&gt;0,IF(tbl_Case_mins[[#This Row],[ThOpenPM]]&gt;0,tbl_Case_mins[[#This Row],[ThClosePm]],tbl_Case_mins[[#This Row],[ThCloseAm]]),tbl_Case_mins[[#This Row],[ThClosePm]])</f>
        <v>#REF!</v>
      </c>
      <c r="AK84" s="9" t="e">
        <f>IF(tbl_Case_mins[[#This Row],[TOT]]&gt;0,1,0)</f>
        <v>#REF!</v>
      </c>
      <c r="AL8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4" s="9" t="e">
        <f>IF(AND(tbl_Case_mins[[#This Row],[Surgery Status]]&lt;&gt;2,tbl_Case_mins[[#This Row],[InCoreCase]]=0,tbl_Case_mins[[#This Row],[CancelledCase]]=0),1,0)</f>
        <v>#REF!</v>
      </c>
      <c r="AN84" s="9" t="e">
        <f>IF(tbl_Case_mins[[#This Row],[Surgery Status]]=1,1,0)</f>
        <v>#REF!</v>
      </c>
      <c r="AO8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4" s="9" t="e">
        <f>IF(AND(tbl_Case_mins[[#This Row],[NonCoreCase]]=1,tbl_Case_mins[[#This Row],[NoInCoreTime]]=0),1,0)</f>
        <v>#REF!</v>
      </c>
      <c r="AQ84" s="9" t="e">
        <f>IF(tbl_Case_mins[[#This Row],[Rank_AnaEnd]]&lt;tbl_Case_mins[[#This Row],[Rank_AnaSt]],1,0)</f>
        <v>#REF!</v>
      </c>
      <c r="AR84" s="9" t="e">
        <f>IF(AND(tbl_Case_mins[[#This Row],[InCoreCase]]=1,tbl_Case_mins[[#This Row],[Sch]]=1),1,0)</f>
        <v>#REF!</v>
      </c>
      <c r="AS84" s="9" t="e">
        <f>IF(AND(tbl_Case_mins[[#This Row],[InCoreCase]]=1,tbl_Case_mins[[#This Row],[Unsch]]=1),1,0)</f>
        <v>#REF!</v>
      </c>
      <c r="AT8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4" s="9" t="e">
        <f>IF(tbl_Case_mins[[#This Row],[Surgery Status]]=0,(tbl_Case_mins[[#This Row],[Anaesth End]]-tbl_Case_mins[[#This Row],[AnaesthStart]]),0)</f>
        <v>#REF!</v>
      </c>
      <c r="AX84" s="9" t="e">
        <f>IF(tbl_Case_mins[[#This Row],[Surgery Status]]=0,(tbl_Case_mins[[#This Row],[Surgery Finish]]-tbl_Case_mins[[#This Row],[Surgery Start]]),0)</f>
        <v>#REF!</v>
      </c>
      <c r="AY84" s="9" t="e">
        <f>tbl_Case_mins[[#This Row],[Surgery Start]]-tbl_Case_mins[[#This Row],[AnaesthStart]]</f>
        <v>#REF!</v>
      </c>
      <c r="AZ84" s="9" t="e">
        <f>tbl_Case_mins[[#This Row],[Anaesth End]]-tbl_Case_mins[[#This Row],[Surgery Finish]]</f>
        <v>#REF!</v>
      </c>
      <c r="BA8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4" s="16" cm="1">
        <f t="array" ref="BC8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4" s="16" t="e">
        <f>IF(AND(tbl_Case_mins[[#This Row],[FirstAMCase]]=1,tbl_Case_mins[[#This Row],[CancelledCase]]=0,OR(tbl_Case_mins[[#This Row],[EarlyStartAM]]&gt;0,tbl_Case_mins[[#This Row],[AnaesthStart]]=tbl_Case_mins[[#This Row],[ThOpenAm]])),1,0)</f>
        <v>#REF!</v>
      </c>
      <c r="BE84" s="16" t="e">
        <f>IF(AND(tbl_Case_mins[[#This Row],[Rank_AnaSt]]=tbl_Case_mins[[#This Row],[Min_RankAnaSt]],tbl_Case_mins[[#This Row],[Anaesth End]]&gt;=tbl_Case_mins[[#This Row],[ThOpenAm]],tbl_Case_mins[[#This Row],[PmCase]]=0),1,0)</f>
        <v>#REF!</v>
      </c>
      <c r="BF8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4" s="9" t="e" cm="1">
        <f t="array" ref="BH8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4" s="9" t="e">
        <f>IF(AND(tbl_Case_mins[[#This Row],[ThOpenPM]]&gt;0,tbl_Case_mins[[#This Row],[AnaesthStart]]&gt;tbl_Case_mins[[#This Row],[ThOpenPM]],tbl_Case_mins[[#This Row],[First PM Case]]=1),tbl_Case_mins[[#This Row],[AnaesthStart]]-tbl_Case_mins[[#This Row],[ThOpenPM]],0)</f>
        <v>#REF!</v>
      </c>
      <c r="BL8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4" s="9" t="e" cm="1">
        <f t="array" ref="BN8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4" s="9" t="e">
        <f>IF(AND(tbl_Case_mins[[#This Row],[ThClosePm]]&gt;0,tbl_Case_mins[[#This Row],[Anaesth End]]&gt;tbl_Case_mins[[#This Row],[ThClosePm]],tbl_Case_mins[[#This Row],[AnaesthStart]]&gt;tbl_Case_mins[[#This Row],[ThClosePm]]),tbl_Case_mins[[#This Row],[Into Recov]]-tbl_Case_mins[[#This Row],[AnaesthStart]],0)</f>
        <v>#REF!</v>
      </c>
      <c r="BP84" s="9" t="e">
        <f>IF(AND(tbl_Case_mins[[#This Row],[AnaesthStart]]&lt;tbl_Case_mins[[#This Row],[ThClosePm]],tbl_Case_mins[[#This Row],[Anaesth End]]&gt;tbl_Case_mins[[#This Row],[ThClosePm]]),tbl_Case_mins[[#This Row],[Anaesth End]]-tbl_Case_mins[[#This Row],[ThClosePm]],0)</f>
        <v>#REF!</v>
      </c>
      <c r="BQ84" s="9" t="e" cm="1">
        <f t="array" ref="BQ8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4" s="9" t="e" cm="1">
        <f t="array" ref="BR84">IF(tbl_Case_mins[[#This Row],[Rank_Adjust]]=SUMPRODUCT(-(tbl_Case_mins[Surgery Start Date]=tbl_Case_mins[[#This Row],[Surgery Start Date]]),-(tbl_Case_mins[Theatre]=tbl_Case_mins[[#This Row],[Theatre]])),INDEX(Poss_Time,MATCH(TEXT(tbl_Case_mins[[#This Row],[Surgery Start Date]],"ddd"),Day,0)),0)</f>
        <v>#REF!</v>
      </c>
      <c r="BS84" s="9" t="e">
        <f>tbl_Case_mins[[#This Row],[Core_Time]]*Util_Goal</f>
        <v>#REF!</v>
      </c>
      <c r="BT84" s="9" t="e" cm="1">
        <f t="array" ref="BT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4" s="9" t="e" cm="1">
        <f t="array" ref="BU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4" s="9" t="e">
        <f>IF(tbl_Case_mins[[#This Row],[Surgery End Date]]&gt;tbl_Case_mins[[#This Row],[Surgery Start Date]],tbl_Case_mins[[#This Row],[Anaesth End]]-1440,0)</f>
        <v>#REF!</v>
      </c>
      <c r="BY84" s="9" t="e">
        <f>tbl_Case_mins[[#This Row],[Total_NonCore]]-tbl_Case_mins[[#This Row],[NextDay_NonCore]]</f>
        <v>#REF!</v>
      </c>
      <c r="BZ84" s="10" t="e">
        <f>tbl_Case_mins[[#This Row],[InCoreUse]]/60</f>
        <v>#REF!</v>
      </c>
      <c r="CA84" s="10" t="e">
        <f>tbl_Case_mins[[#This Row],[Total_NonCore]]/60</f>
        <v>#REF!</v>
      </c>
      <c r="CB84" t="e" cm="1">
        <f t="array" ref="CB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4" s="9" t="e" cm="1">
        <f t="array" ref="CC8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4" s="9" t="e" cm="1">
        <f t="array" ref="CD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4" s="9" t="e" cm="1">
        <f t="array" ref="CE8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4" s="9" cm="1">
        <f t="array" ref="CF84">IFERROR(_xlfn.AGGREGATE(14,6,(tbl_Case_mins[Rank_AnaEnd])/((tbl_Case_mins[Surgery Start Date]=tbl_Case_mins[[#This Row],[Surgery Start Date]])*(tbl_Case_mins[Theatre]=tbl_Case_mins[[#This Row],[Theatre]])*(tbl_Case_mins[NoInCoreTime]=0)),1),-1)</f>
        <v>-1</v>
      </c>
      <c r="CG84" s="9" cm="1">
        <f t="array" ref="CG84">IFERROR(_xlfn.AGGREGATE(15,6,(tbl_Case_mins[Rank_AnaSt])/((tbl_Case_mins[Surgery Start Date]=tbl_Case_mins[[#This Row],[Surgery Start Date]])*(tbl_Case_mins[Theatre]=tbl_Case_mins[[#This Row],[Theatre]])*(tbl_Case_mins[NoInCoreTime]=0)),1),-1)</f>
        <v>-1</v>
      </c>
      <c r="CH8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4" t="e" cm="1">
        <f t="array" ref="CJ8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4" s="9" cm="1">
        <f t="array" ref="CO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4" s="9" cm="1">
        <f t="array" ref="CP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4" s="9" cm="1">
        <f t="array" ref="CQ84">IFERROR(IF(AND(tbl_Case_mins[[#This Row],[FirstAMCase]]=0,tbl_Case_mins[[#This Row],[Rank]]=_xlfn.AGGREGATE(14,6,(tbl_Case_mins[Rank])/((tbl_Case_mins[Surgery Start Date]=tbl_Case_mins[[#This Row],[Surgery Start Date]])*(tbl_Case_mins[Theatre]=tbl_Case_mins[[#This Row],[Theatre]])*(tbl_Case_mins[AmCase]=1)),1)),1,0),0)</f>
        <v>0</v>
      </c>
      <c r="CR84" s="9" cm="1">
        <f t="array" ref="CR8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4" s="9" t="e" cm="1">
        <f t="array" ref="CS8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4" s="9" cm="1">
        <f t="array" ref="CT84">IFERROR(IF(tbl_Case_mins[[#This Row],[Rank]]=_xlfn.AGGREGATE(15,6,(tbl_Case_mins[Rank])/((tbl_Case_mins[Surgery Start Date]=tbl_Case_mins[[#This Row],[Surgery Start Date]])*(tbl_Case_mins[Theatre]=tbl_Case_mins[[#This Row],[Theatre]])*(tbl_Case_mins[PmCase]=1)),1),1,0),0)</f>
        <v>0</v>
      </c>
      <c r="CU84">
        <f>IFERROR(#REF!,0)</f>
        <v>0</v>
      </c>
      <c r="CV84" s="9" t="e" cm="1">
        <f t="array" ref="CV8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4" s="9">
        <f>IFERROR(IF(ISBLANK(INDEX(Bay_AmClose,MATCH(1,INDEX((tbl_Case_mins[[#This Row],[Bay]]=BayNo)*(tbl_Case_mins[[#This Row],[Surgery Start Date]]=BDate),0,1),0))*1440),0,INDEX(Bay_AmClose,MATCH(1,INDEX((tbl_Case_mins[[#This Row],[Bay]]=BayNo)*(tbl_Case_mins[[#This Row],[Surgery Start Date]]=BDate),0,1),0))*1440),0)</f>
        <v>0</v>
      </c>
      <c r="CX84" s="9" cm="1">
        <f t="array" ref="CX84">IFERROR(IF(ISBLANK(INDEX(Bay_PmOpen,MATCH(1,INDEX((tbl_Case_mins[[#This Row],[Bay]]=BayNo)*(tbl_Case_mins[[#This Row],[Surgery Start Date]]=BDate),0,1),0))*1440),0,INDEX(Bay_PmOpen,MATCH(1,INDEX((tbl_Case_mins[[#This Row],[Bay]]=BayNo)*(tbl_Case_mins[[#This Row],[Surgery Start Date]]=BDate),0,1),0))*1440),0)</f>
        <v>0</v>
      </c>
      <c r="CY8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4" s="9"/>
    </row>
    <row r="85" spans="1:104" x14ac:dyDescent="0.2">
      <c r="A85">
        <v>84</v>
      </c>
      <c r="B85" t="e">
        <f>#REF!</f>
        <v>#REF!</v>
      </c>
      <c r="C85" t="e">
        <f>#REF!</f>
        <v>#REF!</v>
      </c>
      <c r="D85" t="e">
        <f>#REF!</f>
        <v>#REF!</v>
      </c>
      <c r="E85" t="e">
        <f>#REF!</f>
        <v>#REF!</v>
      </c>
      <c r="F85" t="e">
        <f>#REF!</f>
        <v>#REF!</v>
      </c>
      <c r="G85" t="e">
        <f>#REF!</f>
        <v>#REF!</v>
      </c>
      <c r="H85" t="e">
        <f>#REF!</f>
        <v>#REF!</v>
      </c>
      <c r="I85" t="e">
        <f>IF(#REF!="Case Cancelled",1,IF(#REF!="No Cases",2,0))</f>
        <v>#REF!</v>
      </c>
      <c r="J85" t="e">
        <f>#REF!</f>
        <v>#REF!</v>
      </c>
      <c r="K85" s="4" t="e">
        <f>#REF!</f>
        <v>#REF!</v>
      </c>
      <c r="L85" t="e">
        <f>"Wk "&amp;WEEKNUM(tbl_Case_mins[[#This Row],[Surgery Start Date]],21)</f>
        <v>#REF!</v>
      </c>
      <c r="M85" t="e">
        <f>TEXT(tbl_Case_mins[[#This Row],[Surgery Start Date]],"ddd")</f>
        <v>#REF!</v>
      </c>
      <c r="N85" s="9" t="e">
        <f>(#REF!-TIME(0,0,0))*1440</f>
        <v>#REF!</v>
      </c>
      <c r="O85" t="e">
        <f>IF(AND(ROUND((#REF!-TIME(0,0,0))*1440,0)&gt;0,ROUND((#REF!-TIME(0,0,0))*1440,0)&lt;tbl_Case_mins[[#This Row],[Patient Called]],tbl_Case_mins[[#This Row],[Surgery End Date]]&gt;tbl_Case_mins[[#This Row],[Surgery Start Date]]),ROUND((#REF!-TIME(0,0,0))*1440,0)+1440,ROUND((#REF!-TIME(0,0,0))*1440,0))</f>
        <v>#REF!</v>
      </c>
      <c r="P85" s="9" t="e">
        <f>IF(AND(ROUND((#REF!-TIME(0,0,0))*1440,0)&gt;0,ROUND((#REF!-TIME(0,0,0))*1440,0)&lt;tbl_Case_mins[[#This Row],[Arrival]],tbl_Case_mins[[#This Row],[Surgery End Date]]&gt;tbl_Case_mins[[#This Row],[Surgery Start Date]]),ROUND((#REF!-TIME(0,0,0))*1440,0)+1440,ROUND((#REF!-TIME(0,0,0))*1440,0))</f>
        <v>#REF!</v>
      </c>
      <c r="Q85" s="9" t="e">
        <f>IF(AND(ROUND((#REF!-TIME(0,0,0))*1440,0)&gt;0,ROUND((#REF!-TIME(0,0,0))*1440,0)&lt;tbl_Case_mins[[#This Row],[Into Th or AR]],tbl_Case_mins[[#This Row],[Surgery End Date]]&gt;tbl_Case_mins[[#This Row],[Surgery Start Date]]),ROUND((#REF!-TIME(0,0,0))*1440,0)+1440,ROUND((#REF!-TIME(0,0,0))*1440,0))</f>
        <v>#REF!</v>
      </c>
      <c r="R85" s="9" t="e">
        <f>IF(AND(ROUND((#REF!-TIME(0,0,0))*1440,0)&gt;0,ROUND((#REF!-TIME(0,0,0))*1440,0)&lt;tbl_Case_mins[[#This Row],[AnaesthStart]],tbl_Case_mins[[#This Row],[Surgery End Date]]&gt;tbl_Case_mins[[#This Row],[Surgery Start Date]]),ROUND((#REF!-TIME(0,0,0))*1440,0)+1440,ROUND((#REF!-TIME(0,0,0))*1440,0))</f>
        <v>#REF!</v>
      </c>
      <c r="S85" s="9" t="e">
        <f>IF(AND(ROUND((#REF!-TIME(0,0,0))*1440,0),ROUND((#REF!-TIME(0,0,0))*1440,0)&lt;tbl_Case_mins[[#This Row],[Surgery Start]],tbl_Case_mins[[#This Row],[Surgery End Date]]&gt;tbl_Case_mins[[#This Row],[Surgery Start Date]]),ROUND((#REF!-TIME(0,0,0))*1440,0)+1440,ROUND((#REF!-TIME(0,0,0))*1440,0))</f>
        <v>#REF!</v>
      </c>
      <c r="T85" s="9" t="e">
        <f>IF(AND(ROUND((#REF!-TIME(0,0,0))*1440,0)&gt;0,ROUND((#REF!-TIME(0,0,0))*1440,0)&lt;tbl_Case_mins[[#This Row],[Surgery Finish]],tbl_Case_mins[[#This Row],[Surgery End Date]]&gt;tbl_Case_mins[[#This Row],[Surgery Start Date]]),ROUND((#REF!-TIME(0,0,0))*1440,0)+1440,ROUND((#REF!-TIME(0,0,0))*1440,0))</f>
        <v>#REF!</v>
      </c>
      <c r="U85" s="9" t="e">
        <f>IF(AND(ROUND((#REF!-TIME(0,0,0))*1440,0)&gt;0,ROUND((#REF!-TIME(0,0,0))*1440,0)&lt;tbl_Case_mins[[#This Row],[Anaesth End]],tbl_Case_mins[[#This Row],[Surgery End Date]]&gt;tbl_Case_mins[[#This Row],[Surgery Start Date]]),ROUND((#REF!-TIME(0,0,0))*1440,0)+1440,ROUND((#REF!-TIME(0,0,0))*1440,0))</f>
        <v>#REF!</v>
      </c>
      <c r="V85" s="9" t="e">
        <f>IF(AND(ROUND((#REF!-TIME(0,0,0))*1440,0)&gt;0,ROUND((#REF!-TIME(0,0,0))*1440,0)&lt;tbl_Case_mins[[#This Row],[Into Recov]],tbl_Case_mins[[#This Row],[Surgery End Date]]&gt;tbl_Case_mins[[#This Row],[Surgery Start Date]]),ROUND((#REF!-TIME(0,0,0))*1440,0)+1440,ROUND((#REF!-TIME(0,0,0))*1440,0))</f>
        <v>#REF!</v>
      </c>
      <c r="W85" s="9" t="e">
        <f>IF(AND(ROUND((#REF!-TIME(0,0,0))*1440,0)&gt;0,ROUND((#REF!-TIME(0,0,0))*1440,0)&lt;tbl_Case_mins[[#This Row],[Ward Called]],tbl_Case_mins[[#This Row],[Surgery End Date]]&gt;tbl_Case_mins[[#This Row],[Surgery Start Date]]),ROUND((#REF!-TIME(0,0,0))*1440,0)+1440,ROUND((#REF!-TIME(0,0,0))*1440,0))</f>
        <v>#REF!</v>
      </c>
      <c r="X85" s="4" t="e">
        <f>IF(ISBLANK(#REF!),tbl_Case_mins[[#This Row],[Surgery Start Date]],#REF!)</f>
        <v>#REF!</v>
      </c>
      <c r="Y85">
        <f>IFERROR(IF(VLOOKUP(tbl_Case_mins[[#This Row],[Theatre]],'Mng Theatres'!$C$7:$G$12,3,FALSE)="Yes","Yes","No"),0)</f>
        <v>0</v>
      </c>
      <c r="Z85" s="9" t="e" cm="1">
        <f t="array" ref="Z8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5" s="9" t="e" cm="1">
        <f t="array" ref="AA8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5" s="9" t="e">
        <f>IF(tbl_Case_mins[[#This Row],[Case Type]]="Unsch",1,0)</f>
        <v>#REF!</v>
      </c>
      <c r="AD85" s="9" t="e">
        <f>IF(tbl_Case_mins[[#This Row],[Case Type]]="Sch",1,0)</f>
        <v>#REF!</v>
      </c>
      <c r="AE8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5" s="9">
        <f>IFERROR(IF(ISBLANK(INDEX(Am_Close,MATCH(1,INDEX((tbl_Case_mins[[#This Row],[Theatre]]=Theatre_No)*(tbl_Case_mins[[#This Row],[Surgery Start Date]]=Date),0,1),0))*1440),0,INDEX(Am_Close,MATCH(1,INDEX((tbl_Case_mins[[#This Row],[Theatre]]=Theatre_No)*(tbl_Case_mins[[#This Row],[Surgery Start Date]]=Date),0,1),0))*1440),0)</f>
        <v>0</v>
      </c>
      <c r="AG85" s="9">
        <f>IFERROR(IF(ISBLANK(INDEX(PM_Open,MATCH(1,INDEX((tbl_Case_mins[[#This Row],[Theatre]]=Theatre_No)*(tbl_Case_mins[[#This Row],[Surgery Start Date]]=Date),0,1),0))*1440),0,INDEX(PM_Open,MATCH(1,INDEX((tbl_Case_mins[[#This Row],[Theatre]]=Theatre_No)*(tbl_Case_mins[[#This Row],[Surgery Start Date]]=Date),0,1),0))*1440),0)</f>
        <v>0</v>
      </c>
      <c r="AH8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5" s="9" t="e">
        <f>IF(tbl_Case_mins[[#This Row],[ThOpenAm]]=0,tbl_Case_mins[[#This Row],[ThOpenPM]],tbl_Case_mins[[#This Row],[ThOpenAm]])</f>
        <v>#REF!</v>
      </c>
      <c r="AJ85" s="9" t="e">
        <f>IF(tbl_Case_mins[[#This Row],[ThCloseAm]]&gt;0,IF(tbl_Case_mins[[#This Row],[ThOpenPM]]&gt;0,tbl_Case_mins[[#This Row],[ThClosePm]],tbl_Case_mins[[#This Row],[ThCloseAm]]),tbl_Case_mins[[#This Row],[ThClosePm]])</f>
        <v>#REF!</v>
      </c>
      <c r="AK85" s="9" t="e">
        <f>IF(tbl_Case_mins[[#This Row],[TOT]]&gt;0,1,0)</f>
        <v>#REF!</v>
      </c>
      <c r="AL8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5" s="9" t="e">
        <f>IF(AND(tbl_Case_mins[[#This Row],[Surgery Status]]&lt;&gt;2,tbl_Case_mins[[#This Row],[InCoreCase]]=0,tbl_Case_mins[[#This Row],[CancelledCase]]=0),1,0)</f>
        <v>#REF!</v>
      </c>
      <c r="AN85" s="9" t="e">
        <f>IF(tbl_Case_mins[[#This Row],[Surgery Status]]=1,1,0)</f>
        <v>#REF!</v>
      </c>
      <c r="AO8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5" s="9" t="e">
        <f>IF(AND(tbl_Case_mins[[#This Row],[NonCoreCase]]=1,tbl_Case_mins[[#This Row],[NoInCoreTime]]=0),1,0)</f>
        <v>#REF!</v>
      </c>
      <c r="AQ85" s="9" t="e">
        <f>IF(tbl_Case_mins[[#This Row],[Rank_AnaEnd]]&lt;tbl_Case_mins[[#This Row],[Rank_AnaSt]],1,0)</f>
        <v>#REF!</v>
      </c>
      <c r="AR85" s="9" t="e">
        <f>IF(AND(tbl_Case_mins[[#This Row],[InCoreCase]]=1,tbl_Case_mins[[#This Row],[Sch]]=1),1,0)</f>
        <v>#REF!</v>
      </c>
      <c r="AS85" s="9" t="e">
        <f>IF(AND(tbl_Case_mins[[#This Row],[InCoreCase]]=1,tbl_Case_mins[[#This Row],[Unsch]]=1),1,0)</f>
        <v>#REF!</v>
      </c>
      <c r="AT8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5" s="9" t="e">
        <f>IF(tbl_Case_mins[[#This Row],[Surgery Status]]=0,(tbl_Case_mins[[#This Row],[Anaesth End]]-tbl_Case_mins[[#This Row],[AnaesthStart]]),0)</f>
        <v>#REF!</v>
      </c>
      <c r="AX85" s="9" t="e">
        <f>IF(tbl_Case_mins[[#This Row],[Surgery Status]]=0,(tbl_Case_mins[[#This Row],[Surgery Finish]]-tbl_Case_mins[[#This Row],[Surgery Start]]),0)</f>
        <v>#REF!</v>
      </c>
      <c r="AY85" s="9" t="e">
        <f>tbl_Case_mins[[#This Row],[Surgery Start]]-tbl_Case_mins[[#This Row],[AnaesthStart]]</f>
        <v>#REF!</v>
      </c>
      <c r="AZ85" s="9" t="e">
        <f>tbl_Case_mins[[#This Row],[Anaesth End]]-tbl_Case_mins[[#This Row],[Surgery Finish]]</f>
        <v>#REF!</v>
      </c>
      <c r="BA8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5" s="16" cm="1">
        <f t="array" ref="BC8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5" s="16" t="e">
        <f>IF(AND(tbl_Case_mins[[#This Row],[FirstAMCase]]=1,tbl_Case_mins[[#This Row],[CancelledCase]]=0,OR(tbl_Case_mins[[#This Row],[EarlyStartAM]]&gt;0,tbl_Case_mins[[#This Row],[AnaesthStart]]=tbl_Case_mins[[#This Row],[ThOpenAm]])),1,0)</f>
        <v>#REF!</v>
      </c>
      <c r="BE85" s="16" t="e">
        <f>IF(AND(tbl_Case_mins[[#This Row],[Rank_AnaSt]]=tbl_Case_mins[[#This Row],[Min_RankAnaSt]],tbl_Case_mins[[#This Row],[Anaesth End]]&gt;=tbl_Case_mins[[#This Row],[ThOpenAm]],tbl_Case_mins[[#This Row],[PmCase]]=0),1,0)</f>
        <v>#REF!</v>
      </c>
      <c r="BF8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5" s="9" t="e" cm="1">
        <f t="array" ref="BH8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5" s="9" t="e">
        <f>IF(AND(tbl_Case_mins[[#This Row],[ThOpenPM]]&gt;0,tbl_Case_mins[[#This Row],[AnaesthStart]]&gt;tbl_Case_mins[[#This Row],[ThOpenPM]],tbl_Case_mins[[#This Row],[First PM Case]]=1),tbl_Case_mins[[#This Row],[AnaesthStart]]-tbl_Case_mins[[#This Row],[ThOpenPM]],0)</f>
        <v>#REF!</v>
      </c>
      <c r="BL8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5" s="9" t="e" cm="1">
        <f t="array" ref="BN8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5" s="9" t="e">
        <f>IF(AND(tbl_Case_mins[[#This Row],[ThClosePm]]&gt;0,tbl_Case_mins[[#This Row],[Anaesth End]]&gt;tbl_Case_mins[[#This Row],[ThClosePm]],tbl_Case_mins[[#This Row],[AnaesthStart]]&gt;tbl_Case_mins[[#This Row],[ThClosePm]]),tbl_Case_mins[[#This Row],[Into Recov]]-tbl_Case_mins[[#This Row],[AnaesthStart]],0)</f>
        <v>#REF!</v>
      </c>
      <c r="BP85" s="9" t="e">
        <f>IF(AND(tbl_Case_mins[[#This Row],[AnaesthStart]]&lt;tbl_Case_mins[[#This Row],[ThClosePm]],tbl_Case_mins[[#This Row],[Anaesth End]]&gt;tbl_Case_mins[[#This Row],[ThClosePm]]),tbl_Case_mins[[#This Row],[Anaesth End]]-tbl_Case_mins[[#This Row],[ThClosePm]],0)</f>
        <v>#REF!</v>
      </c>
      <c r="BQ85" s="9" t="e" cm="1">
        <f t="array" ref="BQ8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5" s="9" t="e" cm="1">
        <f t="array" ref="BR85">IF(tbl_Case_mins[[#This Row],[Rank_Adjust]]=SUMPRODUCT(-(tbl_Case_mins[Surgery Start Date]=tbl_Case_mins[[#This Row],[Surgery Start Date]]),-(tbl_Case_mins[Theatre]=tbl_Case_mins[[#This Row],[Theatre]])),INDEX(Poss_Time,MATCH(TEXT(tbl_Case_mins[[#This Row],[Surgery Start Date]],"ddd"),Day,0)),0)</f>
        <v>#REF!</v>
      </c>
      <c r="BS85" s="9" t="e">
        <f>tbl_Case_mins[[#This Row],[Core_Time]]*Util_Goal</f>
        <v>#REF!</v>
      </c>
      <c r="BT85" s="9" t="e" cm="1">
        <f t="array" ref="BT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5" s="9" t="e" cm="1">
        <f t="array" ref="BU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5" s="9" t="e">
        <f>IF(tbl_Case_mins[[#This Row],[Surgery End Date]]&gt;tbl_Case_mins[[#This Row],[Surgery Start Date]],tbl_Case_mins[[#This Row],[Anaesth End]]-1440,0)</f>
        <v>#REF!</v>
      </c>
      <c r="BY85" s="9" t="e">
        <f>tbl_Case_mins[[#This Row],[Total_NonCore]]-tbl_Case_mins[[#This Row],[NextDay_NonCore]]</f>
        <v>#REF!</v>
      </c>
      <c r="BZ85" s="10" t="e">
        <f>tbl_Case_mins[[#This Row],[InCoreUse]]/60</f>
        <v>#REF!</v>
      </c>
      <c r="CA85" s="10" t="e">
        <f>tbl_Case_mins[[#This Row],[Total_NonCore]]/60</f>
        <v>#REF!</v>
      </c>
      <c r="CB85" t="e" cm="1">
        <f t="array" ref="CB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5" s="9" t="e" cm="1">
        <f t="array" ref="CC8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5" s="9" t="e" cm="1">
        <f t="array" ref="CD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5" s="9" t="e" cm="1">
        <f t="array" ref="CE8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5" s="9" cm="1">
        <f t="array" ref="CF85">IFERROR(_xlfn.AGGREGATE(14,6,(tbl_Case_mins[Rank_AnaEnd])/((tbl_Case_mins[Surgery Start Date]=tbl_Case_mins[[#This Row],[Surgery Start Date]])*(tbl_Case_mins[Theatre]=tbl_Case_mins[[#This Row],[Theatre]])*(tbl_Case_mins[NoInCoreTime]=0)),1),-1)</f>
        <v>-1</v>
      </c>
      <c r="CG85" s="9" cm="1">
        <f t="array" ref="CG85">IFERROR(_xlfn.AGGREGATE(15,6,(tbl_Case_mins[Rank_AnaSt])/((tbl_Case_mins[Surgery Start Date]=tbl_Case_mins[[#This Row],[Surgery Start Date]])*(tbl_Case_mins[Theatre]=tbl_Case_mins[[#This Row],[Theatre]])*(tbl_Case_mins[NoInCoreTime]=0)),1),-1)</f>
        <v>-1</v>
      </c>
      <c r="CH8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5" t="e" cm="1">
        <f t="array" ref="CJ8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5" s="9" cm="1">
        <f t="array" ref="CO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5" s="9" cm="1">
        <f t="array" ref="CP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5" s="9" cm="1">
        <f t="array" ref="CQ85">IFERROR(IF(AND(tbl_Case_mins[[#This Row],[FirstAMCase]]=0,tbl_Case_mins[[#This Row],[Rank]]=_xlfn.AGGREGATE(14,6,(tbl_Case_mins[Rank])/((tbl_Case_mins[Surgery Start Date]=tbl_Case_mins[[#This Row],[Surgery Start Date]])*(tbl_Case_mins[Theatre]=tbl_Case_mins[[#This Row],[Theatre]])*(tbl_Case_mins[AmCase]=1)),1)),1,0),0)</f>
        <v>0</v>
      </c>
      <c r="CR85" s="9" cm="1">
        <f t="array" ref="CR8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5" s="9" t="e" cm="1">
        <f t="array" ref="CS8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5" s="9" cm="1">
        <f t="array" ref="CT85">IFERROR(IF(tbl_Case_mins[[#This Row],[Rank]]=_xlfn.AGGREGATE(15,6,(tbl_Case_mins[Rank])/((tbl_Case_mins[Surgery Start Date]=tbl_Case_mins[[#This Row],[Surgery Start Date]])*(tbl_Case_mins[Theatre]=tbl_Case_mins[[#This Row],[Theatre]])*(tbl_Case_mins[PmCase]=1)),1),1,0),0)</f>
        <v>0</v>
      </c>
      <c r="CU85">
        <f>IFERROR(#REF!,0)</f>
        <v>0</v>
      </c>
      <c r="CV85" s="9" t="e" cm="1">
        <f t="array" ref="CV8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5" s="9">
        <f>IFERROR(IF(ISBLANK(INDEX(Bay_AmClose,MATCH(1,INDEX((tbl_Case_mins[[#This Row],[Bay]]=BayNo)*(tbl_Case_mins[[#This Row],[Surgery Start Date]]=BDate),0,1),0))*1440),0,INDEX(Bay_AmClose,MATCH(1,INDEX((tbl_Case_mins[[#This Row],[Bay]]=BayNo)*(tbl_Case_mins[[#This Row],[Surgery Start Date]]=BDate),0,1),0))*1440),0)</f>
        <v>0</v>
      </c>
      <c r="CX85" s="9" cm="1">
        <f t="array" ref="CX85">IFERROR(IF(ISBLANK(INDEX(Bay_PmOpen,MATCH(1,INDEX((tbl_Case_mins[[#This Row],[Bay]]=BayNo)*(tbl_Case_mins[[#This Row],[Surgery Start Date]]=BDate),0,1),0))*1440),0,INDEX(Bay_PmOpen,MATCH(1,INDEX((tbl_Case_mins[[#This Row],[Bay]]=BayNo)*(tbl_Case_mins[[#This Row],[Surgery Start Date]]=BDate),0,1),0))*1440),0)</f>
        <v>0</v>
      </c>
      <c r="CY8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5" s="9"/>
    </row>
    <row r="86" spans="1:104" x14ac:dyDescent="0.2">
      <c r="A86">
        <v>85</v>
      </c>
      <c r="B86" t="e">
        <f>#REF!</f>
        <v>#REF!</v>
      </c>
      <c r="C86" t="e">
        <f>#REF!</f>
        <v>#REF!</v>
      </c>
      <c r="D86" t="e">
        <f>#REF!</f>
        <v>#REF!</v>
      </c>
      <c r="E86" t="e">
        <f>#REF!</f>
        <v>#REF!</v>
      </c>
      <c r="F86" t="e">
        <f>#REF!</f>
        <v>#REF!</v>
      </c>
      <c r="G86" t="e">
        <f>#REF!</f>
        <v>#REF!</v>
      </c>
      <c r="H86" t="e">
        <f>#REF!</f>
        <v>#REF!</v>
      </c>
      <c r="I86" t="e">
        <f>IF(#REF!="Case Cancelled",1,IF(#REF!="No Cases",2,0))</f>
        <v>#REF!</v>
      </c>
      <c r="J86" t="e">
        <f>#REF!</f>
        <v>#REF!</v>
      </c>
      <c r="K86" s="4" t="e">
        <f>#REF!</f>
        <v>#REF!</v>
      </c>
      <c r="L86" t="e">
        <f>"Wk "&amp;WEEKNUM(tbl_Case_mins[[#This Row],[Surgery Start Date]],21)</f>
        <v>#REF!</v>
      </c>
      <c r="M86" t="e">
        <f>TEXT(tbl_Case_mins[[#This Row],[Surgery Start Date]],"ddd")</f>
        <v>#REF!</v>
      </c>
      <c r="N86" s="9" t="e">
        <f>(#REF!-TIME(0,0,0))*1440</f>
        <v>#REF!</v>
      </c>
      <c r="O86" t="e">
        <f>IF(AND(ROUND((#REF!-TIME(0,0,0))*1440,0)&gt;0,ROUND((#REF!-TIME(0,0,0))*1440,0)&lt;tbl_Case_mins[[#This Row],[Patient Called]],tbl_Case_mins[[#This Row],[Surgery End Date]]&gt;tbl_Case_mins[[#This Row],[Surgery Start Date]]),ROUND((#REF!-TIME(0,0,0))*1440,0)+1440,ROUND((#REF!-TIME(0,0,0))*1440,0))</f>
        <v>#REF!</v>
      </c>
      <c r="P86" s="9" t="e">
        <f>IF(AND(ROUND((#REF!-TIME(0,0,0))*1440,0)&gt;0,ROUND((#REF!-TIME(0,0,0))*1440,0)&lt;tbl_Case_mins[[#This Row],[Arrival]],tbl_Case_mins[[#This Row],[Surgery End Date]]&gt;tbl_Case_mins[[#This Row],[Surgery Start Date]]),ROUND((#REF!-TIME(0,0,0))*1440,0)+1440,ROUND((#REF!-TIME(0,0,0))*1440,0))</f>
        <v>#REF!</v>
      </c>
      <c r="Q86" s="9" t="e">
        <f>IF(AND(ROUND((#REF!-TIME(0,0,0))*1440,0)&gt;0,ROUND((#REF!-TIME(0,0,0))*1440,0)&lt;tbl_Case_mins[[#This Row],[Into Th or AR]],tbl_Case_mins[[#This Row],[Surgery End Date]]&gt;tbl_Case_mins[[#This Row],[Surgery Start Date]]),ROUND((#REF!-TIME(0,0,0))*1440,0)+1440,ROUND((#REF!-TIME(0,0,0))*1440,0))</f>
        <v>#REF!</v>
      </c>
      <c r="R86" s="9" t="e">
        <f>IF(AND(ROUND((#REF!-TIME(0,0,0))*1440,0)&gt;0,ROUND((#REF!-TIME(0,0,0))*1440,0)&lt;tbl_Case_mins[[#This Row],[AnaesthStart]],tbl_Case_mins[[#This Row],[Surgery End Date]]&gt;tbl_Case_mins[[#This Row],[Surgery Start Date]]),ROUND((#REF!-TIME(0,0,0))*1440,0)+1440,ROUND((#REF!-TIME(0,0,0))*1440,0))</f>
        <v>#REF!</v>
      </c>
      <c r="S86" s="9" t="e">
        <f>IF(AND(ROUND((#REF!-TIME(0,0,0))*1440,0),ROUND((#REF!-TIME(0,0,0))*1440,0)&lt;tbl_Case_mins[[#This Row],[Surgery Start]],tbl_Case_mins[[#This Row],[Surgery End Date]]&gt;tbl_Case_mins[[#This Row],[Surgery Start Date]]),ROUND((#REF!-TIME(0,0,0))*1440,0)+1440,ROUND((#REF!-TIME(0,0,0))*1440,0))</f>
        <v>#REF!</v>
      </c>
      <c r="T86" s="9" t="e">
        <f>IF(AND(ROUND((#REF!-TIME(0,0,0))*1440,0)&gt;0,ROUND((#REF!-TIME(0,0,0))*1440,0)&lt;tbl_Case_mins[[#This Row],[Surgery Finish]],tbl_Case_mins[[#This Row],[Surgery End Date]]&gt;tbl_Case_mins[[#This Row],[Surgery Start Date]]),ROUND((#REF!-TIME(0,0,0))*1440,0)+1440,ROUND((#REF!-TIME(0,0,0))*1440,0))</f>
        <v>#REF!</v>
      </c>
      <c r="U86" s="9" t="e">
        <f>IF(AND(ROUND((#REF!-TIME(0,0,0))*1440,0)&gt;0,ROUND((#REF!-TIME(0,0,0))*1440,0)&lt;tbl_Case_mins[[#This Row],[Anaesth End]],tbl_Case_mins[[#This Row],[Surgery End Date]]&gt;tbl_Case_mins[[#This Row],[Surgery Start Date]]),ROUND((#REF!-TIME(0,0,0))*1440,0)+1440,ROUND((#REF!-TIME(0,0,0))*1440,0))</f>
        <v>#REF!</v>
      </c>
      <c r="V86" s="9" t="e">
        <f>IF(AND(ROUND((#REF!-TIME(0,0,0))*1440,0)&gt;0,ROUND((#REF!-TIME(0,0,0))*1440,0)&lt;tbl_Case_mins[[#This Row],[Into Recov]],tbl_Case_mins[[#This Row],[Surgery End Date]]&gt;tbl_Case_mins[[#This Row],[Surgery Start Date]]),ROUND((#REF!-TIME(0,0,0))*1440,0)+1440,ROUND((#REF!-TIME(0,0,0))*1440,0))</f>
        <v>#REF!</v>
      </c>
      <c r="W86" s="9" t="e">
        <f>IF(AND(ROUND((#REF!-TIME(0,0,0))*1440,0)&gt;0,ROUND((#REF!-TIME(0,0,0))*1440,0)&lt;tbl_Case_mins[[#This Row],[Ward Called]],tbl_Case_mins[[#This Row],[Surgery End Date]]&gt;tbl_Case_mins[[#This Row],[Surgery Start Date]]),ROUND((#REF!-TIME(0,0,0))*1440,0)+1440,ROUND((#REF!-TIME(0,0,0))*1440,0))</f>
        <v>#REF!</v>
      </c>
      <c r="X86" s="4" t="e">
        <f>IF(ISBLANK(#REF!),tbl_Case_mins[[#This Row],[Surgery Start Date]],#REF!)</f>
        <v>#REF!</v>
      </c>
      <c r="Y86">
        <f>IFERROR(IF(VLOOKUP(tbl_Case_mins[[#This Row],[Theatre]],'Mng Theatres'!$C$7:$G$12,3,FALSE)="Yes","Yes","No"),0)</f>
        <v>0</v>
      </c>
      <c r="Z86" s="9" t="e" cm="1">
        <f t="array" ref="Z8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6" s="9" t="e" cm="1">
        <f t="array" ref="AA8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6" s="9" t="e">
        <f>IF(tbl_Case_mins[[#This Row],[Case Type]]="Unsch",1,0)</f>
        <v>#REF!</v>
      </c>
      <c r="AD86" s="9" t="e">
        <f>IF(tbl_Case_mins[[#This Row],[Case Type]]="Sch",1,0)</f>
        <v>#REF!</v>
      </c>
      <c r="AE8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6" s="9">
        <f>IFERROR(IF(ISBLANK(INDEX(Am_Close,MATCH(1,INDEX((tbl_Case_mins[[#This Row],[Theatre]]=Theatre_No)*(tbl_Case_mins[[#This Row],[Surgery Start Date]]=Date),0,1),0))*1440),0,INDEX(Am_Close,MATCH(1,INDEX((tbl_Case_mins[[#This Row],[Theatre]]=Theatre_No)*(tbl_Case_mins[[#This Row],[Surgery Start Date]]=Date),0,1),0))*1440),0)</f>
        <v>0</v>
      </c>
      <c r="AG86" s="9">
        <f>IFERROR(IF(ISBLANK(INDEX(PM_Open,MATCH(1,INDEX((tbl_Case_mins[[#This Row],[Theatre]]=Theatre_No)*(tbl_Case_mins[[#This Row],[Surgery Start Date]]=Date),0,1),0))*1440),0,INDEX(PM_Open,MATCH(1,INDEX((tbl_Case_mins[[#This Row],[Theatre]]=Theatre_No)*(tbl_Case_mins[[#This Row],[Surgery Start Date]]=Date),0,1),0))*1440),0)</f>
        <v>0</v>
      </c>
      <c r="AH8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6" s="9" t="e">
        <f>IF(tbl_Case_mins[[#This Row],[ThOpenAm]]=0,tbl_Case_mins[[#This Row],[ThOpenPM]],tbl_Case_mins[[#This Row],[ThOpenAm]])</f>
        <v>#REF!</v>
      </c>
      <c r="AJ86" s="9" t="e">
        <f>IF(tbl_Case_mins[[#This Row],[ThCloseAm]]&gt;0,IF(tbl_Case_mins[[#This Row],[ThOpenPM]]&gt;0,tbl_Case_mins[[#This Row],[ThClosePm]],tbl_Case_mins[[#This Row],[ThCloseAm]]),tbl_Case_mins[[#This Row],[ThClosePm]])</f>
        <v>#REF!</v>
      </c>
      <c r="AK86" s="9" t="e">
        <f>IF(tbl_Case_mins[[#This Row],[TOT]]&gt;0,1,0)</f>
        <v>#REF!</v>
      </c>
      <c r="AL8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6" s="9" t="e">
        <f>IF(AND(tbl_Case_mins[[#This Row],[Surgery Status]]&lt;&gt;2,tbl_Case_mins[[#This Row],[InCoreCase]]=0,tbl_Case_mins[[#This Row],[CancelledCase]]=0),1,0)</f>
        <v>#REF!</v>
      </c>
      <c r="AN86" s="9" t="e">
        <f>IF(tbl_Case_mins[[#This Row],[Surgery Status]]=1,1,0)</f>
        <v>#REF!</v>
      </c>
      <c r="AO8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6" s="9" t="e">
        <f>IF(AND(tbl_Case_mins[[#This Row],[NonCoreCase]]=1,tbl_Case_mins[[#This Row],[NoInCoreTime]]=0),1,0)</f>
        <v>#REF!</v>
      </c>
      <c r="AQ86" s="9" t="e">
        <f>IF(tbl_Case_mins[[#This Row],[Rank_AnaEnd]]&lt;tbl_Case_mins[[#This Row],[Rank_AnaSt]],1,0)</f>
        <v>#REF!</v>
      </c>
      <c r="AR86" s="9" t="e">
        <f>IF(AND(tbl_Case_mins[[#This Row],[InCoreCase]]=1,tbl_Case_mins[[#This Row],[Sch]]=1),1,0)</f>
        <v>#REF!</v>
      </c>
      <c r="AS86" s="9" t="e">
        <f>IF(AND(tbl_Case_mins[[#This Row],[InCoreCase]]=1,tbl_Case_mins[[#This Row],[Unsch]]=1),1,0)</f>
        <v>#REF!</v>
      </c>
      <c r="AT8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6" s="9" t="e">
        <f>IF(tbl_Case_mins[[#This Row],[Surgery Status]]=0,(tbl_Case_mins[[#This Row],[Anaesth End]]-tbl_Case_mins[[#This Row],[AnaesthStart]]),0)</f>
        <v>#REF!</v>
      </c>
      <c r="AX86" s="9" t="e">
        <f>IF(tbl_Case_mins[[#This Row],[Surgery Status]]=0,(tbl_Case_mins[[#This Row],[Surgery Finish]]-tbl_Case_mins[[#This Row],[Surgery Start]]),0)</f>
        <v>#REF!</v>
      </c>
      <c r="AY86" s="9" t="e">
        <f>tbl_Case_mins[[#This Row],[Surgery Start]]-tbl_Case_mins[[#This Row],[AnaesthStart]]</f>
        <v>#REF!</v>
      </c>
      <c r="AZ86" s="9" t="e">
        <f>tbl_Case_mins[[#This Row],[Anaesth End]]-tbl_Case_mins[[#This Row],[Surgery Finish]]</f>
        <v>#REF!</v>
      </c>
      <c r="BA8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6" s="16" cm="1">
        <f t="array" ref="BC8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6" s="16" t="e">
        <f>IF(AND(tbl_Case_mins[[#This Row],[FirstAMCase]]=1,tbl_Case_mins[[#This Row],[CancelledCase]]=0,OR(tbl_Case_mins[[#This Row],[EarlyStartAM]]&gt;0,tbl_Case_mins[[#This Row],[AnaesthStart]]=tbl_Case_mins[[#This Row],[ThOpenAm]])),1,0)</f>
        <v>#REF!</v>
      </c>
      <c r="BE86" s="16" t="e">
        <f>IF(AND(tbl_Case_mins[[#This Row],[Rank_AnaSt]]=tbl_Case_mins[[#This Row],[Min_RankAnaSt]],tbl_Case_mins[[#This Row],[Anaesth End]]&gt;=tbl_Case_mins[[#This Row],[ThOpenAm]],tbl_Case_mins[[#This Row],[PmCase]]=0),1,0)</f>
        <v>#REF!</v>
      </c>
      <c r="BF8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6" s="9" t="e" cm="1">
        <f t="array" ref="BH8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6" s="9" t="e">
        <f>IF(AND(tbl_Case_mins[[#This Row],[ThOpenPM]]&gt;0,tbl_Case_mins[[#This Row],[AnaesthStart]]&gt;tbl_Case_mins[[#This Row],[ThOpenPM]],tbl_Case_mins[[#This Row],[First PM Case]]=1),tbl_Case_mins[[#This Row],[AnaesthStart]]-tbl_Case_mins[[#This Row],[ThOpenPM]],0)</f>
        <v>#REF!</v>
      </c>
      <c r="BL8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6" s="9" t="e" cm="1">
        <f t="array" ref="BN8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6" s="9" t="e">
        <f>IF(AND(tbl_Case_mins[[#This Row],[ThClosePm]]&gt;0,tbl_Case_mins[[#This Row],[Anaesth End]]&gt;tbl_Case_mins[[#This Row],[ThClosePm]],tbl_Case_mins[[#This Row],[AnaesthStart]]&gt;tbl_Case_mins[[#This Row],[ThClosePm]]),tbl_Case_mins[[#This Row],[Into Recov]]-tbl_Case_mins[[#This Row],[AnaesthStart]],0)</f>
        <v>#REF!</v>
      </c>
      <c r="BP86" s="9" t="e">
        <f>IF(AND(tbl_Case_mins[[#This Row],[AnaesthStart]]&lt;tbl_Case_mins[[#This Row],[ThClosePm]],tbl_Case_mins[[#This Row],[Anaesth End]]&gt;tbl_Case_mins[[#This Row],[ThClosePm]]),tbl_Case_mins[[#This Row],[Anaesth End]]-tbl_Case_mins[[#This Row],[ThClosePm]],0)</f>
        <v>#REF!</v>
      </c>
      <c r="BQ86" s="9" t="e" cm="1">
        <f t="array" ref="BQ8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6" s="9" t="e" cm="1">
        <f t="array" ref="BR86">IF(tbl_Case_mins[[#This Row],[Rank_Adjust]]=SUMPRODUCT(-(tbl_Case_mins[Surgery Start Date]=tbl_Case_mins[[#This Row],[Surgery Start Date]]),-(tbl_Case_mins[Theatre]=tbl_Case_mins[[#This Row],[Theatre]])),INDEX(Poss_Time,MATCH(TEXT(tbl_Case_mins[[#This Row],[Surgery Start Date]],"ddd"),Day,0)),0)</f>
        <v>#REF!</v>
      </c>
      <c r="BS86" s="9" t="e">
        <f>tbl_Case_mins[[#This Row],[Core_Time]]*Util_Goal</f>
        <v>#REF!</v>
      </c>
      <c r="BT86" s="9" t="e" cm="1">
        <f t="array" ref="BT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6" s="9" t="e" cm="1">
        <f t="array" ref="BU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6" s="9" t="e">
        <f>IF(tbl_Case_mins[[#This Row],[Surgery End Date]]&gt;tbl_Case_mins[[#This Row],[Surgery Start Date]],tbl_Case_mins[[#This Row],[Anaesth End]]-1440,0)</f>
        <v>#REF!</v>
      </c>
      <c r="BY86" s="9" t="e">
        <f>tbl_Case_mins[[#This Row],[Total_NonCore]]-tbl_Case_mins[[#This Row],[NextDay_NonCore]]</f>
        <v>#REF!</v>
      </c>
      <c r="BZ86" s="10" t="e">
        <f>tbl_Case_mins[[#This Row],[InCoreUse]]/60</f>
        <v>#REF!</v>
      </c>
      <c r="CA86" s="10" t="e">
        <f>tbl_Case_mins[[#This Row],[Total_NonCore]]/60</f>
        <v>#REF!</v>
      </c>
      <c r="CB86" t="e" cm="1">
        <f t="array" ref="CB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6" s="9" t="e" cm="1">
        <f t="array" ref="CC8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6" s="9" t="e" cm="1">
        <f t="array" ref="CD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6" s="9" t="e" cm="1">
        <f t="array" ref="CE8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6" s="9" cm="1">
        <f t="array" ref="CF86">IFERROR(_xlfn.AGGREGATE(14,6,(tbl_Case_mins[Rank_AnaEnd])/((tbl_Case_mins[Surgery Start Date]=tbl_Case_mins[[#This Row],[Surgery Start Date]])*(tbl_Case_mins[Theatre]=tbl_Case_mins[[#This Row],[Theatre]])*(tbl_Case_mins[NoInCoreTime]=0)),1),-1)</f>
        <v>-1</v>
      </c>
      <c r="CG86" s="9" cm="1">
        <f t="array" ref="CG86">IFERROR(_xlfn.AGGREGATE(15,6,(tbl_Case_mins[Rank_AnaSt])/((tbl_Case_mins[Surgery Start Date]=tbl_Case_mins[[#This Row],[Surgery Start Date]])*(tbl_Case_mins[Theatre]=tbl_Case_mins[[#This Row],[Theatre]])*(tbl_Case_mins[NoInCoreTime]=0)),1),-1)</f>
        <v>-1</v>
      </c>
      <c r="CH8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6" t="e" cm="1">
        <f t="array" ref="CJ8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6" s="9" cm="1">
        <f t="array" ref="CO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6" s="9" cm="1">
        <f t="array" ref="CP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6" s="9" cm="1">
        <f t="array" ref="CQ86">IFERROR(IF(AND(tbl_Case_mins[[#This Row],[FirstAMCase]]=0,tbl_Case_mins[[#This Row],[Rank]]=_xlfn.AGGREGATE(14,6,(tbl_Case_mins[Rank])/((tbl_Case_mins[Surgery Start Date]=tbl_Case_mins[[#This Row],[Surgery Start Date]])*(tbl_Case_mins[Theatre]=tbl_Case_mins[[#This Row],[Theatre]])*(tbl_Case_mins[AmCase]=1)),1)),1,0),0)</f>
        <v>0</v>
      </c>
      <c r="CR86" s="9" cm="1">
        <f t="array" ref="CR8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6" s="9" t="e" cm="1">
        <f t="array" ref="CS8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6" s="9" cm="1">
        <f t="array" ref="CT86">IFERROR(IF(tbl_Case_mins[[#This Row],[Rank]]=_xlfn.AGGREGATE(15,6,(tbl_Case_mins[Rank])/((tbl_Case_mins[Surgery Start Date]=tbl_Case_mins[[#This Row],[Surgery Start Date]])*(tbl_Case_mins[Theatre]=tbl_Case_mins[[#This Row],[Theatre]])*(tbl_Case_mins[PmCase]=1)),1),1,0),0)</f>
        <v>0</v>
      </c>
      <c r="CU86">
        <f>IFERROR(#REF!,0)</f>
        <v>0</v>
      </c>
      <c r="CV86" s="9" t="e" cm="1">
        <f t="array" ref="CV8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6" s="9">
        <f>IFERROR(IF(ISBLANK(INDEX(Bay_AmClose,MATCH(1,INDEX((tbl_Case_mins[[#This Row],[Bay]]=BayNo)*(tbl_Case_mins[[#This Row],[Surgery Start Date]]=BDate),0,1),0))*1440),0,INDEX(Bay_AmClose,MATCH(1,INDEX((tbl_Case_mins[[#This Row],[Bay]]=BayNo)*(tbl_Case_mins[[#This Row],[Surgery Start Date]]=BDate),0,1),0))*1440),0)</f>
        <v>0</v>
      </c>
      <c r="CX86" s="9" cm="1">
        <f t="array" ref="CX86">IFERROR(IF(ISBLANK(INDEX(Bay_PmOpen,MATCH(1,INDEX((tbl_Case_mins[[#This Row],[Bay]]=BayNo)*(tbl_Case_mins[[#This Row],[Surgery Start Date]]=BDate),0,1),0))*1440),0,INDEX(Bay_PmOpen,MATCH(1,INDEX((tbl_Case_mins[[#This Row],[Bay]]=BayNo)*(tbl_Case_mins[[#This Row],[Surgery Start Date]]=BDate),0,1),0))*1440),0)</f>
        <v>0</v>
      </c>
      <c r="CY8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6" s="9"/>
    </row>
    <row r="87" spans="1:104" x14ac:dyDescent="0.2">
      <c r="A87">
        <v>86</v>
      </c>
      <c r="B87" t="e">
        <f>#REF!</f>
        <v>#REF!</v>
      </c>
      <c r="C87" t="e">
        <f>#REF!</f>
        <v>#REF!</v>
      </c>
      <c r="D87" t="e">
        <f>#REF!</f>
        <v>#REF!</v>
      </c>
      <c r="E87" t="e">
        <f>#REF!</f>
        <v>#REF!</v>
      </c>
      <c r="F87" t="e">
        <f>#REF!</f>
        <v>#REF!</v>
      </c>
      <c r="G87" t="e">
        <f>#REF!</f>
        <v>#REF!</v>
      </c>
      <c r="H87" t="e">
        <f>#REF!</f>
        <v>#REF!</v>
      </c>
      <c r="I87" t="e">
        <f>IF(#REF!="Case Cancelled",1,IF(#REF!="No Cases",2,0))</f>
        <v>#REF!</v>
      </c>
      <c r="J87" t="e">
        <f>#REF!</f>
        <v>#REF!</v>
      </c>
      <c r="K87" s="4" t="e">
        <f>#REF!</f>
        <v>#REF!</v>
      </c>
      <c r="L87" t="e">
        <f>"Wk "&amp;WEEKNUM(tbl_Case_mins[[#This Row],[Surgery Start Date]],21)</f>
        <v>#REF!</v>
      </c>
      <c r="M87" t="e">
        <f>TEXT(tbl_Case_mins[[#This Row],[Surgery Start Date]],"ddd")</f>
        <v>#REF!</v>
      </c>
      <c r="N87" s="9" t="e">
        <f>(#REF!-TIME(0,0,0))*1440</f>
        <v>#REF!</v>
      </c>
      <c r="O87" t="e">
        <f>IF(AND(ROUND((#REF!-TIME(0,0,0))*1440,0)&gt;0,ROUND((#REF!-TIME(0,0,0))*1440,0)&lt;tbl_Case_mins[[#This Row],[Patient Called]],tbl_Case_mins[[#This Row],[Surgery End Date]]&gt;tbl_Case_mins[[#This Row],[Surgery Start Date]]),ROUND((#REF!-TIME(0,0,0))*1440,0)+1440,ROUND((#REF!-TIME(0,0,0))*1440,0))</f>
        <v>#REF!</v>
      </c>
      <c r="P87" s="9" t="e">
        <f>IF(AND(ROUND((#REF!-TIME(0,0,0))*1440,0)&gt;0,ROUND((#REF!-TIME(0,0,0))*1440,0)&lt;tbl_Case_mins[[#This Row],[Arrival]],tbl_Case_mins[[#This Row],[Surgery End Date]]&gt;tbl_Case_mins[[#This Row],[Surgery Start Date]]),ROUND((#REF!-TIME(0,0,0))*1440,0)+1440,ROUND((#REF!-TIME(0,0,0))*1440,0))</f>
        <v>#REF!</v>
      </c>
      <c r="Q87" s="9" t="e">
        <f>IF(AND(ROUND((#REF!-TIME(0,0,0))*1440,0)&gt;0,ROUND((#REF!-TIME(0,0,0))*1440,0)&lt;tbl_Case_mins[[#This Row],[Into Th or AR]],tbl_Case_mins[[#This Row],[Surgery End Date]]&gt;tbl_Case_mins[[#This Row],[Surgery Start Date]]),ROUND((#REF!-TIME(0,0,0))*1440,0)+1440,ROUND((#REF!-TIME(0,0,0))*1440,0))</f>
        <v>#REF!</v>
      </c>
      <c r="R87" s="9" t="e">
        <f>IF(AND(ROUND((#REF!-TIME(0,0,0))*1440,0)&gt;0,ROUND((#REF!-TIME(0,0,0))*1440,0)&lt;tbl_Case_mins[[#This Row],[AnaesthStart]],tbl_Case_mins[[#This Row],[Surgery End Date]]&gt;tbl_Case_mins[[#This Row],[Surgery Start Date]]),ROUND((#REF!-TIME(0,0,0))*1440,0)+1440,ROUND((#REF!-TIME(0,0,0))*1440,0))</f>
        <v>#REF!</v>
      </c>
      <c r="S87" s="9" t="e">
        <f>IF(AND(ROUND((#REF!-TIME(0,0,0))*1440,0),ROUND((#REF!-TIME(0,0,0))*1440,0)&lt;tbl_Case_mins[[#This Row],[Surgery Start]],tbl_Case_mins[[#This Row],[Surgery End Date]]&gt;tbl_Case_mins[[#This Row],[Surgery Start Date]]),ROUND((#REF!-TIME(0,0,0))*1440,0)+1440,ROUND((#REF!-TIME(0,0,0))*1440,0))</f>
        <v>#REF!</v>
      </c>
      <c r="T87" s="9" t="e">
        <f>IF(AND(ROUND((#REF!-TIME(0,0,0))*1440,0)&gt;0,ROUND((#REF!-TIME(0,0,0))*1440,0)&lt;tbl_Case_mins[[#This Row],[Surgery Finish]],tbl_Case_mins[[#This Row],[Surgery End Date]]&gt;tbl_Case_mins[[#This Row],[Surgery Start Date]]),ROUND((#REF!-TIME(0,0,0))*1440,0)+1440,ROUND((#REF!-TIME(0,0,0))*1440,0))</f>
        <v>#REF!</v>
      </c>
      <c r="U87" s="9" t="e">
        <f>IF(AND(ROUND((#REF!-TIME(0,0,0))*1440,0)&gt;0,ROUND((#REF!-TIME(0,0,0))*1440,0)&lt;tbl_Case_mins[[#This Row],[Anaesth End]],tbl_Case_mins[[#This Row],[Surgery End Date]]&gt;tbl_Case_mins[[#This Row],[Surgery Start Date]]),ROUND((#REF!-TIME(0,0,0))*1440,0)+1440,ROUND((#REF!-TIME(0,0,0))*1440,0))</f>
        <v>#REF!</v>
      </c>
      <c r="V87" s="9" t="e">
        <f>IF(AND(ROUND((#REF!-TIME(0,0,0))*1440,0)&gt;0,ROUND((#REF!-TIME(0,0,0))*1440,0)&lt;tbl_Case_mins[[#This Row],[Into Recov]],tbl_Case_mins[[#This Row],[Surgery End Date]]&gt;tbl_Case_mins[[#This Row],[Surgery Start Date]]),ROUND((#REF!-TIME(0,0,0))*1440,0)+1440,ROUND((#REF!-TIME(0,0,0))*1440,0))</f>
        <v>#REF!</v>
      </c>
      <c r="W87" s="9" t="e">
        <f>IF(AND(ROUND((#REF!-TIME(0,0,0))*1440,0)&gt;0,ROUND((#REF!-TIME(0,0,0))*1440,0)&lt;tbl_Case_mins[[#This Row],[Ward Called]],tbl_Case_mins[[#This Row],[Surgery End Date]]&gt;tbl_Case_mins[[#This Row],[Surgery Start Date]]),ROUND((#REF!-TIME(0,0,0))*1440,0)+1440,ROUND((#REF!-TIME(0,0,0))*1440,0))</f>
        <v>#REF!</v>
      </c>
      <c r="X87" s="4" t="e">
        <f>IF(ISBLANK(#REF!),tbl_Case_mins[[#This Row],[Surgery Start Date]],#REF!)</f>
        <v>#REF!</v>
      </c>
      <c r="Y87">
        <f>IFERROR(IF(VLOOKUP(tbl_Case_mins[[#This Row],[Theatre]],'Mng Theatres'!$C$7:$G$12,3,FALSE)="Yes","Yes","No"),0)</f>
        <v>0</v>
      </c>
      <c r="Z87" s="9" t="e" cm="1">
        <f t="array" ref="Z8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7" s="9" t="e" cm="1">
        <f t="array" ref="AA8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7" s="9" t="e">
        <f>IF(tbl_Case_mins[[#This Row],[Case Type]]="Unsch",1,0)</f>
        <v>#REF!</v>
      </c>
      <c r="AD87" s="9" t="e">
        <f>IF(tbl_Case_mins[[#This Row],[Case Type]]="Sch",1,0)</f>
        <v>#REF!</v>
      </c>
      <c r="AE8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7" s="9">
        <f>IFERROR(IF(ISBLANK(INDEX(Am_Close,MATCH(1,INDEX((tbl_Case_mins[[#This Row],[Theatre]]=Theatre_No)*(tbl_Case_mins[[#This Row],[Surgery Start Date]]=Date),0,1),0))*1440),0,INDEX(Am_Close,MATCH(1,INDEX((tbl_Case_mins[[#This Row],[Theatre]]=Theatre_No)*(tbl_Case_mins[[#This Row],[Surgery Start Date]]=Date),0,1),0))*1440),0)</f>
        <v>0</v>
      </c>
      <c r="AG87" s="9">
        <f>IFERROR(IF(ISBLANK(INDEX(PM_Open,MATCH(1,INDEX((tbl_Case_mins[[#This Row],[Theatre]]=Theatre_No)*(tbl_Case_mins[[#This Row],[Surgery Start Date]]=Date),0,1),0))*1440),0,INDEX(PM_Open,MATCH(1,INDEX((tbl_Case_mins[[#This Row],[Theatre]]=Theatre_No)*(tbl_Case_mins[[#This Row],[Surgery Start Date]]=Date),0,1),0))*1440),0)</f>
        <v>0</v>
      </c>
      <c r="AH8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7" s="9" t="e">
        <f>IF(tbl_Case_mins[[#This Row],[ThOpenAm]]=0,tbl_Case_mins[[#This Row],[ThOpenPM]],tbl_Case_mins[[#This Row],[ThOpenAm]])</f>
        <v>#REF!</v>
      </c>
      <c r="AJ87" s="9" t="e">
        <f>IF(tbl_Case_mins[[#This Row],[ThCloseAm]]&gt;0,IF(tbl_Case_mins[[#This Row],[ThOpenPM]]&gt;0,tbl_Case_mins[[#This Row],[ThClosePm]],tbl_Case_mins[[#This Row],[ThCloseAm]]),tbl_Case_mins[[#This Row],[ThClosePm]])</f>
        <v>#REF!</v>
      </c>
      <c r="AK87" s="9" t="e">
        <f>IF(tbl_Case_mins[[#This Row],[TOT]]&gt;0,1,0)</f>
        <v>#REF!</v>
      </c>
      <c r="AL8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7" s="9" t="e">
        <f>IF(AND(tbl_Case_mins[[#This Row],[Surgery Status]]&lt;&gt;2,tbl_Case_mins[[#This Row],[InCoreCase]]=0,tbl_Case_mins[[#This Row],[CancelledCase]]=0),1,0)</f>
        <v>#REF!</v>
      </c>
      <c r="AN87" s="9" t="e">
        <f>IF(tbl_Case_mins[[#This Row],[Surgery Status]]=1,1,0)</f>
        <v>#REF!</v>
      </c>
      <c r="AO8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7" s="9" t="e">
        <f>IF(AND(tbl_Case_mins[[#This Row],[NonCoreCase]]=1,tbl_Case_mins[[#This Row],[NoInCoreTime]]=0),1,0)</f>
        <v>#REF!</v>
      </c>
      <c r="AQ87" s="9" t="e">
        <f>IF(tbl_Case_mins[[#This Row],[Rank_AnaEnd]]&lt;tbl_Case_mins[[#This Row],[Rank_AnaSt]],1,0)</f>
        <v>#REF!</v>
      </c>
      <c r="AR87" s="9" t="e">
        <f>IF(AND(tbl_Case_mins[[#This Row],[InCoreCase]]=1,tbl_Case_mins[[#This Row],[Sch]]=1),1,0)</f>
        <v>#REF!</v>
      </c>
      <c r="AS87" s="9" t="e">
        <f>IF(AND(tbl_Case_mins[[#This Row],[InCoreCase]]=1,tbl_Case_mins[[#This Row],[Unsch]]=1),1,0)</f>
        <v>#REF!</v>
      </c>
      <c r="AT8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7" s="9" t="e">
        <f>IF(tbl_Case_mins[[#This Row],[Surgery Status]]=0,(tbl_Case_mins[[#This Row],[Anaesth End]]-tbl_Case_mins[[#This Row],[AnaesthStart]]),0)</f>
        <v>#REF!</v>
      </c>
      <c r="AX87" s="9" t="e">
        <f>IF(tbl_Case_mins[[#This Row],[Surgery Status]]=0,(tbl_Case_mins[[#This Row],[Surgery Finish]]-tbl_Case_mins[[#This Row],[Surgery Start]]),0)</f>
        <v>#REF!</v>
      </c>
      <c r="AY87" s="9" t="e">
        <f>tbl_Case_mins[[#This Row],[Surgery Start]]-tbl_Case_mins[[#This Row],[AnaesthStart]]</f>
        <v>#REF!</v>
      </c>
      <c r="AZ87" s="9" t="e">
        <f>tbl_Case_mins[[#This Row],[Anaesth End]]-tbl_Case_mins[[#This Row],[Surgery Finish]]</f>
        <v>#REF!</v>
      </c>
      <c r="BA8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7" s="16" cm="1">
        <f t="array" ref="BC8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7" s="16" t="e">
        <f>IF(AND(tbl_Case_mins[[#This Row],[FirstAMCase]]=1,tbl_Case_mins[[#This Row],[CancelledCase]]=0,OR(tbl_Case_mins[[#This Row],[EarlyStartAM]]&gt;0,tbl_Case_mins[[#This Row],[AnaesthStart]]=tbl_Case_mins[[#This Row],[ThOpenAm]])),1,0)</f>
        <v>#REF!</v>
      </c>
      <c r="BE87" s="16" t="e">
        <f>IF(AND(tbl_Case_mins[[#This Row],[Rank_AnaSt]]=tbl_Case_mins[[#This Row],[Min_RankAnaSt]],tbl_Case_mins[[#This Row],[Anaesth End]]&gt;=tbl_Case_mins[[#This Row],[ThOpenAm]],tbl_Case_mins[[#This Row],[PmCase]]=0),1,0)</f>
        <v>#REF!</v>
      </c>
      <c r="BF8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7" s="9" t="e" cm="1">
        <f t="array" ref="BH8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7" s="9" t="e">
        <f>IF(AND(tbl_Case_mins[[#This Row],[ThOpenPM]]&gt;0,tbl_Case_mins[[#This Row],[AnaesthStart]]&gt;tbl_Case_mins[[#This Row],[ThOpenPM]],tbl_Case_mins[[#This Row],[First PM Case]]=1),tbl_Case_mins[[#This Row],[AnaesthStart]]-tbl_Case_mins[[#This Row],[ThOpenPM]],0)</f>
        <v>#REF!</v>
      </c>
      <c r="BL8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7" s="9" t="e" cm="1">
        <f t="array" ref="BN8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7" s="9" t="e">
        <f>IF(AND(tbl_Case_mins[[#This Row],[ThClosePm]]&gt;0,tbl_Case_mins[[#This Row],[Anaesth End]]&gt;tbl_Case_mins[[#This Row],[ThClosePm]],tbl_Case_mins[[#This Row],[AnaesthStart]]&gt;tbl_Case_mins[[#This Row],[ThClosePm]]),tbl_Case_mins[[#This Row],[Into Recov]]-tbl_Case_mins[[#This Row],[AnaesthStart]],0)</f>
        <v>#REF!</v>
      </c>
      <c r="BP87" s="9" t="e">
        <f>IF(AND(tbl_Case_mins[[#This Row],[AnaesthStart]]&lt;tbl_Case_mins[[#This Row],[ThClosePm]],tbl_Case_mins[[#This Row],[Anaesth End]]&gt;tbl_Case_mins[[#This Row],[ThClosePm]]),tbl_Case_mins[[#This Row],[Anaesth End]]-tbl_Case_mins[[#This Row],[ThClosePm]],0)</f>
        <v>#REF!</v>
      </c>
      <c r="BQ87" s="9" t="e" cm="1">
        <f t="array" ref="BQ8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7" s="9" t="e" cm="1">
        <f t="array" ref="BR87">IF(tbl_Case_mins[[#This Row],[Rank_Adjust]]=SUMPRODUCT(-(tbl_Case_mins[Surgery Start Date]=tbl_Case_mins[[#This Row],[Surgery Start Date]]),-(tbl_Case_mins[Theatre]=tbl_Case_mins[[#This Row],[Theatre]])),INDEX(Poss_Time,MATCH(TEXT(tbl_Case_mins[[#This Row],[Surgery Start Date]],"ddd"),Day,0)),0)</f>
        <v>#REF!</v>
      </c>
      <c r="BS87" s="9" t="e">
        <f>tbl_Case_mins[[#This Row],[Core_Time]]*Util_Goal</f>
        <v>#REF!</v>
      </c>
      <c r="BT87" s="9" t="e" cm="1">
        <f t="array" ref="BT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7" s="9" t="e" cm="1">
        <f t="array" ref="BU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7" s="9" t="e">
        <f>IF(tbl_Case_mins[[#This Row],[Surgery End Date]]&gt;tbl_Case_mins[[#This Row],[Surgery Start Date]],tbl_Case_mins[[#This Row],[Anaesth End]]-1440,0)</f>
        <v>#REF!</v>
      </c>
      <c r="BY87" s="9" t="e">
        <f>tbl_Case_mins[[#This Row],[Total_NonCore]]-tbl_Case_mins[[#This Row],[NextDay_NonCore]]</f>
        <v>#REF!</v>
      </c>
      <c r="BZ87" s="10" t="e">
        <f>tbl_Case_mins[[#This Row],[InCoreUse]]/60</f>
        <v>#REF!</v>
      </c>
      <c r="CA87" s="10" t="e">
        <f>tbl_Case_mins[[#This Row],[Total_NonCore]]/60</f>
        <v>#REF!</v>
      </c>
      <c r="CB87" t="e" cm="1">
        <f t="array" ref="CB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7" s="9" t="e" cm="1">
        <f t="array" ref="CC8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7" s="9" t="e" cm="1">
        <f t="array" ref="CD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7" s="9" t="e" cm="1">
        <f t="array" ref="CE8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7" s="9" cm="1">
        <f t="array" ref="CF87">IFERROR(_xlfn.AGGREGATE(14,6,(tbl_Case_mins[Rank_AnaEnd])/((tbl_Case_mins[Surgery Start Date]=tbl_Case_mins[[#This Row],[Surgery Start Date]])*(tbl_Case_mins[Theatre]=tbl_Case_mins[[#This Row],[Theatre]])*(tbl_Case_mins[NoInCoreTime]=0)),1),-1)</f>
        <v>-1</v>
      </c>
      <c r="CG87" s="9" cm="1">
        <f t="array" ref="CG87">IFERROR(_xlfn.AGGREGATE(15,6,(tbl_Case_mins[Rank_AnaSt])/((tbl_Case_mins[Surgery Start Date]=tbl_Case_mins[[#This Row],[Surgery Start Date]])*(tbl_Case_mins[Theatre]=tbl_Case_mins[[#This Row],[Theatre]])*(tbl_Case_mins[NoInCoreTime]=0)),1),-1)</f>
        <v>-1</v>
      </c>
      <c r="CH8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7" t="e" cm="1">
        <f t="array" ref="CJ8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7" s="9" cm="1">
        <f t="array" ref="CO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7" s="9" cm="1">
        <f t="array" ref="CP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7" s="9" cm="1">
        <f t="array" ref="CQ87">IFERROR(IF(AND(tbl_Case_mins[[#This Row],[FirstAMCase]]=0,tbl_Case_mins[[#This Row],[Rank]]=_xlfn.AGGREGATE(14,6,(tbl_Case_mins[Rank])/((tbl_Case_mins[Surgery Start Date]=tbl_Case_mins[[#This Row],[Surgery Start Date]])*(tbl_Case_mins[Theatre]=tbl_Case_mins[[#This Row],[Theatre]])*(tbl_Case_mins[AmCase]=1)),1)),1,0),0)</f>
        <v>0</v>
      </c>
      <c r="CR87" s="9" cm="1">
        <f t="array" ref="CR8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7" s="9" t="e" cm="1">
        <f t="array" ref="CS8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7" s="9" cm="1">
        <f t="array" ref="CT87">IFERROR(IF(tbl_Case_mins[[#This Row],[Rank]]=_xlfn.AGGREGATE(15,6,(tbl_Case_mins[Rank])/((tbl_Case_mins[Surgery Start Date]=tbl_Case_mins[[#This Row],[Surgery Start Date]])*(tbl_Case_mins[Theatre]=tbl_Case_mins[[#This Row],[Theatre]])*(tbl_Case_mins[PmCase]=1)),1),1,0),0)</f>
        <v>0</v>
      </c>
      <c r="CU87">
        <f>IFERROR(#REF!,0)</f>
        <v>0</v>
      </c>
      <c r="CV87" s="9" t="e" cm="1">
        <f t="array" ref="CV8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7" s="9">
        <f>IFERROR(IF(ISBLANK(INDEX(Bay_AmClose,MATCH(1,INDEX((tbl_Case_mins[[#This Row],[Bay]]=BayNo)*(tbl_Case_mins[[#This Row],[Surgery Start Date]]=BDate),0,1),0))*1440),0,INDEX(Bay_AmClose,MATCH(1,INDEX((tbl_Case_mins[[#This Row],[Bay]]=BayNo)*(tbl_Case_mins[[#This Row],[Surgery Start Date]]=BDate),0,1),0))*1440),0)</f>
        <v>0</v>
      </c>
      <c r="CX87" s="9" cm="1">
        <f t="array" ref="CX87">IFERROR(IF(ISBLANK(INDEX(Bay_PmOpen,MATCH(1,INDEX((tbl_Case_mins[[#This Row],[Bay]]=BayNo)*(tbl_Case_mins[[#This Row],[Surgery Start Date]]=BDate),0,1),0))*1440),0,INDEX(Bay_PmOpen,MATCH(1,INDEX((tbl_Case_mins[[#This Row],[Bay]]=BayNo)*(tbl_Case_mins[[#This Row],[Surgery Start Date]]=BDate),0,1),0))*1440),0)</f>
        <v>0</v>
      </c>
      <c r="CY8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7" s="9"/>
    </row>
    <row r="88" spans="1:104" x14ac:dyDescent="0.2">
      <c r="A88">
        <v>87</v>
      </c>
      <c r="B88" t="e">
        <f>#REF!</f>
        <v>#REF!</v>
      </c>
      <c r="C88" t="e">
        <f>#REF!</f>
        <v>#REF!</v>
      </c>
      <c r="D88" t="e">
        <f>#REF!</f>
        <v>#REF!</v>
      </c>
      <c r="E88" t="e">
        <f>#REF!</f>
        <v>#REF!</v>
      </c>
      <c r="F88" t="e">
        <f>#REF!</f>
        <v>#REF!</v>
      </c>
      <c r="G88" t="e">
        <f>#REF!</f>
        <v>#REF!</v>
      </c>
      <c r="H88" t="e">
        <f>#REF!</f>
        <v>#REF!</v>
      </c>
      <c r="I88" t="e">
        <f>IF(#REF!="Case Cancelled",1,IF(#REF!="No Cases",2,0))</f>
        <v>#REF!</v>
      </c>
      <c r="J88" t="e">
        <f>#REF!</f>
        <v>#REF!</v>
      </c>
      <c r="K88" s="4" t="e">
        <f>#REF!</f>
        <v>#REF!</v>
      </c>
      <c r="L88" t="e">
        <f>"Wk "&amp;WEEKNUM(tbl_Case_mins[[#This Row],[Surgery Start Date]],21)</f>
        <v>#REF!</v>
      </c>
      <c r="M88" t="e">
        <f>TEXT(tbl_Case_mins[[#This Row],[Surgery Start Date]],"ddd")</f>
        <v>#REF!</v>
      </c>
      <c r="N88" s="9" t="e">
        <f>(#REF!-TIME(0,0,0))*1440</f>
        <v>#REF!</v>
      </c>
      <c r="O88" t="e">
        <f>IF(AND(ROUND((#REF!-TIME(0,0,0))*1440,0)&gt;0,ROUND((#REF!-TIME(0,0,0))*1440,0)&lt;tbl_Case_mins[[#This Row],[Patient Called]],tbl_Case_mins[[#This Row],[Surgery End Date]]&gt;tbl_Case_mins[[#This Row],[Surgery Start Date]]),ROUND((#REF!-TIME(0,0,0))*1440,0)+1440,ROUND((#REF!-TIME(0,0,0))*1440,0))</f>
        <v>#REF!</v>
      </c>
      <c r="P88" s="9" t="e">
        <f>IF(AND(ROUND((#REF!-TIME(0,0,0))*1440,0)&gt;0,ROUND((#REF!-TIME(0,0,0))*1440,0)&lt;tbl_Case_mins[[#This Row],[Arrival]],tbl_Case_mins[[#This Row],[Surgery End Date]]&gt;tbl_Case_mins[[#This Row],[Surgery Start Date]]),ROUND((#REF!-TIME(0,0,0))*1440,0)+1440,ROUND((#REF!-TIME(0,0,0))*1440,0))</f>
        <v>#REF!</v>
      </c>
      <c r="Q88" s="9" t="e">
        <f>IF(AND(ROUND((#REF!-TIME(0,0,0))*1440,0)&gt;0,ROUND((#REF!-TIME(0,0,0))*1440,0)&lt;tbl_Case_mins[[#This Row],[Into Th or AR]],tbl_Case_mins[[#This Row],[Surgery End Date]]&gt;tbl_Case_mins[[#This Row],[Surgery Start Date]]),ROUND((#REF!-TIME(0,0,0))*1440,0)+1440,ROUND((#REF!-TIME(0,0,0))*1440,0))</f>
        <v>#REF!</v>
      </c>
      <c r="R88" s="9" t="e">
        <f>IF(AND(ROUND((#REF!-TIME(0,0,0))*1440,0)&gt;0,ROUND((#REF!-TIME(0,0,0))*1440,0)&lt;tbl_Case_mins[[#This Row],[AnaesthStart]],tbl_Case_mins[[#This Row],[Surgery End Date]]&gt;tbl_Case_mins[[#This Row],[Surgery Start Date]]),ROUND((#REF!-TIME(0,0,0))*1440,0)+1440,ROUND((#REF!-TIME(0,0,0))*1440,0))</f>
        <v>#REF!</v>
      </c>
      <c r="S88" s="9" t="e">
        <f>IF(AND(ROUND((#REF!-TIME(0,0,0))*1440,0),ROUND((#REF!-TIME(0,0,0))*1440,0)&lt;tbl_Case_mins[[#This Row],[Surgery Start]],tbl_Case_mins[[#This Row],[Surgery End Date]]&gt;tbl_Case_mins[[#This Row],[Surgery Start Date]]),ROUND((#REF!-TIME(0,0,0))*1440,0)+1440,ROUND((#REF!-TIME(0,0,0))*1440,0))</f>
        <v>#REF!</v>
      </c>
      <c r="T88" s="9" t="e">
        <f>IF(AND(ROUND((#REF!-TIME(0,0,0))*1440,0)&gt;0,ROUND((#REF!-TIME(0,0,0))*1440,0)&lt;tbl_Case_mins[[#This Row],[Surgery Finish]],tbl_Case_mins[[#This Row],[Surgery End Date]]&gt;tbl_Case_mins[[#This Row],[Surgery Start Date]]),ROUND((#REF!-TIME(0,0,0))*1440,0)+1440,ROUND((#REF!-TIME(0,0,0))*1440,0))</f>
        <v>#REF!</v>
      </c>
      <c r="U88" s="9" t="e">
        <f>IF(AND(ROUND((#REF!-TIME(0,0,0))*1440,0)&gt;0,ROUND((#REF!-TIME(0,0,0))*1440,0)&lt;tbl_Case_mins[[#This Row],[Anaesth End]],tbl_Case_mins[[#This Row],[Surgery End Date]]&gt;tbl_Case_mins[[#This Row],[Surgery Start Date]]),ROUND((#REF!-TIME(0,0,0))*1440,0)+1440,ROUND((#REF!-TIME(0,0,0))*1440,0))</f>
        <v>#REF!</v>
      </c>
      <c r="V88" s="9" t="e">
        <f>IF(AND(ROUND((#REF!-TIME(0,0,0))*1440,0)&gt;0,ROUND((#REF!-TIME(0,0,0))*1440,0)&lt;tbl_Case_mins[[#This Row],[Into Recov]],tbl_Case_mins[[#This Row],[Surgery End Date]]&gt;tbl_Case_mins[[#This Row],[Surgery Start Date]]),ROUND((#REF!-TIME(0,0,0))*1440,0)+1440,ROUND((#REF!-TIME(0,0,0))*1440,0))</f>
        <v>#REF!</v>
      </c>
      <c r="W88" s="9" t="e">
        <f>IF(AND(ROUND((#REF!-TIME(0,0,0))*1440,0)&gt;0,ROUND((#REF!-TIME(0,0,0))*1440,0)&lt;tbl_Case_mins[[#This Row],[Ward Called]],tbl_Case_mins[[#This Row],[Surgery End Date]]&gt;tbl_Case_mins[[#This Row],[Surgery Start Date]]),ROUND((#REF!-TIME(0,0,0))*1440,0)+1440,ROUND((#REF!-TIME(0,0,0))*1440,0))</f>
        <v>#REF!</v>
      </c>
      <c r="X88" s="4" t="e">
        <f>IF(ISBLANK(#REF!),tbl_Case_mins[[#This Row],[Surgery Start Date]],#REF!)</f>
        <v>#REF!</v>
      </c>
      <c r="Y88">
        <f>IFERROR(IF(VLOOKUP(tbl_Case_mins[[#This Row],[Theatre]],'Mng Theatres'!$C$7:$G$12,3,FALSE)="Yes","Yes","No"),0)</f>
        <v>0</v>
      </c>
      <c r="Z88" s="9" t="e" cm="1">
        <f t="array" ref="Z8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8" s="9" t="e" cm="1">
        <f t="array" ref="AA8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8" s="9" t="e">
        <f>IF(tbl_Case_mins[[#This Row],[Case Type]]="Unsch",1,0)</f>
        <v>#REF!</v>
      </c>
      <c r="AD88" s="9" t="e">
        <f>IF(tbl_Case_mins[[#This Row],[Case Type]]="Sch",1,0)</f>
        <v>#REF!</v>
      </c>
      <c r="AE8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8" s="9">
        <f>IFERROR(IF(ISBLANK(INDEX(Am_Close,MATCH(1,INDEX((tbl_Case_mins[[#This Row],[Theatre]]=Theatre_No)*(tbl_Case_mins[[#This Row],[Surgery Start Date]]=Date),0,1),0))*1440),0,INDEX(Am_Close,MATCH(1,INDEX((tbl_Case_mins[[#This Row],[Theatre]]=Theatre_No)*(tbl_Case_mins[[#This Row],[Surgery Start Date]]=Date),0,1),0))*1440),0)</f>
        <v>0</v>
      </c>
      <c r="AG88" s="9">
        <f>IFERROR(IF(ISBLANK(INDEX(PM_Open,MATCH(1,INDEX((tbl_Case_mins[[#This Row],[Theatre]]=Theatre_No)*(tbl_Case_mins[[#This Row],[Surgery Start Date]]=Date),0,1),0))*1440),0,INDEX(PM_Open,MATCH(1,INDEX((tbl_Case_mins[[#This Row],[Theatre]]=Theatre_No)*(tbl_Case_mins[[#This Row],[Surgery Start Date]]=Date),0,1),0))*1440),0)</f>
        <v>0</v>
      </c>
      <c r="AH8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8" s="9" t="e">
        <f>IF(tbl_Case_mins[[#This Row],[ThOpenAm]]=0,tbl_Case_mins[[#This Row],[ThOpenPM]],tbl_Case_mins[[#This Row],[ThOpenAm]])</f>
        <v>#REF!</v>
      </c>
      <c r="AJ88" s="9" t="e">
        <f>IF(tbl_Case_mins[[#This Row],[ThCloseAm]]&gt;0,IF(tbl_Case_mins[[#This Row],[ThOpenPM]]&gt;0,tbl_Case_mins[[#This Row],[ThClosePm]],tbl_Case_mins[[#This Row],[ThCloseAm]]),tbl_Case_mins[[#This Row],[ThClosePm]])</f>
        <v>#REF!</v>
      </c>
      <c r="AK88" s="9" t="e">
        <f>IF(tbl_Case_mins[[#This Row],[TOT]]&gt;0,1,0)</f>
        <v>#REF!</v>
      </c>
      <c r="AL8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8" s="9" t="e">
        <f>IF(AND(tbl_Case_mins[[#This Row],[Surgery Status]]&lt;&gt;2,tbl_Case_mins[[#This Row],[InCoreCase]]=0,tbl_Case_mins[[#This Row],[CancelledCase]]=0),1,0)</f>
        <v>#REF!</v>
      </c>
      <c r="AN88" s="9" t="e">
        <f>IF(tbl_Case_mins[[#This Row],[Surgery Status]]=1,1,0)</f>
        <v>#REF!</v>
      </c>
      <c r="AO8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8" s="9" t="e">
        <f>IF(AND(tbl_Case_mins[[#This Row],[NonCoreCase]]=1,tbl_Case_mins[[#This Row],[NoInCoreTime]]=0),1,0)</f>
        <v>#REF!</v>
      </c>
      <c r="AQ88" s="9" t="e">
        <f>IF(tbl_Case_mins[[#This Row],[Rank_AnaEnd]]&lt;tbl_Case_mins[[#This Row],[Rank_AnaSt]],1,0)</f>
        <v>#REF!</v>
      </c>
      <c r="AR88" s="9" t="e">
        <f>IF(AND(tbl_Case_mins[[#This Row],[InCoreCase]]=1,tbl_Case_mins[[#This Row],[Sch]]=1),1,0)</f>
        <v>#REF!</v>
      </c>
      <c r="AS88" s="9" t="e">
        <f>IF(AND(tbl_Case_mins[[#This Row],[InCoreCase]]=1,tbl_Case_mins[[#This Row],[Unsch]]=1),1,0)</f>
        <v>#REF!</v>
      </c>
      <c r="AT8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8" s="9" t="e">
        <f>IF(tbl_Case_mins[[#This Row],[Surgery Status]]=0,(tbl_Case_mins[[#This Row],[Anaesth End]]-tbl_Case_mins[[#This Row],[AnaesthStart]]),0)</f>
        <v>#REF!</v>
      </c>
      <c r="AX88" s="9" t="e">
        <f>IF(tbl_Case_mins[[#This Row],[Surgery Status]]=0,(tbl_Case_mins[[#This Row],[Surgery Finish]]-tbl_Case_mins[[#This Row],[Surgery Start]]),0)</f>
        <v>#REF!</v>
      </c>
      <c r="AY88" s="9" t="e">
        <f>tbl_Case_mins[[#This Row],[Surgery Start]]-tbl_Case_mins[[#This Row],[AnaesthStart]]</f>
        <v>#REF!</v>
      </c>
      <c r="AZ88" s="9" t="e">
        <f>tbl_Case_mins[[#This Row],[Anaesth End]]-tbl_Case_mins[[#This Row],[Surgery Finish]]</f>
        <v>#REF!</v>
      </c>
      <c r="BA8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8" s="16" cm="1">
        <f t="array" ref="BC8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8" s="16" t="e">
        <f>IF(AND(tbl_Case_mins[[#This Row],[FirstAMCase]]=1,tbl_Case_mins[[#This Row],[CancelledCase]]=0,OR(tbl_Case_mins[[#This Row],[EarlyStartAM]]&gt;0,tbl_Case_mins[[#This Row],[AnaesthStart]]=tbl_Case_mins[[#This Row],[ThOpenAm]])),1,0)</f>
        <v>#REF!</v>
      </c>
      <c r="BE88" s="16" t="e">
        <f>IF(AND(tbl_Case_mins[[#This Row],[Rank_AnaSt]]=tbl_Case_mins[[#This Row],[Min_RankAnaSt]],tbl_Case_mins[[#This Row],[Anaesth End]]&gt;=tbl_Case_mins[[#This Row],[ThOpenAm]],tbl_Case_mins[[#This Row],[PmCase]]=0),1,0)</f>
        <v>#REF!</v>
      </c>
      <c r="BF8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8" s="9" t="e" cm="1">
        <f t="array" ref="BH8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8" s="9" t="e">
        <f>IF(AND(tbl_Case_mins[[#This Row],[ThOpenPM]]&gt;0,tbl_Case_mins[[#This Row],[AnaesthStart]]&gt;tbl_Case_mins[[#This Row],[ThOpenPM]],tbl_Case_mins[[#This Row],[First PM Case]]=1),tbl_Case_mins[[#This Row],[AnaesthStart]]-tbl_Case_mins[[#This Row],[ThOpenPM]],0)</f>
        <v>#REF!</v>
      </c>
      <c r="BL8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8" s="9" t="e" cm="1">
        <f t="array" ref="BN8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8" s="9" t="e">
        <f>IF(AND(tbl_Case_mins[[#This Row],[ThClosePm]]&gt;0,tbl_Case_mins[[#This Row],[Anaesth End]]&gt;tbl_Case_mins[[#This Row],[ThClosePm]],tbl_Case_mins[[#This Row],[AnaesthStart]]&gt;tbl_Case_mins[[#This Row],[ThClosePm]]),tbl_Case_mins[[#This Row],[Into Recov]]-tbl_Case_mins[[#This Row],[AnaesthStart]],0)</f>
        <v>#REF!</v>
      </c>
      <c r="BP88" s="9" t="e">
        <f>IF(AND(tbl_Case_mins[[#This Row],[AnaesthStart]]&lt;tbl_Case_mins[[#This Row],[ThClosePm]],tbl_Case_mins[[#This Row],[Anaesth End]]&gt;tbl_Case_mins[[#This Row],[ThClosePm]]),tbl_Case_mins[[#This Row],[Anaesth End]]-tbl_Case_mins[[#This Row],[ThClosePm]],0)</f>
        <v>#REF!</v>
      </c>
      <c r="BQ88" s="9" t="e" cm="1">
        <f t="array" ref="BQ8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8" s="9" t="e" cm="1">
        <f t="array" ref="BR88">IF(tbl_Case_mins[[#This Row],[Rank_Adjust]]=SUMPRODUCT(-(tbl_Case_mins[Surgery Start Date]=tbl_Case_mins[[#This Row],[Surgery Start Date]]),-(tbl_Case_mins[Theatre]=tbl_Case_mins[[#This Row],[Theatre]])),INDEX(Poss_Time,MATCH(TEXT(tbl_Case_mins[[#This Row],[Surgery Start Date]],"ddd"),Day,0)),0)</f>
        <v>#REF!</v>
      </c>
      <c r="BS88" s="9" t="e">
        <f>tbl_Case_mins[[#This Row],[Core_Time]]*Util_Goal</f>
        <v>#REF!</v>
      </c>
      <c r="BT88" s="9" t="e" cm="1">
        <f t="array" ref="BT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8" s="9" t="e" cm="1">
        <f t="array" ref="BU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8" s="9" t="e">
        <f>IF(tbl_Case_mins[[#This Row],[Surgery End Date]]&gt;tbl_Case_mins[[#This Row],[Surgery Start Date]],tbl_Case_mins[[#This Row],[Anaesth End]]-1440,0)</f>
        <v>#REF!</v>
      </c>
      <c r="BY88" s="9" t="e">
        <f>tbl_Case_mins[[#This Row],[Total_NonCore]]-tbl_Case_mins[[#This Row],[NextDay_NonCore]]</f>
        <v>#REF!</v>
      </c>
      <c r="BZ88" s="10" t="e">
        <f>tbl_Case_mins[[#This Row],[InCoreUse]]/60</f>
        <v>#REF!</v>
      </c>
      <c r="CA88" s="10" t="e">
        <f>tbl_Case_mins[[#This Row],[Total_NonCore]]/60</f>
        <v>#REF!</v>
      </c>
      <c r="CB88" t="e" cm="1">
        <f t="array" ref="CB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8" s="9" t="e" cm="1">
        <f t="array" ref="CC8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8" s="9" t="e" cm="1">
        <f t="array" ref="CD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8" s="9" t="e" cm="1">
        <f t="array" ref="CE8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8" s="9" cm="1">
        <f t="array" ref="CF88">IFERROR(_xlfn.AGGREGATE(14,6,(tbl_Case_mins[Rank_AnaEnd])/((tbl_Case_mins[Surgery Start Date]=tbl_Case_mins[[#This Row],[Surgery Start Date]])*(tbl_Case_mins[Theatre]=tbl_Case_mins[[#This Row],[Theatre]])*(tbl_Case_mins[NoInCoreTime]=0)),1),-1)</f>
        <v>-1</v>
      </c>
      <c r="CG88" s="9" cm="1">
        <f t="array" ref="CG88">IFERROR(_xlfn.AGGREGATE(15,6,(tbl_Case_mins[Rank_AnaSt])/((tbl_Case_mins[Surgery Start Date]=tbl_Case_mins[[#This Row],[Surgery Start Date]])*(tbl_Case_mins[Theatre]=tbl_Case_mins[[#This Row],[Theatre]])*(tbl_Case_mins[NoInCoreTime]=0)),1),-1)</f>
        <v>-1</v>
      </c>
      <c r="CH8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8" t="e" cm="1">
        <f t="array" ref="CJ8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8" s="9" cm="1">
        <f t="array" ref="CO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8" s="9" cm="1">
        <f t="array" ref="CP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8" s="9" cm="1">
        <f t="array" ref="CQ88">IFERROR(IF(AND(tbl_Case_mins[[#This Row],[FirstAMCase]]=0,tbl_Case_mins[[#This Row],[Rank]]=_xlfn.AGGREGATE(14,6,(tbl_Case_mins[Rank])/((tbl_Case_mins[Surgery Start Date]=tbl_Case_mins[[#This Row],[Surgery Start Date]])*(tbl_Case_mins[Theatre]=tbl_Case_mins[[#This Row],[Theatre]])*(tbl_Case_mins[AmCase]=1)),1)),1,0),0)</f>
        <v>0</v>
      </c>
      <c r="CR88" s="9" cm="1">
        <f t="array" ref="CR8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8" s="9" t="e" cm="1">
        <f t="array" ref="CS8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8" s="9" cm="1">
        <f t="array" ref="CT88">IFERROR(IF(tbl_Case_mins[[#This Row],[Rank]]=_xlfn.AGGREGATE(15,6,(tbl_Case_mins[Rank])/((tbl_Case_mins[Surgery Start Date]=tbl_Case_mins[[#This Row],[Surgery Start Date]])*(tbl_Case_mins[Theatre]=tbl_Case_mins[[#This Row],[Theatre]])*(tbl_Case_mins[PmCase]=1)),1),1,0),0)</f>
        <v>0</v>
      </c>
      <c r="CU88">
        <f>IFERROR(#REF!,0)</f>
        <v>0</v>
      </c>
      <c r="CV88" s="9" t="e" cm="1">
        <f t="array" ref="CV8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8" s="9">
        <f>IFERROR(IF(ISBLANK(INDEX(Bay_AmClose,MATCH(1,INDEX((tbl_Case_mins[[#This Row],[Bay]]=BayNo)*(tbl_Case_mins[[#This Row],[Surgery Start Date]]=BDate),0,1),0))*1440),0,INDEX(Bay_AmClose,MATCH(1,INDEX((tbl_Case_mins[[#This Row],[Bay]]=BayNo)*(tbl_Case_mins[[#This Row],[Surgery Start Date]]=BDate),0,1),0))*1440),0)</f>
        <v>0</v>
      </c>
      <c r="CX88" s="9" cm="1">
        <f t="array" ref="CX88">IFERROR(IF(ISBLANK(INDEX(Bay_PmOpen,MATCH(1,INDEX((tbl_Case_mins[[#This Row],[Bay]]=BayNo)*(tbl_Case_mins[[#This Row],[Surgery Start Date]]=BDate),0,1),0))*1440),0,INDEX(Bay_PmOpen,MATCH(1,INDEX((tbl_Case_mins[[#This Row],[Bay]]=BayNo)*(tbl_Case_mins[[#This Row],[Surgery Start Date]]=BDate),0,1),0))*1440),0)</f>
        <v>0</v>
      </c>
      <c r="CY8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8" s="9"/>
    </row>
    <row r="89" spans="1:104" x14ac:dyDescent="0.2">
      <c r="A89">
        <v>88</v>
      </c>
      <c r="B89" t="e">
        <f>#REF!</f>
        <v>#REF!</v>
      </c>
      <c r="C89" t="e">
        <f>#REF!</f>
        <v>#REF!</v>
      </c>
      <c r="D89" t="e">
        <f>#REF!</f>
        <v>#REF!</v>
      </c>
      <c r="E89" t="e">
        <f>#REF!</f>
        <v>#REF!</v>
      </c>
      <c r="F89" t="e">
        <f>#REF!</f>
        <v>#REF!</v>
      </c>
      <c r="G89" t="e">
        <f>#REF!</f>
        <v>#REF!</v>
      </c>
      <c r="H89" t="e">
        <f>#REF!</f>
        <v>#REF!</v>
      </c>
      <c r="I89" t="e">
        <f>IF(#REF!="Case Cancelled",1,IF(#REF!="No Cases",2,0))</f>
        <v>#REF!</v>
      </c>
      <c r="J89" t="e">
        <f>#REF!</f>
        <v>#REF!</v>
      </c>
      <c r="K89" s="4" t="e">
        <f>#REF!</f>
        <v>#REF!</v>
      </c>
      <c r="L89" t="e">
        <f>"Wk "&amp;WEEKNUM(tbl_Case_mins[[#This Row],[Surgery Start Date]],21)</f>
        <v>#REF!</v>
      </c>
      <c r="M89" t="e">
        <f>TEXT(tbl_Case_mins[[#This Row],[Surgery Start Date]],"ddd")</f>
        <v>#REF!</v>
      </c>
      <c r="N89" s="9" t="e">
        <f>(#REF!-TIME(0,0,0))*1440</f>
        <v>#REF!</v>
      </c>
      <c r="O89" t="e">
        <f>IF(AND(ROUND((#REF!-TIME(0,0,0))*1440,0)&gt;0,ROUND((#REF!-TIME(0,0,0))*1440,0)&lt;tbl_Case_mins[[#This Row],[Patient Called]],tbl_Case_mins[[#This Row],[Surgery End Date]]&gt;tbl_Case_mins[[#This Row],[Surgery Start Date]]),ROUND((#REF!-TIME(0,0,0))*1440,0)+1440,ROUND((#REF!-TIME(0,0,0))*1440,0))</f>
        <v>#REF!</v>
      </c>
      <c r="P89" s="9" t="e">
        <f>IF(AND(ROUND((#REF!-TIME(0,0,0))*1440,0)&gt;0,ROUND((#REF!-TIME(0,0,0))*1440,0)&lt;tbl_Case_mins[[#This Row],[Arrival]],tbl_Case_mins[[#This Row],[Surgery End Date]]&gt;tbl_Case_mins[[#This Row],[Surgery Start Date]]),ROUND((#REF!-TIME(0,0,0))*1440,0)+1440,ROUND((#REF!-TIME(0,0,0))*1440,0))</f>
        <v>#REF!</v>
      </c>
      <c r="Q89" s="9" t="e">
        <f>IF(AND(ROUND((#REF!-TIME(0,0,0))*1440,0)&gt;0,ROUND((#REF!-TIME(0,0,0))*1440,0)&lt;tbl_Case_mins[[#This Row],[Into Th or AR]],tbl_Case_mins[[#This Row],[Surgery End Date]]&gt;tbl_Case_mins[[#This Row],[Surgery Start Date]]),ROUND((#REF!-TIME(0,0,0))*1440,0)+1440,ROUND((#REF!-TIME(0,0,0))*1440,0))</f>
        <v>#REF!</v>
      </c>
      <c r="R89" s="9" t="e">
        <f>IF(AND(ROUND((#REF!-TIME(0,0,0))*1440,0)&gt;0,ROUND((#REF!-TIME(0,0,0))*1440,0)&lt;tbl_Case_mins[[#This Row],[AnaesthStart]],tbl_Case_mins[[#This Row],[Surgery End Date]]&gt;tbl_Case_mins[[#This Row],[Surgery Start Date]]),ROUND((#REF!-TIME(0,0,0))*1440,0)+1440,ROUND((#REF!-TIME(0,0,0))*1440,0))</f>
        <v>#REF!</v>
      </c>
      <c r="S89" s="9" t="e">
        <f>IF(AND(ROUND((#REF!-TIME(0,0,0))*1440,0),ROUND((#REF!-TIME(0,0,0))*1440,0)&lt;tbl_Case_mins[[#This Row],[Surgery Start]],tbl_Case_mins[[#This Row],[Surgery End Date]]&gt;tbl_Case_mins[[#This Row],[Surgery Start Date]]),ROUND((#REF!-TIME(0,0,0))*1440,0)+1440,ROUND((#REF!-TIME(0,0,0))*1440,0))</f>
        <v>#REF!</v>
      </c>
      <c r="T89" s="9" t="e">
        <f>IF(AND(ROUND((#REF!-TIME(0,0,0))*1440,0)&gt;0,ROUND((#REF!-TIME(0,0,0))*1440,0)&lt;tbl_Case_mins[[#This Row],[Surgery Finish]],tbl_Case_mins[[#This Row],[Surgery End Date]]&gt;tbl_Case_mins[[#This Row],[Surgery Start Date]]),ROUND((#REF!-TIME(0,0,0))*1440,0)+1440,ROUND((#REF!-TIME(0,0,0))*1440,0))</f>
        <v>#REF!</v>
      </c>
      <c r="U89" s="9" t="e">
        <f>IF(AND(ROUND((#REF!-TIME(0,0,0))*1440,0)&gt;0,ROUND((#REF!-TIME(0,0,0))*1440,0)&lt;tbl_Case_mins[[#This Row],[Anaesth End]],tbl_Case_mins[[#This Row],[Surgery End Date]]&gt;tbl_Case_mins[[#This Row],[Surgery Start Date]]),ROUND((#REF!-TIME(0,0,0))*1440,0)+1440,ROUND((#REF!-TIME(0,0,0))*1440,0))</f>
        <v>#REF!</v>
      </c>
      <c r="V89" s="9" t="e">
        <f>IF(AND(ROUND((#REF!-TIME(0,0,0))*1440,0)&gt;0,ROUND((#REF!-TIME(0,0,0))*1440,0)&lt;tbl_Case_mins[[#This Row],[Into Recov]],tbl_Case_mins[[#This Row],[Surgery End Date]]&gt;tbl_Case_mins[[#This Row],[Surgery Start Date]]),ROUND((#REF!-TIME(0,0,0))*1440,0)+1440,ROUND((#REF!-TIME(0,0,0))*1440,0))</f>
        <v>#REF!</v>
      </c>
      <c r="W89" s="9" t="e">
        <f>IF(AND(ROUND((#REF!-TIME(0,0,0))*1440,0)&gt;0,ROUND((#REF!-TIME(0,0,0))*1440,0)&lt;tbl_Case_mins[[#This Row],[Ward Called]],tbl_Case_mins[[#This Row],[Surgery End Date]]&gt;tbl_Case_mins[[#This Row],[Surgery Start Date]]),ROUND((#REF!-TIME(0,0,0))*1440,0)+1440,ROUND((#REF!-TIME(0,0,0))*1440,0))</f>
        <v>#REF!</v>
      </c>
      <c r="X89" s="4" t="e">
        <f>IF(ISBLANK(#REF!),tbl_Case_mins[[#This Row],[Surgery Start Date]],#REF!)</f>
        <v>#REF!</v>
      </c>
      <c r="Y89">
        <f>IFERROR(IF(VLOOKUP(tbl_Case_mins[[#This Row],[Theatre]],'Mng Theatres'!$C$7:$G$12,3,FALSE)="Yes","Yes","No"),0)</f>
        <v>0</v>
      </c>
      <c r="Z89" s="9" t="e" cm="1">
        <f t="array" ref="Z8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89" s="9" t="e" cm="1">
        <f t="array" ref="AA8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8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89" s="9" t="e">
        <f>IF(tbl_Case_mins[[#This Row],[Case Type]]="Unsch",1,0)</f>
        <v>#REF!</v>
      </c>
      <c r="AD89" s="9" t="e">
        <f>IF(tbl_Case_mins[[#This Row],[Case Type]]="Sch",1,0)</f>
        <v>#REF!</v>
      </c>
      <c r="AE8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89" s="9">
        <f>IFERROR(IF(ISBLANK(INDEX(Am_Close,MATCH(1,INDEX((tbl_Case_mins[[#This Row],[Theatre]]=Theatre_No)*(tbl_Case_mins[[#This Row],[Surgery Start Date]]=Date),0,1),0))*1440),0,INDEX(Am_Close,MATCH(1,INDEX((tbl_Case_mins[[#This Row],[Theatre]]=Theatre_No)*(tbl_Case_mins[[#This Row],[Surgery Start Date]]=Date),0,1),0))*1440),0)</f>
        <v>0</v>
      </c>
      <c r="AG89" s="9">
        <f>IFERROR(IF(ISBLANK(INDEX(PM_Open,MATCH(1,INDEX((tbl_Case_mins[[#This Row],[Theatre]]=Theatre_No)*(tbl_Case_mins[[#This Row],[Surgery Start Date]]=Date),0,1),0))*1440),0,INDEX(PM_Open,MATCH(1,INDEX((tbl_Case_mins[[#This Row],[Theatre]]=Theatre_No)*(tbl_Case_mins[[#This Row],[Surgery Start Date]]=Date),0,1),0))*1440),0)</f>
        <v>0</v>
      </c>
      <c r="AH8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89" s="9" t="e">
        <f>IF(tbl_Case_mins[[#This Row],[ThOpenAm]]=0,tbl_Case_mins[[#This Row],[ThOpenPM]],tbl_Case_mins[[#This Row],[ThOpenAm]])</f>
        <v>#REF!</v>
      </c>
      <c r="AJ89" s="9" t="e">
        <f>IF(tbl_Case_mins[[#This Row],[ThCloseAm]]&gt;0,IF(tbl_Case_mins[[#This Row],[ThOpenPM]]&gt;0,tbl_Case_mins[[#This Row],[ThClosePm]],tbl_Case_mins[[#This Row],[ThCloseAm]]),tbl_Case_mins[[#This Row],[ThClosePm]])</f>
        <v>#REF!</v>
      </c>
      <c r="AK89" s="9" t="e">
        <f>IF(tbl_Case_mins[[#This Row],[TOT]]&gt;0,1,0)</f>
        <v>#REF!</v>
      </c>
      <c r="AL8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89" s="9" t="e">
        <f>IF(AND(tbl_Case_mins[[#This Row],[Surgery Status]]&lt;&gt;2,tbl_Case_mins[[#This Row],[InCoreCase]]=0,tbl_Case_mins[[#This Row],[CancelledCase]]=0),1,0)</f>
        <v>#REF!</v>
      </c>
      <c r="AN89" s="9" t="e">
        <f>IF(tbl_Case_mins[[#This Row],[Surgery Status]]=1,1,0)</f>
        <v>#REF!</v>
      </c>
      <c r="AO8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89" s="9" t="e">
        <f>IF(AND(tbl_Case_mins[[#This Row],[NonCoreCase]]=1,tbl_Case_mins[[#This Row],[NoInCoreTime]]=0),1,0)</f>
        <v>#REF!</v>
      </c>
      <c r="AQ89" s="9" t="e">
        <f>IF(tbl_Case_mins[[#This Row],[Rank_AnaEnd]]&lt;tbl_Case_mins[[#This Row],[Rank_AnaSt]],1,0)</f>
        <v>#REF!</v>
      </c>
      <c r="AR89" s="9" t="e">
        <f>IF(AND(tbl_Case_mins[[#This Row],[InCoreCase]]=1,tbl_Case_mins[[#This Row],[Sch]]=1),1,0)</f>
        <v>#REF!</v>
      </c>
      <c r="AS89" s="9" t="e">
        <f>IF(AND(tbl_Case_mins[[#This Row],[InCoreCase]]=1,tbl_Case_mins[[#This Row],[Unsch]]=1),1,0)</f>
        <v>#REF!</v>
      </c>
      <c r="AT8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8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8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89" s="9" t="e">
        <f>IF(tbl_Case_mins[[#This Row],[Surgery Status]]=0,(tbl_Case_mins[[#This Row],[Anaesth End]]-tbl_Case_mins[[#This Row],[AnaesthStart]]),0)</f>
        <v>#REF!</v>
      </c>
      <c r="AX89" s="9" t="e">
        <f>IF(tbl_Case_mins[[#This Row],[Surgery Status]]=0,(tbl_Case_mins[[#This Row],[Surgery Finish]]-tbl_Case_mins[[#This Row],[Surgery Start]]),0)</f>
        <v>#REF!</v>
      </c>
      <c r="AY89" s="9" t="e">
        <f>tbl_Case_mins[[#This Row],[Surgery Start]]-tbl_Case_mins[[#This Row],[AnaesthStart]]</f>
        <v>#REF!</v>
      </c>
      <c r="AZ89" s="9" t="e">
        <f>tbl_Case_mins[[#This Row],[Anaesth End]]-tbl_Case_mins[[#This Row],[Surgery Finish]]</f>
        <v>#REF!</v>
      </c>
      <c r="BA8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8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89" s="16" cm="1">
        <f t="array" ref="BC8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89" s="16" t="e">
        <f>IF(AND(tbl_Case_mins[[#This Row],[FirstAMCase]]=1,tbl_Case_mins[[#This Row],[CancelledCase]]=0,OR(tbl_Case_mins[[#This Row],[EarlyStartAM]]&gt;0,tbl_Case_mins[[#This Row],[AnaesthStart]]=tbl_Case_mins[[#This Row],[ThOpenAm]])),1,0)</f>
        <v>#REF!</v>
      </c>
      <c r="BE89" s="16" t="e">
        <f>IF(AND(tbl_Case_mins[[#This Row],[Rank_AnaSt]]=tbl_Case_mins[[#This Row],[Min_RankAnaSt]],tbl_Case_mins[[#This Row],[Anaesth End]]&gt;=tbl_Case_mins[[#This Row],[ThOpenAm]],tbl_Case_mins[[#This Row],[PmCase]]=0),1,0)</f>
        <v>#REF!</v>
      </c>
      <c r="BF8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8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89" s="9" t="e" cm="1">
        <f t="array" ref="BH8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8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8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89" s="9" t="e">
        <f>IF(AND(tbl_Case_mins[[#This Row],[ThOpenPM]]&gt;0,tbl_Case_mins[[#This Row],[AnaesthStart]]&gt;tbl_Case_mins[[#This Row],[ThOpenPM]],tbl_Case_mins[[#This Row],[First PM Case]]=1),tbl_Case_mins[[#This Row],[AnaesthStart]]-tbl_Case_mins[[#This Row],[ThOpenPM]],0)</f>
        <v>#REF!</v>
      </c>
      <c r="BL8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8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89" s="9" t="e" cm="1">
        <f t="array" ref="BN8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89" s="9" t="e">
        <f>IF(AND(tbl_Case_mins[[#This Row],[ThClosePm]]&gt;0,tbl_Case_mins[[#This Row],[Anaesth End]]&gt;tbl_Case_mins[[#This Row],[ThClosePm]],tbl_Case_mins[[#This Row],[AnaesthStart]]&gt;tbl_Case_mins[[#This Row],[ThClosePm]]),tbl_Case_mins[[#This Row],[Into Recov]]-tbl_Case_mins[[#This Row],[AnaesthStart]],0)</f>
        <v>#REF!</v>
      </c>
      <c r="BP89" s="9" t="e">
        <f>IF(AND(tbl_Case_mins[[#This Row],[AnaesthStart]]&lt;tbl_Case_mins[[#This Row],[ThClosePm]],tbl_Case_mins[[#This Row],[Anaesth End]]&gt;tbl_Case_mins[[#This Row],[ThClosePm]]),tbl_Case_mins[[#This Row],[Anaesth End]]-tbl_Case_mins[[#This Row],[ThClosePm]],0)</f>
        <v>#REF!</v>
      </c>
      <c r="BQ89" s="9" t="e" cm="1">
        <f t="array" ref="BQ8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89" s="9" t="e" cm="1">
        <f t="array" ref="BR89">IF(tbl_Case_mins[[#This Row],[Rank_Adjust]]=SUMPRODUCT(-(tbl_Case_mins[Surgery Start Date]=tbl_Case_mins[[#This Row],[Surgery Start Date]]),-(tbl_Case_mins[Theatre]=tbl_Case_mins[[#This Row],[Theatre]])),INDEX(Poss_Time,MATCH(TEXT(tbl_Case_mins[[#This Row],[Surgery Start Date]],"ddd"),Day,0)),0)</f>
        <v>#REF!</v>
      </c>
      <c r="BS89" s="9" t="e">
        <f>tbl_Case_mins[[#This Row],[Core_Time]]*Util_Goal</f>
        <v>#REF!</v>
      </c>
      <c r="BT89" s="9" t="e" cm="1">
        <f t="array" ref="BT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89" s="9" t="e" cm="1">
        <f t="array" ref="BU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8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8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89" s="9" t="e">
        <f>IF(tbl_Case_mins[[#This Row],[Surgery End Date]]&gt;tbl_Case_mins[[#This Row],[Surgery Start Date]],tbl_Case_mins[[#This Row],[Anaesth End]]-1440,0)</f>
        <v>#REF!</v>
      </c>
      <c r="BY89" s="9" t="e">
        <f>tbl_Case_mins[[#This Row],[Total_NonCore]]-tbl_Case_mins[[#This Row],[NextDay_NonCore]]</f>
        <v>#REF!</v>
      </c>
      <c r="BZ89" s="10" t="e">
        <f>tbl_Case_mins[[#This Row],[InCoreUse]]/60</f>
        <v>#REF!</v>
      </c>
      <c r="CA89" s="10" t="e">
        <f>tbl_Case_mins[[#This Row],[Total_NonCore]]/60</f>
        <v>#REF!</v>
      </c>
      <c r="CB89" t="e" cm="1">
        <f t="array" ref="CB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89" s="9" t="e" cm="1">
        <f t="array" ref="CC8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89" s="9" t="e" cm="1">
        <f t="array" ref="CD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89" s="9" t="e" cm="1">
        <f t="array" ref="CE8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89" s="9" cm="1">
        <f t="array" ref="CF89">IFERROR(_xlfn.AGGREGATE(14,6,(tbl_Case_mins[Rank_AnaEnd])/((tbl_Case_mins[Surgery Start Date]=tbl_Case_mins[[#This Row],[Surgery Start Date]])*(tbl_Case_mins[Theatre]=tbl_Case_mins[[#This Row],[Theatre]])*(tbl_Case_mins[NoInCoreTime]=0)),1),-1)</f>
        <v>-1</v>
      </c>
      <c r="CG89" s="9" cm="1">
        <f t="array" ref="CG89">IFERROR(_xlfn.AGGREGATE(15,6,(tbl_Case_mins[Rank_AnaSt])/((tbl_Case_mins[Surgery Start Date]=tbl_Case_mins[[#This Row],[Surgery Start Date]])*(tbl_Case_mins[Theatre]=tbl_Case_mins[[#This Row],[Theatre]])*(tbl_Case_mins[NoInCoreTime]=0)),1),-1)</f>
        <v>-1</v>
      </c>
      <c r="CH8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8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89" t="e" cm="1">
        <f t="array" ref="CJ8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8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8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89" s="9" cm="1">
        <f t="array" ref="CO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89" s="9" cm="1">
        <f t="array" ref="CP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89" s="9" cm="1">
        <f t="array" ref="CQ89">IFERROR(IF(AND(tbl_Case_mins[[#This Row],[FirstAMCase]]=0,tbl_Case_mins[[#This Row],[Rank]]=_xlfn.AGGREGATE(14,6,(tbl_Case_mins[Rank])/((tbl_Case_mins[Surgery Start Date]=tbl_Case_mins[[#This Row],[Surgery Start Date]])*(tbl_Case_mins[Theatre]=tbl_Case_mins[[#This Row],[Theatre]])*(tbl_Case_mins[AmCase]=1)),1)),1,0),0)</f>
        <v>0</v>
      </c>
      <c r="CR89" s="9" cm="1">
        <f t="array" ref="CR8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89" s="9" t="e" cm="1">
        <f t="array" ref="CS8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89" s="9" cm="1">
        <f t="array" ref="CT89">IFERROR(IF(tbl_Case_mins[[#This Row],[Rank]]=_xlfn.AGGREGATE(15,6,(tbl_Case_mins[Rank])/((tbl_Case_mins[Surgery Start Date]=tbl_Case_mins[[#This Row],[Surgery Start Date]])*(tbl_Case_mins[Theatre]=tbl_Case_mins[[#This Row],[Theatre]])*(tbl_Case_mins[PmCase]=1)),1),1,0),0)</f>
        <v>0</v>
      </c>
      <c r="CU89">
        <f>IFERROR(#REF!,0)</f>
        <v>0</v>
      </c>
      <c r="CV89" s="9" t="e" cm="1">
        <f t="array" ref="CV8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89" s="9">
        <f>IFERROR(IF(ISBLANK(INDEX(Bay_AmClose,MATCH(1,INDEX((tbl_Case_mins[[#This Row],[Bay]]=BayNo)*(tbl_Case_mins[[#This Row],[Surgery Start Date]]=BDate),0,1),0))*1440),0,INDEX(Bay_AmClose,MATCH(1,INDEX((tbl_Case_mins[[#This Row],[Bay]]=BayNo)*(tbl_Case_mins[[#This Row],[Surgery Start Date]]=BDate),0,1),0))*1440),0)</f>
        <v>0</v>
      </c>
      <c r="CX89" s="9" cm="1">
        <f t="array" ref="CX89">IFERROR(IF(ISBLANK(INDEX(Bay_PmOpen,MATCH(1,INDEX((tbl_Case_mins[[#This Row],[Bay]]=BayNo)*(tbl_Case_mins[[#This Row],[Surgery Start Date]]=BDate),0,1),0))*1440),0,INDEX(Bay_PmOpen,MATCH(1,INDEX((tbl_Case_mins[[#This Row],[Bay]]=BayNo)*(tbl_Case_mins[[#This Row],[Surgery Start Date]]=BDate),0,1),0))*1440),0)</f>
        <v>0</v>
      </c>
      <c r="CY8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89" s="9"/>
    </row>
    <row r="90" spans="1:104" x14ac:dyDescent="0.2">
      <c r="A90">
        <v>89</v>
      </c>
      <c r="B90" t="e">
        <f>#REF!</f>
        <v>#REF!</v>
      </c>
      <c r="C90" t="e">
        <f>#REF!</f>
        <v>#REF!</v>
      </c>
      <c r="D90" t="e">
        <f>#REF!</f>
        <v>#REF!</v>
      </c>
      <c r="E90" t="e">
        <f>#REF!</f>
        <v>#REF!</v>
      </c>
      <c r="F90" t="e">
        <f>#REF!</f>
        <v>#REF!</v>
      </c>
      <c r="G90" t="e">
        <f>#REF!</f>
        <v>#REF!</v>
      </c>
      <c r="H90" t="e">
        <f>#REF!</f>
        <v>#REF!</v>
      </c>
      <c r="I90" t="e">
        <f>IF(#REF!="Case Cancelled",1,IF(#REF!="No Cases",2,0))</f>
        <v>#REF!</v>
      </c>
      <c r="J90" t="e">
        <f>#REF!</f>
        <v>#REF!</v>
      </c>
      <c r="K90" s="4" t="e">
        <f>#REF!</f>
        <v>#REF!</v>
      </c>
      <c r="L90" t="e">
        <f>"Wk "&amp;WEEKNUM(tbl_Case_mins[[#This Row],[Surgery Start Date]],21)</f>
        <v>#REF!</v>
      </c>
      <c r="M90" t="e">
        <f>TEXT(tbl_Case_mins[[#This Row],[Surgery Start Date]],"ddd")</f>
        <v>#REF!</v>
      </c>
      <c r="N90" s="9" t="e">
        <f>(#REF!-TIME(0,0,0))*1440</f>
        <v>#REF!</v>
      </c>
      <c r="O90" t="e">
        <f>IF(AND(ROUND((#REF!-TIME(0,0,0))*1440,0)&gt;0,ROUND((#REF!-TIME(0,0,0))*1440,0)&lt;tbl_Case_mins[[#This Row],[Patient Called]],tbl_Case_mins[[#This Row],[Surgery End Date]]&gt;tbl_Case_mins[[#This Row],[Surgery Start Date]]),ROUND((#REF!-TIME(0,0,0))*1440,0)+1440,ROUND((#REF!-TIME(0,0,0))*1440,0))</f>
        <v>#REF!</v>
      </c>
      <c r="P90" s="9" t="e">
        <f>IF(AND(ROUND((#REF!-TIME(0,0,0))*1440,0)&gt;0,ROUND((#REF!-TIME(0,0,0))*1440,0)&lt;tbl_Case_mins[[#This Row],[Arrival]],tbl_Case_mins[[#This Row],[Surgery End Date]]&gt;tbl_Case_mins[[#This Row],[Surgery Start Date]]),ROUND((#REF!-TIME(0,0,0))*1440,0)+1440,ROUND((#REF!-TIME(0,0,0))*1440,0))</f>
        <v>#REF!</v>
      </c>
      <c r="Q90" s="9" t="e">
        <f>IF(AND(ROUND((#REF!-TIME(0,0,0))*1440,0)&gt;0,ROUND((#REF!-TIME(0,0,0))*1440,0)&lt;tbl_Case_mins[[#This Row],[Into Th or AR]],tbl_Case_mins[[#This Row],[Surgery End Date]]&gt;tbl_Case_mins[[#This Row],[Surgery Start Date]]),ROUND((#REF!-TIME(0,0,0))*1440,0)+1440,ROUND((#REF!-TIME(0,0,0))*1440,0))</f>
        <v>#REF!</v>
      </c>
      <c r="R90" s="9" t="e">
        <f>IF(AND(ROUND((#REF!-TIME(0,0,0))*1440,0)&gt;0,ROUND((#REF!-TIME(0,0,0))*1440,0)&lt;tbl_Case_mins[[#This Row],[AnaesthStart]],tbl_Case_mins[[#This Row],[Surgery End Date]]&gt;tbl_Case_mins[[#This Row],[Surgery Start Date]]),ROUND((#REF!-TIME(0,0,0))*1440,0)+1440,ROUND((#REF!-TIME(0,0,0))*1440,0))</f>
        <v>#REF!</v>
      </c>
      <c r="S90" s="9" t="e">
        <f>IF(AND(ROUND((#REF!-TIME(0,0,0))*1440,0),ROUND((#REF!-TIME(0,0,0))*1440,0)&lt;tbl_Case_mins[[#This Row],[Surgery Start]],tbl_Case_mins[[#This Row],[Surgery End Date]]&gt;tbl_Case_mins[[#This Row],[Surgery Start Date]]),ROUND((#REF!-TIME(0,0,0))*1440,0)+1440,ROUND((#REF!-TIME(0,0,0))*1440,0))</f>
        <v>#REF!</v>
      </c>
      <c r="T90" s="9" t="e">
        <f>IF(AND(ROUND((#REF!-TIME(0,0,0))*1440,0)&gt;0,ROUND((#REF!-TIME(0,0,0))*1440,0)&lt;tbl_Case_mins[[#This Row],[Surgery Finish]],tbl_Case_mins[[#This Row],[Surgery End Date]]&gt;tbl_Case_mins[[#This Row],[Surgery Start Date]]),ROUND((#REF!-TIME(0,0,0))*1440,0)+1440,ROUND((#REF!-TIME(0,0,0))*1440,0))</f>
        <v>#REF!</v>
      </c>
      <c r="U90" s="9" t="e">
        <f>IF(AND(ROUND((#REF!-TIME(0,0,0))*1440,0)&gt;0,ROUND((#REF!-TIME(0,0,0))*1440,0)&lt;tbl_Case_mins[[#This Row],[Anaesth End]],tbl_Case_mins[[#This Row],[Surgery End Date]]&gt;tbl_Case_mins[[#This Row],[Surgery Start Date]]),ROUND((#REF!-TIME(0,0,0))*1440,0)+1440,ROUND((#REF!-TIME(0,0,0))*1440,0))</f>
        <v>#REF!</v>
      </c>
      <c r="V90" s="9" t="e">
        <f>IF(AND(ROUND((#REF!-TIME(0,0,0))*1440,0)&gt;0,ROUND((#REF!-TIME(0,0,0))*1440,0)&lt;tbl_Case_mins[[#This Row],[Into Recov]],tbl_Case_mins[[#This Row],[Surgery End Date]]&gt;tbl_Case_mins[[#This Row],[Surgery Start Date]]),ROUND((#REF!-TIME(0,0,0))*1440,0)+1440,ROUND((#REF!-TIME(0,0,0))*1440,0))</f>
        <v>#REF!</v>
      </c>
      <c r="W90" s="9" t="e">
        <f>IF(AND(ROUND((#REF!-TIME(0,0,0))*1440,0)&gt;0,ROUND((#REF!-TIME(0,0,0))*1440,0)&lt;tbl_Case_mins[[#This Row],[Ward Called]],tbl_Case_mins[[#This Row],[Surgery End Date]]&gt;tbl_Case_mins[[#This Row],[Surgery Start Date]]),ROUND((#REF!-TIME(0,0,0))*1440,0)+1440,ROUND((#REF!-TIME(0,0,0))*1440,0))</f>
        <v>#REF!</v>
      </c>
      <c r="X90" s="4" t="e">
        <f>IF(ISBLANK(#REF!),tbl_Case_mins[[#This Row],[Surgery Start Date]],#REF!)</f>
        <v>#REF!</v>
      </c>
      <c r="Y90">
        <f>IFERROR(IF(VLOOKUP(tbl_Case_mins[[#This Row],[Theatre]],'Mng Theatres'!$C$7:$G$12,3,FALSE)="Yes","Yes","No"),0)</f>
        <v>0</v>
      </c>
      <c r="Z90" s="9" t="e" cm="1">
        <f t="array" ref="Z9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0" s="9" t="e" cm="1">
        <f t="array" ref="AA9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0" s="9" t="e">
        <f>IF(tbl_Case_mins[[#This Row],[Case Type]]="Unsch",1,0)</f>
        <v>#REF!</v>
      </c>
      <c r="AD90" s="9" t="e">
        <f>IF(tbl_Case_mins[[#This Row],[Case Type]]="Sch",1,0)</f>
        <v>#REF!</v>
      </c>
      <c r="AE9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0" s="9">
        <f>IFERROR(IF(ISBLANK(INDEX(Am_Close,MATCH(1,INDEX((tbl_Case_mins[[#This Row],[Theatre]]=Theatre_No)*(tbl_Case_mins[[#This Row],[Surgery Start Date]]=Date),0,1),0))*1440),0,INDEX(Am_Close,MATCH(1,INDEX((tbl_Case_mins[[#This Row],[Theatre]]=Theatre_No)*(tbl_Case_mins[[#This Row],[Surgery Start Date]]=Date),0,1),0))*1440),0)</f>
        <v>0</v>
      </c>
      <c r="AG90" s="9">
        <f>IFERROR(IF(ISBLANK(INDEX(PM_Open,MATCH(1,INDEX((tbl_Case_mins[[#This Row],[Theatre]]=Theatre_No)*(tbl_Case_mins[[#This Row],[Surgery Start Date]]=Date),0,1),0))*1440),0,INDEX(PM_Open,MATCH(1,INDEX((tbl_Case_mins[[#This Row],[Theatre]]=Theatre_No)*(tbl_Case_mins[[#This Row],[Surgery Start Date]]=Date),0,1),0))*1440),0)</f>
        <v>0</v>
      </c>
      <c r="AH9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0" s="9" t="e">
        <f>IF(tbl_Case_mins[[#This Row],[ThOpenAm]]=0,tbl_Case_mins[[#This Row],[ThOpenPM]],tbl_Case_mins[[#This Row],[ThOpenAm]])</f>
        <v>#REF!</v>
      </c>
      <c r="AJ90" s="9" t="e">
        <f>IF(tbl_Case_mins[[#This Row],[ThCloseAm]]&gt;0,IF(tbl_Case_mins[[#This Row],[ThOpenPM]]&gt;0,tbl_Case_mins[[#This Row],[ThClosePm]],tbl_Case_mins[[#This Row],[ThCloseAm]]),tbl_Case_mins[[#This Row],[ThClosePm]])</f>
        <v>#REF!</v>
      </c>
      <c r="AK90" s="9" t="e">
        <f>IF(tbl_Case_mins[[#This Row],[TOT]]&gt;0,1,0)</f>
        <v>#REF!</v>
      </c>
      <c r="AL9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0" s="9" t="e">
        <f>IF(AND(tbl_Case_mins[[#This Row],[Surgery Status]]&lt;&gt;2,tbl_Case_mins[[#This Row],[InCoreCase]]=0,tbl_Case_mins[[#This Row],[CancelledCase]]=0),1,0)</f>
        <v>#REF!</v>
      </c>
      <c r="AN90" s="9" t="e">
        <f>IF(tbl_Case_mins[[#This Row],[Surgery Status]]=1,1,0)</f>
        <v>#REF!</v>
      </c>
      <c r="AO9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0" s="9" t="e">
        <f>IF(AND(tbl_Case_mins[[#This Row],[NonCoreCase]]=1,tbl_Case_mins[[#This Row],[NoInCoreTime]]=0),1,0)</f>
        <v>#REF!</v>
      </c>
      <c r="AQ90" s="9" t="e">
        <f>IF(tbl_Case_mins[[#This Row],[Rank_AnaEnd]]&lt;tbl_Case_mins[[#This Row],[Rank_AnaSt]],1,0)</f>
        <v>#REF!</v>
      </c>
      <c r="AR90" s="9" t="e">
        <f>IF(AND(tbl_Case_mins[[#This Row],[InCoreCase]]=1,tbl_Case_mins[[#This Row],[Sch]]=1),1,0)</f>
        <v>#REF!</v>
      </c>
      <c r="AS90" s="9" t="e">
        <f>IF(AND(tbl_Case_mins[[#This Row],[InCoreCase]]=1,tbl_Case_mins[[#This Row],[Unsch]]=1),1,0)</f>
        <v>#REF!</v>
      </c>
      <c r="AT9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0" s="9" t="e">
        <f>IF(tbl_Case_mins[[#This Row],[Surgery Status]]=0,(tbl_Case_mins[[#This Row],[Anaesth End]]-tbl_Case_mins[[#This Row],[AnaesthStart]]),0)</f>
        <v>#REF!</v>
      </c>
      <c r="AX90" s="9" t="e">
        <f>IF(tbl_Case_mins[[#This Row],[Surgery Status]]=0,(tbl_Case_mins[[#This Row],[Surgery Finish]]-tbl_Case_mins[[#This Row],[Surgery Start]]),0)</f>
        <v>#REF!</v>
      </c>
      <c r="AY90" s="9" t="e">
        <f>tbl_Case_mins[[#This Row],[Surgery Start]]-tbl_Case_mins[[#This Row],[AnaesthStart]]</f>
        <v>#REF!</v>
      </c>
      <c r="AZ90" s="9" t="e">
        <f>tbl_Case_mins[[#This Row],[Anaesth End]]-tbl_Case_mins[[#This Row],[Surgery Finish]]</f>
        <v>#REF!</v>
      </c>
      <c r="BA9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0" s="16" cm="1">
        <f t="array" ref="BC9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0" s="16" t="e">
        <f>IF(AND(tbl_Case_mins[[#This Row],[FirstAMCase]]=1,tbl_Case_mins[[#This Row],[CancelledCase]]=0,OR(tbl_Case_mins[[#This Row],[EarlyStartAM]]&gt;0,tbl_Case_mins[[#This Row],[AnaesthStart]]=tbl_Case_mins[[#This Row],[ThOpenAm]])),1,0)</f>
        <v>#REF!</v>
      </c>
      <c r="BE90" s="16" t="e">
        <f>IF(AND(tbl_Case_mins[[#This Row],[Rank_AnaSt]]=tbl_Case_mins[[#This Row],[Min_RankAnaSt]],tbl_Case_mins[[#This Row],[Anaesth End]]&gt;=tbl_Case_mins[[#This Row],[ThOpenAm]],tbl_Case_mins[[#This Row],[PmCase]]=0),1,0)</f>
        <v>#REF!</v>
      </c>
      <c r="BF9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0" s="9" t="e" cm="1">
        <f t="array" ref="BH9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0" s="9" t="e">
        <f>IF(AND(tbl_Case_mins[[#This Row],[ThOpenPM]]&gt;0,tbl_Case_mins[[#This Row],[AnaesthStart]]&gt;tbl_Case_mins[[#This Row],[ThOpenPM]],tbl_Case_mins[[#This Row],[First PM Case]]=1),tbl_Case_mins[[#This Row],[AnaesthStart]]-tbl_Case_mins[[#This Row],[ThOpenPM]],0)</f>
        <v>#REF!</v>
      </c>
      <c r="BL9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0" s="9" t="e" cm="1">
        <f t="array" ref="BN9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0" s="9" t="e">
        <f>IF(AND(tbl_Case_mins[[#This Row],[ThClosePm]]&gt;0,tbl_Case_mins[[#This Row],[Anaesth End]]&gt;tbl_Case_mins[[#This Row],[ThClosePm]],tbl_Case_mins[[#This Row],[AnaesthStart]]&gt;tbl_Case_mins[[#This Row],[ThClosePm]]),tbl_Case_mins[[#This Row],[Into Recov]]-tbl_Case_mins[[#This Row],[AnaesthStart]],0)</f>
        <v>#REF!</v>
      </c>
      <c r="BP90" s="9" t="e">
        <f>IF(AND(tbl_Case_mins[[#This Row],[AnaesthStart]]&lt;tbl_Case_mins[[#This Row],[ThClosePm]],tbl_Case_mins[[#This Row],[Anaesth End]]&gt;tbl_Case_mins[[#This Row],[ThClosePm]]),tbl_Case_mins[[#This Row],[Anaesth End]]-tbl_Case_mins[[#This Row],[ThClosePm]],0)</f>
        <v>#REF!</v>
      </c>
      <c r="BQ90" s="9" t="e" cm="1">
        <f t="array" ref="BQ9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0" s="9" t="e" cm="1">
        <f t="array" ref="BR90">IF(tbl_Case_mins[[#This Row],[Rank_Adjust]]=SUMPRODUCT(-(tbl_Case_mins[Surgery Start Date]=tbl_Case_mins[[#This Row],[Surgery Start Date]]),-(tbl_Case_mins[Theatre]=tbl_Case_mins[[#This Row],[Theatre]])),INDEX(Poss_Time,MATCH(TEXT(tbl_Case_mins[[#This Row],[Surgery Start Date]],"ddd"),Day,0)),0)</f>
        <v>#REF!</v>
      </c>
      <c r="BS90" s="9" t="e">
        <f>tbl_Case_mins[[#This Row],[Core_Time]]*Util_Goal</f>
        <v>#REF!</v>
      </c>
      <c r="BT90" s="9" t="e" cm="1">
        <f t="array" ref="BT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0" s="9" t="e" cm="1">
        <f t="array" ref="BU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0" s="9" t="e">
        <f>IF(tbl_Case_mins[[#This Row],[Surgery End Date]]&gt;tbl_Case_mins[[#This Row],[Surgery Start Date]],tbl_Case_mins[[#This Row],[Anaesth End]]-1440,0)</f>
        <v>#REF!</v>
      </c>
      <c r="BY90" s="9" t="e">
        <f>tbl_Case_mins[[#This Row],[Total_NonCore]]-tbl_Case_mins[[#This Row],[NextDay_NonCore]]</f>
        <v>#REF!</v>
      </c>
      <c r="BZ90" s="10" t="e">
        <f>tbl_Case_mins[[#This Row],[InCoreUse]]/60</f>
        <v>#REF!</v>
      </c>
      <c r="CA90" s="10" t="e">
        <f>tbl_Case_mins[[#This Row],[Total_NonCore]]/60</f>
        <v>#REF!</v>
      </c>
      <c r="CB90" t="e" cm="1">
        <f t="array" ref="CB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0" s="9" t="e" cm="1">
        <f t="array" ref="CC9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0" s="9" t="e" cm="1">
        <f t="array" ref="CD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0" s="9" t="e" cm="1">
        <f t="array" ref="CE9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0" s="9" cm="1">
        <f t="array" ref="CF90">IFERROR(_xlfn.AGGREGATE(14,6,(tbl_Case_mins[Rank_AnaEnd])/((tbl_Case_mins[Surgery Start Date]=tbl_Case_mins[[#This Row],[Surgery Start Date]])*(tbl_Case_mins[Theatre]=tbl_Case_mins[[#This Row],[Theatre]])*(tbl_Case_mins[NoInCoreTime]=0)),1),-1)</f>
        <v>-1</v>
      </c>
      <c r="CG90" s="9" cm="1">
        <f t="array" ref="CG90">IFERROR(_xlfn.AGGREGATE(15,6,(tbl_Case_mins[Rank_AnaSt])/((tbl_Case_mins[Surgery Start Date]=tbl_Case_mins[[#This Row],[Surgery Start Date]])*(tbl_Case_mins[Theatre]=tbl_Case_mins[[#This Row],[Theatre]])*(tbl_Case_mins[NoInCoreTime]=0)),1),-1)</f>
        <v>-1</v>
      </c>
      <c r="CH9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0" t="e" cm="1">
        <f t="array" ref="CJ9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0" s="9" cm="1">
        <f t="array" ref="CO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0" s="9" cm="1">
        <f t="array" ref="CP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0" s="9" cm="1">
        <f t="array" ref="CQ90">IFERROR(IF(AND(tbl_Case_mins[[#This Row],[FirstAMCase]]=0,tbl_Case_mins[[#This Row],[Rank]]=_xlfn.AGGREGATE(14,6,(tbl_Case_mins[Rank])/((tbl_Case_mins[Surgery Start Date]=tbl_Case_mins[[#This Row],[Surgery Start Date]])*(tbl_Case_mins[Theatre]=tbl_Case_mins[[#This Row],[Theatre]])*(tbl_Case_mins[AmCase]=1)),1)),1,0),0)</f>
        <v>0</v>
      </c>
      <c r="CR90" s="9" cm="1">
        <f t="array" ref="CR9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0" s="9" t="e" cm="1">
        <f t="array" ref="CS9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0" s="9" cm="1">
        <f t="array" ref="CT90">IFERROR(IF(tbl_Case_mins[[#This Row],[Rank]]=_xlfn.AGGREGATE(15,6,(tbl_Case_mins[Rank])/((tbl_Case_mins[Surgery Start Date]=tbl_Case_mins[[#This Row],[Surgery Start Date]])*(tbl_Case_mins[Theatre]=tbl_Case_mins[[#This Row],[Theatre]])*(tbl_Case_mins[PmCase]=1)),1),1,0),0)</f>
        <v>0</v>
      </c>
      <c r="CU90">
        <f>IFERROR(#REF!,0)</f>
        <v>0</v>
      </c>
      <c r="CV90" s="9" t="e" cm="1">
        <f t="array" ref="CV9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0" s="9">
        <f>IFERROR(IF(ISBLANK(INDEX(Bay_AmClose,MATCH(1,INDEX((tbl_Case_mins[[#This Row],[Bay]]=BayNo)*(tbl_Case_mins[[#This Row],[Surgery Start Date]]=BDate),0,1),0))*1440),0,INDEX(Bay_AmClose,MATCH(1,INDEX((tbl_Case_mins[[#This Row],[Bay]]=BayNo)*(tbl_Case_mins[[#This Row],[Surgery Start Date]]=BDate),0,1),0))*1440),0)</f>
        <v>0</v>
      </c>
      <c r="CX90" s="9" cm="1">
        <f t="array" ref="CX90">IFERROR(IF(ISBLANK(INDEX(Bay_PmOpen,MATCH(1,INDEX((tbl_Case_mins[[#This Row],[Bay]]=BayNo)*(tbl_Case_mins[[#This Row],[Surgery Start Date]]=BDate),0,1),0))*1440),0,INDEX(Bay_PmOpen,MATCH(1,INDEX((tbl_Case_mins[[#This Row],[Bay]]=BayNo)*(tbl_Case_mins[[#This Row],[Surgery Start Date]]=BDate),0,1),0))*1440),0)</f>
        <v>0</v>
      </c>
      <c r="CY9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0" s="9"/>
    </row>
    <row r="91" spans="1:104" x14ac:dyDescent="0.2">
      <c r="A91">
        <v>90</v>
      </c>
      <c r="B91" t="e">
        <f>#REF!</f>
        <v>#REF!</v>
      </c>
      <c r="C91" t="e">
        <f>#REF!</f>
        <v>#REF!</v>
      </c>
      <c r="D91" t="e">
        <f>#REF!</f>
        <v>#REF!</v>
      </c>
      <c r="E91" t="e">
        <f>#REF!</f>
        <v>#REF!</v>
      </c>
      <c r="F91" t="e">
        <f>#REF!</f>
        <v>#REF!</v>
      </c>
      <c r="G91" t="e">
        <f>#REF!</f>
        <v>#REF!</v>
      </c>
      <c r="H91" t="e">
        <f>#REF!</f>
        <v>#REF!</v>
      </c>
      <c r="I91" t="e">
        <f>IF(#REF!="Case Cancelled",1,IF(#REF!="No Cases",2,0))</f>
        <v>#REF!</v>
      </c>
      <c r="J91" t="e">
        <f>#REF!</f>
        <v>#REF!</v>
      </c>
      <c r="K91" s="4" t="e">
        <f>#REF!</f>
        <v>#REF!</v>
      </c>
      <c r="L91" t="e">
        <f>"Wk "&amp;WEEKNUM(tbl_Case_mins[[#This Row],[Surgery Start Date]],21)</f>
        <v>#REF!</v>
      </c>
      <c r="M91" t="e">
        <f>TEXT(tbl_Case_mins[[#This Row],[Surgery Start Date]],"ddd")</f>
        <v>#REF!</v>
      </c>
      <c r="N91" s="9" t="e">
        <f>(#REF!-TIME(0,0,0))*1440</f>
        <v>#REF!</v>
      </c>
      <c r="O91" t="e">
        <f>IF(AND(ROUND((#REF!-TIME(0,0,0))*1440,0)&gt;0,ROUND((#REF!-TIME(0,0,0))*1440,0)&lt;tbl_Case_mins[[#This Row],[Patient Called]],tbl_Case_mins[[#This Row],[Surgery End Date]]&gt;tbl_Case_mins[[#This Row],[Surgery Start Date]]),ROUND((#REF!-TIME(0,0,0))*1440,0)+1440,ROUND((#REF!-TIME(0,0,0))*1440,0))</f>
        <v>#REF!</v>
      </c>
      <c r="P91" s="9" t="e">
        <f>IF(AND(ROUND((#REF!-TIME(0,0,0))*1440,0)&gt;0,ROUND((#REF!-TIME(0,0,0))*1440,0)&lt;tbl_Case_mins[[#This Row],[Arrival]],tbl_Case_mins[[#This Row],[Surgery End Date]]&gt;tbl_Case_mins[[#This Row],[Surgery Start Date]]),ROUND((#REF!-TIME(0,0,0))*1440,0)+1440,ROUND((#REF!-TIME(0,0,0))*1440,0))</f>
        <v>#REF!</v>
      </c>
      <c r="Q91" s="9" t="e">
        <f>IF(AND(ROUND((#REF!-TIME(0,0,0))*1440,0)&gt;0,ROUND((#REF!-TIME(0,0,0))*1440,0)&lt;tbl_Case_mins[[#This Row],[Into Th or AR]],tbl_Case_mins[[#This Row],[Surgery End Date]]&gt;tbl_Case_mins[[#This Row],[Surgery Start Date]]),ROUND((#REF!-TIME(0,0,0))*1440,0)+1440,ROUND((#REF!-TIME(0,0,0))*1440,0))</f>
        <v>#REF!</v>
      </c>
      <c r="R91" s="9" t="e">
        <f>IF(AND(ROUND((#REF!-TIME(0,0,0))*1440,0)&gt;0,ROUND((#REF!-TIME(0,0,0))*1440,0)&lt;tbl_Case_mins[[#This Row],[AnaesthStart]],tbl_Case_mins[[#This Row],[Surgery End Date]]&gt;tbl_Case_mins[[#This Row],[Surgery Start Date]]),ROUND((#REF!-TIME(0,0,0))*1440,0)+1440,ROUND((#REF!-TIME(0,0,0))*1440,0))</f>
        <v>#REF!</v>
      </c>
      <c r="S91" s="9" t="e">
        <f>IF(AND(ROUND((#REF!-TIME(0,0,0))*1440,0),ROUND((#REF!-TIME(0,0,0))*1440,0)&lt;tbl_Case_mins[[#This Row],[Surgery Start]],tbl_Case_mins[[#This Row],[Surgery End Date]]&gt;tbl_Case_mins[[#This Row],[Surgery Start Date]]),ROUND((#REF!-TIME(0,0,0))*1440,0)+1440,ROUND((#REF!-TIME(0,0,0))*1440,0))</f>
        <v>#REF!</v>
      </c>
      <c r="T91" s="9" t="e">
        <f>IF(AND(ROUND((#REF!-TIME(0,0,0))*1440,0)&gt;0,ROUND((#REF!-TIME(0,0,0))*1440,0)&lt;tbl_Case_mins[[#This Row],[Surgery Finish]],tbl_Case_mins[[#This Row],[Surgery End Date]]&gt;tbl_Case_mins[[#This Row],[Surgery Start Date]]),ROUND((#REF!-TIME(0,0,0))*1440,0)+1440,ROUND((#REF!-TIME(0,0,0))*1440,0))</f>
        <v>#REF!</v>
      </c>
      <c r="U91" s="9" t="e">
        <f>IF(AND(ROUND((#REF!-TIME(0,0,0))*1440,0)&gt;0,ROUND((#REF!-TIME(0,0,0))*1440,0)&lt;tbl_Case_mins[[#This Row],[Anaesth End]],tbl_Case_mins[[#This Row],[Surgery End Date]]&gt;tbl_Case_mins[[#This Row],[Surgery Start Date]]),ROUND((#REF!-TIME(0,0,0))*1440,0)+1440,ROUND((#REF!-TIME(0,0,0))*1440,0))</f>
        <v>#REF!</v>
      </c>
      <c r="V91" s="9" t="e">
        <f>IF(AND(ROUND((#REF!-TIME(0,0,0))*1440,0)&gt;0,ROUND((#REF!-TIME(0,0,0))*1440,0)&lt;tbl_Case_mins[[#This Row],[Into Recov]],tbl_Case_mins[[#This Row],[Surgery End Date]]&gt;tbl_Case_mins[[#This Row],[Surgery Start Date]]),ROUND((#REF!-TIME(0,0,0))*1440,0)+1440,ROUND((#REF!-TIME(0,0,0))*1440,0))</f>
        <v>#REF!</v>
      </c>
      <c r="W91" s="9" t="e">
        <f>IF(AND(ROUND((#REF!-TIME(0,0,0))*1440,0)&gt;0,ROUND((#REF!-TIME(0,0,0))*1440,0)&lt;tbl_Case_mins[[#This Row],[Ward Called]],tbl_Case_mins[[#This Row],[Surgery End Date]]&gt;tbl_Case_mins[[#This Row],[Surgery Start Date]]),ROUND((#REF!-TIME(0,0,0))*1440,0)+1440,ROUND((#REF!-TIME(0,0,0))*1440,0))</f>
        <v>#REF!</v>
      </c>
      <c r="X91" s="4" t="e">
        <f>IF(ISBLANK(#REF!),tbl_Case_mins[[#This Row],[Surgery Start Date]],#REF!)</f>
        <v>#REF!</v>
      </c>
      <c r="Y91">
        <f>IFERROR(IF(VLOOKUP(tbl_Case_mins[[#This Row],[Theatre]],'Mng Theatres'!$C$7:$G$12,3,FALSE)="Yes","Yes","No"),0)</f>
        <v>0</v>
      </c>
      <c r="Z91" s="9" t="e" cm="1">
        <f t="array" ref="Z9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1" s="9" t="e" cm="1">
        <f t="array" ref="AA9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1" s="9" t="e">
        <f>IF(tbl_Case_mins[[#This Row],[Case Type]]="Unsch",1,0)</f>
        <v>#REF!</v>
      </c>
      <c r="AD91" s="9" t="e">
        <f>IF(tbl_Case_mins[[#This Row],[Case Type]]="Sch",1,0)</f>
        <v>#REF!</v>
      </c>
      <c r="AE9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1" s="9">
        <f>IFERROR(IF(ISBLANK(INDEX(Am_Close,MATCH(1,INDEX((tbl_Case_mins[[#This Row],[Theatre]]=Theatre_No)*(tbl_Case_mins[[#This Row],[Surgery Start Date]]=Date),0,1),0))*1440),0,INDEX(Am_Close,MATCH(1,INDEX((tbl_Case_mins[[#This Row],[Theatre]]=Theatre_No)*(tbl_Case_mins[[#This Row],[Surgery Start Date]]=Date),0,1),0))*1440),0)</f>
        <v>0</v>
      </c>
      <c r="AG91" s="9">
        <f>IFERROR(IF(ISBLANK(INDEX(PM_Open,MATCH(1,INDEX((tbl_Case_mins[[#This Row],[Theatre]]=Theatre_No)*(tbl_Case_mins[[#This Row],[Surgery Start Date]]=Date),0,1),0))*1440),0,INDEX(PM_Open,MATCH(1,INDEX((tbl_Case_mins[[#This Row],[Theatre]]=Theatre_No)*(tbl_Case_mins[[#This Row],[Surgery Start Date]]=Date),0,1),0))*1440),0)</f>
        <v>0</v>
      </c>
      <c r="AH9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1" s="9" t="e">
        <f>IF(tbl_Case_mins[[#This Row],[ThOpenAm]]=0,tbl_Case_mins[[#This Row],[ThOpenPM]],tbl_Case_mins[[#This Row],[ThOpenAm]])</f>
        <v>#REF!</v>
      </c>
      <c r="AJ91" s="9" t="e">
        <f>IF(tbl_Case_mins[[#This Row],[ThCloseAm]]&gt;0,IF(tbl_Case_mins[[#This Row],[ThOpenPM]]&gt;0,tbl_Case_mins[[#This Row],[ThClosePm]],tbl_Case_mins[[#This Row],[ThCloseAm]]),tbl_Case_mins[[#This Row],[ThClosePm]])</f>
        <v>#REF!</v>
      </c>
      <c r="AK91" s="9" t="e">
        <f>IF(tbl_Case_mins[[#This Row],[TOT]]&gt;0,1,0)</f>
        <v>#REF!</v>
      </c>
      <c r="AL9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1" s="9" t="e">
        <f>IF(AND(tbl_Case_mins[[#This Row],[Surgery Status]]&lt;&gt;2,tbl_Case_mins[[#This Row],[InCoreCase]]=0,tbl_Case_mins[[#This Row],[CancelledCase]]=0),1,0)</f>
        <v>#REF!</v>
      </c>
      <c r="AN91" s="9" t="e">
        <f>IF(tbl_Case_mins[[#This Row],[Surgery Status]]=1,1,0)</f>
        <v>#REF!</v>
      </c>
      <c r="AO9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1" s="9" t="e">
        <f>IF(AND(tbl_Case_mins[[#This Row],[NonCoreCase]]=1,tbl_Case_mins[[#This Row],[NoInCoreTime]]=0),1,0)</f>
        <v>#REF!</v>
      </c>
      <c r="AQ91" s="9" t="e">
        <f>IF(tbl_Case_mins[[#This Row],[Rank_AnaEnd]]&lt;tbl_Case_mins[[#This Row],[Rank_AnaSt]],1,0)</f>
        <v>#REF!</v>
      </c>
      <c r="AR91" s="9" t="e">
        <f>IF(AND(tbl_Case_mins[[#This Row],[InCoreCase]]=1,tbl_Case_mins[[#This Row],[Sch]]=1),1,0)</f>
        <v>#REF!</v>
      </c>
      <c r="AS91" s="9" t="e">
        <f>IF(AND(tbl_Case_mins[[#This Row],[InCoreCase]]=1,tbl_Case_mins[[#This Row],[Unsch]]=1),1,0)</f>
        <v>#REF!</v>
      </c>
      <c r="AT9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1" s="9" t="e">
        <f>IF(tbl_Case_mins[[#This Row],[Surgery Status]]=0,(tbl_Case_mins[[#This Row],[Anaesth End]]-tbl_Case_mins[[#This Row],[AnaesthStart]]),0)</f>
        <v>#REF!</v>
      </c>
      <c r="AX91" s="9" t="e">
        <f>IF(tbl_Case_mins[[#This Row],[Surgery Status]]=0,(tbl_Case_mins[[#This Row],[Surgery Finish]]-tbl_Case_mins[[#This Row],[Surgery Start]]),0)</f>
        <v>#REF!</v>
      </c>
      <c r="AY91" s="9" t="e">
        <f>tbl_Case_mins[[#This Row],[Surgery Start]]-tbl_Case_mins[[#This Row],[AnaesthStart]]</f>
        <v>#REF!</v>
      </c>
      <c r="AZ91" s="9" t="e">
        <f>tbl_Case_mins[[#This Row],[Anaesth End]]-tbl_Case_mins[[#This Row],[Surgery Finish]]</f>
        <v>#REF!</v>
      </c>
      <c r="BA9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1" s="16" cm="1">
        <f t="array" ref="BC9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1" s="16" t="e">
        <f>IF(AND(tbl_Case_mins[[#This Row],[FirstAMCase]]=1,tbl_Case_mins[[#This Row],[CancelledCase]]=0,OR(tbl_Case_mins[[#This Row],[EarlyStartAM]]&gt;0,tbl_Case_mins[[#This Row],[AnaesthStart]]=tbl_Case_mins[[#This Row],[ThOpenAm]])),1,0)</f>
        <v>#REF!</v>
      </c>
      <c r="BE91" s="16" t="e">
        <f>IF(AND(tbl_Case_mins[[#This Row],[Rank_AnaSt]]=tbl_Case_mins[[#This Row],[Min_RankAnaSt]],tbl_Case_mins[[#This Row],[Anaesth End]]&gt;=tbl_Case_mins[[#This Row],[ThOpenAm]],tbl_Case_mins[[#This Row],[PmCase]]=0),1,0)</f>
        <v>#REF!</v>
      </c>
      <c r="BF9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1" s="9" t="e" cm="1">
        <f t="array" ref="BH9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1" s="9" t="e">
        <f>IF(AND(tbl_Case_mins[[#This Row],[ThOpenPM]]&gt;0,tbl_Case_mins[[#This Row],[AnaesthStart]]&gt;tbl_Case_mins[[#This Row],[ThOpenPM]],tbl_Case_mins[[#This Row],[First PM Case]]=1),tbl_Case_mins[[#This Row],[AnaesthStart]]-tbl_Case_mins[[#This Row],[ThOpenPM]],0)</f>
        <v>#REF!</v>
      </c>
      <c r="BL9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1" s="9" t="e" cm="1">
        <f t="array" ref="BN9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1" s="9" t="e">
        <f>IF(AND(tbl_Case_mins[[#This Row],[ThClosePm]]&gt;0,tbl_Case_mins[[#This Row],[Anaesth End]]&gt;tbl_Case_mins[[#This Row],[ThClosePm]],tbl_Case_mins[[#This Row],[AnaesthStart]]&gt;tbl_Case_mins[[#This Row],[ThClosePm]]),tbl_Case_mins[[#This Row],[Into Recov]]-tbl_Case_mins[[#This Row],[AnaesthStart]],0)</f>
        <v>#REF!</v>
      </c>
      <c r="BP91" s="9" t="e">
        <f>IF(AND(tbl_Case_mins[[#This Row],[AnaesthStart]]&lt;tbl_Case_mins[[#This Row],[ThClosePm]],tbl_Case_mins[[#This Row],[Anaesth End]]&gt;tbl_Case_mins[[#This Row],[ThClosePm]]),tbl_Case_mins[[#This Row],[Anaesth End]]-tbl_Case_mins[[#This Row],[ThClosePm]],0)</f>
        <v>#REF!</v>
      </c>
      <c r="BQ91" s="9" t="e" cm="1">
        <f t="array" ref="BQ9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1" s="9" t="e" cm="1">
        <f t="array" ref="BR91">IF(tbl_Case_mins[[#This Row],[Rank_Adjust]]=SUMPRODUCT(-(tbl_Case_mins[Surgery Start Date]=tbl_Case_mins[[#This Row],[Surgery Start Date]]),-(tbl_Case_mins[Theatre]=tbl_Case_mins[[#This Row],[Theatre]])),INDEX(Poss_Time,MATCH(TEXT(tbl_Case_mins[[#This Row],[Surgery Start Date]],"ddd"),Day,0)),0)</f>
        <v>#REF!</v>
      </c>
      <c r="BS91" s="9" t="e">
        <f>tbl_Case_mins[[#This Row],[Core_Time]]*Util_Goal</f>
        <v>#REF!</v>
      </c>
      <c r="BT91" s="9" t="e" cm="1">
        <f t="array" ref="BT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1" s="9" t="e" cm="1">
        <f t="array" ref="BU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1" s="9" t="e">
        <f>IF(tbl_Case_mins[[#This Row],[Surgery End Date]]&gt;tbl_Case_mins[[#This Row],[Surgery Start Date]],tbl_Case_mins[[#This Row],[Anaesth End]]-1440,0)</f>
        <v>#REF!</v>
      </c>
      <c r="BY91" s="9" t="e">
        <f>tbl_Case_mins[[#This Row],[Total_NonCore]]-tbl_Case_mins[[#This Row],[NextDay_NonCore]]</f>
        <v>#REF!</v>
      </c>
      <c r="BZ91" s="10" t="e">
        <f>tbl_Case_mins[[#This Row],[InCoreUse]]/60</f>
        <v>#REF!</v>
      </c>
      <c r="CA91" s="10" t="e">
        <f>tbl_Case_mins[[#This Row],[Total_NonCore]]/60</f>
        <v>#REF!</v>
      </c>
      <c r="CB91" t="e" cm="1">
        <f t="array" ref="CB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1" s="9" t="e" cm="1">
        <f t="array" ref="CC9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1" s="9" t="e" cm="1">
        <f t="array" ref="CD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1" s="9" t="e" cm="1">
        <f t="array" ref="CE9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1" s="9" cm="1">
        <f t="array" ref="CF91">IFERROR(_xlfn.AGGREGATE(14,6,(tbl_Case_mins[Rank_AnaEnd])/((tbl_Case_mins[Surgery Start Date]=tbl_Case_mins[[#This Row],[Surgery Start Date]])*(tbl_Case_mins[Theatre]=tbl_Case_mins[[#This Row],[Theatre]])*(tbl_Case_mins[NoInCoreTime]=0)),1),-1)</f>
        <v>-1</v>
      </c>
      <c r="CG91" s="9" cm="1">
        <f t="array" ref="CG91">IFERROR(_xlfn.AGGREGATE(15,6,(tbl_Case_mins[Rank_AnaSt])/((tbl_Case_mins[Surgery Start Date]=tbl_Case_mins[[#This Row],[Surgery Start Date]])*(tbl_Case_mins[Theatre]=tbl_Case_mins[[#This Row],[Theatre]])*(tbl_Case_mins[NoInCoreTime]=0)),1),-1)</f>
        <v>-1</v>
      </c>
      <c r="CH9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1" t="e" cm="1">
        <f t="array" ref="CJ9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1" s="9" cm="1">
        <f t="array" ref="CO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1" s="9" cm="1">
        <f t="array" ref="CP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1" s="9" cm="1">
        <f t="array" ref="CQ91">IFERROR(IF(AND(tbl_Case_mins[[#This Row],[FirstAMCase]]=0,tbl_Case_mins[[#This Row],[Rank]]=_xlfn.AGGREGATE(14,6,(tbl_Case_mins[Rank])/((tbl_Case_mins[Surgery Start Date]=tbl_Case_mins[[#This Row],[Surgery Start Date]])*(tbl_Case_mins[Theatre]=tbl_Case_mins[[#This Row],[Theatre]])*(tbl_Case_mins[AmCase]=1)),1)),1,0),0)</f>
        <v>0</v>
      </c>
      <c r="CR91" s="9" cm="1">
        <f t="array" ref="CR9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1" s="9" t="e" cm="1">
        <f t="array" ref="CS9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1" s="9" cm="1">
        <f t="array" ref="CT91">IFERROR(IF(tbl_Case_mins[[#This Row],[Rank]]=_xlfn.AGGREGATE(15,6,(tbl_Case_mins[Rank])/((tbl_Case_mins[Surgery Start Date]=tbl_Case_mins[[#This Row],[Surgery Start Date]])*(tbl_Case_mins[Theatre]=tbl_Case_mins[[#This Row],[Theatre]])*(tbl_Case_mins[PmCase]=1)),1),1,0),0)</f>
        <v>0</v>
      </c>
      <c r="CU91">
        <f>IFERROR(#REF!,0)</f>
        <v>0</v>
      </c>
      <c r="CV91" s="9" t="e" cm="1">
        <f t="array" ref="CV9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1" s="9">
        <f>IFERROR(IF(ISBLANK(INDEX(Bay_AmClose,MATCH(1,INDEX((tbl_Case_mins[[#This Row],[Bay]]=BayNo)*(tbl_Case_mins[[#This Row],[Surgery Start Date]]=BDate),0,1),0))*1440),0,INDEX(Bay_AmClose,MATCH(1,INDEX((tbl_Case_mins[[#This Row],[Bay]]=BayNo)*(tbl_Case_mins[[#This Row],[Surgery Start Date]]=BDate),0,1),0))*1440),0)</f>
        <v>0</v>
      </c>
      <c r="CX91" s="9" cm="1">
        <f t="array" ref="CX91">IFERROR(IF(ISBLANK(INDEX(Bay_PmOpen,MATCH(1,INDEX((tbl_Case_mins[[#This Row],[Bay]]=BayNo)*(tbl_Case_mins[[#This Row],[Surgery Start Date]]=BDate),0,1),0))*1440),0,INDEX(Bay_PmOpen,MATCH(1,INDEX((tbl_Case_mins[[#This Row],[Bay]]=BayNo)*(tbl_Case_mins[[#This Row],[Surgery Start Date]]=BDate),0,1),0))*1440),0)</f>
        <v>0</v>
      </c>
      <c r="CY9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1" s="9"/>
    </row>
    <row r="92" spans="1:104" x14ac:dyDescent="0.2">
      <c r="A92">
        <v>91</v>
      </c>
      <c r="B92" t="e">
        <f>#REF!</f>
        <v>#REF!</v>
      </c>
      <c r="C92" t="e">
        <f>#REF!</f>
        <v>#REF!</v>
      </c>
      <c r="D92" t="e">
        <f>#REF!</f>
        <v>#REF!</v>
      </c>
      <c r="E92" t="e">
        <f>#REF!</f>
        <v>#REF!</v>
      </c>
      <c r="F92" t="e">
        <f>#REF!</f>
        <v>#REF!</v>
      </c>
      <c r="G92" t="e">
        <f>#REF!</f>
        <v>#REF!</v>
      </c>
      <c r="H92" t="e">
        <f>#REF!</f>
        <v>#REF!</v>
      </c>
      <c r="I92" t="e">
        <f>IF(#REF!="Case Cancelled",1,IF(#REF!="No Cases",2,0))</f>
        <v>#REF!</v>
      </c>
      <c r="J92" t="e">
        <f>#REF!</f>
        <v>#REF!</v>
      </c>
      <c r="K92" s="4" t="e">
        <f>#REF!</f>
        <v>#REF!</v>
      </c>
      <c r="L92" t="e">
        <f>"Wk "&amp;WEEKNUM(tbl_Case_mins[[#This Row],[Surgery Start Date]],21)</f>
        <v>#REF!</v>
      </c>
      <c r="M92" t="e">
        <f>TEXT(tbl_Case_mins[[#This Row],[Surgery Start Date]],"ddd")</f>
        <v>#REF!</v>
      </c>
      <c r="N92" s="9" t="e">
        <f>(#REF!-TIME(0,0,0))*1440</f>
        <v>#REF!</v>
      </c>
      <c r="O92" t="e">
        <f>IF(AND(ROUND((#REF!-TIME(0,0,0))*1440,0)&gt;0,ROUND((#REF!-TIME(0,0,0))*1440,0)&lt;tbl_Case_mins[[#This Row],[Patient Called]],tbl_Case_mins[[#This Row],[Surgery End Date]]&gt;tbl_Case_mins[[#This Row],[Surgery Start Date]]),ROUND((#REF!-TIME(0,0,0))*1440,0)+1440,ROUND((#REF!-TIME(0,0,0))*1440,0))</f>
        <v>#REF!</v>
      </c>
      <c r="P92" s="9" t="e">
        <f>IF(AND(ROUND((#REF!-TIME(0,0,0))*1440,0)&gt;0,ROUND((#REF!-TIME(0,0,0))*1440,0)&lt;tbl_Case_mins[[#This Row],[Arrival]],tbl_Case_mins[[#This Row],[Surgery End Date]]&gt;tbl_Case_mins[[#This Row],[Surgery Start Date]]),ROUND((#REF!-TIME(0,0,0))*1440,0)+1440,ROUND((#REF!-TIME(0,0,0))*1440,0))</f>
        <v>#REF!</v>
      </c>
      <c r="Q92" s="9" t="e">
        <f>IF(AND(ROUND((#REF!-TIME(0,0,0))*1440,0)&gt;0,ROUND((#REF!-TIME(0,0,0))*1440,0)&lt;tbl_Case_mins[[#This Row],[Into Th or AR]],tbl_Case_mins[[#This Row],[Surgery End Date]]&gt;tbl_Case_mins[[#This Row],[Surgery Start Date]]),ROUND((#REF!-TIME(0,0,0))*1440,0)+1440,ROUND((#REF!-TIME(0,0,0))*1440,0))</f>
        <v>#REF!</v>
      </c>
      <c r="R92" s="9" t="e">
        <f>IF(AND(ROUND((#REF!-TIME(0,0,0))*1440,0)&gt;0,ROUND((#REF!-TIME(0,0,0))*1440,0)&lt;tbl_Case_mins[[#This Row],[AnaesthStart]],tbl_Case_mins[[#This Row],[Surgery End Date]]&gt;tbl_Case_mins[[#This Row],[Surgery Start Date]]),ROUND((#REF!-TIME(0,0,0))*1440,0)+1440,ROUND((#REF!-TIME(0,0,0))*1440,0))</f>
        <v>#REF!</v>
      </c>
      <c r="S92" s="9" t="e">
        <f>IF(AND(ROUND((#REF!-TIME(0,0,0))*1440,0),ROUND((#REF!-TIME(0,0,0))*1440,0)&lt;tbl_Case_mins[[#This Row],[Surgery Start]],tbl_Case_mins[[#This Row],[Surgery End Date]]&gt;tbl_Case_mins[[#This Row],[Surgery Start Date]]),ROUND((#REF!-TIME(0,0,0))*1440,0)+1440,ROUND((#REF!-TIME(0,0,0))*1440,0))</f>
        <v>#REF!</v>
      </c>
      <c r="T92" s="9" t="e">
        <f>IF(AND(ROUND((#REF!-TIME(0,0,0))*1440,0)&gt;0,ROUND((#REF!-TIME(0,0,0))*1440,0)&lt;tbl_Case_mins[[#This Row],[Surgery Finish]],tbl_Case_mins[[#This Row],[Surgery End Date]]&gt;tbl_Case_mins[[#This Row],[Surgery Start Date]]),ROUND((#REF!-TIME(0,0,0))*1440,0)+1440,ROUND((#REF!-TIME(0,0,0))*1440,0))</f>
        <v>#REF!</v>
      </c>
      <c r="U92" s="9" t="e">
        <f>IF(AND(ROUND((#REF!-TIME(0,0,0))*1440,0)&gt;0,ROUND((#REF!-TIME(0,0,0))*1440,0)&lt;tbl_Case_mins[[#This Row],[Anaesth End]],tbl_Case_mins[[#This Row],[Surgery End Date]]&gt;tbl_Case_mins[[#This Row],[Surgery Start Date]]),ROUND((#REF!-TIME(0,0,0))*1440,0)+1440,ROUND((#REF!-TIME(0,0,0))*1440,0))</f>
        <v>#REF!</v>
      </c>
      <c r="V92" s="9" t="e">
        <f>IF(AND(ROUND((#REF!-TIME(0,0,0))*1440,0)&gt;0,ROUND((#REF!-TIME(0,0,0))*1440,0)&lt;tbl_Case_mins[[#This Row],[Into Recov]],tbl_Case_mins[[#This Row],[Surgery End Date]]&gt;tbl_Case_mins[[#This Row],[Surgery Start Date]]),ROUND((#REF!-TIME(0,0,0))*1440,0)+1440,ROUND((#REF!-TIME(0,0,0))*1440,0))</f>
        <v>#REF!</v>
      </c>
      <c r="W92" s="9" t="e">
        <f>IF(AND(ROUND((#REF!-TIME(0,0,0))*1440,0)&gt;0,ROUND((#REF!-TIME(0,0,0))*1440,0)&lt;tbl_Case_mins[[#This Row],[Ward Called]],tbl_Case_mins[[#This Row],[Surgery End Date]]&gt;tbl_Case_mins[[#This Row],[Surgery Start Date]]),ROUND((#REF!-TIME(0,0,0))*1440,0)+1440,ROUND((#REF!-TIME(0,0,0))*1440,0))</f>
        <v>#REF!</v>
      </c>
      <c r="X92" s="4" t="e">
        <f>IF(ISBLANK(#REF!),tbl_Case_mins[[#This Row],[Surgery Start Date]],#REF!)</f>
        <v>#REF!</v>
      </c>
      <c r="Y92">
        <f>IFERROR(IF(VLOOKUP(tbl_Case_mins[[#This Row],[Theatre]],'Mng Theatres'!$C$7:$G$12,3,FALSE)="Yes","Yes","No"),0)</f>
        <v>0</v>
      </c>
      <c r="Z92" s="9" t="e" cm="1">
        <f t="array" ref="Z9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2" s="9" t="e" cm="1">
        <f t="array" ref="AA9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2" s="9" t="e">
        <f>IF(tbl_Case_mins[[#This Row],[Case Type]]="Unsch",1,0)</f>
        <v>#REF!</v>
      </c>
      <c r="AD92" s="9" t="e">
        <f>IF(tbl_Case_mins[[#This Row],[Case Type]]="Sch",1,0)</f>
        <v>#REF!</v>
      </c>
      <c r="AE9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2" s="9">
        <f>IFERROR(IF(ISBLANK(INDEX(Am_Close,MATCH(1,INDEX((tbl_Case_mins[[#This Row],[Theatre]]=Theatre_No)*(tbl_Case_mins[[#This Row],[Surgery Start Date]]=Date),0,1),0))*1440),0,INDEX(Am_Close,MATCH(1,INDEX((tbl_Case_mins[[#This Row],[Theatre]]=Theatre_No)*(tbl_Case_mins[[#This Row],[Surgery Start Date]]=Date),0,1),0))*1440),0)</f>
        <v>0</v>
      </c>
      <c r="AG92" s="9">
        <f>IFERROR(IF(ISBLANK(INDEX(PM_Open,MATCH(1,INDEX((tbl_Case_mins[[#This Row],[Theatre]]=Theatre_No)*(tbl_Case_mins[[#This Row],[Surgery Start Date]]=Date),0,1),0))*1440),0,INDEX(PM_Open,MATCH(1,INDEX((tbl_Case_mins[[#This Row],[Theatre]]=Theatre_No)*(tbl_Case_mins[[#This Row],[Surgery Start Date]]=Date),0,1),0))*1440),0)</f>
        <v>0</v>
      </c>
      <c r="AH9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2" s="9" t="e">
        <f>IF(tbl_Case_mins[[#This Row],[ThOpenAm]]=0,tbl_Case_mins[[#This Row],[ThOpenPM]],tbl_Case_mins[[#This Row],[ThOpenAm]])</f>
        <v>#REF!</v>
      </c>
      <c r="AJ92" s="9" t="e">
        <f>IF(tbl_Case_mins[[#This Row],[ThCloseAm]]&gt;0,IF(tbl_Case_mins[[#This Row],[ThOpenPM]]&gt;0,tbl_Case_mins[[#This Row],[ThClosePm]],tbl_Case_mins[[#This Row],[ThCloseAm]]),tbl_Case_mins[[#This Row],[ThClosePm]])</f>
        <v>#REF!</v>
      </c>
      <c r="AK92" s="9" t="e">
        <f>IF(tbl_Case_mins[[#This Row],[TOT]]&gt;0,1,0)</f>
        <v>#REF!</v>
      </c>
      <c r="AL9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2" s="9" t="e">
        <f>IF(AND(tbl_Case_mins[[#This Row],[Surgery Status]]&lt;&gt;2,tbl_Case_mins[[#This Row],[InCoreCase]]=0,tbl_Case_mins[[#This Row],[CancelledCase]]=0),1,0)</f>
        <v>#REF!</v>
      </c>
      <c r="AN92" s="9" t="e">
        <f>IF(tbl_Case_mins[[#This Row],[Surgery Status]]=1,1,0)</f>
        <v>#REF!</v>
      </c>
      <c r="AO9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2" s="9" t="e">
        <f>IF(AND(tbl_Case_mins[[#This Row],[NonCoreCase]]=1,tbl_Case_mins[[#This Row],[NoInCoreTime]]=0),1,0)</f>
        <v>#REF!</v>
      </c>
      <c r="AQ92" s="9" t="e">
        <f>IF(tbl_Case_mins[[#This Row],[Rank_AnaEnd]]&lt;tbl_Case_mins[[#This Row],[Rank_AnaSt]],1,0)</f>
        <v>#REF!</v>
      </c>
      <c r="AR92" s="9" t="e">
        <f>IF(AND(tbl_Case_mins[[#This Row],[InCoreCase]]=1,tbl_Case_mins[[#This Row],[Sch]]=1),1,0)</f>
        <v>#REF!</v>
      </c>
      <c r="AS92" s="9" t="e">
        <f>IF(AND(tbl_Case_mins[[#This Row],[InCoreCase]]=1,tbl_Case_mins[[#This Row],[Unsch]]=1),1,0)</f>
        <v>#REF!</v>
      </c>
      <c r="AT9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2" s="9" t="e">
        <f>IF(tbl_Case_mins[[#This Row],[Surgery Status]]=0,(tbl_Case_mins[[#This Row],[Anaesth End]]-tbl_Case_mins[[#This Row],[AnaesthStart]]),0)</f>
        <v>#REF!</v>
      </c>
      <c r="AX92" s="9" t="e">
        <f>IF(tbl_Case_mins[[#This Row],[Surgery Status]]=0,(tbl_Case_mins[[#This Row],[Surgery Finish]]-tbl_Case_mins[[#This Row],[Surgery Start]]),0)</f>
        <v>#REF!</v>
      </c>
      <c r="AY92" s="9" t="e">
        <f>tbl_Case_mins[[#This Row],[Surgery Start]]-tbl_Case_mins[[#This Row],[AnaesthStart]]</f>
        <v>#REF!</v>
      </c>
      <c r="AZ92" s="9" t="e">
        <f>tbl_Case_mins[[#This Row],[Anaesth End]]-tbl_Case_mins[[#This Row],[Surgery Finish]]</f>
        <v>#REF!</v>
      </c>
      <c r="BA9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2" s="16" cm="1">
        <f t="array" ref="BC9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2" s="16" t="e">
        <f>IF(AND(tbl_Case_mins[[#This Row],[FirstAMCase]]=1,tbl_Case_mins[[#This Row],[CancelledCase]]=0,OR(tbl_Case_mins[[#This Row],[EarlyStartAM]]&gt;0,tbl_Case_mins[[#This Row],[AnaesthStart]]=tbl_Case_mins[[#This Row],[ThOpenAm]])),1,0)</f>
        <v>#REF!</v>
      </c>
      <c r="BE92" s="16" t="e">
        <f>IF(AND(tbl_Case_mins[[#This Row],[Rank_AnaSt]]=tbl_Case_mins[[#This Row],[Min_RankAnaSt]],tbl_Case_mins[[#This Row],[Anaesth End]]&gt;=tbl_Case_mins[[#This Row],[ThOpenAm]],tbl_Case_mins[[#This Row],[PmCase]]=0),1,0)</f>
        <v>#REF!</v>
      </c>
      <c r="BF9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2" s="9" t="e" cm="1">
        <f t="array" ref="BH9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2" s="9" t="e">
        <f>IF(AND(tbl_Case_mins[[#This Row],[ThOpenPM]]&gt;0,tbl_Case_mins[[#This Row],[AnaesthStart]]&gt;tbl_Case_mins[[#This Row],[ThOpenPM]],tbl_Case_mins[[#This Row],[First PM Case]]=1),tbl_Case_mins[[#This Row],[AnaesthStart]]-tbl_Case_mins[[#This Row],[ThOpenPM]],0)</f>
        <v>#REF!</v>
      </c>
      <c r="BL9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2" s="9" t="e" cm="1">
        <f t="array" ref="BN9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2" s="9" t="e">
        <f>IF(AND(tbl_Case_mins[[#This Row],[ThClosePm]]&gt;0,tbl_Case_mins[[#This Row],[Anaesth End]]&gt;tbl_Case_mins[[#This Row],[ThClosePm]],tbl_Case_mins[[#This Row],[AnaesthStart]]&gt;tbl_Case_mins[[#This Row],[ThClosePm]]),tbl_Case_mins[[#This Row],[Into Recov]]-tbl_Case_mins[[#This Row],[AnaesthStart]],0)</f>
        <v>#REF!</v>
      </c>
      <c r="BP92" s="9" t="e">
        <f>IF(AND(tbl_Case_mins[[#This Row],[AnaesthStart]]&lt;tbl_Case_mins[[#This Row],[ThClosePm]],tbl_Case_mins[[#This Row],[Anaesth End]]&gt;tbl_Case_mins[[#This Row],[ThClosePm]]),tbl_Case_mins[[#This Row],[Anaesth End]]-tbl_Case_mins[[#This Row],[ThClosePm]],0)</f>
        <v>#REF!</v>
      </c>
      <c r="BQ92" s="9" t="e" cm="1">
        <f t="array" ref="BQ9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2" s="9" t="e" cm="1">
        <f t="array" ref="BR92">IF(tbl_Case_mins[[#This Row],[Rank_Adjust]]=SUMPRODUCT(-(tbl_Case_mins[Surgery Start Date]=tbl_Case_mins[[#This Row],[Surgery Start Date]]),-(tbl_Case_mins[Theatre]=tbl_Case_mins[[#This Row],[Theatre]])),INDEX(Poss_Time,MATCH(TEXT(tbl_Case_mins[[#This Row],[Surgery Start Date]],"ddd"),Day,0)),0)</f>
        <v>#REF!</v>
      </c>
      <c r="BS92" s="9" t="e">
        <f>tbl_Case_mins[[#This Row],[Core_Time]]*Util_Goal</f>
        <v>#REF!</v>
      </c>
      <c r="BT92" s="9" t="e" cm="1">
        <f t="array" ref="BT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2" s="9" t="e" cm="1">
        <f t="array" ref="BU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2" s="9" t="e">
        <f>IF(tbl_Case_mins[[#This Row],[Surgery End Date]]&gt;tbl_Case_mins[[#This Row],[Surgery Start Date]],tbl_Case_mins[[#This Row],[Anaesth End]]-1440,0)</f>
        <v>#REF!</v>
      </c>
      <c r="BY92" s="9" t="e">
        <f>tbl_Case_mins[[#This Row],[Total_NonCore]]-tbl_Case_mins[[#This Row],[NextDay_NonCore]]</f>
        <v>#REF!</v>
      </c>
      <c r="BZ92" s="10" t="e">
        <f>tbl_Case_mins[[#This Row],[InCoreUse]]/60</f>
        <v>#REF!</v>
      </c>
      <c r="CA92" s="10" t="e">
        <f>tbl_Case_mins[[#This Row],[Total_NonCore]]/60</f>
        <v>#REF!</v>
      </c>
      <c r="CB92" t="e" cm="1">
        <f t="array" ref="CB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2" s="9" t="e" cm="1">
        <f t="array" ref="CC9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2" s="9" t="e" cm="1">
        <f t="array" ref="CD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2" s="9" t="e" cm="1">
        <f t="array" ref="CE9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2" s="9" cm="1">
        <f t="array" ref="CF92">IFERROR(_xlfn.AGGREGATE(14,6,(tbl_Case_mins[Rank_AnaEnd])/((tbl_Case_mins[Surgery Start Date]=tbl_Case_mins[[#This Row],[Surgery Start Date]])*(tbl_Case_mins[Theatre]=tbl_Case_mins[[#This Row],[Theatre]])*(tbl_Case_mins[NoInCoreTime]=0)),1),-1)</f>
        <v>-1</v>
      </c>
      <c r="CG92" s="9" cm="1">
        <f t="array" ref="CG92">IFERROR(_xlfn.AGGREGATE(15,6,(tbl_Case_mins[Rank_AnaSt])/((tbl_Case_mins[Surgery Start Date]=tbl_Case_mins[[#This Row],[Surgery Start Date]])*(tbl_Case_mins[Theatre]=tbl_Case_mins[[#This Row],[Theatre]])*(tbl_Case_mins[NoInCoreTime]=0)),1),-1)</f>
        <v>-1</v>
      </c>
      <c r="CH9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2" t="e" cm="1">
        <f t="array" ref="CJ9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2" s="9" cm="1">
        <f t="array" ref="CO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2" s="9" cm="1">
        <f t="array" ref="CP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2" s="9" cm="1">
        <f t="array" ref="CQ92">IFERROR(IF(AND(tbl_Case_mins[[#This Row],[FirstAMCase]]=0,tbl_Case_mins[[#This Row],[Rank]]=_xlfn.AGGREGATE(14,6,(tbl_Case_mins[Rank])/((tbl_Case_mins[Surgery Start Date]=tbl_Case_mins[[#This Row],[Surgery Start Date]])*(tbl_Case_mins[Theatre]=tbl_Case_mins[[#This Row],[Theatre]])*(tbl_Case_mins[AmCase]=1)),1)),1,0),0)</f>
        <v>0</v>
      </c>
      <c r="CR92" s="9" cm="1">
        <f t="array" ref="CR9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2" s="9" t="e" cm="1">
        <f t="array" ref="CS9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2" s="9" cm="1">
        <f t="array" ref="CT92">IFERROR(IF(tbl_Case_mins[[#This Row],[Rank]]=_xlfn.AGGREGATE(15,6,(tbl_Case_mins[Rank])/((tbl_Case_mins[Surgery Start Date]=tbl_Case_mins[[#This Row],[Surgery Start Date]])*(tbl_Case_mins[Theatre]=tbl_Case_mins[[#This Row],[Theatre]])*(tbl_Case_mins[PmCase]=1)),1),1,0),0)</f>
        <v>0</v>
      </c>
      <c r="CU92">
        <f>IFERROR(#REF!,0)</f>
        <v>0</v>
      </c>
      <c r="CV92" s="9" t="e" cm="1">
        <f t="array" ref="CV9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2" s="9">
        <f>IFERROR(IF(ISBLANK(INDEX(Bay_AmClose,MATCH(1,INDEX((tbl_Case_mins[[#This Row],[Bay]]=BayNo)*(tbl_Case_mins[[#This Row],[Surgery Start Date]]=BDate),0,1),0))*1440),0,INDEX(Bay_AmClose,MATCH(1,INDEX((tbl_Case_mins[[#This Row],[Bay]]=BayNo)*(tbl_Case_mins[[#This Row],[Surgery Start Date]]=BDate),0,1),0))*1440),0)</f>
        <v>0</v>
      </c>
      <c r="CX92" s="9" cm="1">
        <f t="array" ref="CX92">IFERROR(IF(ISBLANK(INDEX(Bay_PmOpen,MATCH(1,INDEX((tbl_Case_mins[[#This Row],[Bay]]=BayNo)*(tbl_Case_mins[[#This Row],[Surgery Start Date]]=BDate),0,1),0))*1440),0,INDEX(Bay_PmOpen,MATCH(1,INDEX((tbl_Case_mins[[#This Row],[Bay]]=BayNo)*(tbl_Case_mins[[#This Row],[Surgery Start Date]]=BDate),0,1),0))*1440),0)</f>
        <v>0</v>
      </c>
      <c r="CY9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2" s="9"/>
    </row>
    <row r="93" spans="1:104" x14ac:dyDescent="0.2">
      <c r="A93">
        <v>92</v>
      </c>
      <c r="B93" t="e">
        <f>#REF!</f>
        <v>#REF!</v>
      </c>
      <c r="C93" t="e">
        <f>#REF!</f>
        <v>#REF!</v>
      </c>
      <c r="D93" t="e">
        <f>#REF!</f>
        <v>#REF!</v>
      </c>
      <c r="E93" t="e">
        <f>#REF!</f>
        <v>#REF!</v>
      </c>
      <c r="F93" t="e">
        <f>#REF!</f>
        <v>#REF!</v>
      </c>
      <c r="G93" t="e">
        <f>#REF!</f>
        <v>#REF!</v>
      </c>
      <c r="H93" t="e">
        <f>#REF!</f>
        <v>#REF!</v>
      </c>
      <c r="I93" t="e">
        <f>IF(#REF!="Case Cancelled",1,IF(#REF!="No Cases",2,0))</f>
        <v>#REF!</v>
      </c>
      <c r="J93" t="e">
        <f>#REF!</f>
        <v>#REF!</v>
      </c>
      <c r="K93" s="4" t="e">
        <f>#REF!</f>
        <v>#REF!</v>
      </c>
      <c r="L93" t="e">
        <f>"Wk "&amp;WEEKNUM(tbl_Case_mins[[#This Row],[Surgery Start Date]],21)</f>
        <v>#REF!</v>
      </c>
      <c r="M93" t="e">
        <f>TEXT(tbl_Case_mins[[#This Row],[Surgery Start Date]],"ddd")</f>
        <v>#REF!</v>
      </c>
      <c r="N93" s="9" t="e">
        <f>(#REF!-TIME(0,0,0))*1440</f>
        <v>#REF!</v>
      </c>
      <c r="O93" t="e">
        <f>IF(AND(ROUND((#REF!-TIME(0,0,0))*1440,0)&gt;0,ROUND((#REF!-TIME(0,0,0))*1440,0)&lt;tbl_Case_mins[[#This Row],[Patient Called]],tbl_Case_mins[[#This Row],[Surgery End Date]]&gt;tbl_Case_mins[[#This Row],[Surgery Start Date]]),ROUND((#REF!-TIME(0,0,0))*1440,0)+1440,ROUND((#REF!-TIME(0,0,0))*1440,0))</f>
        <v>#REF!</v>
      </c>
      <c r="P93" s="9" t="e">
        <f>IF(AND(ROUND((#REF!-TIME(0,0,0))*1440,0)&gt;0,ROUND((#REF!-TIME(0,0,0))*1440,0)&lt;tbl_Case_mins[[#This Row],[Arrival]],tbl_Case_mins[[#This Row],[Surgery End Date]]&gt;tbl_Case_mins[[#This Row],[Surgery Start Date]]),ROUND((#REF!-TIME(0,0,0))*1440,0)+1440,ROUND((#REF!-TIME(0,0,0))*1440,0))</f>
        <v>#REF!</v>
      </c>
      <c r="Q93" s="9" t="e">
        <f>IF(AND(ROUND((#REF!-TIME(0,0,0))*1440,0)&gt;0,ROUND((#REF!-TIME(0,0,0))*1440,0)&lt;tbl_Case_mins[[#This Row],[Into Th or AR]],tbl_Case_mins[[#This Row],[Surgery End Date]]&gt;tbl_Case_mins[[#This Row],[Surgery Start Date]]),ROUND((#REF!-TIME(0,0,0))*1440,0)+1440,ROUND((#REF!-TIME(0,0,0))*1440,0))</f>
        <v>#REF!</v>
      </c>
      <c r="R93" s="9" t="e">
        <f>IF(AND(ROUND((#REF!-TIME(0,0,0))*1440,0)&gt;0,ROUND((#REF!-TIME(0,0,0))*1440,0)&lt;tbl_Case_mins[[#This Row],[AnaesthStart]],tbl_Case_mins[[#This Row],[Surgery End Date]]&gt;tbl_Case_mins[[#This Row],[Surgery Start Date]]),ROUND((#REF!-TIME(0,0,0))*1440,0)+1440,ROUND((#REF!-TIME(0,0,0))*1440,0))</f>
        <v>#REF!</v>
      </c>
      <c r="S93" s="9" t="e">
        <f>IF(AND(ROUND((#REF!-TIME(0,0,0))*1440,0),ROUND((#REF!-TIME(0,0,0))*1440,0)&lt;tbl_Case_mins[[#This Row],[Surgery Start]],tbl_Case_mins[[#This Row],[Surgery End Date]]&gt;tbl_Case_mins[[#This Row],[Surgery Start Date]]),ROUND((#REF!-TIME(0,0,0))*1440,0)+1440,ROUND((#REF!-TIME(0,0,0))*1440,0))</f>
        <v>#REF!</v>
      </c>
      <c r="T93" s="9" t="e">
        <f>IF(AND(ROUND((#REF!-TIME(0,0,0))*1440,0)&gt;0,ROUND((#REF!-TIME(0,0,0))*1440,0)&lt;tbl_Case_mins[[#This Row],[Surgery Finish]],tbl_Case_mins[[#This Row],[Surgery End Date]]&gt;tbl_Case_mins[[#This Row],[Surgery Start Date]]),ROUND((#REF!-TIME(0,0,0))*1440,0)+1440,ROUND((#REF!-TIME(0,0,0))*1440,0))</f>
        <v>#REF!</v>
      </c>
      <c r="U93" s="9" t="e">
        <f>IF(AND(ROUND((#REF!-TIME(0,0,0))*1440,0)&gt;0,ROUND((#REF!-TIME(0,0,0))*1440,0)&lt;tbl_Case_mins[[#This Row],[Anaesth End]],tbl_Case_mins[[#This Row],[Surgery End Date]]&gt;tbl_Case_mins[[#This Row],[Surgery Start Date]]),ROUND((#REF!-TIME(0,0,0))*1440,0)+1440,ROUND((#REF!-TIME(0,0,0))*1440,0))</f>
        <v>#REF!</v>
      </c>
      <c r="V93" s="9" t="e">
        <f>IF(AND(ROUND((#REF!-TIME(0,0,0))*1440,0)&gt;0,ROUND((#REF!-TIME(0,0,0))*1440,0)&lt;tbl_Case_mins[[#This Row],[Into Recov]],tbl_Case_mins[[#This Row],[Surgery End Date]]&gt;tbl_Case_mins[[#This Row],[Surgery Start Date]]),ROUND((#REF!-TIME(0,0,0))*1440,0)+1440,ROUND((#REF!-TIME(0,0,0))*1440,0))</f>
        <v>#REF!</v>
      </c>
      <c r="W93" s="9" t="e">
        <f>IF(AND(ROUND((#REF!-TIME(0,0,0))*1440,0)&gt;0,ROUND((#REF!-TIME(0,0,0))*1440,0)&lt;tbl_Case_mins[[#This Row],[Ward Called]],tbl_Case_mins[[#This Row],[Surgery End Date]]&gt;tbl_Case_mins[[#This Row],[Surgery Start Date]]),ROUND((#REF!-TIME(0,0,0))*1440,0)+1440,ROUND((#REF!-TIME(0,0,0))*1440,0))</f>
        <v>#REF!</v>
      </c>
      <c r="X93" s="4" t="e">
        <f>IF(ISBLANK(#REF!),tbl_Case_mins[[#This Row],[Surgery Start Date]],#REF!)</f>
        <v>#REF!</v>
      </c>
      <c r="Y93">
        <f>IFERROR(IF(VLOOKUP(tbl_Case_mins[[#This Row],[Theatre]],'Mng Theatres'!$C$7:$G$12,3,FALSE)="Yes","Yes","No"),0)</f>
        <v>0</v>
      </c>
      <c r="Z93" s="9" t="e" cm="1">
        <f t="array" ref="Z9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3" s="9" t="e" cm="1">
        <f t="array" ref="AA9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3" s="9" t="e">
        <f>IF(tbl_Case_mins[[#This Row],[Case Type]]="Unsch",1,0)</f>
        <v>#REF!</v>
      </c>
      <c r="AD93" s="9" t="e">
        <f>IF(tbl_Case_mins[[#This Row],[Case Type]]="Sch",1,0)</f>
        <v>#REF!</v>
      </c>
      <c r="AE9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3" s="9">
        <f>IFERROR(IF(ISBLANK(INDEX(Am_Close,MATCH(1,INDEX((tbl_Case_mins[[#This Row],[Theatre]]=Theatre_No)*(tbl_Case_mins[[#This Row],[Surgery Start Date]]=Date),0,1),0))*1440),0,INDEX(Am_Close,MATCH(1,INDEX((tbl_Case_mins[[#This Row],[Theatre]]=Theatre_No)*(tbl_Case_mins[[#This Row],[Surgery Start Date]]=Date),0,1),0))*1440),0)</f>
        <v>0</v>
      </c>
      <c r="AG93" s="9">
        <f>IFERROR(IF(ISBLANK(INDEX(PM_Open,MATCH(1,INDEX((tbl_Case_mins[[#This Row],[Theatre]]=Theatre_No)*(tbl_Case_mins[[#This Row],[Surgery Start Date]]=Date),0,1),0))*1440),0,INDEX(PM_Open,MATCH(1,INDEX((tbl_Case_mins[[#This Row],[Theatre]]=Theatre_No)*(tbl_Case_mins[[#This Row],[Surgery Start Date]]=Date),0,1),0))*1440),0)</f>
        <v>0</v>
      </c>
      <c r="AH9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3" s="9" t="e">
        <f>IF(tbl_Case_mins[[#This Row],[ThOpenAm]]=0,tbl_Case_mins[[#This Row],[ThOpenPM]],tbl_Case_mins[[#This Row],[ThOpenAm]])</f>
        <v>#REF!</v>
      </c>
      <c r="AJ93" s="9" t="e">
        <f>IF(tbl_Case_mins[[#This Row],[ThCloseAm]]&gt;0,IF(tbl_Case_mins[[#This Row],[ThOpenPM]]&gt;0,tbl_Case_mins[[#This Row],[ThClosePm]],tbl_Case_mins[[#This Row],[ThCloseAm]]),tbl_Case_mins[[#This Row],[ThClosePm]])</f>
        <v>#REF!</v>
      </c>
      <c r="AK93" s="9" t="e">
        <f>IF(tbl_Case_mins[[#This Row],[TOT]]&gt;0,1,0)</f>
        <v>#REF!</v>
      </c>
      <c r="AL9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3" s="9" t="e">
        <f>IF(AND(tbl_Case_mins[[#This Row],[Surgery Status]]&lt;&gt;2,tbl_Case_mins[[#This Row],[InCoreCase]]=0,tbl_Case_mins[[#This Row],[CancelledCase]]=0),1,0)</f>
        <v>#REF!</v>
      </c>
      <c r="AN93" s="9" t="e">
        <f>IF(tbl_Case_mins[[#This Row],[Surgery Status]]=1,1,0)</f>
        <v>#REF!</v>
      </c>
      <c r="AO9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3" s="9" t="e">
        <f>IF(AND(tbl_Case_mins[[#This Row],[NonCoreCase]]=1,tbl_Case_mins[[#This Row],[NoInCoreTime]]=0),1,0)</f>
        <v>#REF!</v>
      </c>
      <c r="AQ93" s="9" t="e">
        <f>IF(tbl_Case_mins[[#This Row],[Rank_AnaEnd]]&lt;tbl_Case_mins[[#This Row],[Rank_AnaSt]],1,0)</f>
        <v>#REF!</v>
      </c>
      <c r="AR93" s="9" t="e">
        <f>IF(AND(tbl_Case_mins[[#This Row],[InCoreCase]]=1,tbl_Case_mins[[#This Row],[Sch]]=1),1,0)</f>
        <v>#REF!</v>
      </c>
      <c r="AS93" s="9" t="e">
        <f>IF(AND(tbl_Case_mins[[#This Row],[InCoreCase]]=1,tbl_Case_mins[[#This Row],[Unsch]]=1),1,0)</f>
        <v>#REF!</v>
      </c>
      <c r="AT9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3" s="9" t="e">
        <f>IF(tbl_Case_mins[[#This Row],[Surgery Status]]=0,(tbl_Case_mins[[#This Row],[Anaesth End]]-tbl_Case_mins[[#This Row],[AnaesthStart]]),0)</f>
        <v>#REF!</v>
      </c>
      <c r="AX93" s="9" t="e">
        <f>IF(tbl_Case_mins[[#This Row],[Surgery Status]]=0,(tbl_Case_mins[[#This Row],[Surgery Finish]]-tbl_Case_mins[[#This Row],[Surgery Start]]),0)</f>
        <v>#REF!</v>
      </c>
      <c r="AY93" s="9" t="e">
        <f>tbl_Case_mins[[#This Row],[Surgery Start]]-tbl_Case_mins[[#This Row],[AnaesthStart]]</f>
        <v>#REF!</v>
      </c>
      <c r="AZ93" s="9" t="e">
        <f>tbl_Case_mins[[#This Row],[Anaesth End]]-tbl_Case_mins[[#This Row],[Surgery Finish]]</f>
        <v>#REF!</v>
      </c>
      <c r="BA9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3" s="16" cm="1">
        <f t="array" ref="BC9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3" s="16" t="e">
        <f>IF(AND(tbl_Case_mins[[#This Row],[FirstAMCase]]=1,tbl_Case_mins[[#This Row],[CancelledCase]]=0,OR(tbl_Case_mins[[#This Row],[EarlyStartAM]]&gt;0,tbl_Case_mins[[#This Row],[AnaesthStart]]=tbl_Case_mins[[#This Row],[ThOpenAm]])),1,0)</f>
        <v>#REF!</v>
      </c>
      <c r="BE93" s="16" t="e">
        <f>IF(AND(tbl_Case_mins[[#This Row],[Rank_AnaSt]]=tbl_Case_mins[[#This Row],[Min_RankAnaSt]],tbl_Case_mins[[#This Row],[Anaesth End]]&gt;=tbl_Case_mins[[#This Row],[ThOpenAm]],tbl_Case_mins[[#This Row],[PmCase]]=0),1,0)</f>
        <v>#REF!</v>
      </c>
      <c r="BF9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3" s="9" t="e" cm="1">
        <f t="array" ref="BH9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3" s="9" t="e">
        <f>IF(AND(tbl_Case_mins[[#This Row],[ThOpenPM]]&gt;0,tbl_Case_mins[[#This Row],[AnaesthStart]]&gt;tbl_Case_mins[[#This Row],[ThOpenPM]],tbl_Case_mins[[#This Row],[First PM Case]]=1),tbl_Case_mins[[#This Row],[AnaesthStart]]-tbl_Case_mins[[#This Row],[ThOpenPM]],0)</f>
        <v>#REF!</v>
      </c>
      <c r="BL9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3" s="9" t="e" cm="1">
        <f t="array" ref="BN9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3" s="9" t="e">
        <f>IF(AND(tbl_Case_mins[[#This Row],[ThClosePm]]&gt;0,tbl_Case_mins[[#This Row],[Anaesth End]]&gt;tbl_Case_mins[[#This Row],[ThClosePm]],tbl_Case_mins[[#This Row],[AnaesthStart]]&gt;tbl_Case_mins[[#This Row],[ThClosePm]]),tbl_Case_mins[[#This Row],[Into Recov]]-tbl_Case_mins[[#This Row],[AnaesthStart]],0)</f>
        <v>#REF!</v>
      </c>
      <c r="BP93" s="9" t="e">
        <f>IF(AND(tbl_Case_mins[[#This Row],[AnaesthStart]]&lt;tbl_Case_mins[[#This Row],[ThClosePm]],tbl_Case_mins[[#This Row],[Anaesth End]]&gt;tbl_Case_mins[[#This Row],[ThClosePm]]),tbl_Case_mins[[#This Row],[Anaesth End]]-tbl_Case_mins[[#This Row],[ThClosePm]],0)</f>
        <v>#REF!</v>
      </c>
      <c r="BQ93" s="9" t="e" cm="1">
        <f t="array" ref="BQ9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3" s="9" t="e" cm="1">
        <f t="array" ref="BR93">IF(tbl_Case_mins[[#This Row],[Rank_Adjust]]=SUMPRODUCT(-(tbl_Case_mins[Surgery Start Date]=tbl_Case_mins[[#This Row],[Surgery Start Date]]),-(tbl_Case_mins[Theatre]=tbl_Case_mins[[#This Row],[Theatre]])),INDEX(Poss_Time,MATCH(TEXT(tbl_Case_mins[[#This Row],[Surgery Start Date]],"ddd"),Day,0)),0)</f>
        <v>#REF!</v>
      </c>
      <c r="BS93" s="9" t="e">
        <f>tbl_Case_mins[[#This Row],[Core_Time]]*Util_Goal</f>
        <v>#REF!</v>
      </c>
      <c r="BT93" s="9" t="e" cm="1">
        <f t="array" ref="BT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3" s="9" t="e" cm="1">
        <f t="array" ref="BU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3" s="9" t="e">
        <f>IF(tbl_Case_mins[[#This Row],[Surgery End Date]]&gt;tbl_Case_mins[[#This Row],[Surgery Start Date]],tbl_Case_mins[[#This Row],[Anaesth End]]-1440,0)</f>
        <v>#REF!</v>
      </c>
      <c r="BY93" s="9" t="e">
        <f>tbl_Case_mins[[#This Row],[Total_NonCore]]-tbl_Case_mins[[#This Row],[NextDay_NonCore]]</f>
        <v>#REF!</v>
      </c>
      <c r="BZ93" s="10" t="e">
        <f>tbl_Case_mins[[#This Row],[InCoreUse]]/60</f>
        <v>#REF!</v>
      </c>
      <c r="CA93" s="10" t="e">
        <f>tbl_Case_mins[[#This Row],[Total_NonCore]]/60</f>
        <v>#REF!</v>
      </c>
      <c r="CB93" t="e" cm="1">
        <f t="array" ref="CB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3" s="9" t="e" cm="1">
        <f t="array" ref="CC9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3" s="9" t="e" cm="1">
        <f t="array" ref="CD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3" s="9" t="e" cm="1">
        <f t="array" ref="CE9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3" s="9" cm="1">
        <f t="array" ref="CF93">IFERROR(_xlfn.AGGREGATE(14,6,(tbl_Case_mins[Rank_AnaEnd])/((tbl_Case_mins[Surgery Start Date]=tbl_Case_mins[[#This Row],[Surgery Start Date]])*(tbl_Case_mins[Theatre]=tbl_Case_mins[[#This Row],[Theatre]])*(tbl_Case_mins[NoInCoreTime]=0)),1),-1)</f>
        <v>-1</v>
      </c>
      <c r="CG93" s="9" cm="1">
        <f t="array" ref="CG93">IFERROR(_xlfn.AGGREGATE(15,6,(tbl_Case_mins[Rank_AnaSt])/((tbl_Case_mins[Surgery Start Date]=tbl_Case_mins[[#This Row],[Surgery Start Date]])*(tbl_Case_mins[Theatre]=tbl_Case_mins[[#This Row],[Theatre]])*(tbl_Case_mins[NoInCoreTime]=0)),1),-1)</f>
        <v>-1</v>
      </c>
      <c r="CH9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3" t="e" cm="1">
        <f t="array" ref="CJ9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3" s="9" cm="1">
        <f t="array" ref="CO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3" s="9" cm="1">
        <f t="array" ref="CP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3" s="9" cm="1">
        <f t="array" ref="CQ93">IFERROR(IF(AND(tbl_Case_mins[[#This Row],[FirstAMCase]]=0,tbl_Case_mins[[#This Row],[Rank]]=_xlfn.AGGREGATE(14,6,(tbl_Case_mins[Rank])/((tbl_Case_mins[Surgery Start Date]=tbl_Case_mins[[#This Row],[Surgery Start Date]])*(tbl_Case_mins[Theatre]=tbl_Case_mins[[#This Row],[Theatre]])*(tbl_Case_mins[AmCase]=1)),1)),1,0),0)</f>
        <v>0</v>
      </c>
      <c r="CR93" s="9" cm="1">
        <f t="array" ref="CR9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3" s="9" t="e" cm="1">
        <f t="array" ref="CS9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3" s="9" cm="1">
        <f t="array" ref="CT93">IFERROR(IF(tbl_Case_mins[[#This Row],[Rank]]=_xlfn.AGGREGATE(15,6,(tbl_Case_mins[Rank])/((tbl_Case_mins[Surgery Start Date]=tbl_Case_mins[[#This Row],[Surgery Start Date]])*(tbl_Case_mins[Theatre]=tbl_Case_mins[[#This Row],[Theatre]])*(tbl_Case_mins[PmCase]=1)),1),1,0),0)</f>
        <v>0</v>
      </c>
      <c r="CU93">
        <f>IFERROR(#REF!,0)</f>
        <v>0</v>
      </c>
      <c r="CV93" s="9" t="e" cm="1">
        <f t="array" ref="CV9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3" s="9">
        <f>IFERROR(IF(ISBLANK(INDEX(Bay_AmClose,MATCH(1,INDEX((tbl_Case_mins[[#This Row],[Bay]]=BayNo)*(tbl_Case_mins[[#This Row],[Surgery Start Date]]=BDate),0,1),0))*1440),0,INDEX(Bay_AmClose,MATCH(1,INDEX((tbl_Case_mins[[#This Row],[Bay]]=BayNo)*(tbl_Case_mins[[#This Row],[Surgery Start Date]]=BDate),0,1),0))*1440),0)</f>
        <v>0</v>
      </c>
      <c r="CX93" s="9" cm="1">
        <f t="array" ref="CX93">IFERROR(IF(ISBLANK(INDEX(Bay_PmOpen,MATCH(1,INDEX((tbl_Case_mins[[#This Row],[Bay]]=BayNo)*(tbl_Case_mins[[#This Row],[Surgery Start Date]]=BDate),0,1),0))*1440),0,INDEX(Bay_PmOpen,MATCH(1,INDEX((tbl_Case_mins[[#This Row],[Bay]]=BayNo)*(tbl_Case_mins[[#This Row],[Surgery Start Date]]=BDate),0,1),0))*1440),0)</f>
        <v>0</v>
      </c>
      <c r="CY9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3" s="9"/>
    </row>
    <row r="94" spans="1:104" x14ac:dyDescent="0.2">
      <c r="A94">
        <v>93</v>
      </c>
      <c r="B94" t="e">
        <f>#REF!</f>
        <v>#REF!</v>
      </c>
      <c r="C94" t="e">
        <f>#REF!</f>
        <v>#REF!</v>
      </c>
      <c r="D94" t="e">
        <f>#REF!</f>
        <v>#REF!</v>
      </c>
      <c r="E94" t="e">
        <f>#REF!</f>
        <v>#REF!</v>
      </c>
      <c r="F94" t="e">
        <f>#REF!</f>
        <v>#REF!</v>
      </c>
      <c r="G94" t="e">
        <f>#REF!</f>
        <v>#REF!</v>
      </c>
      <c r="H94" t="e">
        <f>#REF!</f>
        <v>#REF!</v>
      </c>
      <c r="I94" t="e">
        <f>IF(#REF!="Case Cancelled",1,IF(#REF!="No Cases",2,0))</f>
        <v>#REF!</v>
      </c>
      <c r="J94" t="e">
        <f>#REF!</f>
        <v>#REF!</v>
      </c>
      <c r="K94" s="4" t="e">
        <f>#REF!</f>
        <v>#REF!</v>
      </c>
      <c r="L94" t="e">
        <f>"Wk "&amp;WEEKNUM(tbl_Case_mins[[#This Row],[Surgery Start Date]],21)</f>
        <v>#REF!</v>
      </c>
      <c r="M94" t="e">
        <f>TEXT(tbl_Case_mins[[#This Row],[Surgery Start Date]],"ddd")</f>
        <v>#REF!</v>
      </c>
      <c r="N94" s="9" t="e">
        <f>(#REF!-TIME(0,0,0))*1440</f>
        <v>#REF!</v>
      </c>
      <c r="O94" t="e">
        <f>IF(AND(ROUND((#REF!-TIME(0,0,0))*1440,0)&gt;0,ROUND((#REF!-TIME(0,0,0))*1440,0)&lt;tbl_Case_mins[[#This Row],[Patient Called]],tbl_Case_mins[[#This Row],[Surgery End Date]]&gt;tbl_Case_mins[[#This Row],[Surgery Start Date]]),ROUND((#REF!-TIME(0,0,0))*1440,0)+1440,ROUND((#REF!-TIME(0,0,0))*1440,0))</f>
        <v>#REF!</v>
      </c>
      <c r="P94" s="9" t="e">
        <f>IF(AND(ROUND((#REF!-TIME(0,0,0))*1440,0)&gt;0,ROUND((#REF!-TIME(0,0,0))*1440,0)&lt;tbl_Case_mins[[#This Row],[Arrival]],tbl_Case_mins[[#This Row],[Surgery End Date]]&gt;tbl_Case_mins[[#This Row],[Surgery Start Date]]),ROUND((#REF!-TIME(0,0,0))*1440,0)+1440,ROUND((#REF!-TIME(0,0,0))*1440,0))</f>
        <v>#REF!</v>
      </c>
      <c r="Q94" s="9" t="e">
        <f>IF(AND(ROUND((#REF!-TIME(0,0,0))*1440,0)&gt;0,ROUND((#REF!-TIME(0,0,0))*1440,0)&lt;tbl_Case_mins[[#This Row],[Into Th or AR]],tbl_Case_mins[[#This Row],[Surgery End Date]]&gt;tbl_Case_mins[[#This Row],[Surgery Start Date]]),ROUND((#REF!-TIME(0,0,0))*1440,0)+1440,ROUND((#REF!-TIME(0,0,0))*1440,0))</f>
        <v>#REF!</v>
      </c>
      <c r="R94" s="9" t="e">
        <f>IF(AND(ROUND((#REF!-TIME(0,0,0))*1440,0)&gt;0,ROUND((#REF!-TIME(0,0,0))*1440,0)&lt;tbl_Case_mins[[#This Row],[AnaesthStart]],tbl_Case_mins[[#This Row],[Surgery End Date]]&gt;tbl_Case_mins[[#This Row],[Surgery Start Date]]),ROUND((#REF!-TIME(0,0,0))*1440,0)+1440,ROUND((#REF!-TIME(0,0,0))*1440,0))</f>
        <v>#REF!</v>
      </c>
      <c r="S94" s="9" t="e">
        <f>IF(AND(ROUND((#REF!-TIME(0,0,0))*1440,0),ROUND((#REF!-TIME(0,0,0))*1440,0)&lt;tbl_Case_mins[[#This Row],[Surgery Start]],tbl_Case_mins[[#This Row],[Surgery End Date]]&gt;tbl_Case_mins[[#This Row],[Surgery Start Date]]),ROUND((#REF!-TIME(0,0,0))*1440,0)+1440,ROUND((#REF!-TIME(0,0,0))*1440,0))</f>
        <v>#REF!</v>
      </c>
      <c r="T94" s="9" t="e">
        <f>IF(AND(ROUND((#REF!-TIME(0,0,0))*1440,0)&gt;0,ROUND((#REF!-TIME(0,0,0))*1440,0)&lt;tbl_Case_mins[[#This Row],[Surgery Finish]],tbl_Case_mins[[#This Row],[Surgery End Date]]&gt;tbl_Case_mins[[#This Row],[Surgery Start Date]]),ROUND((#REF!-TIME(0,0,0))*1440,0)+1440,ROUND((#REF!-TIME(0,0,0))*1440,0))</f>
        <v>#REF!</v>
      </c>
      <c r="U94" s="9" t="e">
        <f>IF(AND(ROUND((#REF!-TIME(0,0,0))*1440,0)&gt;0,ROUND((#REF!-TIME(0,0,0))*1440,0)&lt;tbl_Case_mins[[#This Row],[Anaesth End]],tbl_Case_mins[[#This Row],[Surgery End Date]]&gt;tbl_Case_mins[[#This Row],[Surgery Start Date]]),ROUND((#REF!-TIME(0,0,0))*1440,0)+1440,ROUND((#REF!-TIME(0,0,0))*1440,0))</f>
        <v>#REF!</v>
      </c>
      <c r="V94" s="9" t="e">
        <f>IF(AND(ROUND((#REF!-TIME(0,0,0))*1440,0)&gt;0,ROUND((#REF!-TIME(0,0,0))*1440,0)&lt;tbl_Case_mins[[#This Row],[Into Recov]],tbl_Case_mins[[#This Row],[Surgery End Date]]&gt;tbl_Case_mins[[#This Row],[Surgery Start Date]]),ROUND((#REF!-TIME(0,0,0))*1440,0)+1440,ROUND((#REF!-TIME(0,0,0))*1440,0))</f>
        <v>#REF!</v>
      </c>
      <c r="W94" s="9" t="e">
        <f>IF(AND(ROUND((#REF!-TIME(0,0,0))*1440,0)&gt;0,ROUND((#REF!-TIME(0,0,0))*1440,0)&lt;tbl_Case_mins[[#This Row],[Ward Called]],tbl_Case_mins[[#This Row],[Surgery End Date]]&gt;tbl_Case_mins[[#This Row],[Surgery Start Date]]),ROUND((#REF!-TIME(0,0,0))*1440,0)+1440,ROUND((#REF!-TIME(0,0,0))*1440,0))</f>
        <v>#REF!</v>
      </c>
      <c r="X94" s="4" t="e">
        <f>IF(ISBLANK(#REF!),tbl_Case_mins[[#This Row],[Surgery Start Date]],#REF!)</f>
        <v>#REF!</v>
      </c>
      <c r="Y94">
        <f>IFERROR(IF(VLOOKUP(tbl_Case_mins[[#This Row],[Theatre]],'Mng Theatres'!$C$7:$G$12,3,FALSE)="Yes","Yes","No"),0)</f>
        <v>0</v>
      </c>
      <c r="Z94" s="9" t="e" cm="1">
        <f t="array" ref="Z9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4" s="9" t="e" cm="1">
        <f t="array" ref="AA9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4" s="9" t="e">
        <f>IF(tbl_Case_mins[[#This Row],[Case Type]]="Unsch",1,0)</f>
        <v>#REF!</v>
      </c>
      <c r="AD94" s="9" t="e">
        <f>IF(tbl_Case_mins[[#This Row],[Case Type]]="Sch",1,0)</f>
        <v>#REF!</v>
      </c>
      <c r="AE9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4" s="9">
        <f>IFERROR(IF(ISBLANK(INDEX(Am_Close,MATCH(1,INDEX((tbl_Case_mins[[#This Row],[Theatre]]=Theatre_No)*(tbl_Case_mins[[#This Row],[Surgery Start Date]]=Date),0,1),0))*1440),0,INDEX(Am_Close,MATCH(1,INDEX((tbl_Case_mins[[#This Row],[Theatre]]=Theatre_No)*(tbl_Case_mins[[#This Row],[Surgery Start Date]]=Date),0,1),0))*1440),0)</f>
        <v>0</v>
      </c>
      <c r="AG94" s="9">
        <f>IFERROR(IF(ISBLANK(INDEX(PM_Open,MATCH(1,INDEX((tbl_Case_mins[[#This Row],[Theatre]]=Theatre_No)*(tbl_Case_mins[[#This Row],[Surgery Start Date]]=Date),0,1),0))*1440),0,INDEX(PM_Open,MATCH(1,INDEX((tbl_Case_mins[[#This Row],[Theatre]]=Theatre_No)*(tbl_Case_mins[[#This Row],[Surgery Start Date]]=Date),0,1),0))*1440),0)</f>
        <v>0</v>
      </c>
      <c r="AH9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4" s="9" t="e">
        <f>IF(tbl_Case_mins[[#This Row],[ThOpenAm]]=0,tbl_Case_mins[[#This Row],[ThOpenPM]],tbl_Case_mins[[#This Row],[ThOpenAm]])</f>
        <v>#REF!</v>
      </c>
      <c r="AJ94" s="9" t="e">
        <f>IF(tbl_Case_mins[[#This Row],[ThCloseAm]]&gt;0,IF(tbl_Case_mins[[#This Row],[ThOpenPM]]&gt;0,tbl_Case_mins[[#This Row],[ThClosePm]],tbl_Case_mins[[#This Row],[ThCloseAm]]),tbl_Case_mins[[#This Row],[ThClosePm]])</f>
        <v>#REF!</v>
      </c>
      <c r="AK94" s="9" t="e">
        <f>IF(tbl_Case_mins[[#This Row],[TOT]]&gt;0,1,0)</f>
        <v>#REF!</v>
      </c>
      <c r="AL9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4" s="9" t="e">
        <f>IF(AND(tbl_Case_mins[[#This Row],[Surgery Status]]&lt;&gt;2,tbl_Case_mins[[#This Row],[InCoreCase]]=0,tbl_Case_mins[[#This Row],[CancelledCase]]=0),1,0)</f>
        <v>#REF!</v>
      </c>
      <c r="AN94" s="9" t="e">
        <f>IF(tbl_Case_mins[[#This Row],[Surgery Status]]=1,1,0)</f>
        <v>#REF!</v>
      </c>
      <c r="AO9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4" s="9" t="e">
        <f>IF(AND(tbl_Case_mins[[#This Row],[NonCoreCase]]=1,tbl_Case_mins[[#This Row],[NoInCoreTime]]=0),1,0)</f>
        <v>#REF!</v>
      </c>
      <c r="AQ94" s="9" t="e">
        <f>IF(tbl_Case_mins[[#This Row],[Rank_AnaEnd]]&lt;tbl_Case_mins[[#This Row],[Rank_AnaSt]],1,0)</f>
        <v>#REF!</v>
      </c>
      <c r="AR94" s="9" t="e">
        <f>IF(AND(tbl_Case_mins[[#This Row],[InCoreCase]]=1,tbl_Case_mins[[#This Row],[Sch]]=1),1,0)</f>
        <v>#REF!</v>
      </c>
      <c r="AS94" s="9" t="e">
        <f>IF(AND(tbl_Case_mins[[#This Row],[InCoreCase]]=1,tbl_Case_mins[[#This Row],[Unsch]]=1),1,0)</f>
        <v>#REF!</v>
      </c>
      <c r="AT9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4" s="9" t="e">
        <f>IF(tbl_Case_mins[[#This Row],[Surgery Status]]=0,(tbl_Case_mins[[#This Row],[Anaesth End]]-tbl_Case_mins[[#This Row],[AnaesthStart]]),0)</f>
        <v>#REF!</v>
      </c>
      <c r="AX94" s="9" t="e">
        <f>IF(tbl_Case_mins[[#This Row],[Surgery Status]]=0,(tbl_Case_mins[[#This Row],[Surgery Finish]]-tbl_Case_mins[[#This Row],[Surgery Start]]),0)</f>
        <v>#REF!</v>
      </c>
      <c r="AY94" s="9" t="e">
        <f>tbl_Case_mins[[#This Row],[Surgery Start]]-tbl_Case_mins[[#This Row],[AnaesthStart]]</f>
        <v>#REF!</v>
      </c>
      <c r="AZ94" s="9" t="e">
        <f>tbl_Case_mins[[#This Row],[Anaesth End]]-tbl_Case_mins[[#This Row],[Surgery Finish]]</f>
        <v>#REF!</v>
      </c>
      <c r="BA9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4" s="16" cm="1">
        <f t="array" ref="BC9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4" s="16" t="e">
        <f>IF(AND(tbl_Case_mins[[#This Row],[FirstAMCase]]=1,tbl_Case_mins[[#This Row],[CancelledCase]]=0,OR(tbl_Case_mins[[#This Row],[EarlyStartAM]]&gt;0,tbl_Case_mins[[#This Row],[AnaesthStart]]=tbl_Case_mins[[#This Row],[ThOpenAm]])),1,0)</f>
        <v>#REF!</v>
      </c>
      <c r="BE94" s="16" t="e">
        <f>IF(AND(tbl_Case_mins[[#This Row],[Rank_AnaSt]]=tbl_Case_mins[[#This Row],[Min_RankAnaSt]],tbl_Case_mins[[#This Row],[Anaesth End]]&gt;=tbl_Case_mins[[#This Row],[ThOpenAm]],tbl_Case_mins[[#This Row],[PmCase]]=0),1,0)</f>
        <v>#REF!</v>
      </c>
      <c r="BF9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4" s="9" t="e" cm="1">
        <f t="array" ref="BH9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4" s="9" t="e">
        <f>IF(AND(tbl_Case_mins[[#This Row],[ThOpenPM]]&gt;0,tbl_Case_mins[[#This Row],[AnaesthStart]]&gt;tbl_Case_mins[[#This Row],[ThOpenPM]],tbl_Case_mins[[#This Row],[First PM Case]]=1),tbl_Case_mins[[#This Row],[AnaesthStart]]-tbl_Case_mins[[#This Row],[ThOpenPM]],0)</f>
        <v>#REF!</v>
      </c>
      <c r="BL9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4" s="9" t="e" cm="1">
        <f t="array" ref="BN9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4" s="9" t="e">
        <f>IF(AND(tbl_Case_mins[[#This Row],[ThClosePm]]&gt;0,tbl_Case_mins[[#This Row],[Anaesth End]]&gt;tbl_Case_mins[[#This Row],[ThClosePm]],tbl_Case_mins[[#This Row],[AnaesthStart]]&gt;tbl_Case_mins[[#This Row],[ThClosePm]]),tbl_Case_mins[[#This Row],[Into Recov]]-tbl_Case_mins[[#This Row],[AnaesthStart]],0)</f>
        <v>#REF!</v>
      </c>
      <c r="BP94" s="9" t="e">
        <f>IF(AND(tbl_Case_mins[[#This Row],[AnaesthStart]]&lt;tbl_Case_mins[[#This Row],[ThClosePm]],tbl_Case_mins[[#This Row],[Anaesth End]]&gt;tbl_Case_mins[[#This Row],[ThClosePm]]),tbl_Case_mins[[#This Row],[Anaesth End]]-tbl_Case_mins[[#This Row],[ThClosePm]],0)</f>
        <v>#REF!</v>
      </c>
      <c r="BQ94" s="9" t="e" cm="1">
        <f t="array" ref="BQ9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4" s="9" t="e" cm="1">
        <f t="array" ref="BR94">IF(tbl_Case_mins[[#This Row],[Rank_Adjust]]=SUMPRODUCT(-(tbl_Case_mins[Surgery Start Date]=tbl_Case_mins[[#This Row],[Surgery Start Date]]),-(tbl_Case_mins[Theatre]=tbl_Case_mins[[#This Row],[Theatre]])),INDEX(Poss_Time,MATCH(TEXT(tbl_Case_mins[[#This Row],[Surgery Start Date]],"ddd"),Day,0)),0)</f>
        <v>#REF!</v>
      </c>
      <c r="BS94" s="9" t="e">
        <f>tbl_Case_mins[[#This Row],[Core_Time]]*Util_Goal</f>
        <v>#REF!</v>
      </c>
      <c r="BT94" s="9" t="e" cm="1">
        <f t="array" ref="BT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4" s="9" t="e" cm="1">
        <f t="array" ref="BU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4" s="9" t="e">
        <f>IF(tbl_Case_mins[[#This Row],[Surgery End Date]]&gt;tbl_Case_mins[[#This Row],[Surgery Start Date]],tbl_Case_mins[[#This Row],[Anaesth End]]-1440,0)</f>
        <v>#REF!</v>
      </c>
      <c r="BY94" s="9" t="e">
        <f>tbl_Case_mins[[#This Row],[Total_NonCore]]-tbl_Case_mins[[#This Row],[NextDay_NonCore]]</f>
        <v>#REF!</v>
      </c>
      <c r="BZ94" s="10" t="e">
        <f>tbl_Case_mins[[#This Row],[InCoreUse]]/60</f>
        <v>#REF!</v>
      </c>
      <c r="CA94" s="10" t="e">
        <f>tbl_Case_mins[[#This Row],[Total_NonCore]]/60</f>
        <v>#REF!</v>
      </c>
      <c r="CB94" t="e" cm="1">
        <f t="array" ref="CB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4" s="9" t="e" cm="1">
        <f t="array" ref="CC9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4" s="9" t="e" cm="1">
        <f t="array" ref="CD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4" s="9" t="e" cm="1">
        <f t="array" ref="CE9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4" s="9" cm="1">
        <f t="array" ref="CF94">IFERROR(_xlfn.AGGREGATE(14,6,(tbl_Case_mins[Rank_AnaEnd])/((tbl_Case_mins[Surgery Start Date]=tbl_Case_mins[[#This Row],[Surgery Start Date]])*(tbl_Case_mins[Theatre]=tbl_Case_mins[[#This Row],[Theatre]])*(tbl_Case_mins[NoInCoreTime]=0)),1),-1)</f>
        <v>-1</v>
      </c>
      <c r="CG94" s="9" cm="1">
        <f t="array" ref="CG94">IFERROR(_xlfn.AGGREGATE(15,6,(tbl_Case_mins[Rank_AnaSt])/((tbl_Case_mins[Surgery Start Date]=tbl_Case_mins[[#This Row],[Surgery Start Date]])*(tbl_Case_mins[Theatre]=tbl_Case_mins[[#This Row],[Theatre]])*(tbl_Case_mins[NoInCoreTime]=0)),1),-1)</f>
        <v>-1</v>
      </c>
      <c r="CH9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4" t="e" cm="1">
        <f t="array" ref="CJ9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4" s="9" cm="1">
        <f t="array" ref="CO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4" s="9" cm="1">
        <f t="array" ref="CP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4" s="9" cm="1">
        <f t="array" ref="CQ94">IFERROR(IF(AND(tbl_Case_mins[[#This Row],[FirstAMCase]]=0,tbl_Case_mins[[#This Row],[Rank]]=_xlfn.AGGREGATE(14,6,(tbl_Case_mins[Rank])/((tbl_Case_mins[Surgery Start Date]=tbl_Case_mins[[#This Row],[Surgery Start Date]])*(tbl_Case_mins[Theatre]=tbl_Case_mins[[#This Row],[Theatre]])*(tbl_Case_mins[AmCase]=1)),1)),1,0),0)</f>
        <v>0</v>
      </c>
      <c r="CR94" s="9" cm="1">
        <f t="array" ref="CR9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4" s="9" t="e" cm="1">
        <f t="array" ref="CS9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4" s="9" cm="1">
        <f t="array" ref="CT94">IFERROR(IF(tbl_Case_mins[[#This Row],[Rank]]=_xlfn.AGGREGATE(15,6,(tbl_Case_mins[Rank])/((tbl_Case_mins[Surgery Start Date]=tbl_Case_mins[[#This Row],[Surgery Start Date]])*(tbl_Case_mins[Theatre]=tbl_Case_mins[[#This Row],[Theatre]])*(tbl_Case_mins[PmCase]=1)),1),1,0),0)</f>
        <v>0</v>
      </c>
      <c r="CU94">
        <f>IFERROR(#REF!,0)</f>
        <v>0</v>
      </c>
      <c r="CV94" s="9" t="e" cm="1">
        <f t="array" ref="CV9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4" s="9">
        <f>IFERROR(IF(ISBLANK(INDEX(Bay_AmClose,MATCH(1,INDEX((tbl_Case_mins[[#This Row],[Bay]]=BayNo)*(tbl_Case_mins[[#This Row],[Surgery Start Date]]=BDate),0,1),0))*1440),0,INDEX(Bay_AmClose,MATCH(1,INDEX((tbl_Case_mins[[#This Row],[Bay]]=BayNo)*(tbl_Case_mins[[#This Row],[Surgery Start Date]]=BDate),0,1),0))*1440),0)</f>
        <v>0</v>
      </c>
      <c r="CX94" s="9" cm="1">
        <f t="array" ref="CX94">IFERROR(IF(ISBLANK(INDEX(Bay_PmOpen,MATCH(1,INDEX((tbl_Case_mins[[#This Row],[Bay]]=BayNo)*(tbl_Case_mins[[#This Row],[Surgery Start Date]]=BDate),0,1),0))*1440),0,INDEX(Bay_PmOpen,MATCH(1,INDEX((tbl_Case_mins[[#This Row],[Bay]]=BayNo)*(tbl_Case_mins[[#This Row],[Surgery Start Date]]=BDate),0,1),0))*1440),0)</f>
        <v>0</v>
      </c>
      <c r="CY9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4" s="9"/>
    </row>
    <row r="95" spans="1:104" x14ac:dyDescent="0.2">
      <c r="A95">
        <v>94</v>
      </c>
      <c r="B95" t="e">
        <f>#REF!</f>
        <v>#REF!</v>
      </c>
      <c r="C95" t="e">
        <f>#REF!</f>
        <v>#REF!</v>
      </c>
      <c r="D95" t="e">
        <f>#REF!</f>
        <v>#REF!</v>
      </c>
      <c r="E95" t="e">
        <f>#REF!</f>
        <v>#REF!</v>
      </c>
      <c r="F95" t="e">
        <f>#REF!</f>
        <v>#REF!</v>
      </c>
      <c r="G95" t="e">
        <f>#REF!</f>
        <v>#REF!</v>
      </c>
      <c r="H95" t="e">
        <f>#REF!</f>
        <v>#REF!</v>
      </c>
      <c r="I95" t="e">
        <f>IF(#REF!="Case Cancelled",1,IF(#REF!="No Cases",2,0))</f>
        <v>#REF!</v>
      </c>
      <c r="J95" t="e">
        <f>#REF!</f>
        <v>#REF!</v>
      </c>
      <c r="K95" s="4" t="e">
        <f>#REF!</f>
        <v>#REF!</v>
      </c>
      <c r="L95" t="e">
        <f>"Wk "&amp;WEEKNUM(tbl_Case_mins[[#This Row],[Surgery Start Date]],21)</f>
        <v>#REF!</v>
      </c>
      <c r="M95" t="e">
        <f>TEXT(tbl_Case_mins[[#This Row],[Surgery Start Date]],"ddd")</f>
        <v>#REF!</v>
      </c>
      <c r="N95" s="9" t="e">
        <f>(#REF!-TIME(0,0,0))*1440</f>
        <v>#REF!</v>
      </c>
      <c r="O95" t="e">
        <f>IF(AND(ROUND((#REF!-TIME(0,0,0))*1440,0)&gt;0,ROUND((#REF!-TIME(0,0,0))*1440,0)&lt;tbl_Case_mins[[#This Row],[Patient Called]],tbl_Case_mins[[#This Row],[Surgery End Date]]&gt;tbl_Case_mins[[#This Row],[Surgery Start Date]]),ROUND((#REF!-TIME(0,0,0))*1440,0)+1440,ROUND((#REF!-TIME(0,0,0))*1440,0))</f>
        <v>#REF!</v>
      </c>
      <c r="P95" s="9" t="e">
        <f>IF(AND(ROUND((#REF!-TIME(0,0,0))*1440,0)&gt;0,ROUND((#REF!-TIME(0,0,0))*1440,0)&lt;tbl_Case_mins[[#This Row],[Arrival]],tbl_Case_mins[[#This Row],[Surgery End Date]]&gt;tbl_Case_mins[[#This Row],[Surgery Start Date]]),ROUND((#REF!-TIME(0,0,0))*1440,0)+1440,ROUND((#REF!-TIME(0,0,0))*1440,0))</f>
        <v>#REF!</v>
      </c>
      <c r="Q95" s="9" t="e">
        <f>IF(AND(ROUND((#REF!-TIME(0,0,0))*1440,0)&gt;0,ROUND((#REF!-TIME(0,0,0))*1440,0)&lt;tbl_Case_mins[[#This Row],[Into Th or AR]],tbl_Case_mins[[#This Row],[Surgery End Date]]&gt;tbl_Case_mins[[#This Row],[Surgery Start Date]]),ROUND((#REF!-TIME(0,0,0))*1440,0)+1440,ROUND((#REF!-TIME(0,0,0))*1440,0))</f>
        <v>#REF!</v>
      </c>
      <c r="R95" s="9" t="e">
        <f>IF(AND(ROUND((#REF!-TIME(0,0,0))*1440,0)&gt;0,ROUND((#REF!-TIME(0,0,0))*1440,0)&lt;tbl_Case_mins[[#This Row],[AnaesthStart]],tbl_Case_mins[[#This Row],[Surgery End Date]]&gt;tbl_Case_mins[[#This Row],[Surgery Start Date]]),ROUND((#REF!-TIME(0,0,0))*1440,0)+1440,ROUND((#REF!-TIME(0,0,0))*1440,0))</f>
        <v>#REF!</v>
      </c>
      <c r="S95" s="9" t="e">
        <f>IF(AND(ROUND((#REF!-TIME(0,0,0))*1440,0),ROUND((#REF!-TIME(0,0,0))*1440,0)&lt;tbl_Case_mins[[#This Row],[Surgery Start]],tbl_Case_mins[[#This Row],[Surgery End Date]]&gt;tbl_Case_mins[[#This Row],[Surgery Start Date]]),ROUND((#REF!-TIME(0,0,0))*1440,0)+1440,ROUND((#REF!-TIME(0,0,0))*1440,0))</f>
        <v>#REF!</v>
      </c>
      <c r="T95" s="9" t="e">
        <f>IF(AND(ROUND((#REF!-TIME(0,0,0))*1440,0)&gt;0,ROUND((#REF!-TIME(0,0,0))*1440,0)&lt;tbl_Case_mins[[#This Row],[Surgery Finish]],tbl_Case_mins[[#This Row],[Surgery End Date]]&gt;tbl_Case_mins[[#This Row],[Surgery Start Date]]),ROUND((#REF!-TIME(0,0,0))*1440,0)+1440,ROUND((#REF!-TIME(0,0,0))*1440,0))</f>
        <v>#REF!</v>
      </c>
      <c r="U95" s="9" t="e">
        <f>IF(AND(ROUND((#REF!-TIME(0,0,0))*1440,0)&gt;0,ROUND((#REF!-TIME(0,0,0))*1440,0)&lt;tbl_Case_mins[[#This Row],[Anaesth End]],tbl_Case_mins[[#This Row],[Surgery End Date]]&gt;tbl_Case_mins[[#This Row],[Surgery Start Date]]),ROUND((#REF!-TIME(0,0,0))*1440,0)+1440,ROUND((#REF!-TIME(0,0,0))*1440,0))</f>
        <v>#REF!</v>
      </c>
      <c r="V95" s="9" t="e">
        <f>IF(AND(ROUND((#REF!-TIME(0,0,0))*1440,0)&gt;0,ROUND((#REF!-TIME(0,0,0))*1440,0)&lt;tbl_Case_mins[[#This Row],[Into Recov]],tbl_Case_mins[[#This Row],[Surgery End Date]]&gt;tbl_Case_mins[[#This Row],[Surgery Start Date]]),ROUND((#REF!-TIME(0,0,0))*1440,0)+1440,ROUND((#REF!-TIME(0,0,0))*1440,0))</f>
        <v>#REF!</v>
      </c>
      <c r="W95" s="9" t="e">
        <f>IF(AND(ROUND((#REF!-TIME(0,0,0))*1440,0)&gt;0,ROUND((#REF!-TIME(0,0,0))*1440,0)&lt;tbl_Case_mins[[#This Row],[Ward Called]],tbl_Case_mins[[#This Row],[Surgery End Date]]&gt;tbl_Case_mins[[#This Row],[Surgery Start Date]]),ROUND((#REF!-TIME(0,0,0))*1440,0)+1440,ROUND((#REF!-TIME(0,0,0))*1440,0))</f>
        <v>#REF!</v>
      </c>
      <c r="X95" s="4" t="e">
        <f>IF(ISBLANK(#REF!),tbl_Case_mins[[#This Row],[Surgery Start Date]],#REF!)</f>
        <v>#REF!</v>
      </c>
      <c r="Y95">
        <f>IFERROR(IF(VLOOKUP(tbl_Case_mins[[#This Row],[Theatre]],'Mng Theatres'!$C$7:$G$12,3,FALSE)="Yes","Yes","No"),0)</f>
        <v>0</v>
      </c>
      <c r="Z95" s="9" t="e" cm="1">
        <f t="array" ref="Z9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5" s="9" t="e" cm="1">
        <f t="array" ref="AA9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5" s="9" t="e">
        <f>IF(tbl_Case_mins[[#This Row],[Case Type]]="Unsch",1,0)</f>
        <v>#REF!</v>
      </c>
      <c r="AD95" s="9" t="e">
        <f>IF(tbl_Case_mins[[#This Row],[Case Type]]="Sch",1,0)</f>
        <v>#REF!</v>
      </c>
      <c r="AE9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5" s="9">
        <f>IFERROR(IF(ISBLANK(INDEX(Am_Close,MATCH(1,INDEX((tbl_Case_mins[[#This Row],[Theatre]]=Theatre_No)*(tbl_Case_mins[[#This Row],[Surgery Start Date]]=Date),0,1),0))*1440),0,INDEX(Am_Close,MATCH(1,INDEX((tbl_Case_mins[[#This Row],[Theatre]]=Theatre_No)*(tbl_Case_mins[[#This Row],[Surgery Start Date]]=Date),0,1),0))*1440),0)</f>
        <v>0</v>
      </c>
      <c r="AG95" s="9">
        <f>IFERROR(IF(ISBLANK(INDEX(PM_Open,MATCH(1,INDEX((tbl_Case_mins[[#This Row],[Theatre]]=Theatre_No)*(tbl_Case_mins[[#This Row],[Surgery Start Date]]=Date),0,1),0))*1440),0,INDEX(PM_Open,MATCH(1,INDEX((tbl_Case_mins[[#This Row],[Theatre]]=Theatre_No)*(tbl_Case_mins[[#This Row],[Surgery Start Date]]=Date),0,1),0))*1440),0)</f>
        <v>0</v>
      </c>
      <c r="AH9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5" s="9" t="e">
        <f>IF(tbl_Case_mins[[#This Row],[ThOpenAm]]=0,tbl_Case_mins[[#This Row],[ThOpenPM]],tbl_Case_mins[[#This Row],[ThOpenAm]])</f>
        <v>#REF!</v>
      </c>
      <c r="AJ95" s="9" t="e">
        <f>IF(tbl_Case_mins[[#This Row],[ThCloseAm]]&gt;0,IF(tbl_Case_mins[[#This Row],[ThOpenPM]]&gt;0,tbl_Case_mins[[#This Row],[ThClosePm]],tbl_Case_mins[[#This Row],[ThCloseAm]]),tbl_Case_mins[[#This Row],[ThClosePm]])</f>
        <v>#REF!</v>
      </c>
      <c r="AK95" s="9" t="e">
        <f>IF(tbl_Case_mins[[#This Row],[TOT]]&gt;0,1,0)</f>
        <v>#REF!</v>
      </c>
      <c r="AL9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5" s="9" t="e">
        <f>IF(AND(tbl_Case_mins[[#This Row],[Surgery Status]]&lt;&gt;2,tbl_Case_mins[[#This Row],[InCoreCase]]=0,tbl_Case_mins[[#This Row],[CancelledCase]]=0),1,0)</f>
        <v>#REF!</v>
      </c>
      <c r="AN95" s="9" t="e">
        <f>IF(tbl_Case_mins[[#This Row],[Surgery Status]]=1,1,0)</f>
        <v>#REF!</v>
      </c>
      <c r="AO9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5" s="9" t="e">
        <f>IF(AND(tbl_Case_mins[[#This Row],[NonCoreCase]]=1,tbl_Case_mins[[#This Row],[NoInCoreTime]]=0),1,0)</f>
        <v>#REF!</v>
      </c>
      <c r="AQ95" s="9" t="e">
        <f>IF(tbl_Case_mins[[#This Row],[Rank_AnaEnd]]&lt;tbl_Case_mins[[#This Row],[Rank_AnaSt]],1,0)</f>
        <v>#REF!</v>
      </c>
      <c r="AR95" s="9" t="e">
        <f>IF(AND(tbl_Case_mins[[#This Row],[InCoreCase]]=1,tbl_Case_mins[[#This Row],[Sch]]=1),1,0)</f>
        <v>#REF!</v>
      </c>
      <c r="AS95" s="9" t="e">
        <f>IF(AND(tbl_Case_mins[[#This Row],[InCoreCase]]=1,tbl_Case_mins[[#This Row],[Unsch]]=1),1,0)</f>
        <v>#REF!</v>
      </c>
      <c r="AT9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5" s="9" t="e">
        <f>IF(tbl_Case_mins[[#This Row],[Surgery Status]]=0,(tbl_Case_mins[[#This Row],[Anaesth End]]-tbl_Case_mins[[#This Row],[AnaesthStart]]),0)</f>
        <v>#REF!</v>
      </c>
      <c r="AX95" s="9" t="e">
        <f>IF(tbl_Case_mins[[#This Row],[Surgery Status]]=0,(tbl_Case_mins[[#This Row],[Surgery Finish]]-tbl_Case_mins[[#This Row],[Surgery Start]]),0)</f>
        <v>#REF!</v>
      </c>
      <c r="AY95" s="9" t="e">
        <f>tbl_Case_mins[[#This Row],[Surgery Start]]-tbl_Case_mins[[#This Row],[AnaesthStart]]</f>
        <v>#REF!</v>
      </c>
      <c r="AZ95" s="9" t="e">
        <f>tbl_Case_mins[[#This Row],[Anaesth End]]-tbl_Case_mins[[#This Row],[Surgery Finish]]</f>
        <v>#REF!</v>
      </c>
      <c r="BA9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5" s="16" cm="1">
        <f t="array" ref="BC9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5" s="16" t="e">
        <f>IF(AND(tbl_Case_mins[[#This Row],[FirstAMCase]]=1,tbl_Case_mins[[#This Row],[CancelledCase]]=0,OR(tbl_Case_mins[[#This Row],[EarlyStartAM]]&gt;0,tbl_Case_mins[[#This Row],[AnaesthStart]]=tbl_Case_mins[[#This Row],[ThOpenAm]])),1,0)</f>
        <v>#REF!</v>
      </c>
      <c r="BE95" s="16" t="e">
        <f>IF(AND(tbl_Case_mins[[#This Row],[Rank_AnaSt]]=tbl_Case_mins[[#This Row],[Min_RankAnaSt]],tbl_Case_mins[[#This Row],[Anaesth End]]&gt;=tbl_Case_mins[[#This Row],[ThOpenAm]],tbl_Case_mins[[#This Row],[PmCase]]=0),1,0)</f>
        <v>#REF!</v>
      </c>
      <c r="BF9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5" s="9" t="e" cm="1">
        <f t="array" ref="BH9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5" s="9" t="e">
        <f>IF(AND(tbl_Case_mins[[#This Row],[ThOpenPM]]&gt;0,tbl_Case_mins[[#This Row],[AnaesthStart]]&gt;tbl_Case_mins[[#This Row],[ThOpenPM]],tbl_Case_mins[[#This Row],[First PM Case]]=1),tbl_Case_mins[[#This Row],[AnaesthStart]]-tbl_Case_mins[[#This Row],[ThOpenPM]],0)</f>
        <v>#REF!</v>
      </c>
      <c r="BL9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5" s="9" t="e" cm="1">
        <f t="array" ref="BN9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5" s="9" t="e">
        <f>IF(AND(tbl_Case_mins[[#This Row],[ThClosePm]]&gt;0,tbl_Case_mins[[#This Row],[Anaesth End]]&gt;tbl_Case_mins[[#This Row],[ThClosePm]],tbl_Case_mins[[#This Row],[AnaesthStart]]&gt;tbl_Case_mins[[#This Row],[ThClosePm]]),tbl_Case_mins[[#This Row],[Into Recov]]-tbl_Case_mins[[#This Row],[AnaesthStart]],0)</f>
        <v>#REF!</v>
      </c>
      <c r="BP95" s="9" t="e">
        <f>IF(AND(tbl_Case_mins[[#This Row],[AnaesthStart]]&lt;tbl_Case_mins[[#This Row],[ThClosePm]],tbl_Case_mins[[#This Row],[Anaesth End]]&gt;tbl_Case_mins[[#This Row],[ThClosePm]]),tbl_Case_mins[[#This Row],[Anaesth End]]-tbl_Case_mins[[#This Row],[ThClosePm]],0)</f>
        <v>#REF!</v>
      </c>
      <c r="BQ95" s="9" t="e" cm="1">
        <f t="array" ref="BQ9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5" s="9" t="e" cm="1">
        <f t="array" ref="BR95">IF(tbl_Case_mins[[#This Row],[Rank_Adjust]]=SUMPRODUCT(-(tbl_Case_mins[Surgery Start Date]=tbl_Case_mins[[#This Row],[Surgery Start Date]]),-(tbl_Case_mins[Theatre]=tbl_Case_mins[[#This Row],[Theatre]])),INDEX(Poss_Time,MATCH(TEXT(tbl_Case_mins[[#This Row],[Surgery Start Date]],"ddd"),Day,0)),0)</f>
        <v>#REF!</v>
      </c>
      <c r="BS95" s="9" t="e">
        <f>tbl_Case_mins[[#This Row],[Core_Time]]*Util_Goal</f>
        <v>#REF!</v>
      </c>
      <c r="BT95" s="9" t="e" cm="1">
        <f t="array" ref="BT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5" s="9" t="e" cm="1">
        <f t="array" ref="BU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5" s="9" t="e">
        <f>IF(tbl_Case_mins[[#This Row],[Surgery End Date]]&gt;tbl_Case_mins[[#This Row],[Surgery Start Date]],tbl_Case_mins[[#This Row],[Anaesth End]]-1440,0)</f>
        <v>#REF!</v>
      </c>
      <c r="BY95" s="9" t="e">
        <f>tbl_Case_mins[[#This Row],[Total_NonCore]]-tbl_Case_mins[[#This Row],[NextDay_NonCore]]</f>
        <v>#REF!</v>
      </c>
      <c r="BZ95" s="10" t="e">
        <f>tbl_Case_mins[[#This Row],[InCoreUse]]/60</f>
        <v>#REF!</v>
      </c>
      <c r="CA95" s="10" t="e">
        <f>tbl_Case_mins[[#This Row],[Total_NonCore]]/60</f>
        <v>#REF!</v>
      </c>
      <c r="CB95" t="e" cm="1">
        <f t="array" ref="CB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5" s="9" t="e" cm="1">
        <f t="array" ref="CC9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5" s="9" t="e" cm="1">
        <f t="array" ref="CD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5" s="9" t="e" cm="1">
        <f t="array" ref="CE9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5" s="9" cm="1">
        <f t="array" ref="CF95">IFERROR(_xlfn.AGGREGATE(14,6,(tbl_Case_mins[Rank_AnaEnd])/((tbl_Case_mins[Surgery Start Date]=tbl_Case_mins[[#This Row],[Surgery Start Date]])*(tbl_Case_mins[Theatre]=tbl_Case_mins[[#This Row],[Theatre]])*(tbl_Case_mins[NoInCoreTime]=0)),1),-1)</f>
        <v>-1</v>
      </c>
      <c r="CG95" s="9" cm="1">
        <f t="array" ref="CG95">IFERROR(_xlfn.AGGREGATE(15,6,(tbl_Case_mins[Rank_AnaSt])/((tbl_Case_mins[Surgery Start Date]=tbl_Case_mins[[#This Row],[Surgery Start Date]])*(tbl_Case_mins[Theatre]=tbl_Case_mins[[#This Row],[Theatre]])*(tbl_Case_mins[NoInCoreTime]=0)),1),-1)</f>
        <v>-1</v>
      </c>
      <c r="CH9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5" t="e" cm="1">
        <f t="array" ref="CJ9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5" s="9" cm="1">
        <f t="array" ref="CO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5" s="9" cm="1">
        <f t="array" ref="CP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5" s="9" cm="1">
        <f t="array" ref="CQ95">IFERROR(IF(AND(tbl_Case_mins[[#This Row],[FirstAMCase]]=0,tbl_Case_mins[[#This Row],[Rank]]=_xlfn.AGGREGATE(14,6,(tbl_Case_mins[Rank])/((tbl_Case_mins[Surgery Start Date]=tbl_Case_mins[[#This Row],[Surgery Start Date]])*(tbl_Case_mins[Theatre]=tbl_Case_mins[[#This Row],[Theatre]])*(tbl_Case_mins[AmCase]=1)),1)),1,0),0)</f>
        <v>0</v>
      </c>
      <c r="CR95" s="9" cm="1">
        <f t="array" ref="CR9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5" s="9" t="e" cm="1">
        <f t="array" ref="CS9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5" s="9" cm="1">
        <f t="array" ref="CT95">IFERROR(IF(tbl_Case_mins[[#This Row],[Rank]]=_xlfn.AGGREGATE(15,6,(tbl_Case_mins[Rank])/((tbl_Case_mins[Surgery Start Date]=tbl_Case_mins[[#This Row],[Surgery Start Date]])*(tbl_Case_mins[Theatre]=tbl_Case_mins[[#This Row],[Theatre]])*(tbl_Case_mins[PmCase]=1)),1),1,0),0)</f>
        <v>0</v>
      </c>
      <c r="CU95">
        <f>IFERROR(#REF!,0)</f>
        <v>0</v>
      </c>
      <c r="CV95" s="9" t="e" cm="1">
        <f t="array" ref="CV9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5" s="9">
        <f>IFERROR(IF(ISBLANK(INDEX(Bay_AmClose,MATCH(1,INDEX((tbl_Case_mins[[#This Row],[Bay]]=BayNo)*(tbl_Case_mins[[#This Row],[Surgery Start Date]]=BDate),0,1),0))*1440),0,INDEX(Bay_AmClose,MATCH(1,INDEX((tbl_Case_mins[[#This Row],[Bay]]=BayNo)*(tbl_Case_mins[[#This Row],[Surgery Start Date]]=BDate),0,1),0))*1440),0)</f>
        <v>0</v>
      </c>
      <c r="CX95" s="9" cm="1">
        <f t="array" ref="CX95">IFERROR(IF(ISBLANK(INDEX(Bay_PmOpen,MATCH(1,INDEX((tbl_Case_mins[[#This Row],[Bay]]=BayNo)*(tbl_Case_mins[[#This Row],[Surgery Start Date]]=BDate),0,1),0))*1440),0,INDEX(Bay_PmOpen,MATCH(1,INDEX((tbl_Case_mins[[#This Row],[Bay]]=BayNo)*(tbl_Case_mins[[#This Row],[Surgery Start Date]]=BDate),0,1),0))*1440),0)</f>
        <v>0</v>
      </c>
      <c r="CY9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5" s="9"/>
    </row>
    <row r="96" spans="1:104" x14ac:dyDescent="0.2">
      <c r="A96">
        <v>95</v>
      </c>
      <c r="B96" t="e">
        <f>#REF!</f>
        <v>#REF!</v>
      </c>
      <c r="C96" t="e">
        <f>#REF!</f>
        <v>#REF!</v>
      </c>
      <c r="D96" t="e">
        <f>#REF!</f>
        <v>#REF!</v>
      </c>
      <c r="E96" t="e">
        <f>#REF!</f>
        <v>#REF!</v>
      </c>
      <c r="F96" t="e">
        <f>#REF!</f>
        <v>#REF!</v>
      </c>
      <c r="G96" t="e">
        <f>#REF!</f>
        <v>#REF!</v>
      </c>
      <c r="H96" t="e">
        <f>#REF!</f>
        <v>#REF!</v>
      </c>
      <c r="I96" t="e">
        <f>IF(#REF!="Case Cancelled",1,IF(#REF!="No Cases",2,0))</f>
        <v>#REF!</v>
      </c>
      <c r="J96" t="e">
        <f>#REF!</f>
        <v>#REF!</v>
      </c>
      <c r="K96" s="4" t="e">
        <f>#REF!</f>
        <v>#REF!</v>
      </c>
      <c r="L96" t="e">
        <f>"Wk "&amp;WEEKNUM(tbl_Case_mins[[#This Row],[Surgery Start Date]],21)</f>
        <v>#REF!</v>
      </c>
      <c r="M96" t="e">
        <f>TEXT(tbl_Case_mins[[#This Row],[Surgery Start Date]],"ddd")</f>
        <v>#REF!</v>
      </c>
      <c r="N96" s="9" t="e">
        <f>(#REF!-TIME(0,0,0))*1440</f>
        <v>#REF!</v>
      </c>
      <c r="O96" t="e">
        <f>IF(AND(ROUND((#REF!-TIME(0,0,0))*1440,0)&gt;0,ROUND((#REF!-TIME(0,0,0))*1440,0)&lt;tbl_Case_mins[[#This Row],[Patient Called]],tbl_Case_mins[[#This Row],[Surgery End Date]]&gt;tbl_Case_mins[[#This Row],[Surgery Start Date]]),ROUND((#REF!-TIME(0,0,0))*1440,0)+1440,ROUND((#REF!-TIME(0,0,0))*1440,0))</f>
        <v>#REF!</v>
      </c>
      <c r="P96" s="9" t="e">
        <f>IF(AND(ROUND((#REF!-TIME(0,0,0))*1440,0)&gt;0,ROUND((#REF!-TIME(0,0,0))*1440,0)&lt;tbl_Case_mins[[#This Row],[Arrival]],tbl_Case_mins[[#This Row],[Surgery End Date]]&gt;tbl_Case_mins[[#This Row],[Surgery Start Date]]),ROUND((#REF!-TIME(0,0,0))*1440,0)+1440,ROUND((#REF!-TIME(0,0,0))*1440,0))</f>
        <v>#REF!</v>
      </c>
      <c r="Q96" s="9" t="e">
        <f>IF(AND(ROUND((#REF!-TIME(0,0,0))*1440,0)&gt;0,ROUND((#REF!-TIME(0,0,0))*1440,0)&lt;tbl_Case_mins[[#This Row],[Into Th or AR]],tbl_Case_mins[[#This Row],[Surgery End Date]]&gt;tbl_Case_mins[[#This Row],[Surgery Start Date]]),ROUND((#REF!-TIME(0,0,0))*1440,0)+1440,ROUND((#REF!-TIME(0,0,0))*1440,0))</f>
        <v>#REF!</v>
      </c>
      <c r="R96" s="9" t="e">
        <f>IF(AND(ROUND((#REF!-TIME(0,0,0))*1440,0)&gt;0,ROUND((#REF!-TIME(0,0,0))*1440,0)&lt;tbl_Case_mins[[#This Row],[AnaesthStart]],tbl_Case_mins[[#This Row],[Surgery End Date]]&gt;tbl_Case_mins[[#This Row],[Surgery Start Date]]),ROUND((#REF!-TIME(0,0,0))*1440,0)+1440,ROUND((#REF!-TIME(0,0,0))*1440,0))</f>
        <v>#REF!</v>
      </c>
      <c r="S96" s="9" t="e">
        <f>IF(AND(ROUND((#REF!-TIME(0,0,0))*1440,0),ROUND((#REF!-TIME(0,0,0))*1440,0)&lt;tbl_Case_mins[[#This Row],[Surgery Start]],tbl_Case_mins[[#This Row],[Surgery End Date]]&gt;tbl_Case_mins[[#This Row],[Surgery Start Date]]),ROUND((#REF!-TIME(0,0,0))*1440,0)+1440,ROUND((#REF!-TIME(0,0,0))*1440,0))</f>
        <v>#REF!</v>
      </c>
      <c r="T96" s="9" t="e">
        <f>IF(AND(ROUND((#REF!-TIME(0,0,0))*1440,0)&gt;0,ROUND((#REF!-TIME(0,0,0))*1440,0)&lt;tbl_Case_mins[[#This Row],[Surgery Finish]],tbl_Case_mins[[#This Row],[Surgery End Date]]&gt;tbl_Case_mins[[#This Row],[Surgery Start Date]]),ROUND((#REF!-TIME(0,0,0))*1440,0)+1440,ROUND((#REF!-TIME(0,0,0))*1440,0))</f>
        <v>#REF!</v>
      </c>
      <c r="U96" s="9" t="e">
        <f>IF(AND(ROUND((#REF!-TIME(0,0,0))*1440,0)&gt;0,ROUND((#REF!-TIME(0,0,0))*1440,0)&lt;tbl_Case_mins[[#This Row],[Anaesth End]],tbl_Case_mins[[#This Row],[Surgery End Date]]&gt;tbl_Case_mins[[#This Row],[Surgery Start Date]]),ROUND((#REF!-TIME(0,0,0))*1440,0)+1440,ROUND((#REF!-TIME(0,0,0))*1440,0))</f>
        <v>#REF!</v>
      </c>
      <c r="V96" s="9" t="e">
        <f>IF(AND(ROUND((#REF!-TIME(0,0,0))*1440,0)&gt;0,ROUND((#REF!-TIME(0,0,0))*1440,0)&lt;tbl_Case_mins[[#This Row],[Into Recov]],tbl_Case_mins[[#This Row],[Surgery End Date]]&gt;tbl_Case_mins[[#This Row],[Surgery Start Date]]),ROUND((#REF!-TIME(0,0,0))*1440,0)+1440,ROUND((#REF!-TIME(0,0,0))*1440,0))</f>
        <v>#REF!</v>
      </c>
      <c r="W96" s="9" t="e">
        <f>IF(AND(ROUND((#REF!-TIME(0,0,0))*1440,0)&gt;0,ROUND((#REF!-TIME(0,0,0))*1440,0)&lt;tbl_Case_mins[[#This Row],[Ward Called]],tbl_Case_mins[[#This Row],[Surgery End Date]]&gt;tbl_Case_mins[[#This Row],[Surgery Start Date]]),ROUND((#REF!-TIME(0,0,0))*1440,0)+1440,ROUND((#REF!-TIME(0,0,0))*1440,0))</f>
        <v>#REF!</v>
      </c>
      <c r="X96" s="4" t="e">
        <f>IF(ISBLANK(#REF!),tbl_Case_mins[[#This Row],[Surgery Start Date]],#REF!)</f>
        <v>#REF!</v>
      </c>
      <c r="Y96">
        <f>IFERROR(IF(VLOOKUP(tbl_Case_mins[[#This Row],[Theatre]],'Mng Theatres'!$C$7:$G$12,3,FALSE)="Yes","Yes","No"),0)</f>
        <v>0</v>
      </c>
      <c r="Z96" s="9" t="e" cm="1">
        <f t="array" ref="Z9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6" s="9" t="e" cm="1">
        <f t="array" ref="AA9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6" s="9" t="e">
        <f>IF(tbl_Case_mins[[#This Row],[Case Type]]="Unsch",1,0)</f>
        <v>#REF!</v>
      </c>
      <c r="AD96" s="9" t="e">
        <f>IF(tbl_Case_mins[[#This Row],[Case Type]]="Sch",1,0)</f>
        <v>#REF!</v>
      </c>
      <c r="AE9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6" s="9">
        <f>IFERROR(IF(ISBLANK(INDEX(Am_Close,MATCH(1,INDEX((tbl_Case_mins[[#This Row],[Theatre]]=Theatre_No)*(tbl_Case_mins[[#This Row],[Surgery Start Date]]=Date),0,1),0))*1440),0,INDEX(Am_Close,MATCH(1,INDEX((tbl_Case_mins[[#This Row],[Theatre]]=Theatre_No)*(tbl_Case_mins[[#This Row],[Surgery Start Date]]=Date),0,1),0))*1440),0)</f>
        <v>0</v>
      </c>
      <c r="AG96" s="9">
        <f>IFERROR(IF(ISBLANK(INDEX(PM_Open,MATCH(1,INDEX((tbl_Case_mins[[#This Row],[Theatre]]=Theatre_No)*(tbl_Case_mins[[#This Row],[Surgery Start Date]]=Date),0,1),0))*1440),0,INDEX(PM_Open,MATCH(1,INDEX((tbl_Case_mins[[#This Row],[Theatre]]=Theatre_No)*(tbl_Case_mins[[#This Row],[Surgery Start Date]]=Date),0,1),0))*1440),0)</f>
        <v>0</v>
      </c>
      <c r="AH9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6" s="9" t="e">
        <f>IF(tbl_Case_mins[[#This Row],[ThOpenAm]]=0,tbl_Case_mins[[#This Row],[ThOpenPM]],tbl_Case_mins[[#This Row],[ThOpenAm]])</f>
        <v>#REF!</v>
      </c>
      <c r="AJ96" s="9" t="e">
        <f>IF(tbl_Case_mins[[#This Row],[ThCloseAm]]&gt;0,IF(tbl_Case_mins[[#This Row],[ThOpenPM]]&gt;0,tbl_Case_mins[[#This Row],[ThClosePm]],tbl_Case_mins[[#This Row],[ThCloseAm]]),tbl_Case_mins[[#This Row],[ThClosePm]])</f>
        <v>#REF!</v>
      </c>
      <c r="AK96" s="9" t="e">
        <f>IF(tbl_Case_mins[[#This Row],[TOT]]&gt;0,1,0)</f>
        <v>#REF!</v>
      </c>
      <c r="AL9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6" s="9" t="e">
        <f>IF(AND(tbl_Case_mins[[#This Row],[Surgery Status]]&lt;&gt;2,tbl_Case_mins[[#This Row],[InCoreCase]]=0,tbl_Case_mins[[#This Row],[CancelledCase]]=0),1,0)</f>
        <v>#REF!</v>
      </c>
      <c r="AN96" s="9" t="e">
        <f>IF(tbl_Case_mins[[#This Row],[Surgery Status]]=1,1,0)</f>
        <v>#REF!</v>
      </c>
      <c r="AO9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6" s="9" t="e">
        <f>IF(AND(tbl_Case_mins[[#This Row],[NonCoreCase]]=1,tbl_Case_mins[[#This Row],[NoInCoreTime]]=0),1,0)</f>
        <v>#REF!</v>
      </c>
      <c r="AQ96" s="9" t="e">
        <f>IF(tbl_Case_mins[[#This Row],[Rank_AnaEnd]]&lt;tbl_Case_mins[[#This Row],[Rank_AnaSt]],1,0)</f>
        <v>#REF!</v>
      </c>
      <c r="AR96" s="9" t="e">
        <f>IF(AND(tbl_Case_mins[[#This Row],[InCoreCase]]=1,tbl_Case_mins[[#This Row],[Sch]]=1),1,0)</f>
        <v>#REF!</v>
      </c>
      <c r="AS96" s="9" t="e">
        <f>IF(AND(tbl_Case_mins[[#This Row],[InCoreCase]]=1,tbl_Case_mins[[#This Row],[Unsch]]=1),1,0)</f>
        <v>#REF!</v>
      </c>
      <c r="AT9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6" s="9" t="e">
        <f>IF(tbl_Case_mins[[#This Row],[Surgery Status]]=0,(tbl_Case_mins[[#This Row],[Anaesth End]]-tbl_Case_mins[[#This Row],[AnaesthStart]]),0)</f>
        <v>#REF!</v>
      </c>
      <c r="AX96" s="9" t="e">
        <f>IF(tbl_Case_mins[[#This Row],[Surgery Status]]=0,(tbl_Case_mins[[#This Row],[Surgery Finish]]-tbl_Case_mins[[#This Row],[Surgery Start]]),0)</f>
        <v>#REF!</v>
      </c>
      <c r="AY96" s="9" t="e">
        <f>tbl_Case_mins[[#This Row],[Surgery Start]]-tbl_Case_mins[[#This Row],[AnaesthStart]]</f>
        <v>#REF!</v>
      </c>
      <c r="AZ96" s="9" t="e">
        <f>tbl_Case_mins[[#This Row],[Anaesth End]]-tbl_Case_mins[[#This Row],[Surgery Finish]]</f>
        <v>#REF!</v>
      </c>
      <c r="BA9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6" s="16" cm="1">
        <f t="array" ref="BC9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6" s="16" t="e">
        <f>IF(AND(tbl_Case_mins[[#This Row],[FirstAMCase]]=1,tbl_Case_mins[[#This Row],[CancelledCase]]=0,OR(tbl_Case_mins[[#This Row],[EarlyStartAM]]&gt;0,tbl_Case_mins[[#This Row],[AnaesthStart]]=tbl_Case_mins[[#This Row],[ThOpenAm]])),1,0)</f>
        <v>#REF!</v>
      </c>
      <c r="BE96" s="16" t="e">
        <f>IF(AND(tbl_Case_mins[[#This Row],[Rank_AnaSt]]=tbl_Case_mins[[#This Row],[Min_RankAnaSt]],tbl_Case_mins[[#This Row],[Anaesth End]]&gt;=tbl_Case_mins[[#This Row],[ThOpenAm]],tbl_Case_mins[[#This Row],[PmCase]]=0),1,0)</f>
        <v>#REF!</v>
      </c>
      <c r="BF9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6" s="9" t="e" cm="1">
        <f t="array" ref="BH9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6" s="9" t="e">
        <f>IF(AND(tbl_Case_mins[[#This Row],[ThOpenPM]]&gt;0,tbl_Case_mins[[#This Row],[AnaesthStart]]&gt;tbl_Case_mins[[#This Row],[ThOpenPM]],tbl_Case_mins[[#This Row],[First PM Case]]=1),tbl_Case_mins[[#This Row],[AnaesthStart]]-tbl_Case_mins[[#This Row],[ThOpenPM]],0)</f>
        <v>#REF!</v>
      </c>
      <c r="BL9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6" s="9" t="e" cm="1">
        <f t="array" ref="BN9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6" s="9" t="e">
        <f>IF(AND(tbl_Case_mins[[#This Row],[ThClosePm]]&gt;0,tbl_Case_mins[[#This Row],[Anaesth End]]&gt;tbl_Case_mins[[#This Row],[ThClosePm]],tbl_Case_mins[[#This Row],[AnaesthStart]]&gt;tbl_Case_mins[[#This Row],[ThClosePm]]),tbl_Case_mins[[#This Row],[Into Recov]]-tbl_Case_mins[[#This Row],[AnaesthStart]],0)</f>
        <v>#REF!</v>
      </c>
      <c r="BP96" s="9" t="e">
        <f>IF(AND(tbl_Case_mins[[#This Row],[AnaesthStart]]&lt;tbl_Case_mins[[#This Row],[ThClosePm]],tbl_Case_mins[[#This Row],[Anaesth End]]&gt;tbl_Case_mins[[#This Row],[ThClosePm]]),tbl_Case_mins[[#This Row],[Anaesth End]]-tbl_Case_mins[[#This Row],[ThClosePm]],0)</f>
        <v>#REF!</v>
      </c>
      <c r="BQ96" s="9" t="e" cm="1">
        <f t="array" ref="BQ9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6" s="9" t="e" cm="1">
        <f t="array" ref="BR96">IF(tbl_Case_mins[[#This Row],[Rank_Adjust]]=SUMPRODUCT(-(tbl_Case_mins[Surgery Start Date]=tbl_Case_mins[[#This Row],[Surgery Start Date]]),-(tbl_Case_mins[Theatre]=tbl_Case_mins[[#This Row],[Theatre]])),INDEX(Poss_Time,MATCH(TEXT(tbl_Case_mins[[#This Row],[Surgery Start Date]],"ddd"),Day,0)),0)</f>
        <v>#REF!</v>
      </c>
      <c r="BS96" s="9" t="e">
        <f>tbl_Case_mins[[#This Row],[Core_Time]]*Util_Goal</f>
        <v>#REF!</v>
      </c>
      <c r="BT96" s="9" t="e" cm="1">
        <f t="array" ref="BT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6" s="9" t="e" cm="1">
        <f t="array" ref="BU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6" s="9" t="e">
        <f>IF(tbl_Case_mins[[#This Row],[Surgery End Date]]&gt;tbl_Case_mins[[#This Row],[Surgery Start Date]],tbl_Case_mins[[#This Row],[Anaesth End]]-1440,0)</f>
        <v>#REF!</v>
      </c>
      <c r="BY96" s="9" t="e">
        <f>tbl_Case_mins[[#This Row],[Total_NonCore]]-tbl_Case_mins[[#This Row],[NextDay_NonCore]]</f>
        <v>#REF!</v>
      </c>
      <c r="BZ96" s="10" t="e">
        <f>tbl_Case_mins[[#This Row],[InCoreUse]]/60</f>
        <v>#REF!</v>
      </c>
      <c r="CA96" s="10" t="e">
        <f>tbl_Case_mins[[#This Row],[Total_NonCore]]/60</f>
        <v>#REF!</v>
      </c>
      <c r="CB96" t="e" cm="1">
        <f t="array" ref="CB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6" s="9" t="e" cm="1">
        <f t="array" ref="CC9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6" s="9" t="e" cm="1">
        <f t="array" ref="CD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6" s="9" t="e" cm="1">
        <f t="array" ref="CE9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6" s="9" cm="1">
        <f t="array" ref="CF96">IFERROR(_xlfn.AGGREGATE(14,6,(tbl_Case_mins[Rank_AnaEnd])/((tbl_Case_mins[Surgery Start Date]=tbl_Case_mins[[#This Row],[Surgery Start Date]])*(tbl_Case_mins[Theatre]=tbl_Case_mins[[#This Row],[Theatre]])*(tbl_Case_mins[NoInCoreTime]=0)),1),-1)</f>
        <v>-1</v>
      </c>
      <c r="CG96" s="9" cm="1">
        <f t="array" ref="CG96">IFERROR(_xlfn.AGGREGATE(15,6,(tbl_Case_mins[Rank_AnaSt])/((tbl_Case_mins[Surgery Start Date]=tbl_Case_mins[[#This Row],[Surgery Start Date]])*(tbl_Case_mins[Theatre]=tbl_Case_mins[[#This Row],[Theatre]])*(tbl_Case_mins[NoInCoreTime]=0)),1),-1)</f>
        <v>-1</v>
      </c>
      <c r="CH9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6" t="e" cm="1">
        <f t="array" ref="CJ9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6" s="9" cm="1">
        <f t="array" ref="CO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6" s="9" cm="1">
        <f t="array" ref="CP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6" s="9" cm="1">
        <f t="array" ref="CQ96">IFERROR(IF(AND(tbl_Case_mins[[#This Row],[FirstAMCase]]=0,tbl_Case_mins[[#This Row],[Rank]]=_xlfn.AGGREGATE(14,6,(tbl_Case_mins[Rank])/((tbl_Case_mins[Surgery Start Date]=tbl_Case_mins[[#This Row],[Surgery Start Date]])*(tbl_Case_mins[Theatre]=tbl_Case_mins[[#This Row],[Theatre]])*(tbl_Case_mins[AmCase]=1)),1)),1,0),0)</f>
        <v>0</v>
      </c>
      <c r="CR96" s="9" cm="1">
        <f t="array" ref="CR9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6" s="9" t="e" cm="1">
        <f t="array" ref="CS9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6" s="9" cm="1">
        <f t="array" ref="CT96">IFERROR(IF(tbl_Case_mins[[#This Row],[Rank]]=_xlfn.AGGREGATE(15,6,(tbl_Case_mins[Rank])/((tbl_Case_mins[Surgery Start Date]=tbl_Case_mins[[#This Row],[Surgery Start Date]])*(tbl_Case_mins[Theatre]=tbl_Case_mins[[#This Row],[Theatre]])*(tbl_Case_mins[PmCase]=1)),1),1,0),0)</f>
        <v>0</v>
      </c>
      <c r="CU96">
        <f>IFERROR(#REF!,0)</f>
        <v>0</v>
      </c>
      <c r="CV96" s="9" t="e" cm="1">
        <f t="array" ref="CV9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6" s="9">
        <f>IFERROR(IF(ISBLANK(INDEX(Bay_AmClose,MATCH(1,INDEX((tbl_Case_mins[[#This Row],[Bay]]=BayNo)*(tbl_Case_mins[[#This Row],[Surgery Start Date]]=BDate),0,1),0))*1440),0,INDEX(Bay_AmClose,MATCH(1,INDEX((tbl_Case_mins[[#This Row],[Bay]]=BayNo)*(tbl_Case_mins[[#This Row],[Surgery Start Date]]=BDate),0,1),0))*1440),0)</f>
        <v>0</v>
      </c>
      <c r="CX96" s="9" cm="1">
        <f t="array" ref="CX96">IFERROR(IF(ISBLANK(INDEX(Bay_PmOpen,MATCH(1,INDEX((tbl_Case_mins[[#This Row],[Bay]]=BayNo)*(tbl_Case_mins[[#This Row],[Surgery Start Date]]=BDate),0,1),0))*1440),0,INDEX(Bay_PmOpen,MATCH(1,INDEX((tbl_Case_mins[[#This Row],[Bay]]=BayNo)*(tbl_Case_mins[[#This Row],[Surgery Start Date]]=BDate),0,1),0))*1440),0)</f>
        <v>0</v>
      </c>
      <c r="CY9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6" s="9"/>
    </row>
    <row r="97" spans="1:104" x14ac:dyDescent="0.2">
      <c r="A97">
        <v>96</v>
      </c>
      <c r="B97" t="e">
        <f>#REF!</f>
        <v>#REF!</v>
      </c>
      <c r="C97" t="e">
        <f>#REF!</f>
        <v>#REF!</v>
      </c>
      <c r="D97" t="e">
        <f>#REF!</f>
        <v>#REF!</v>
      </c>
      <c r="E97" t="e">
        <f>#REF!</f>
        <v>#REF!</v>
      </c>
      <c r="F97" t="e">
        <f>#REF!</f>
        <v>#REF!</v>
      </c>
      <c r="G97" t="e">
        <f>#REF!</f>
        <v>#REF!</v>
      </c>
      <c r="H97" t="e">
        <f>#REF!</f>
        <v>#REF!</v>
      </c>
      <c r="I97" t="e">
        <f>IF(#REF!="Case Cancelled",1,IF(#REF!="No Cases",2,0))</f>
        <v>#REF!</v>
      </c>
      <c r="J97" t="e">
        <f>#REF!</f>
        <v>#REF!</v>
      </c>
      <c r="K97" s="4" t="e">
        <f>#REF!</f>
        <v>#REF!</v>
      </c>
      <c r="L97" t="e">
        <f>"Wk "&amp;WEEKNUM(tbl_Case_mins[[#This Row],[Surgery Start Date]],21)</f>
        <v>#REF!</v>
      </c>
      <c r="M97" t="e">
        <f>TEXT(tbl_Case_mins[[#This Row],[Surgery Start Date]],"ddd")</f>
        <v>#REF!</v>
      </c>
      <c r="N97" s="9" t="e">
        <f>(#REF!-TIME(0,0,0))*1440</f>
        <v>#REF!</v>
      </c>
      <c r="O97" t="e">
        <f>IF(AND(ROUND((#REF!-TIME(0,0,0))*1440,0)&gt;0,ROUND((#REF!-TIME(0,0,0))*1440,0)&lt;tbl_Case_mins[[#This Row],[Patient Called]],tbl_Case_mins[[#This Row],[Surgery End Date]]&gt;tbl_Case_mins[[#This Row],[Surgery Start Date]]),ROUND((#REF!-TIME(0,0,0))*1440,0)+1440,ROUND((#REF!-TIME(0,0,0))*1440,0))</f>
        <v>#REF!</v>
      </c>
      <c r="P97" s="9" t="e">
        <f>IF(AND(ROUND((#REF!-TIME(0,0,0))*1440,0)&gt;0,ROUND((#REF!-TIME(0,0,0))*1440,0)&lt;tbl_Case_mins[[#This Row],[Arrival]],tbl_Case_mins[[#This Row],[Surgery End Date]]&gt;tbl_Case_mins[[#This Row],[Surgery Start Date]]),ROUND((#REF!-TIME(0,0,0))*1440,0)+1440,ROUND((#REF!-TIME(0,0,0))*1440,0))</f>
        <v>#REF!</v>
      </c>
      <c r="Q97" s="9" t="e">
        <f>IF(AND(ROUND((#REF!-TIME(0,0,0))*1440,0)&gt;0,ROUND((#REF!-TIME(0,0,0))*1440,0)&lt;tbl_Case_mins[[#This Row],[Into Th or AR]],tbl_Case_mins[[#This Row],[Surgery End Date]]&gt;tbl_Case_mins[[#This Row],[Surgery Start Date]]),ROUND((#REF!-TIME(0,0,0))*1440,0)+1440,ROUND((#REF!-TIME(0,0,0))*1440,0))</f>
        <v>#REF!</v>
      </c>
      <c r="R97" s="9" t="e">
        <f>IF(AND(ROUND((#REF!-TIME(0,0,0))*1440,0)&gt;0,ROUND((#REF!-TIME(0,0,0))*1440,0)&lt;tbl_Case_mins[[#This Row],[AnaesthStart]],tbl_Case_mins[[#This Row],[Surgery End Date]]&gt;tbl_Case_mins[[#This Row],[Surgery Start Date]]),ROUND((#REF!-TIME(0,0,0))*1440,0)+1440,ROUND((#REF!-TIME(0,0,0))*1440,0))</f>
        <v>#REF!</v>
      </c>
      <c r="S97" s="9" t="e">
        <f>IF(AND(ROUND((#REF!-TIME(0,0,0))*1440,0),ROUND((#REF!-TIME(0,0,0))*1440,0)&lt;tbl_Case_mins[[#This Row],[Surgery Start]],tbl_Case_mins[[#This Row],[Surgery End Date]]&gt;tbl_Case_mins[[#This Row],[Surgery Start Date]]),ROUND((#REF!-TIME(0,0,0))*1440,0)+1440,ROUND((#REF!-TIME(0,0,0))*1440,0))</f>
        <v>#REF!</v>
      </c>
      <c r="T97" s="9" t="e">
        <f>IF(AND(ROUND((#REF!-TIME(0,0,0))*1440,0)&gt;0,ROUND((#REF!-TIME(0,0,0))*1440,0)&lt;tbl_Case_mins[[#This Row],[Surgery Finish]],tbl_Case_mins[[#This Row],[Surgery End Date]]&gt;tbl_Case_mins[[#This Row],[Surgery Start Date]]),ROUND((#REF!-TIME(0,0,0))*1440,0)+1440,ROUND((#REF!-TIME(0,0,0))*1440,0))</f>
        <v>#REF!</v>
      </c>
      <c r="U97" s="9" t="e">
        <f>IF(AND(ROUND((#REF!-TIME(0,0,0))*1440,0)&gt;0,ROUND((#REF!-TIME(0,0,0))*1440,0)&lt;tbl_Case_mins[[#This Row],[Anaesth End]],tbl_Case_mins[[#This Row],[Surgery End Date]]&gt;tbl_Case_mins[[#This Row],[Surgery Start Date]]),ROUND((#REF!-TIME(0,0,0))*1440,0)+1440,ROUND((#REF!-TIME(0,0,0))*1440,0))</f>
        <v>#REF!</v>
      </c>
      <c r="V97" s="9" t="e">
        <f>IF(AND(ROUND((#REF!-TIME(0,0,0))*1440,0)&gt;0,ROUND((#REF!-TIME(0,0,0))*1440,0)&lt;tbl_Case_mins[[#This Row],[Into Recov]],tbl_Case_mins[[#This Row],[Surgery End Date]]&gt;tbl_Case_mins[[#This Row],[Surgery Start Date]]),ROUND((#REF!-TIME(0,0,0))*1440,0)+1440,ROUND((#REF!-TIME(0,0,0))*1440,0))</f>
        <v>#REF!</v>
      </c>
      <c r="W97" s="9" t="e">
        <f>IF(AND(ROUND((#REF!-TIME(0,0,0))*1440,0)&gt;0,ROUND((#REF!-TIME(0,0,0))*1440,0)&lt;tbl_Case_mins[[#This Row],[Ward Called]],tbl_Case_mins[[#This Row],[Surgery End Date]]&gt;tbl_Case_mins[[#This Row],[Surgery Start Date]]),ROUND((#REF!-TIME(0,0,0))*1440,0)+1440,ROUND((#REF!-TIME(0,0,0))*1440,0))</f>
        <v>#REF!</v>
      </c>
      <c r="X97" s="4" t="e">
        <f>IF(ISBLANK(#REF!),tbl_Case_mins[[#This Row],[Surgery Start Date]],#REF!)</f>
        <v>#REF!</v>
      </c>
      <c r="Y97">
        <f>IFERROR(IF(VLOOKUP(tbl_Case_mins[[#This Row],[Theatre]],'Mng Theatres'!$C$7:$G$12,3,FALSE)="Yes","Yes","No"),0)</f>
        <v>0</v>
      </c>
      <c r="Z97" s="9" t="e" cm="1">
        <f t="array" ref="Z9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7" s="9" t="e" cm="1">
        <f t="array" ref="AA9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7" s="9" t="e">
        <f>IF(tbl_Case_mins[[#This Row],[Case Type]]="Unsch",1,0)</f>
        <v>#REF!</v>
      </c>
      <c r="AD97" s="9" t="e">
        <f>IF(tbl_Case_mins[[#This Row],[Case Type]]="Sch",1,0)</f>
        <v>#REF!</v>
      </c>
      <c r="AE9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7" s="9">
        <f>IFERROR(IF(ISBLANK(INDEX(Am_Close,MATCH(1,INDEX((tbl_Case_mins[[#This Row],[Theatre]]=Theatre_No)*(tbl_Case_mins[[#This Row],[Surgery Start Date]]=Date),0,1),0))*1440),0,INDEX(Am_Close,MATCH(1,INDEX((tbl_Case_mins[[#This Row],[Theatre]]=Theatre_No)*(tbl_Case_mins[[#This Row],[Surgery Start Date]]=Date),0,1),0))*1440),0)</f>
        <v>0</v>
      </c>
      <c r="AG97" s="9">
        <f>IFERROR(IF(ISBLANK(INDEX(PM_Open,MATCH(1,INDEX((tbl_Case_mins[[#This Row],[Theatre]]=Theatre_No)*(tbl_Case_mins[[#This Row],[Surgery Start Date]]=Date),0,1),0))*1440),0,INDEX(PM_Open,MATCH(1,INDEX((tbl_Case_mins[[#This Row],[Theatre]]=Theatre_No)*(tbl_Case_mins[[#This Row],[Surgery Start Date]]=Date),0,1),0))*1440),0)</f>
        <v>0</v>
      </c>
      <c r="AH9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7" s="9" t="e">
        <f>IF(tbl_Case_mins[[#This Row],[ThOpenAm]]=0,tbl_Case_mins[[#This Row],[ThOpenPM]],tbl_Case_mins[[#This Row],[ThOpenAm]])</f>
        <v>#REF!</v>
      </c>
      <c r="AJ97" s="9" t="e">
        <f>IF(tbl_Case_mins[[#This Row],[ThCloseAm]]&gt;0,IF(tbl_Case_mins[[#This Row],[ThOpenPM]]&gt;0,tbl_Case_mins[[#This Row],[ThClosePm]],tbl_Case_mins[[#This Row],[ThCloseAm]]),tbl_Case_mins[[#This Row],[ThClosePm]])</f>
        <v>#REF!</v>
      </c>
      <c r="AK97" s="9" t="e">
        <f>IF(tbl_Case_mins[[#This Row],[TOT]]&gt;0,1,0)</f>
        <v>#REF!</v>
      </c>
      <c r="AL9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7" s="9" t="e">
        <f>IF(AND(tbl_Case_mins[[#This Row],[Surgery Status]]&lt;&gt;2,tbl_Case_mins[[#This Row],[InCoreCase]]=0,tbl_Case_mins[[#This Row],[CancelledCase]]=0),1,0)</f>
        <v>#REF!</v>
      </c>
      <c r="AN97" s="9" t="e">
        <f>IF(tbl_Case_mins[[#This Row],[Surgery Status]]=1,1,0)</f>
        <v>#REF!</v>
      </c>
      <c r="AO9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7" s="9" t="e">
        <f>IF(AND(tbl_Case_mins[[#This Row],[NonCoreCase]]=1,tbl_Case_mins[[#This Row],[NoInCoreTime]]=0),1,0)</f>
        <v>#REF!</v>
      </c>
      <c r="AQ97" s="9" t="e">
        <f>IF(tbl_Case_mins[[#This Row],[Rank_AnaEnd]]&lt;tbl_Case_mins[[#This Row],[Rank_AnaSt]],1,0)</f>
        <v>#REF!</v>
      </c>
      <c r="AR97" s="9" t="e">
        <f>IF(AND(tbl_Case_mins[[#This Row],[InCoreCase]]=1,tbl_Case_mins[[#This Row],[Sch]]=1),1,0)</f>
        <v>#REF!</v>
      </c>
      <c r="AS97" s="9" t="e">
        <f>IF(AND(tbl_Case_mins[[#This Row],[InCoreCase]]=1,tbl_Case_mins[[#This Row],[Unsch]]=1),1,0)</f>
        <v>#REF!</v>
      </c>
      <c r="AT9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7" s="9" t="e">
        <f>IF(tbl_Case_mins[[#This Row],[Surgery Status]]=0,(tbl_Case_mins[[#This Row],[Anaesth End]]-tbl_Case_mins[[#This Row],[AnaesthStart]]),0)</f>
        <v>#REF!</v>
      </c>
      <c r="AX97" s="9" t="e">
        <f>IF(tbl_Case_mins[[#This Row],[Surgery Status]]=0,(tbl_Case_mins[[#This Row],[Surgery Finish]]-tbl_Case_mins[[#This Row],[Surgery Start]]),0)</f>
        <v>#REF!</v>
      </c>
      <c r="AY97" s="9" t="e">
        <f>tbl_Case_mins[[#This Row],[Surgery Start]]-tbl_Case_mins[[#This Row],[AnaesthStart]]</f>
        <v>#REF!</v>
      </c>
      <c r="AZ97" s="9" t="e">
        <f>tbl_Case_mins[[#This Row],[Anaesth End]]-tbl_Case_mins[[#This Row],[Surgery Finish]]</f>
        <v>#REF!</v>
      </c>
      <c r="BA9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7" s="16" cm="1">
        <f t="array" ref="BC9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7" s="16" t="e">
        <f>IF(AND(tbl_Case_mins[[#This Row],[FirstAMCase]]=1,tbl_Case_mins[[#This Row],[CancelledCase]]=0,OR(tbl_Case_mins[[#This Row],[EarlyStartAM]]&gt;0,tbl_Case_mins[[#This Row],[AnaesthStart]]=tbl_Case_mins[[#This Row],[ThOpenAm]])),1,0)</f>
        <v>#REF!</v>
      </c>
      <c r="BE97" s="16" t="e">
        <f>IF(AND(tbl_Case_mins[[#This Row],[Rank_AnaSt]]=tbl_Case_mins[[#This Row],[Min_RankAnaSt]],tbl_Case_mins[[#This Row],[Anaesth End]]&gt;=tbl_Case_mins[[#This Row],[ThOpenAm]],tbl_Case_mins[[#This Row],[PmCase]]=0),1,0)</f>
        <v>#REF!</v>
      </c>
      <c r="BF9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7" s="9" t="e" cm="1">
        <f t="array" ref="BH9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7" s="9" t="e">
        <f>IF(AND(tbl_Case_mins[[#This Row],[ThOpenPM]]&gt;0,tbl_Case_mins[[#This Row],[AnaesthStart]]&gt;tbl_Case_mins[[#This Row],[ThOpenPM]],tbl_Case_mins[[#This Row],[First PM Case]]=1),tbl_Case_mins[[#This Row],[AnaesthStart]]-tbl_Case_mins[[#This Row],[ThOpenPM]],0)</f>
        <v>#REF!</v>
      </c>
      <c r="BL9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7" s="9" t="e" cm="1">
        <f t="array" ref="BN9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7" s="9" t="e">
        <f>IF(AND(tbl_Case_mins[[#This Row],[ThClosePm]]&gt;0,tbl_Case_mins[[#This Row],[Anaesth End]]&gt;tbl_Case_mins[[#This Row],[ThClosePm]],tbl_Case_mins[[#This Row],[AnaesthStart]]&gt;tbl_Case_mins[[#This Row],[ThClosePm]]),tbl_Case_mins[[#This Row],[Into Recov]]-tbl_Case_mins[[#This Row],[AnaesthStart]],0)</f>
        <v>#REF!</v>
      </c>
      <c r="BP97" s="9" t="e">
        <f>IF(AND(tbl_Case_mins[[#This Row],[AnaesthStart]]&lt;tbl_Case_mins[[#This Row],[ThClosePm]],tbl_Case_mins[[#This Row],[Anaesth End]]&gt;tbl_Case_mins[[#This Row],[ThClosePm]]),tbl_Case_mins[[#This Row],[Anaesth End]]-tbl_Case_mins[[#This Row],[ThClosePm]],0)</f>
        <v>#REF!</v>
      </c>
      <c r="BQ97" s="9" t="e" cm="1">
        <f t="array" ref="BQ9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7" s="9" t="e" cm="1">
        <f t="array" ref="BR97">IF(tbl_Case_mins[[#This Row],[Rank_Adjust]]=SUMPRODUCT(-(tbl_Case_mins[Surgery Start Date]=tbl_Case_mins[[#This Row],[Surgery Start Date]]),-(tbl_Case_mins[Theatre]=tbl_Case_mins[[#This Row],[Theatre]])),INDEX(Poss_Time,MATCH(TEXT(tbl_Case_mins[[#This Row],[Surgery Start Date]],"ddd"),Day,0)),0)</f>
        <v>#REF!</v>
      </c>
      <c r="BS97" s="9" t="e">
        <f>tbl_Case_mins[[#This Row],[Core_Time]]*Util_Goal</f>
        <v>#REF!</v>
      </c>
      <c r="BT97" s="9" t="e" cm="1">
        <f t="array" ref="BT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7" s="9" t="e" cm="1">
        <f t="array" ref="BU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7" s="9" t="e">
        <f>IF(tbl_Case_mins[[#This Row],[Surgery End Date]]&gt;tbl_Case_mins[[#This Row],[Surgery Start Date]],tbl_Case_mins[[#This Row],[Anaesth End]]-1440,0)</f>
        <v>#REF!</v>
      </c>
      <c r="BY97" s="9" t="e">
        <f>tbl_Case_mins[[#This Row],[Total_NonCore]]-tbl_Case_mins[[#This Row],[NextDay_NonCore]]</f>
        <v>#REF!</v>
      </c>
      <c r="BZ97" s="10" t="e">
        <f>tbl_Case_mins[[#This Row],[InCoreUse]]/60</f>
        <v>#REF!</v>
      </c>
      <c r="CA97" s="10" t="e">
        <f>tbl_Case_mins[[#This Row],[Total_NonCore]]/60</f>
        <v>#REF!</v>
      </c>
      <c r="CB97" t="e" cm="1">
        <f t="array" ref="CB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7" s="9" t="e" cm="1">
        <f t="array" ref="CC9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7" s="9" t="e" cm="1">
        <f t="array" ref="CD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7" s="9" t="e" cm="1">
        <f t="array" ref="CE9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7" s="9" cm="1">
        <f t="array" ref="CF97">IFERROR(_xlfn.AGGREGATE(14,6,(tbl_Case_mins[Rank_AnaEnd])/((tbl_Case_mins[Surgery Start Date]=tbl_Case_mins[[#This Row],[Surgery Start Date]])*(tbl_Case_mins[Theatre]=tbl_Case_mins[[#This Row],[Theatre]])*(tbl_Case_mins[NoInCoreTime]=0)),1),-1)</f>
        <v>-1</v>
      </c>
      <c r="CG97" s="9" cm="1">
        <f t="array" ref="CG97">IFERROR(_xlfn.AGGREGATE(15,6,(tbl_Case_mins[Rank_AnaSt])/((tbl_Case_mins[Surgery Start Date]=tbl_Case_mins[[#This Row],[Surgery Start Date]])*(tbl_Case_mins[Theatre]=tbl_Case_mins[[#This Row],[Theatre]])*(tbl_Case_mins[NoInCoreTime]=0)),1),-1)</f>
        <v>-1</v>
      </c>
      <c r="CH9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7" t="e" cm="1">
        <f t="array" ref="CJ9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7" s="9" cm="1">
        <f t="array" ref="CO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7" s="9" cm="1">
        <f t="array" ref="CP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7" s="9" cm="1">
        <f t="array" ref="CQ97">IFERROR(IF(AND(tbl_Case_mins[[#This Row],[FirstAMCase]]=0,tbl_Case_mins[[#This Row],[Rank]]=_xlfn.AGGREGATE(14,6,(tbl_Case_mins[Rank])/((tbl_Case_mins[Surgery Start Date]=tbl_Case_mins[[#This Row],[Surgery Start Date]])*(tbl_Case_mins[Theatre]=tbl_Case_mins[[#This Row],[Theatre]])*(tbl_Case_mins[AmCase]=1)),1)),1,0),0)</f>
        <v>0</v>
      </c>
      <c r="CR97" s="9" cm="1">
        <f t="array" ref="CR9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7" s="9" t="e" cm="1">
        <f t="array" ref="CS9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7" s="9" cm="1">
        <f t="array" ref="CT97">IFERROR(IF(tbl_Case_mins[[#This Row],[Rank]]=_xlfn.AGGREGATE(15,6,(tbl_Case_mins[Rank])/((tbl_Case_mins[Surgery Start Date]=tbl_Case_mins[[#This Row],[Surgery Start Date]])*(tbl_Case_mins[Theatre]=tbl_Case_mins[[#This Row],[Theatre]])*(tbl_Case_mins[PmCase]=1)),1),1,0),0)</f>
        <v>0</v>
      </c>
      <c r="CU97">
        <f>IFERROR(#REF!,0)</f>
        <v>0</v>
      </c>
      <c r="CV97" s="9" t="e" cm="1">
        <f t="array" ref="CV9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7" s="9">
        <f>IFERROR(IF(ISBLANK(INDEX(Bay_AmClose,MATCH(1,INDEX((tbl_Case_mins[[#This Row],[Bay]]=BayNo)*(tbl_Case_mins[[#This Row],[Surgery Start Date]]=BDate),0,1),0))*1440),0,INDEX(Bay_AmClose,MATCH(1,INDEX((tbl_Case_mins[[#This Row],[Bay]]=BayNo)*(tbl_Case_mins[[#This Row],[Surgery Start Date]]=BDate),0,1),0))*1440),0)</f>
        <v>0</v>
      </c>
      <c r="CX97" s="9" cm="1">
        <f t="array" ref="CX97">IFERROR(IF(ISBLANK(INDEX(Bay_PmOpen,MATCH(1,INDEX((tbl_Case_mins[[#This Row],[Bay]]=BayNo)*(tbl_Case_mins[[#This Row],[Surgery Start Date]]=BDate),0,1),0))*1440),0,INDEX(Bay_PmOpen,MATCH(1,INDEX((tbl_Case_mins[[#This Row],[Bay]]=BayNo)*(tbl_Case_mins[[#This Row],[Surgery Start Date]]=BDate),0,1),0))*1440),0)</f>
        <v>0</v>
      </c>
      <c r="CY9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7" s="9"/>
    </row>
    <row r="98" spans="1:104" x14ac:dyDescent="0.2">
      <c r="A98">
        <v>97</v>
      </c>
      <c r="B98" t="e">
        <f>#REF!</f>
        <v>#REF!</v>
      </c>
      <c r="C98" t="e">
        <f>#REF!</f>
        <v>#REF!</v>
      </c>
      <c r="D98" t="e">
        <f>#REF!</f>
        <v>#REF!</v>
      </c>
      <c r="E98" t="e">
        <f>#REF!</f>
        <v>#REF!</v>
      </c>
      <c r="F98" t="e">
        <f>#REF!</f>
        <v>#REF!</v>
      </c>
      <c r="G98" t="e">
        <f>#REF!</f>
        <v>#REF!</v>
      </c>
      <c r="H98" t="e">
        <f>#REF!</f>
        <v>#REF!</v>
      </c>
      <c r="I98" t="e">
        <f>IF(#REF!="Case Cancelled",1,IF(#REF!="No Cases",2,0))</f>
        <v>#REF!</v>
      </c>
      <c r="J98" t="e">
        <f>#REF!</f>
        <v>#REF!</v>
      </c>
      <c r="K98" s="4" t="e">
        <f>#REF!</f>
        <v>#REF!</v>
      </c>
      <c r="L98" t="e">
        <f>"Wk "&amp;WEEKNUM(tbl_Case_mins[[#This Row],[Surgery Start Date]],21)</f>
        <v>#REF!</v>
      </c>
      <c r="M98" t="e">
        <f>TEXT(tbl_Case_mins[[#This Row],[Surgery Start Date]],"ddd")</f>
        <v>#REF!</v>
      </c>
      <c r="N98" s="9" t="e">
        <f>(#REF!-TIME(0,0,0))*1440</f>
        <v>#REF!</v>
      </c>
      <c r="O98" t="e">
        <f>IF(AND(ROUND((#REF!-TIME(0,0,0))*1440,0)&gt;0,ROUND((#REF!-TIME(0,0,0))*1440,0)&lt;tbl_Case_mins[[#This Row],[Patient Called]],tbl_Case_mins[[#This Row],[Surgery End Date]]&gt;tbl_Case_mins[[#This Row],[Surgery Start Date]]),ROUND((#REF!-TIME(0,0,0))*1440,0)+1440,ROUND((#REF!-TIME(0,0,0))*1440,0))</f>
        <v>#REF!</v>
      </c>
      <c r="P98" s="9" t="e">
        <f>IF(AND(ROUND((#REF!-TIME(0,0,0))*1440,0)&gt;0,ROUND((#REF!-TIME(0,0,0))*1440,0)&lt;tbl_Case_mins[[#This Row],[Arrival]],tbl_Case_mins[[#This Row],[Surgery End Date]]&gt;tbl_Case_mins[[#This Row],[Surgery Start Date]]),ROUND((#REF!-TIME(0,0,0))*1440,0)+1440,ROUND((#REF!-TIME(0,0,0))*1440,0))</f>
        <v>#REF!</v>
      </c>
      <c r="Q98" s="9" t="e">
        <f>IF(AND(ROUND((#REF!-TIME(0,0,0))*1440,0)&gt;0,ROUND((#REF!-TIME(0,0,0))*1440,0)&lt;tbl_Case_mins[[#This Row],[Into Th or AR]],tbl_Case_mins[[#This Row],[Surgery End Date]]&gt;tbl_Case_mins[[#This Row],[Surgery Start Date]]),ROUND((#REF!-TIME(0,0,0))*1440,0)+1440,ROUND((#REF!-TIME(0,0,0))*1440,0))</f>
        <v>#REF!</v>
      </c>
      <c r="R98" s="9" t="e">
        <f>IF(AND(ROUND((#REF!-TIME(0,0,0))*1440,0)&gt;0,ROUND((#REF!-TIME(0,0,0))*1440,0)&lt;tbl_Case_mins[[#This Row],[AnaesthStart]],tbl_Case_mins[[#This Row],[Surgery End Date]]&gt;tbl_Case_mins[[#This Row],[Surgery Start Date]]),ROUND((#REF!-TIME(0,0,0))*1440,0)+1440,ROUND((#REF!-TIME(0,0,0))*1440,0))</f>
        <v>#REF!</v>
      </c>
      <c r="S98" s="9" t="e">
        <f>IF(AND(ROUND((#REF!-TIME(0,0,0))*1440,0),ROUND((#REF!-TIME(0,0,0))*1440,0)&lt;tbl_Case_mins[[#This Row],[Surgery Start]],tbl_Case_mins[[#This Row],[Surgery End Date]]&gt;tbl_Case_mins[[#This Row],[Surgery Start Date]]),ROUND((#REF!-TIME(0,0,0))*1440,0)+1440,ROUND((#REF!-TIME(0,0,0))*1440,0))</f>
        <v>#REF!</v>
      </c>
      <c r="T98" s="9" t="e">
        <f>IF(AND(ROUND((#REF!-TIME(0,0,0))*1440,0)&gt;0,ROUND((#REF!-TIME(0,0,0))*1440,0)&lt;tbl_Case_mins[[#This Row],[Surgery Finish]],tbl_Case_mins[[#This Row],[Surgery End Date]]&gt;tbl_Case_mins[[#This Row],[Surgery Start Date]]),ROUND((#REF!-TIME(0,0,0))*1440,0)+1440,ROUND((#REF!-TIME(0,0,0))*1440,0))</f>
        <v>#REF!</v>
      </c>
      <c r="U98" s="9" t="e">
        <f>IF(AND(ROUND((#REF!-TIME(0,0,0))*1440,0)&gt;0,ROUND((#REF!-TIME(0,0,0))*1440,0)&lt;tbl_Case_mins[[#This Row],[Anaesth End]],tbl_Case_mins[[#This Row],[Surgery End Date]]&gt;tbl_Case_mins[[#This Row],[Surgery Start Date]]),ROUND((#REF!-TIME(0,0,0))*1440,0)+1440,ROUND((#REF!-TIME(0,0,0))*1440,0))</f>
        <v>#REF!</v>
      </c>
      <c r="V98" s="9" t="e">
        <f>IF(AND(ROUND((#REF!-TIME(0,0,0))*1440,0)&gt;0,ROUND((#REF!-TIME(0,0,0))*1440,0)&lt;tbl_Case_mins[[#This Row],[Into Recov]],tbl_Case_mins[[#This Row],[Surgery End Date]]&gt;tbl_Case_mins[[#This Row],[Surgery Start Date]]),ROUND((#REF!-TIME(0,0,0))*1440,0)+1440,ROUND((#REF!-TIME(0,0,0))*1440,0))</f>
        <v>#REF!</v>
      </c>
      <c r="W98" s="9" t="e">
        <f>IF(AND(ROUND((#REF!-TIME(0,0,0))*1440,0)&gt;0,ROUND((#REF!-TIME(0,0,0))*1440,0)&lt;tbl_Case_mins[[#This Row],[Ward Called]],tbl_Case_mins[[#This Row],[Surgery End Date]]&gt;tbl_Case_mins[[#This Row],[Surgery Start Date]]),ROUND((#REF!-TIME(0,0,0))*1440,0)+1440,ROUND((#REF!-TIME(0,0,0))*1440,0))</f>
        <v>#REF!</v>
      </c>
      <c r="X98" s="4" t="e">
        <f>IF(ISBLANK(#REF!),tbl_Case_mins[[#This Row],[Surgery Start Date]],#REF!)</f>
        <v>#REF!</v>
      </c>
      <c r="Y98">
        <f>IFERROR(IF(VLOOKUP(tbl_Case_mins[[#This Row],[Theatre]],'Mng Theatres'!$C$7:$G$12,3,FALSE)="Yes","Yes","No"),0)</f>
        <v>0</v>
      </c>
      <c r="Z98" s="9" t="e" cm="1">
        <f t="array" ref="Z9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8" s="9" t="e" cm="1">
        <f t="array" ref="AA9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8" s="9" t="e">
        <f>IF(tbl_Case_mins[[#This Row],[Case Type]]="Unsch",1,0)</f>
        <v>#REF!</v>
      </c>
      <c r="AD98" s="9" t="e">
        <f>IF(tbl_Case_mins[[#This Row],[Case Type]]="Sch",1,0)</f>
        <v>#REF!</v>
      </c>
      <c r="AE9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8" s="9">
        <f>IFERROR(IF(ISBLANK(INDEX(Am_Close,MATCH(1,INDEX((tbl_Case_mins[[#This Row],[Theatre]]=Theatre_No)*(tbl_Case_mins[[#This Row],[Surgery Start Date]]=Date),0,1),0))*1440),0,INDEX(Am_Close,MATCH(1,INDEX((tbl_Case_mins[[#This Row],[Theatre]]=Theatre_No)*(tbl_Case_mins[[#This Row],[Surgery Start Date]]=Date),0,1),0))*1440),0)</f>
        <v>0</v>
      </c>
      <c r="AG98" s="9">
        <f>IFERROR(IF(ISBLANK(INDEX(PM_Open,MATCH(1,INDEX((tbl_Case_mins[[#This Row],[Theatre]]=Theatre_No)*(tbl_Case_mins[[#This Row],[Surgery Start Date]]=Date),0,1),0))*1440),0,INDEX(PM_Open,MATCH(1,INDEX((tbl_Case_mins[[#This Row],[Theatre]]=Theatre_No)*(tbl_Case_mins[[#This Row],[Surgery Start Date]]=Date),0,1),0))*1440),0)</f>
        <v>0</v>
      </c>
      <c r="AH9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8" s="9" t="e">
        <f>IF(tbl_Case_mins[[#This Row],[ThOpenAm]]=0,tbl_Case_mins[[#This Row],[ThOpenPM]],tbl_Case_mins[[#This Row],[ThOpenAm]])</f>
        <v>#REF!</v>
      </c>
      <c r="AJ98" s="9" t="e">
        <f>IF(tbl_Case_mins[[#This Row],[ThCloseAm]]&gt;0,IF(tbl_Case_mins[[#This Row],[ThOpenPM]]&gt;0,tbl_Case_mins[[#This Row],[ThClosePm]],tbl_Case_mins[[#This Row],[ThCloseAm]]),tbl_Case_mins[[#This Row],[ThClosePm]])</f>
        <v>#REF!</v>
      </c>
      <c r="AK98" s="9" t="e">
        <f>IF(tbl_Case_mins[[#This Row],[TOT]]&gt;0,1,0)</f>
        <v>#REF!</v>
      </c>
      <c r="AL9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8" s="9" t="e">
        <f>IF(AND(tbl_Case_mins[[#This Row],[Surgery Status]]&lt;&gt;2,tbl_Case_mins[[#This Row],[InCoreCase]]=0,tbl_Case_mins[[#This Row],[CancelledCase]]=0),1,0)</f>
        <v>#REF!</v>
      </c>
      <c r="AN98" s="9" t="e">
        <f>IF(tbl_Case_mins[[#This Row],[Surgery Status]]=1,1,0)</f>
        <v>#REF!</v>
      </c>
      <c r="AO9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8" s="9" t="e">
        <f>IF(AND(tbl_Case_mins[[#This Row],[NonCoreCase]]=1,tbl_Case_mins[[#This Row],[NoInCoreTime]]=0),1,0)</f>
        <v>#REF!</v>
      </c>
      <c r="AQ98" s="9" t="e">
        <f>IF(tbl_Case_mins[[#This Row],[Rank_AnaEnd]]&lt;tbl_Case_mins[[#This Row],[Rank_AnaSt]],1,0)</f>
        <v>#REF!</v>
      </c>
      <c r="AR98" s="9" t="e">
        <f>IF(AND(tbl_Case_mins[[#This Row],[InCoreCase]]=1,tbl_Case_mins[[#This Row],[Sch]]=1),1,0)</f>
        <v>#REF!</v>
      </c>
      <c r="AS98" s="9" t="e">
        <f>IF(AND(tbl_Case_mins[[#This Row],[InCoreCase]]=1,tbl_Case_mins[[#This Row],[Unsch]]=1),1,0)</f>
        <v>#REF!</v>
      </c>
      <c r="AT9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8" s="9" t="e">
        <f>IF(tbl_Case_mins[[#This Row],[Surgery Status]]=0,(tbl_Case_mins[[#This Row],[Anaesth End]]-tbl_Case_mins[[#This Row],[AnaesthStart]]),0)</f>
        <v>#REF!</v>
      </c>
      <c r="AX98" s="9" t="e">
        <f>IF(tbl_Case_mins[[#This Row],[Surgery Status]]=0,(tbl_Case_mins[[#This Row],[Surgery Finish]]-tbl_Case_mins[[#This Row],[Surgery Start]]),0)</f>
        <v>#REF!</v>
      </c>
      <c r="AY98" s="9" t="e">
        <f>tbl_Case_mins[[#This Row],[Surgery Start]]-tbl_Case_mins[[#This Row],[AnaesthStart]]</f>
        <v>#REF!</v>
      </c>
      <c r="AZ98" s="9" t="e">
        <f>tbl_Case_mins[[#This Row],[Anaesth End]]-tbl_Case_mins[[#This Row],[Surgery Finish]]</f>
        <v>#REF!</v>
      </c>
      <c r="BA9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8" s="16" cm="1">
        <f t="array" ref="BC9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8" s="16" t="e">
        <f>IF(AND(tbl_Case_mins[[#This Row],[FirstAMCase]]=1,tbl_Case_mins[[#This Row],[CancelledCase]]=0,OR(tbl_Case_mins[[#This Row],[EarlyStartAM]]&gt;0,tbl_Case_mins[[#This Row],[AnaesthStart]]=tbl_Case_mins[[#This Row],[ThOpenAm]])),1,0)</f>
        <v>#REF!</v>
      </c>
      <c r="BE98" s="16" t="e">
        <f>IF(AND(tbl_Case_mins[[#This Row],[Rank_AnaSt]]=tbl_Case_mins[[#This Row],[Min_RankAnaSt]],tbl_Case_mins[[#This Row],[Anaesth End]]&gt;=tbl_Case_mins[[#This Row],[ThOpenAm]],tbl_Case_mins[[#This Row],[PmCase]]=0),1,0)</f>
        <v>#REF!</v>
      </c>
      <c r="BF9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8" s="9" t="e" cm="1">
        <f t="array" ref="BH9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8" s="9" t="e">
        <f>IF(AND(tbl_Case_mins[[#This Row],[ThOpenPM]]&gt;0,tbl_Case_mins[[#This Row],[AnaesthStart]]&gt;tbl_Case_mins[[#This Row],[ThOpenPM]],tbl_Case_mins[[#This Row],[First PM Case]]=1),tbl_Case_mins[[#This Row],[AnaesthStart]]-tbl_Case_mins[[#This Row],[ThOpenPM]],0)</f>
        <v>#REF!</v>
      </c>
      <c r="BL9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8" s="9" t="e" cm="1">
        <f t="array" ref="BN9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8" s="9" t="e">
        <f>IF(AND(tbl_Case_mins[[#This Row],[ThClosePm]]&gt;0,tbl_Case_mins[[#This Row],[Anaesth End]]&gt;tbl_Case_mins[[#This Row],[ThClosePm]],tbl_Case_mins[[#This Row],[AnaesthStart]]&gt;tbl_Case_mins[[#This Row],[ThClosePm]]),tbl_Case_mins[[#This Row],[Into Recov]]-tbl_Case_mins[[#This Row],[AnaesthStart]],0)</f>
        <v>#REF!</v>
      </c>
      <c r="BP98" s="9" t="e">
        <f>IF(AND(tbl_Case_mins[[#This Row],[AnaesthStart]]&lt;tbl_Case_mins[[#This Row],[ThClosePm]],tbl_Case_mins[[#This Row],[Anaesth End]]&gt;tbl_Case_mins[[#This Row],[ThClosePm]]),tbl_Case_mins[[#This Row],[Anaesth End]]-tbl_Case_mins[[#This Row],[ThClosePm]],0)</f>
        <v>#REF!</v>
      </c>
      <c r="BQ98" s="9" t="e" cm="1">
        <f t="array" ref="BQ9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8" s="9" t="e" cm="1">
        <f t="array" ref="BR98">IF(tbl_Case_mins[[#This Row],[Rank_Adjust]]=SUMPRODUCT(-(tbl_Case_mins[Surgery Start Date]=tbl_Case_mins[[#This Row],[Surgery Start Date]]),-(tbl_Case_mins[Theatre]=tbl_Case_mins[[#This Row],[Theatre]])),INDEX(Poss_Time,MATCH(TEXT(tbl_Case_mins[[#This Row],[Surgery Start Date]],"ddd"),Day,0)),0)</f>
        <v>#REF!</v>
      </c>
      <c r="BS98" s="9" t="e">
        <f>tbl_Case_mins[[#This Row],[Core_Time]]*Util_Goal</f>
        <v>#REF!</v>
      </c>
      <c r="BT98" s="9" t="e" cm="1">
        <f t="array" ref="BT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8" s="9" t="e" cm="1">
        <f t="array" ref="BU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8" s="9" t="e">
        <f>IF(tbl_Case_mins[[#This Row],[Surgery End Date]]&gt;tbl_Case_mins[[#This Row],[Surgery Start Date]],tbl_Case_mins[[#This Row],[Anaesth End]]-1440,0)</f>
        <v>#REF!</v>
      </c>
      <c r="BY98" s="9" t="e">
        <f>tbl_Case_mins[[#This Row],[Total_NonCore]]-tbl_Case_mins[[#This Row],[NextDay_NonCore]]</f>
        <v>#REF!</v>
      </c>
      <c r="BZ98" s="10" t="e">
        <f>tbl_Case_mins[[#This Row],[InCoreUse]]/60</f>
        <v>#REF!</v>
      </c>
      <c r="CA98" s="10" t="e">
        <f>tbl_Case_mins[[#This Row],[Total_NonCore]]/60</f>
        <v>#REF!</v>
      </c>
      <c r="CB98" t="e" cm="1">
        <f t="array" ref="CB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8" s="9" t="e" cm="1">
        <f t="array" ref="CC9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8" s="9" t="e" cm="1">
        <f t="array" ref="CD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8" s="9" t="e" cm="1">
        <f t="array" ref="CE9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8" s="9" cm="1">
        <f t="array" ref="CF98">IFERROR(_xlfn.AGGREGATE(14,6,(tbl_Case_mins[Rank_AnaEnd])/((tbl_Case_mins[Surgery Start Date]=tbl_Case_mins[[#This Row],[Surgery Start Date]])*(tbl_Case_mins[Theatre]=tbl_Case_mins[[#This Row],[Theatre]])*(tbl_Case_mins[NoInCoreTime]=0)),1),-1)</f>
        <v>-1</v>
      </c>
      <c r="CG98" s="9" cm="1">
        <f t="array" ref="CG98">IFERROR(_xlfn.AGGREGATE(15,6,(tbl_Case_mins[Rank_AnaSt])/((tbl_Case_mins[Surgery Start Date]=tbl_Case_mins[[#This Row],[Surgery Start Date]])*(tbl_Case_mins[Theatre]=tbl_Case_mins[[#This Row],[Theatre]])*(tbl_Case_mins[NoInCoreTime]=0)),1),-1)</f>
        <v>-1</v>
      </c>
      <c r="CH9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8" t="e" cm="1">
        <f t="array" ref="CJ9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8" s="9" cm="1">
        <f t="array" ref="CO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8" s="9" cm="1">
        <f t="array" ref="CP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8" s="9" cm="1">
        <f t="array" ref="CQ98">IFERROR(IF(AND(tbl_Case_mins[[#This Row],[FirstAMCase]]=0,tbl_Case_mins[[#This Row],[Rank]]=_xlfn.AGGREGATE(14,6,(tbl_Case_mins[Rank])/((tbl_Case_mins[Surgery Start Date]=tbl_Case_mins[[#This Row],[Surgery Start Date]])*(tbl_Case_mins[Theatre]=tbl_Case_mins[[#This Row],[Theatre]])*(tbl_Case_mins[AmCase]=1)),1)),1,0),0)</f>
        <v>0</v>
      </c>
      <c r="CR98" s="9" cm="1">
        <f t="array" ref="CR9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8" s="9" t="e" cm="1">
        <f t="array" ref="CS9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8" s="9" cm="1">
        <f t="array" ref="CT98">IFERROR(IF(tbl_Case_mins[[#This Row],[Rank]]=_xlfn.AGGREGATE(15,6,(tbl_Case_mins[Rank])/((tbl_Case_mins[Surgery Start Date]=tbl_Case_mins[[#This Row],[Surgery Start Date]])*(tbl_Case_mins[Theatre]=tbl_Case_mins[[#This Row],[Theatre]])*(tbl_Case_mins[PmCase]=1)),1),1,0),0)</f>
        <v>0</v>
      </c>
      <c r="CU98">
        <f>IFERROR(#REF!,0)</f>
        <v>0</v>
      </c>
      <c r="CV98" s="9" t="e" cm="1">
        <f t="array" ref="CV9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8" s="9">
        <f>IFERROR(IF(ISBLANK(INDEX(Bay_AmClose,MATCH(1,INDEX((tbl_Case_mins[[#This Row],[Bay]]=BayNo)*(tbl_Case_mins[[#This Row],[Surgery Start Date]]=BDate),0,1),0))*1440),0,INDEX(Bay_AmClose,MATCH(1,INDEX((tbl_Case_mins[[#This Row],[Bay]]=BayNo)*(tbl_Case_mins[[#This Row],[Surgery Start Date]]=BDate),0,1),0))*1440),0)</f>
        <v>0</v>
      </c>
      <c r="CX98" s="9" cm="1">
        <f t="array" ref="CX98">IFERROR(IF(ISBLANK(INDEX(Bay_PmOpen,MATCH(1,INDEX((tbl_Case_mins[[#This Row],[Bay]]=BayNo)*(tbl_Case_mins[[#This Row],[Surgery Start Date]]=BDate),0,1),0))*1440),0,INDEX(Bay_PmOpen,MATCH(1,INDEX((tbl_Case_mins[[#This Row],[Bay]]=BayNo)*(tbl_Case_mins[[#This Row],[Surgery Start Date]]=BDate),0,1),0))*1440),0)</f>
        <v>0</v>
      </c>
      <c r="CY9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8" s="9"/>
    </row>
    <row r="99" spans="1:104" x14ac:dyDescent="0.2">
      <c r="A99">
        <v>98</v>
      </c>
      <c r="B99" t="e">
        <f>#REF!</f>
        <v>#REF!</v>
      </c>
      <c r="C99" t="e">
        <f>#REF!</f>
        <v>#REF!</v>
      </c>
      <c r="D99" t="e">
        <f>#REF!</f>
        <v>#REF!</v>
      </c>
      <c r="E99" t="e">
        <f>#REF!</f>
        <v>#REF!</v>
      </c>
      <c r="F99" t="e">
        <f>#REF!</f>
        <v>#REF!</v>
      </c>
      <c r="G99" t="e">
        <f>#REF!</f>
        <v>#REF!</v>
      </c>
      <c r="H99" t="e">
        <f>#REF!</f>
        <v>#REF!</v>
      </c>
      <c r="I99" t="e">
        <f>IF(#REF!="Case Cancelled",1,IF(#REF!="No Cases",2,0))</f>
        <v>#REF!</v>
      </c>
      <c r="J99" t="e">
        <f>#REF!</f>
        <v>#REF!</v>
      </c>
      <c r="K99" s="4" t="e">
        <f>#REF!</f>
        <v>#REF!</v>
      </c>
      <c r="L99" t="e">
        <f>"Wk "&amp;WEEKNUM(tbl_Case_mins[[#This Row],[Surgery Start Date]],21)</f>
        <v>#REF!</v>
      </c>
      <c r="M99" t="e">
        <f>TEXT(tbl_Case_mins[[#This Row],[Surgery Start Date]],"ddd")</f>
        <v>#REF!</v>
      </c>
      <c r="N99" s="9" t="e">
        <f>(#REF!-TIME(0,0,0))*1440</f>
        <v>#REF!</v>
      </c>
      <c r="O99" t="e">
        <f>IF(AND(ROUND((#REF!-TIME(0,0,0))*1440,0)&gt;0,ROUND((#REF!-TIME(0,0,0))*1440,0)&lt;tbl_Case_mins[[#This Row],[Patient Called]],tbl_Case_mins[[#This Row],[Surgery End Date]]&gt;tbl_Case_mins[[#This Row],[Surgery Start Date]]),ROUND((#REF!-TIME(0,0,0))*1440,0)+1440,ROUND((#REF!-TIME(0,0,0))*1440,0))</f>
        <v>#REF!</v>
      </c>
      <c r="P99" s="9" t="e">
        <f>IF(AND(ROUND((#REF!-TIME(0,0,0))*1440,0)&gt;0,ROUND((#REF!-TIME(0,0,0))*1440,0)&lt;tbl_Case_mins[[#This Row],[Arrival]],tbl_Case_mins[[#This Row],[Surgery End Date]]&gt;tbl_Case_mins[[#This Row],[Surgery Start Date]]),ROUND((#REF!-TIME(0,0,0))*1440,0)+1440,ROUND((#REF!-TIME(0,0,0))*1440,0))</f>
        <v>#REF!</v>
      </c>
      <c r="Q99" s="9" t="e">
        <f>IF(AND(ROUND((#REF!-TIME(0,0,0))*1440,0)&gt;0,ROUND((#REF!-TIME(0,0,0))*1440,0)&lt;tbl_Case_mins[[#This Row],[Into Th or AR]],tbl_Case_mins[[#This Row],[Surgery End Date]]&gt;tbl_Case_mins[[#This Row],[Surgery Start Date]]),ROUND((#REF!-TIME(0,0,0))*1440,0)+1440,ROUND((#REF!-TIME(0,0,0))*1440,0))</f>
        <v>#REF!</v>
      </c>
      <c r="R99" s="9" t="e">
        <f>IF(AND(ROUND((#REF!-TIME(0,0,0))*1440,0)&gt;0,ROUND((#REF!-TIME(0,0,0))*1440,0)&lt;tbl_Case_mins[[#This Row],[AnaesthStart]],tbl_Case_mins[[#This Row],[Surgery End Date]]&gt;tbl_Case_mins[[#This Row],[Surgery Start Date]]),ROUND((#REF!-TIME(0,0,0))*1440,0)+1440,ROUND((#REF!-TIME(0,0,0))*1440,0))</f>
        <v>#REF!</v>
      </c>
      <c r="S99" s="9" t="e">
        <f>IF(AND(ROUND((#REF!-TIME(0,0,0))*1440,0),ROUND((#REF!-TIME(0,0,0))*1440,0)&lt;tbl_Case_mins[[#This Row],[Surgery Start]],tbl_Case_mins[[#This Row],[Surgery End Date]]&gt;tbl_Case_mins[[#This Row],[Surgery Start Date]]),ROUND((#REF!-TIME(0,0,0))*1440,0)+1440,ROUND((#REF!-TIME(0,0,0))*1440,0))</f>
        <v>#REF!</v>
      </c>
      <c r="T99" s="9" t="e">
        <f>IF(AND(ROUND((#REF!-TIME(0,0,0))*1440,0)&gt;0,ROUND((#REF!-TIME(0,0,0))*1440,0)&lt;tbl_Case_mins[[#This Row],[Surgery Finish]],tbl_Case_mins[[#This Row],[Surgery End Date]]&gt;tbl_Case_mins[[#This Row],[Surgery Start Date]]),ROUND((#REF!-TIME(0,0,0))*1440,0)+1440,ROUND((#REF!-TIME(0,0,0))*1440,0))</f>
        <v>#REF!</v>
      </c>
      <c r="U99" s="9" t="e">
        <f>IF(AND(ROUND((#REF!-TIME(0,0,0))*1440,0)&gt;0,ROUND((#REF!-TIME(0,0,0))*1440,0)&lt;tbl_Case_mins[[#This Row],[Anaesth End]],tbl_Case_mins[[#This Row],[Surgery End Date]]&gt;tbl_Case_mins[[#This Row],[Surgery Start Date]]),ROUND((#REF!-TIME(0,0,0))*1440,0)+1440,ROUND((#REF!-TIME(0,0,0))*1440,0))</f>
        <v>#REF!</v>
      </c>
      <c r="V99" s="9" t="e">
        <f>IF(AND(ROUND((#REF!-TIME(0,0,0))*1440,0)&gt;0,ROUND((#REF!-TIME(0,0,0))*1440,0)&lt;tbl_Case_mins[[#This Row],[Into Recov]],tbl_Case_mins[[#This Row],[Surgery End Date]]&gt;tbl_Case_mins[[#This Row],[Surgery Start Date]]),ROUND((#REF!-TIME(0,0,0))*1440,0)+1440,ROUND((#REF!-TIME(0,0,0))*1440,0))</f>
        <v>#REF!</v>
      </c>
      <c r="W99" s="9" t="e">
        <f>IF(AND(ROUND((#REF!-TIME(0,0,0))*1440,0)&gt;0,ROUND((#REF!-TIME(0,0,0))*1440,0)&lt;tbl_Case_mins[[#This Row],[Ward Called]],tbl_Case_mins[[#This Row],[Surgery End Date]]&gt;tbl_Case_mins[[#This Row],[Surgery Start Date]]),ROUND((#REF!-TIME(0,0,0))*1440,0)+1440,ROUND((#REF!-TIME(0,0,0))*1440,0))</f>
        <v>#REF!</v>
      </c>
      <c r="X99" s="4" t="e">
        <f>IF(ISBLANK(#REF!),tbl_Case_mins[[#This Row],[Surgery Start Date]],#REF!)</f>
        <v>#REF!</v>
      </c>
      <c r="Y99">
        <f>IFERROR(IF(VLOOKUP(tbl_Case_mins[[#This Row],[Theatre]],'Mng Theatres'!$C$7:$G$12,3,FALSE)="Yes","Yes","No"),0)</f>
        <v>0</v>
      </c>
      <c r="Z99" s="9" t="e" cm="1">
        <f t="array" ref="Z9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99" s="9" t="e" cm="1">
        <f t="array" ref="AA9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9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99" s="9" t="e">
        <f>IF(tbl_Case_mins[[#This Row],[Case Type]]="Unsch",1,0)</f>
        <v>#REF!</v>
      </c>
      <c r="AD99" s="9" t="e">
        <f>IF(tbl_Case_mins[[#This Row],[Case Type]]="Sch",1,0)</f>
        <v>#REF!</v>
      </c>
      <c r="AE9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99" s="9">
        <f>IFERROR(IF(ISBLANK(INDEX(Am_Close,MATCH(1,INDEX((tbl_Case_mins[[#This Row],[Theatre]]=Theatre_No)*(tbl_Case_mins[[#This Row],[Surgery Start Date]]=Date),0,1),0))*1440),0,INDEX(Am_Close,MATCH(1,INDEX((tbl_Case_mins[[#This Row],[Theatre]]=Theatre_No)*(tbl_Case_mins[[#This Row],[Surgery Start Date]]=Date),0,1),0))*1440),0)</f>
        <v>0</v>
      </c>
      <c r="AG99" s="9">
        <f>IFERROR(IF(ISBLANK(INDEX(PM_Open,MATCH(1,INDEX((tbl_Case_mins[[#This Row],[Theatre]]=Theatre_No)*(tbl_Case_mins[[#This Row],[Surgery Start Date]]=Date),0,1),0))*1440),0,INDEX(PM_Open,MATCH(1,INDEX((tbl_Case_mins[[#This Row],[Theatre]]=Theatre_No)*(tbl_Case_mins[[#This Row],[Surgery Start Date]]=Date),0,1),0))*1440),0)</f>
        <v>0</v>
      </c>
      <c r="AH9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99" s="9" t="e">
        <f>IF(tbl_Case_mins[[#This Row],[ThOpenAm]]=0,tbl_Case_mins[[#This Row],[ThOpenPM]],tbl_Case_mins[[#This Row],[ThOpenAm]])</f>
        <v>#REF!</v>
      </c>
      <c r="AJ99" s="9" t="e">
        <f>IF(tbl_Case_mins[[#This Row],[ThCloseAm]]&gt;0,IF(tbl_Case_mins[[#This Row],[ThOpenPM]]&gt;0,tbl_Case_mins[[#This Row],[ThClosePm]],tbl_Case_mins[[#This Row],[ThCloseAm]]),tbl_Case_mins[[#This Row],[ThClosePm]])</f>
        <v>#REF!</v>
      </c>
      <c r="AK99" s="9" t="e">
        <f>IF(tbl_Case_mins[[#This Row],[TOT]]&gt;0,1,0)</f>
        <v>#REF!</v>
      </c>
      <c r="AL9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99" s="9" t="e">
        <f>IF(AND(tbl_Case_mins[[#This Row],[Surgery Status]]&lt;&gt;2,tbl_Case_mins[[#This Row],[InCoreCase]]=0,tbl_Case_mins[[#This Row],[CancelledCase]]=0),1,0)</f>
        <v>#REF!</v>
      </c>
      <c r="AN99" s="9" t="e">
        <f>IF(tbl_Case_mins[[#This Row],[Surgery Status]]=1,1,0)</f>
        <v>#REF!</v>
      </c>
      <c r="AO9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99" s="9" t="e">
        <f>IF(AND(tbl_Case_mins[[#This Row],[NonCoreCase]]=1,tbl_Case_mins[[#This Row],[NoInCoreTime]]=0),1,0)</f>
        <v>#REF!</v>
      </c>
      <c r="AQ99" s="9" t="e">
        <f>IF(tbl_Case_mins[[#This Row],[Rank_AnaEnd]]&lt;tbl_Case_mins[[#This Row],[Rank_AnaSt]],1,0)</f>
        <v>#REF!</v>
      </c>
      <c r="AR99" s="9" t="e">
        <f>IF(AND(tbl_Case_mins[[#This Row],[InCoreCase]]=1,tbl_Case_mins[[#This Row],[Sch]]=1),1,0)</f>
        <v>#REF!</v>
      </c>
      <c r="AS99" s="9" t="e">
        <f>IF(AND(tbl_Case_mins[[#This Row],[InCoreCase]]=1,tbl_Case_mins[[#This Row],[Unsch]]=1),1,0)</f>
        <v>#REF!</v>
      </c>
      <c r="AT9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9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9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99" s="9" t="e">
        <f>IF(tbl_Case_mins[[#This Row],[Surgery Status]]=0,(tbl_Case_mins[[#This Row],[Anaesth End]]-tbl_Case_mins[[#This Row],[AnaesthStart]]),0)</f>
        <v>#REF!</v>
      </c>
      <c r="AX99" s="9" t="e">
        <f>IF(tbl_Case_mins[[#This Row],[Surgery Status]]=0,(tbl_Case_mins[[#This Row],[Surgery Finish]]-tbl_Case_mins[[#This Row],[Surgery Start]]),0)</f>
        <v>#REF!</v>
      </c>
      <c r="AY99" s="9" t="e">
        <f>tbl_Case_mins[[#This Row],[Surgery Start]]-tbl_Case_mins[[#This Row],[AnaesthStart]]</f>
        <v>#REF!</v>
      </c>
      <c r="AZ99" s="9" t="e">
        <f>tbl_Case_mins[[#This Row],[Anaesth End]]-tbl_Case_mins[[#This Row],[Surgery Finish]]</f>
        <v>#REF!</v>
      </c>
      <c r="BA9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9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99" s="16" cm="1">
        <f t="array" ref="BC9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99" s="16" t="e">
        <f>IF(AND(tbl_Case_mins[[#This Row],[FirstAMCase]]=1,tbl_Case_mins[[#This Row],[CancelledCase]]=0,OR(tbl_Case_mins[[#This Row],[EarlyStartAM]]&gt;0,tbl_Case_mins[[#This Row],[AnaesthStart]]=tbl_Case_mins[[#This Row],[ThOpenAm]])),1,0)</f>
        <v>#REF!</v>
      </c>
      <c r="BE99" s="16" t="e">
        <f>IF(AND(tbl_Case_mins[[#This Row],[Rank_AnaSt]]=tbl_Case_mins[[#This Row],[Min_RankAnaSt]],tbl_Case_mins[[#This Row],[Anaesth End]]&gt;=tbl_Case_mins[[#This Row],[ThOpenAm]],tbl_Case_mins[[#This Row],[PmCase]]=0),1,0)</f>
        <v>#REF!</v>
      </c>
      <c r="BF9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9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99" s="9" t="e" cm="1">
        <f t="array" ref="BH9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9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9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99" s="9" t="e">
        <f>IF(AND(tbl_Case_mins[[#This Row],[ThOpenPM]]&gt;0,tbl_Case_mins[[#This Row],[AnaesthStart]]&gt;tbl_Case_mins[[#This Row],[ThOpenPM]],tbl_Case_mins[[#This Row],[First PM Case]]=1),tbl_Case_mins[[#This Row],[AnaesthStart]]-tbl_Case_mins[[#This Row],[ThOpenPM]],0)</f>
        <v>#REF!</v>
      </c>
      <c r="BL9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9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99" s="9" t="e" cm="1">
        <f t="array" ref="BN9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99" s="9" t="e">
        <f>IF(AND(tbl_Case_mins[[#This Row],[ThClosePm]]&gt;0,tbl_Case_mins[[#This Row],[Anaesth End]]&gt;tbl_Case_mins[[#This Row],[ThClosePm]],tbl_Case_mins[[#This Row],[AnaesthStart]]&gt;tbl_Case_mins[[#This Row],[ThClosePm]]),tbl_Case_mins[[#This Row],[Into Recov]]-tbl_Case_mins[[#This Row],[AnaesthStart]],0)</f>
        <v>#REF!</v>
      </c>
      <c r="BP99" s="9" t="e">
        <f>IF(AND(tbl_Case_mins[[#This Row],[AnaesthStart]]&lt;tbl_Case_mins[[#This Row],[ThClosePm]],tbl_Case_mins[[#This Row],[Anaesth End]]&gt;tbl_Case_mins[[#This Row],[ThClosePm]]),tbl_Case_mins[[#This Row],[Anaesth End]]-tbl_Case_mins[[#This Row],[ThClosePm]],0)</f>
        <v>#REF!</v>
      </c>
      <c r="BQ99" s="9" t="e" cm="1">
        <f t="array" ref="BQ9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99" s="9" t="e" cm="1">
        <f t="array" ref="BR99">IF(tbl_Case_mins[[#This Row],[Rank_Adjust]]=SUMPRODUCT(-(tbl_Case_mins[Surgery Start Date]=tbl_Case_mins[[#This Row],[Surgery Start Date]]),-(tbl_Case_mins[Theatre]=tbl_Case_mins[[#This Row],[Theatre]])),INDEX(Poss_Time,MATCH(TEXT(tbl_Case_mins[[#This Row],[Surgery Start Date]],"ddd"),Day,0)),0)</f>
        <v>#REF!</v>
      </c>
      <c r="BS99" s="9" t="e">
        <f>tbl_Case_mins[[#This Row],[Core_Time]]*Util_Goal</f>
        <v>#REF!</v>
      </c>
      <c r="BT99" s="9" t="e" cm="1">
        <f t="array" ref="BT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99" s="9" t="e" cm="1">
        <f t="array" ref="BU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9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9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99" s="9" t="e">
        <f>IF(tbl_Case_mins[[#This Row],[Surgery End Date]]&gt;tbl_Case_mins[[#This Row],[Surgery Start Date]],tbl_Case_mins[[#This Row],[Anaesth End]]-1440,0)</f>
        <v>#REF!</v>
      </c>
      <c r="BY99" s="9" t="e">
        <f>tbl_Case_mins[[#This Row],[Total_NonCore]]-tbl_Case_mins[[#This Row],[NextDay_NonCore]]</f>
        <v>#REF!</v>
      </c>
      <c r="BZ99" s="10" t="e">
        <f>tbl_Case_mins[[#This Row],[InCoreUse]]/60</f>
        <v>#REF!</v>
      </c>
      <c r="CA99" s="10" t="e">
        <f>tbl_Case_mins[[#This Row],[Total_NonCore]]/60</f>
        <v>#REF!</v>
      </c>
      <c r="CB99" t="e" cm="1">
        <f t="array" ref="CB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99" s="9" t="e" cm="1">
        <f t="array" ref="CC9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99" s="9" t="e" cm="1">
        <f t="array" ref="CD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99" s="9" t="e" cm="1">
        <f t="array" ref="CE9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99" s="9" cm="1">
        <f t="array" ref="CF99">IFERROR(_xlfn.AGGREGATE(14,6,(tbl_Case_mins[Rank_AnaEnd])/((tbl_Case_mins[Surgery Start Date]=tbl_Case_mins[[#This Row],[Surgery Start Date]])*(tbl_Case_mins[Theatre]=tbl_Case_mins[[#This Row],[Theatre]])*(tbl_Case_mins[NoInCoreTime]=0)),1),-1)</f>
        <v>-1</v>
      </c>
      <c r="CG99" s="9" cm="1">
        <f t="array" ref="CG99">IFERROR(_xlfn.AGGREGATE(15,6,(tbl_Case_mins[Rank_AnaSt])/((tbl_Case_mins[Surgery Start Date]=tbl_Case_mins[[#This Row],[Surgery Start Date]])*(tbl_Case_mins[Theatre]=tbl_Case_mins[[#This Row],[Theatre]])*(tbl_Case_mins[NoInCoreTime]=0)),1),-1)</f>
        <v>-1</v>
      </c>
      <c r="CH9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9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99" t="e" cm="1">
        <f t="array" ref="CJ9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9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9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99" s="9" cm="1">
        <f t="array" ref="CO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99" s="9" cm="1">
        <f t="array" ref="CP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99" s="9" cm="1">
        <f t="array" ref="CQ99">IFERROR(IF(AND(tbl_Case_mins[[#This Row],[FirstAMCase]]=0,tbl_Case_mins[[#This Row],[Rank]]=_xlfn.AGGREGATE(14,6,(tbl_Case_mins[Rank])/((tbl_Case_mins[Surgery Start Date]=tbl_Case_mins[[#This Row],[Surgery Start Date]])*(tbl_Case_mins[Theatre]=tbl_Case_mins[[#This Row],[Theatre]])*(tbl_Case_mins[AmCase]=1)),1)),1,0),0)</f>
        <v>0</v>
      </c>
      <c r="CR99" s="9" cm="1">
        <f t="array" ref="CR9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99" s="9" t="e" cm="1">
        <f t="array" ref="CS9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99" s="9" cm="1">
        <f t="array" ref="CT99">IFERROR(IF(tbl_Case_mins[[#This Row],[Rank]]=_xlfn.AGGREGATE(15,6,(tbl_Case_mins[Rank])/((tbl_Case_mins[Surgery Start Date]=tbl_Case_mins[[#This Row],[Surgery Start Date]])*(tbl_Case_mins[Theatre]=tbl_Case_mins[[#This Row],[Theatre]])*(tbl_Case_mins[PmCase]=1)),1),1,0),0)</f>
        <v>0</v>
      </c>
      <c r="CU99">
        <f>IFERROR(#REF!,0)</f>
        <v>0</v>
      </c>
      <c r="CV99" s="9" t="e" cm="1">
        <f t="array" ref="CV9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99" s="9">
        <f>IFERROR(IF(ISBLANK(INDEX(Bay_AmClose,MATCH(1,INDEX((tbl_Case_mins[[#This Row],[Bay]]=BayNo)*(tbl_Case_mins[[#This Row],[Surgery Start Date]]=BDate),0,1),0))*1440),0,INDEX(Bay_AmClose,MATCH(1,INDEX((tbl_Case_mins[[#This Row],[Bay]]=BayNo)*(tbl_Case_mins[[#This Row],[Surgery Start Date]]=BDate),0,1),0))*1440),0)</f>
        <v>0</v>
      </c>
      <c r="CX99" s="9" cm="1">
        <f t="array" ref="CX99">IFERROR(IF(ISBLANK(INDEX(Bay_PmOpen,MATCH(1,INDEX((tbl_Case_mins[[#This Row],[Bay]]=BayNo)*(tbl_Case_mins[[#This Row],[Surgery Start Date]]=BDate),0,1),0))*1440),0,INDEX(Bay_PmOpen,MATCH(1,INDEX((tbl_Case_mins[[#This Row],[Bay]]=BayNo)*(tbl_Case_mins[[#This Row],[Surgery Start Date]]=BDate),0,1),0))*1440),0)</f>
        <v>0</v>
      </c>
      <c r="CY9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99" s="9"/>
    </row>
    <row r="100" spans="1:104" x14ac:dyDescent="0.2">
      <c r="A100">
        <v>99</v>
      </c>
      <c r="B100" t="e">
        <f>#REF!</f>
        <v>#REF!</v>
      </c>
      <c r="C100" t="e">
        <f>#REF!</f>
        <v>#REF!</v>
      </c>
      <c r="D100" t="e">
        <f>#REF!</f>
        <v>#REF!</v>
      </c>
      <c r="E100" t="e">
        <f>#REF!</f>
        <v>#REF!</v>
      </c>
      <c r="F100" t="e">
        <f>#REF!</f>
        <v>#REF!</v>
      </c>
      <c r="G100" t="e">
        <f>#REF!</f>
        <v>#REF!</v>
      </c>
      <c r="H100" t="e">
        <f>#REF!</f>
        <v>#REF!</v>
      </c>
      <c r="I100" t="e">
        <f>IF(#REF!="Case Cancelled",1,IF(#REF!="No Cases",2,0))</f>
        <v>#REF!</v>
      </c>
      <c r="J100" t="e">
        <f>#REF!</f>
        <v>#REF!</v>
      </c>
      <c r="K100" s="4" t="e">
        <f>#REF!</f>
        <v>#REF!</v>
      </c>
      <c r="L100" t="e">
        <f>"Wk "&amp;WEEKNUM(tbl_Case_mins[[#This Row],[Surgery Start Date]],21)</f>
        <v>#REF!</v>
      </c>
      <c r="M100" t="e">
        <f>TEXT(tbl_Case_mins[[#This Row],[Surgery Start Date]],"ddd")</f>
        <v>#REF!</v>
      </c>
      <c r="N100" s="9" t="e">
        <f>(#REF!-TIME(0,0,0))*1440</f>
        <v>#REF!</v>
      </c>
      <c r="O100" t="e">
        <f>IF(AND(ROUND((#REF!-TIME(0,0,0))*1440,0)&gt;0,ROUND((#REF!-TIME(0,0,0))*1440,0)&lt;tbl_Case_mins[[#This Row],[Patient Called]],tbl_Case_mins[[#This Row],[Surgery End Date]]&gt;tbl_Case_mins[[#This Row],[Surgery Start Date]]),ROUND((#REF!-TIME(0,0,0))*1440,0)+1440,ROUND((#REF!-TIME(0,0,0))*1440,0))</f>
        <v>#REF!</v>
      </c>
      <c r="P100" s="9" t="e">
        <f>IF(AND(ROUND((#REF!-TIME(0,0,0))*1440,0)&gt;0,ROUND((#REF!-TIME(0,0,0))*1440,0)&lt;tbl_Case_mins[[#This Row],[Arrival]],tbl_Case_mins[[#This Row],[Surgery End Date]]&gt;tbl_Case_mins[[#This Row],[Surgery Start Date]]),ROUND((#REF!-TIME(0,0,0))*1440,0)+1440,ROUND((#REF!-TIME(0,0,0))*1440,0))</f>
        <v>#REF!</v>
      </c>
      <c r="Q100" s="9" t="e">
        <f>IF(AND(ROUND((#REF!-TIME(0,0,0))*1440,0)&gt;0,ROUND((#REF!-TIME(0,0,0))*1440,0)&lt;tbl_Case_mins[[#This Row],[Into Th or AR]],tbl_Case_mins[[#This Row],[Surgery End Date]]&gt;tbl_Case_mins[[#This Row],[Surgery Start Date]]),ROUND((#REF!-TIME(0,0,0))*1440,0)+1440,ROUND((#REF!-TIME(0,0,0))*1440,0))</f>
        <v>#REF!</v>
      </c>
      <c r="R100" s="9" t="e">
        <f>IF(AND(ROUND((#REF!-TIME(0,0,0))*1440,0)&gt;0,ROUND((#REF!-TIME(0,0,0))*1440,0)&lt;tbl_Case_mins[[#This Row],[AnaesthStart]],tbl_Case_mins[[#This Row],[Surgery End Date]]&gt;tbl_Case_mins[[#This Row],[Surgery Start Date]]),ROUND((#REF!-TIME(0,0,0))*1440,0)+1440,ROUND((#REF!-TIME(0,0,0))*1440,0))</f>
        <v>#REF!</v>
      </c>
      <c r="S100" s="9" t="e">
        <f>IF(AND(ROUND((#REF!-TIME(0,0,0))*1440,0),ROUND((#REF!-TIME(0,0,0))*1440,0)&lt;tbl_Case_mins[[#This Row],[Surgery Start]],tbl_Case_mins[[#This Row],[Surgery End Date]]&gt;tbl_Case_mins[[#This Row],[Surgery Start Date]]),ROUND((#REF!-TIME(0,0,0))*1440,0)+1440,ROUND((#REF!-TIME(0,0,0))*1440,0))</f>
        <v>#REF!</v>
      </c>
      <c r="T100" s="9" t="e">
        <f>IF(AND(ROUND((#REF!-TIME(0,0,0))*1440,0)&gt;0,ROUND((#REF!-TIME(0,0,0))*1440,0)&lt;tbl_Case_mins[[#This Row],[Surgery Finish]],tbl_Case_mins[[#This Row],[Surgery End Date]]&gt;tbl_Case_mins[[#This Row],[Surgery Start Date]]),ROUND((#REF!-TIME(0,0,0))*1440,0)+1440,ROUND((#REF!-TIME(0,0,0))*1440,0))</f>
        <v>#REF!</v>
      </c>
      <c r="U100" s="9" t="e">
        <f>IF(AND(ROUND((#REF!-TIME(0,0,0))*1440,0)&gt;0,ROUND((#REF!-TIME(0,0,0))*1440,0)&lt;tbl_Case_mins[[#This Row],[Anaesth End]],tbl_Case_mins[[#This Row],[Surgery End Date]]&gt;tbl_Case_mins[[#This Row],[Surgery Start Date]]),ROUND((#REF!-TIME(0,0,0))*1440,0)+1440,ROUND((#REF!-TIME(0,0,0))*1440,0))</f>
        <v>#REF!</v>
      </c>
      <c r="V100" s="9" t="e">
        <f>IF(AND(ROUND((#REF!-TIME(0,0,0))*1440,0)&gt;0,ROUND((#REF!-TIME(0,0,0))*1440,0)&lt;tbl_Case_mins[[#This Row],[Into Recov]],tbl_Case_mins[[#This Row],[Surgery End Date]]&gt;tbl_Case_mins[[#This Row],[Surgery Start Date]]),ROUND((#REF!-TIME(0,0,0))*1440,0)+1440,ROUND((#REF!-TIME(0,0,0))*1440,0))</f>
        <v>#REF!</v>
      </c>
      <c r="W100" s="9" t="e">
        <f>IF(AND(ROUND((#REF!-TIME(0,0,0))*1440,0)&gt;0,ROUND((#REF!-TIME(0,0,0))*1440,0)&lt;tbl_Case_mins[[#This Row],[Ward Called]],tbl_Case_mins[[#This Row],[Surgery End Date]]&gt;tbl_Case_mins[[#This Row],[Surgery Start Date]]),ROUND((#REF!-TIME(0,0,0))*1440,0)+1440,ROUND((#REF!-TIME(0,0,0))*1440,0))</f>
        <v>#REF!</v>
      </c>
      <c r="X100" s="4" t="e">
        <f>IF(ISBLANK(#REF!),tbl_Case_mins[[#This Row],[Surgery Start Date]],#REF!)</f>
        <v>#REF!</v>
      </c>
      <c r="Y100">
        <f>IFERROR(IF(VLOOKUP(tbl_Case_mins[[#This Row],[Theatre]],'Mng Theatres'!$C$7:$G$12,3,FALSE)="Yes","Yes","No"),0)</f>
        <v>0</v>
      </c>
      <c r="Z100" s="9" t="e" cm="1">
        <f t="array" ref="Z10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0" s="9" t="e" cm="1">
        <f t="array" ref="AA10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0" s="9" t="e">
        <f>IF(tbl_Case_mins[[#This Row],[Case Type]]="Unsch",1,0)</f>
        <v>#REF!</v>
      </c>
      <c r="AD100" s="9" t="e">
        <f>IF(tbl_Case_mins[[#This Row],[Case Type]]="Sch",1,0)</f>
        <v>#REF!</v>
      </c>
      <c r="AE10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0" s="9">
        <f>IFERROR(IF(ISBLANK(INDEX(Am_Close,MATCH(1,INDEX((tbl_Case_mins[[#This Row],[Theatre]]=Theatre_No)*(tbl_Case_mins[[#This Row],[Surgery Start Date]]=Date),0,1),0))*1440),0,INDEX(Am_Close,MATCH(1,INDEX((tbl_Case_mins[[#This Row],[Theatre]]=Theatre_No)*(tbl_Case_mins[[#This Row],[Surgery Start Date]]=Date),0,1),0))*1440),0)</f>
        <v>0</v>
      </c>
      <c r="AG100" s="9">
        <f>IFERROR(IF(ISBLANK(INDEX(PM_Open,MATCH(1,INDEX((tbl_Case_mins[[#This Row],[Theatre]]=Theatre_No)*(tbl_Case_mins[[#This Row],[Surgery Start Date]]=Date),0,1),0))*1440),0,INDEX(PM_Open,MATCH(1,INDEX((tbl_Case_mins[[#This Row],[Theatre]]=Theatre_No)*(tbl_Case_mins[[#This Row],[Surgery Start Date]]=Date),0,1),0))*1440),0)</f>
        <v>0</v>
      </c>
      <c r="AH10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0" s="9" t="e">
        <f>IF(tbl_Case_mins[[#This Row],[ThOpenAm]]=0,tbl_Case_mins[[#This Row],[ThOpenPM]],tbl_Case_mins[[#This Row],[ThOpenAm]])</f>
        <v>#REF!</v>
      </c>
      <c r="AJ100" s="9" t="e">
        <f>IF(tbl_Case_mins[[#This Row],[ThCloseAm]]&gt;0,IF(tbl_Case_mins[[#This Row],[ThOpenPM]]&gt;0,tbl_Case_mins[[#This Row],[ThClosePm]],tbl_Case_mins[[#This Row],[ThCloseAm]]),tbl_Case_mins[[#This Row],[ThClosePm]])</f>
        <v>#REF!</v>
      </c>
      <c r="AK100" s="9" t="e">
        <f>IF(tbl_Case_mins[[#This Row],[TOT]]&gt;0,1,0)</f>
        <v>#REF!</v>
      </c>
      <c r="AL10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0" s="9" t="e">
        <f>IF(AND(tbl_Case_mins[[#This Row],[Surgery Status]]&lt;&gt;2,tbl_Case_mins[[#This Row],[InCoreCase]]=0,tbl_Case_mins[[#This Row],[CancelledCase]]=0),1,0)</f>
        <v>#REF!</v>
      </c>
      <c r="AN100" s="9" t="e">
        <f>IF(tbl_Case_mins[[#This Row],[Surgery Status]]=1,1,0)</f>
        <v>#REF!</v>
      </c>
      <c r="AO10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0" s="9" t="e">
        <f>IF(AND(tbl_Case_mins[[#This Row],[NonCoreCase]]=1,tbl_Case_mins[[#This Row],[NoInCoreTime]]=0),1,0)</f>
        <v>#REF!</v>
      </c>
      <c r="AQ100" s="9" t="e">
        <f>IF(tbl_Case_mins[[#This Row],[Rank_AnaEnd]]&lt;tbl_Case_mins[[#This Row],[Rank_AnaSt]],1,0)</f>
        <v>#REF!</v>
      </c>
      <c r="AR100" s="9" t="e">
        <f>IF(AND(tbl_Case_mins[[#This Row],[InCoreCase]]=1,tbl_Case_mins[[#This Row],[Sch]]=1),1,0)</f>
        <v>#REF!</v>
      </c>
      <c r="AS100" s="9" t="e">
        <f>IF(AND(tbl_Case_mins[[#This Row],[InCoreCase]]=1,tbl_Case_mins[[#This Row],[Unsch]]=1),1,0)</f>
        <v>#REF!</v>
      </c>
      <c r="AT10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0" s="9" t="e">
        <f>IF(tbl_Case_mins[[#This Row],[Surgery Status]]=0,(tbl_Case_mins[[#This Row],[Anaesth End]]-tbl_Case_mins[[#This Row],[AnaesthStart]]),0)</f>
        <v>#REF!</v>
      </c>
      <c r="AX100" s="9" t="e">
        <f>IF(tbl_Case_mins[[#This Row],[Surgery Status]]=0,(tbl_Case_mins[[#This Row],[Surgery Finish]]-tbl_Case_mins[[#This Row],[Surgery Start]]),0)</f>
        <v>#REF!</v>
      </c>
      <c r="AY100" s="9" t="e">
        <f>tbl_Case_mins[[#This Row],[Surgery Start]]-tbl_Case_mins[[#This Row],[AnaesthStart]]</f>
        <v>#REF!</v>
      </c>
      <c r="AZ100" s="9" t="e">
        <f>tbl_Case_mins[[#This Row],[Anaesth End]]-tbl_Case_mins[[#This Row],[Surgery Finish]]</f>
        <v>#REF!</v>
      </c>
      <c r="BA10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0" s="16" cm="1">
        <f t="array" ref="BC10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0" s="16" t="e">
        <f>IF(AND(tbl_Case_mins[[#This Row],[FirstAMCase]]=1,tbl_Case_mins[[#This Row],[CancelledCase]]=0,OR(tbl_Case_mins[[#This Row],[EarlyStartAM]]&gt;0,tbl_Case_mins[[#This Row],[AnaesthStart]]=tbl_Case_mins[[#This Row],[ThOpenAm]])),1,0)</f>
        <v>#REF!</v>
      </c>
      <c r="BE100" s="16" t="e">
        <f>IF(AND(tbl_Case_mins[[#This Row],[Rank_AnaSt]]=tbl_Case_mins[[#This Row],[Min_RankAnaSt]],tbl_Case_mins[[#This Row],[Anaesth End]]&gt;=tbl_Case_mins[[#This Row],[ThOpenAm]],tbl_Case_mins[[#This Row],[PmCase]]=0),1,0)</f>
        <v>#REF!</v>
      </c>
      <c r="BF10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0" s="9" t="e" cm="1">
        <f t="array" ref="BH10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0" s="9" t="e">
        <f>IF(AND(tbl_Case_mins[[#This Row],[ThOpenPM]]&gt;0,tbl_Case_mins[[#This Row],[AnaesthStart]]&gt;tbl_Case_mins[[#This Row],[ThOpenPM]],tbl_Case_mins[[#This Row],[First PM Case]]=1),tbl_Case_mins[[#This Row],[AnaesthStart]]-tbl_Case_mins[[#This Row],[ThOpenPM]],0)</f>
        <v>#REF!</v>
      </c>
      <c r="BL10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0" s="9" t="e" cm="1">
        <f t="array" ref="BN10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0" s="9" t="e">
        <f>IF(AND(tbl_Case_mins[[#This Row],[ThClosePm]]&gt;0,tbl_Case_mins[[#This Row],[Anaesth End]]&gt;tbl_Case_mins[[#This Row],[ThClosePm]],tbl_Case_mins[[#This Row],[AnaesthStart]]&gt;tbl_Case_mins[[#This Row],[ThClosePm]]),tbl_Case_mins[[#This Row],[Into Recov]]-tbl_Case_mins[[#This Row],[AnaesthStart]],0)</f>
        <v>#REF!</v>
      </c>
      <c r="BP100" s="9" t="e">
        <f>IF(AND(tbl_Case_mins[[#This Row],[AnaesthStart]]&lt;tbl_Case_mins[[#This Row],[ThClosePm]],tbl_Case_mins[[#This Row],[Anaesth End]]&gt;tbl_Case_mins[[#This Row],[ThClosePm]]),tbl_Case_mins[[#This Row],[Anaesth End]]-tbl_Case_mins[[#This Row],[ThClosePm]],0)</f>
        <v>#REF!</v>
      </c>
      <c r="BQ100" s="9" t="e" cm="1">
        <f t="array" ref="BQ10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0" s="9" t="e" cm="1">
        <f t="array" ref="BR100">IF(tbl_Case_mins[[#This Row],[Rank_Adjust]]=SUMPRODUCT(-(tbl_Case_mins[Surgery Start Date]=tbl_Case_mins[[#This Row],[Surgery Start Date]]),-(tbl_Case_mins[Theatre]=tbl_Case_mins[[#This Row],[Theatre]])),INDEX(Poss_Time,MATCH(TEXT(tbl_Case_mins[[#This Row],[Surgery Start Date]],"ddd"),Day,0)),0)</f>
        <v>#REF!</v>
      </c>
      <c r="BS100" s="9" t="e">
        <f>tbl_Case_mins[[#This Row],[Core_Time]]*Util_Goal</f>
        <v>#REF!</v>
      </c>
      <c r="BT100" s="9" t="e" cm="1">
        <f t="array" ref="BT1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0" s="9" t="e" cm="1">
        <f t="array" ref="BU1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0" s="9" t="e">
        <f>IF(tbl_Case_mins[[#This Row],[Surgery End Date]]&gt;tbl_Case_mins[[#This Row],[Surgery Start Date]],tbl_Case_mins[[#This Row],[Anaesth End]]-1440,0)</f>
        <v>#REF!</v>
      </c>
      <c r="BY100" s="9" t="e">
        <f>tbl_Case_mins[[#This Row],[Total_NonCore]]-tbl_Case_mins[[#This Row],[NextDay_NonCore]]</f>
        <v>#REF!</v>
      </c>
      <c r="BZ100" s="10" t="e">
        <f>tbl_Case_mins[[#This Row],[InCoreUse]]/60</f>
        <v>#REF!</v>
      </c>
      <c r="CA100" s="10" t="e">
        <f>tbl_Case_mins[[#This Row],[Total_NonCore]]/60</f>
        <v>#REF!</v>
      </c>
      <c r="CB100" t="e" cm="1">
        <f t="array" ref="CB1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0" s="9" t="e" cm="1">
        <f t="array" ref="CC10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0" s="9" t="e" cm="1">
        <f t="array" ref="CD1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0" s="9" t="e" cm="1">
        <f t="array" ref="CE10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0" s="9" cm="1">
        <f t="array" ref="CF100">IFERROR(_xlfn.AGGREGATE(14,6,(tbl_Case_mins[Rank_AnaEnd])/((tbl_Case_mins[Surgery Start Date]=tbl_Case_mins[[#This Row],[Surgery Start Date]])*(tbl_Case_mins[Theatre]=tbl_Case_mins[[#This Row],[Theatre]])*(tbl_Case_mins[NoInCoreTime]=0)),1),-1)</f>
        <v>-1</v>
      </c>
      <c r="CG100" s="9" cm="1">
        <f t="array" ref="CG100">IFERROR(_xlfn.AGGREGATE(15,6,(tbl_Case_mins[Rank_AnaSt])/((tbl_Case_mins[Surgery Start Date]=tbl_Case_mins[[#This Row],[Surgery Start Date]])*(tbl_Case_mins[Theatre]=tbl_Case_mins[[#This Row],[Theatre]])*(tbl_Case_mins[NoInCoreTime]=0)),1),-1)</f>
        <v>-1</v>
      </c>
      <c r="CH10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0" t="e" cm="1">
        <f t="array" ref="CJ10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0" s="9" cm="1">
        <f t="array" ref="CO1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0" s="9" cm="1">
        <f t="array" ref="CP1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0" s="9" cm="1">
        <f t="array" ref="CQ100">IFERROR(IF(AND(tbl_Case_mins[[#This Row],[FirstAMCase]]=0,tbl_Case_mins[[#This Row],[Rank]]=_xlfn.AGGREGATE(14,6,(tbl_Case_mins[Rank])/((tbl_Case_mins[Surgery Start Date]=tbl_Case_mins[[#This Row],[Surgery Start Date]])*(tbl_Case_mins[Theatre]=tbl_Case_mins[[#This Row],[Theatre]])*(tbl_Case_mins[AmCase]=1)),1)),1,0),0)</f>
        <v>0</v>
      </c>
      <c r="CR100" s="9" cm="1">
        <f t="array" ref="CR10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0" s="9" t="e" cm="1">
        <f t="array" ref="CS10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0" s="9" cm="1">
        <f t="array" ref="CT100">IFERROR(IF(tbl_Case_mins[[#This Row],[Rank]]=_xlfn.AGGREGATE(15,6,(tbl_Case_mins[Rank])/((tbl_Case_mins[Surgery Start Date]=tbl_Case_mins[[#This Row],[Surgery Start Date]])*(tbl_Case_mins[Theatre]=tbl_Case_mins[[#This Row],[Theatre]])*(tbl_Case_mins[PmCase]=1)),1),1,0),0)</f>
        <v>0</v>
      </c>
      <c r="CU100">
        <f>IFERROR(#REF!,0)</f>
        <v>0</v>
      </c>
      <c r="CV100" s="9" t="e" cm="1">
        <f t="array" ref="CV10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0" s="9">
        <f>IFERROR(IF(ISBLANK(INDEX(Bay_AmClose,MATCH(1,INDEX((tbl_Case_mins[[#This Row],[Bay]]=BayNo)*(tbl_Case_mins[[#This Row],[Surgery Start Date]]=BDate),0,1),0))*1440),0,INDEX(Bay_AmClose,MATCH(1,INDEX((tbl_Case_mins[[#This Row],[Bay]]=BayNo)*(tbl_Case_mins[[#This Row],[Surgery Start Date]]=BDate),0,1),0))*1440),0)</f>
        <v>0</v>
      </c>
      <c r="CX100" s="9" cm="1">
        <f t="array" ref="CX100">IFERROR(IF(ISBLANK(INDEX(Bay_PmOpen,MATCH(1,INDEX((tbl_Case_mins[[#This Row],[Bay]]=BayNo)*(tbl_Case_mins[[#This Row],[Surgery Start Date]]=BDate),0,1),0))*1440),0,INDEX(Bay_PmOpen,MATCH(1,INDEX((tbl_Case_mins[[#This Row],[Bay]]=BayNo)*(tbl_Case_mins[[#This Row],[Surgery Start Date]]=BDate),0,1),0))*1440),0)</f>
        <v>0</v>
      </c>
      <c r="CY10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0" s="9"/>
    </row>
    <row r="101" spans="1:104" x14ac:dyDescent="0.2">
      <c r="A101">
        <v>100</v>
      </c>
      <c r="B101" t="e">
        <f>#REF!</f>
        <v>#REF!</v>
      </c>
      <c r="C101" t="e">
        <f>#REF!</f>
        <v>#REF!</v>
      </c>
      <c r="D101" t="e">
        <f>#REF!</f>
        <v>#REF!</v>
      </c>
      <c r="E101" t="e">
        <f>#REF!</f>
        <v>#REF!</v>
      </c>
      <c r="F101" t="e">
        <f>#REF!</f>
        <v>#REF!</v>
      </c>
      <c r="G101" t="e">
        <f>#REF!</f>
        <v>#REF!</v>
      </c>
      <c r="H101" t="e">
        <f>#REF!</f>
        <v>#REF!</v>
      </c>
      <c r="I101" t="e">
        <f>IF(#REF!="Case Cancelled",1,IF(#REF!="No Cases",2,0))</f>
        <v>#REF!</v>
      </c>
      <c r="J101" t="e">
        <f>#REF!</f>
        <v>#REF!</v>
      </c>
      <c r="K101" s="4" t="e">
        <f>#REF!</f>
        <v>#REF!</v>
      </c>
      <c r="L101" t="e">
        <f>"Wk "&amp;WEEKNUM(tbl_Case_mins[[#This Row],[Surgery Start Date]],21)</f>
        <v>#REF!</v>
      </c>
      <c r="M101" t="e">
        <f>TEXT(tbl_Case_mins[[#This Row],[Surgery Start Date]],"ddd")</f>
        <v>#REF!</v>
      </c>
      <c r="N101" s="9" t="e">
        <f>(#REF!-TIME(0,0,0))*1440</f>
        <v>#REF!</v>
      </c>
      <c r="O101" t="e">
        <f>IF(AND(ROUND((#REF!-TIME(0,0,0))*1440,0)&gt;0,ROUND((#REF!-TIME(0,0,0))*1440,0)&lt;tbl_Case_mins[[#This Row],[Patient Called]],tbl_Case_mins[[#This Row],[Surgery End Date]]&gt;tbl_Case_mins[[#This Row],[Surgery Start Date]]),ROUND((#REF!-TIME(0,0,0))*1440,0)+1440,ROUND((#REF!-TIME(0,0,0))*1440,0))</f>
        <v>#REF!</v>
      </c>
      <c r="P101" s="9" t="e">
        <f>IF(AND(ROUND((#REF!-TIME(0,0,0))*1440,0)&gt;0,ROUND((#REF!-TIME(0,0,0))*1440,0)&lt;tbl_Case_mins[[#This Row],[Arrival]],tbl_Case_mins[[#This Row],[Surgery End Date]]&gt;tbl_Case_mins[[#This Row],[Surgery Start Date]]),ROUND((#REF!-TIME(0,0,0))*1440,0)+1440,ROUND((#REF!-TIME(0,0,0))*1440,0))</f>
        <v>#REF!</v>
      </c>
      <c r="Q101" s="9" t="e">
        <f>IF(AND(ROUND((#REF!-TIME(0,0,0))*1440,0)&gt;0,ROUND((#REF!-TIME(0,0,0))*1440,0)&lt;tbl_Case_mins[[#This Row],[Into Th or AR]],tbl_Case_mins[[#This Row],[Surgery End Date]]&gt;tbl_Case_mins[[#This Row],[Surgery Start Date]]),ROUND((#REF!-TIME(0,0,0))*1440,0)+1440,ROUND((#REF!-TIME(0,0,0))*1440,0))</f>
        <v>#REF!</v>
      </c>
      <c r="R101" s="9" t="e">
        <f>IF(AND(ROUND((#REF!-TIME(0,0,0))*1440,0)&gt;0,ROUND((#REF!-TIME(0,0,0))*1440,0)&lt;tbl_Case_mins[[#This Row],[AnaesthStart]],tbl_Case_mins[[#This Row],[Surgery End Date]]&gt;tbl_Case_mins[[#This Row],[Surgery Start Date]]),ROUND((#REF!-TIME(0,0,0))*1440,0)+1440,ROUND((#REF!-TIME(0,0,0))*1440,0))</f>
        <v>#REF!</v>
      </c>
      <c r="S101" s="9" t="e">
        <f>IF(AND(ROUND((#REF!-TIME(0,0,0))*1440,0),ROUND((#REF!-TIME(0,0,0))*1440,0)&lt;tbl_Case_mins[[#This Row],[Surgery Start]],tbl_Case_mins[[#This Row],[Surgery End Date]]&gt;tbl_Case_mins[[#This Row],[Surgery Start Date]]),ROUND((#REF!-TIME(0,0,0))*1440,0)+1440,ROUND((#REF!-TIME(0,0,0))*1440,0))</f>
        <v>#REF!</v>
      </c>
      <c r="T101" s="9" t="e">
        <f>IF(AND(ROUND((#REF!-TIME(0,0,0))*1440,0)&gt;0,ROUND((#REF!-TIME(0,0,0))*1440,0)&lt;tbl_Case_mins[[#This Row],[Surgery Finish]],tbl_Case_mins[[#This Row],[Surgery End Date]]&gt;tbl_Case_mins[[#This Row],[Surgery Start Date]]),ROUND((#REF!-TIME(0,0,0))*1440,0)+1440,ROUND((#REF!-TIME(0,0,0))*1440,0))</f>
        <v>#REF!</v>
      </c>
      <c r="U101" s="9" t="e">
        <f>IF(AND(ROUND((#REF!-TIME(0,0,0))*1440,0)&gt;0,ROUND((#REF!-TIME(0,0,0))*1440,0)&lt;tbl_Case_mins[[#This Row],[Anaesth End]],tbl_Case_mins[[#This Row],[Surgery End Date]]&gt;tbl_Case_mins[[#This Row],[Surgery Start Date]]),ROUND((#REF!-TIME(0,0,0))*1440,0)+1440,ROUND((#REF!-TIME(0,0,0))*1440,0))</f>
        <v>#REF!</v>
      </c>
      <c r="V101" s="9" t="e">
        <f>IF(AND(ROUND((#REF!-TIME(0,0,0))*1440,0)&gt;0,ROUND((#REF!-TIME(0,0,0))*1440,0)&lt;tbl_Case_mins[[#This Row],[Into Recov]],tbl_Case_mins[[#This Row],[Surgery End Date]]&gt;tbl_Case_mins[[#This Row],[Surgery Start Date]]),ROUND((#REF!-TIME(0,0,0))*1440,0)+1440,ROUND((#REF!-TIME(0,0,0))*1440,0))</f>
        <v>#REF!</v>
      </c>
      <c r="W101" s="9" t="e">
        <f>IF(AND(ROUND((#REF!-TIME(0,0,0))*1440,0)&gt;0,ROUND((#REF!-TIME(0,0,0))*1440,0)&lt;tbl_Case_mins[[#This Row],[Ward Called]],tbl_Case_mins[[#This Row],[Surgery End Date]]&gt;tbl_Case_mins[[#This Row],[Surgery Start Date]]),ROUND((#REF!-TIME(0,0,0))*1440,0)+1440,ROUND((#REF!-TIME(0,0,0))*1440,0))</f>
        <v>#REF!</v>
      </c>
      <c r="X101" s="4" t="e">
        <f>IF(ISBLANK(#REF!),tbl_Case_mins[[#This Row],[Surgery Start Date]],#REF!)</f>
        <v>#REF!</v>
      </c>
      <c r="Y101">
        <f>IFERROR(IF(VLOOKUP(tbl_Case_mins[[#This Row],[Theatre]],'Mng Theatres'!$C$7:$G$12,3,FALSE)="Yes","Yes","No"),0)</f>
        <v>0</v>
      </c>
      <c r="Z101" s="9" t="e" cm="1">
        <f t="array" ref="Z10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1" s="9" t="e" cm="1">
        <f t="array" ref="AA10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1" s="9" t="e">
        <f>IF(tbl_Case_mins[[#This Row],[Case Type]]="Unsch",1,0)</f>
        <v>#REF!</v>
      </c>
      <c r="AD101" s="9" t="e">
        <f>IF(tbl_Case_mins[[#This Row],[Case Type]]="Sch",1,0)</f>
        <v>#REF!</v>
      </c>
      <c r="AE10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1" s="9">
        <f>IFERROR(IF(ISBLANK(INDEX(Am_Close,MATCH(1,INDEX((tbl_Case_mins[[#This Row],[Theatre]]=Theatre_No)*(tbl_Case_mins[[#This Row],[Surgery Start Date]]=Date),0,1),0))*1440),0,INDEX(Am_Close,MATCH(1,INDEX((tbl_Case_mins[[#This Row],[Theatre]]=Theatre_No)*(tbl_Case_mins[[#This Row],[Surgery Start Date]]=Date),0,1),0))*1440),0)</f>
        <v>0</v>
      </c>
      <c r="AG101" s="9">
        <f>IFERROR(IF(ISBLANK(INDEX(PM_Open,MATCH(1,INDEX((tbl_Case_mins[[#This Row],[Theatre]]=Theatre_No)*(tbl_Case_mins[[#This Row],[Surgery Start Date]]=Date),0,1),0))*1440),0,INDEX(PM_Open,MATCH(1,INDEX((tbl_Case_mins[[#This Row],[Theatre]]=Theatre_No)*(tbl_Case_mins[[#This Row],[Surgery Start Date]]=Date),0,1),0))*1440),0)</f>
        <v>0</v>
      </c>
      <c r="AH10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1" s="9" t="e">
        <f>IF(tbl_Case_mins[[#This Row],[ThOpenAm]]=0,tbl_Case_mins[[#This Row],[ThOpenPM]],tbl_Case_mins[[#This Row],[ThOpenAm]])</f>
        <v>#REF!</v>
      </c>
      <c r="AJ101" s="9" t="e">
        <f>IF(tbl_Case_mins[[#This Row],[ThCloseAm]]&gt;0,IF(tbl_Case_mins[[#This Row],[ThOpenPM]]&gt;0,tbl_Case_mins[[#This Row],[ThClosePm]],tbl_Case_mins[[#This Row],[ThCloseAm]]),tbl_Case_mins[[#This Row],[ThClosePm]])</f>
        <v>#REF!</v>
      </c>
      <c r="AK101" s="9" t="e">
        <f>IF(tbl_Case_mins[[#This Row],[TOT]]&gt;0,1,0)</f>
        <v>#REF!</v>
      </c>
      <c r="AL10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1" s="9" t="e">
        <f>IF(AND(tbl_Case_mins[[#This Row],[Surgery Status]]&lt;&gt;2,tbl_Case_mins[[#This Row],[InCoreCase]]=0,tbl_Case_mins[[#This Row],[CancelledCase]]=0),1,0)</f>
        <v>#REF!</v>
      </c>
      <c r="AN101" s="9" t="e">
        <f>IF(tbl_Case_mins[[#This Row],[Surgery Status]]=1,1,0)</f>
        <v>#REF!</v>
      </c>
      <c r="AO10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1" s="9" t="e">
        <f>IF(AND(tbl_Case_mins[[#This Row],[NonCoreCase]]=1,tbl_Case_mins[[#This Row],[NoInCoreTime]]=0),1,0)</f>
        <v>#REF!</v>
      </c>
      <c r="AQ101" s="9" t="e">
        <f>IF(tbl_Case_mins[[#This Row],[Rank_AnaEnd]]&lt;tbl_Case_mins[[#This Row],[Rank_AnaSt]],1,0)</f>
        <v>#REF!</v>
      </c>
      <c r="AR101" s="9" t="e">
        <f>IF(AND(tbl_Case_mins[[#This Row],[InCoreCase]]=1,tbl_Case_mins[[#This Row],[Sch]]=1),1,0)</f>
        <v>#REF!</v>
      </c>
      <c r="AS101" s="9" t="e">
        <f>IF(AND(tbl_Case_mins[[#This Row],[InCoreCase]]=1,tbl_Case_mins[[#This Row],[Unsch]]=1),1,0)</f>
        <v>#REF!</v>
      </c>
      <c r="AT10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1" s="9" t="e">
        <f>IF(tbl_Case_mins[[#This Row],[Surgery Status]]=0,(tbl_Case_mins[[#This Row],[Anaesth End]]-tbl_Case_mins[[#This Row],[AnaesthStart]]),0)</f>
        <v>#REF!</v>
      </c>
      <c r="AX101" s="9" t="e">
        <f>IF(tbl_Case_mins[[#This Row],[Surgery Status]]=0,(tbl_Case_mins[[#This Row],[Surgery Finish]]-tbl_Case_mins[[#This Row],[Surgery Start]]),0)</f>
        <v>#REF!</v>
      </c>
      <c r="AY101" s="9" t="e">
        <f>tbl_Case_mins[[#This Row],[Surgery Start]]-tbl_Case_mins[[#This Row],[AnaesthStart]]</f>
        <v>#REF!</v>
      </c>
      <c r="AZ101" s="9" t="e">
        <f>tbl_Case_mins[[#This Row],[Anaesth End]]-tbl_Case_mins[[#This Row],[Surgery Finish]]</f>
        <v>#REF!</v>
      </c>
      <c r="BA10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1" s="16" cm="1">
        <f t="array" ref="BC10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1" s="16" t="e">
        <f>IF(AND(tbl_Case_mins[[#This Row],[FirstAMCase]]=1,tbl_Case_mins[[#This Row],[CancelledCase]]=0,OR(tbl_Case_mins[[#This Row],[EarlyStartAM]]&gt;0,tbl_Case_mins[[#This Row],[AnaesthStart]]=tbl_Case_mins[[#This Row],[ThOpenAm]])),1,0)</f>
        <v>#REF!</v>
      </c>
      <c r="BE101" s="16" t="e">
        <f>IF(AND(tbl_Case_mins[[#This Row],[Rank_AnaSt]]=tbl_Case_mins[[#This Row],[Min_RankAnaSt]],tbl_Case_mins[[#This Row],[Anaesth End]]&gt;=tbl_Case_mins[[#This Row],[ThOpenAm]],tbl_Case_mins[[#This Row],[PmCase]]=0),1,0)</f>
        <v>#REF!</v>
      </c>
      <c r="BF10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1" s="9" t="e" cm="1">
        <f t="array" ref="BH10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1" s="9" t="e">
        <f>IF(AND(tbl_Case_mins[[#This Row],[ThOpenPM]]&gt;0,tbl_Case_mins[[#This Row],[AnaesthStart]]&gt;tbl_Case_mins[[#This Row],[ThOpenPM]],tbl_Case_mins[[#This Row],[First PM Case]]=1),tbl_Case_mins[[#This Row],[AnaesthStart]]-tbl_Case_mins[[#This Row],[ThOpenPM]],0)</f>
        <v>#REF!</v>
      </c>
      <c r="BL10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1" s="9" t="e" cm="1">
        <f t="array" ref="BN10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1" s="9" t="e">
        <f>IF(AND(tbl_Case_mins[[#This Row],[ThClosePm]]&gt;0,tbl_Case_mins[[#This Row],[Anaesth End]]&gt;tbl_Case_mins[[#This Row],[ThClosePm]],tbl_Case_mins[[#This Row],[AnaesthStart]]&gt;tbl_Case_mins[[#This Row],[ThClosePm]]),tbl_Case_mins[[#This Row],[Into Recov]]-tbl_Case_mins[[#This Row],[AnaesthStart]],0)</f>
        <v>#REF!</v>
      </c>
      <c r="BP101" s="9" t="e">
        <f>IF(AND(tbl_Case_mins[[#This Row],[AnaesthStart]]&lt;tbl_Case_mins[[#This Row],[ThClosePm]],tbl_Case_mins[[#This Row],[Anaesth End]]&gt;tbl_Case_mins[[#This Row],[ThClosePm]]),tbl_Case_mins[[#This Row],[Anaesth End]]-tbl_Case_mins[[#This Row],[ThClosePm]],0)</f>
        <v>#REF!</v>
      </c>
      <c r="BQ101" s="9" t="e" cm="1">
        <f t="array" ref="BQ10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1" s="9" t="e" cm="1">
        <f t="array" ref="BR101">IF(tbl_Case_mins[[#This Row],[Rank_Adjust]]=SUMPRODUCT(-(tbl_Case_mins[Surgery Start Date]=tbl_Case_mins[[#This Row],[Surgery Start Date]]),-(tbl_Case_mins[Theatre]=tbl_Case_mins[[#This Row],[Theatre]])),INDEX(Poss_Time,MATCH(TEXT(tbl_Case_mins[[#This Row],[Surgery Start Date]],"ddd"),Day,0)),0)</f>
        <v>#REF!</v>
      </c>
      <c r="BS101" s="9" t="e">
        <f>tbl_Case_mins[[#This Row],[Core_Time]]*Util_Goal</f>
        <v>#REF!</v>
      </c>
      <c r="BT101" s="9" t="e" cm="1">
        <f t="array" ref="BT1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1" s="9" t="e" cm="1">
        <f t="array" ref="BU1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1" s="9" t="e">
        <f>IF(tbl_Case_mins[[#This Row],[Surgery End Date]]&gt;tbl_Case_mins[[#This Row],[Surgery Start Date]],tbl_Case_mins[[#This Row],[Anaesth End]]-1440,0)</f>
        <v>#REF!</v>
      </c>
      <c r="BY101" s="9" t="e">
        <f>tbl_Case_mins[[#This Row],[Total_NonCore]]-tbl_Case_mins[[#This Row],[NextDay_NonCore]]</f>
        <v>#REF!</v>
      </c>
      <c r="BZ101" s="10" t="e">
        <f>tbl_Case_mins[[#This Row],[InCoreUse]]/60</f>
        <v>#REF!</v>
      </c>
      <c r="CA101" s="10" t="e">
        <f>tbl_Case_mins[[#This Row],[Total_NonCore]]/60</f>
        <v>#REF!</v>
      </c>
      <c r="CB101" t="e" cm="1">
        <f t="array" ref="CB1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1" s="9" t="e" cm="1">
        <f t="array" ref="CC10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1" s="9" t="e" cm="1">
        <f t="array" ref="CD1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1" s="9" t="e" cm="1">
        <f t="array" ref="CE10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1" s="9" cm="1">
        <f t="array" ref="CF101">IFERROR(_xlfn.AGGREGATE(14,6,(tbl_Case_mins[Rank_AnaEnd])/((tbl_Case_mins[Surgery Start Date]=tbl_Case_mins[[#This Row],[Surgery Start Date]])*(tbl_Case_mins[Theatre]=tbl_Case_mins[[#This Row],[Theatre]])*(tbl_Case_mins[NoInCoreTime]=0)),1),-1)</f>
        <v>-1</v>
      </c>
      <c r="CG101" s="9" cm="1">
        <f t="array" ref="CG101">IFERROR(_xlfn.AGGREGATE(15,6,(tbl_Case_mins[Rank_AnaSt])/((tbl_Case_mins[Surgery Start Date]=tbl_Case_mins[[#This Row],[Surgery Start Date]])*(tbl_Case_mins[Theatre]=tbl_Case_mins[[#This Row],[Theatre]])*(tbl_Case_mins[NoInCoreTime]=0)),1),-1)</f>
        <v>-1</v>
      </c>
      <c r="CH10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1" t="e" cm="1">
        <f t="array" ref="CJ10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1" s="9" cm="1">
        <f t="array" ref="CO1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1" s="9" cm="1">
        <f t="array" ref="CP1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1" s="9" cm="1">
        <f t="array" ref="CQ101">IFERROR(IF(AND(tbl_Case_mins[[#This Row],[FirstAMCase]]=0,tbl_Case_mins[[#This Row],[Rank]]=_xlfn.AGGREGATE(14,6,(tbl_Case_mins[Rank])/((tbl_Case_mins[Surgery Start Date]=tbl_Case_mins[[#This Row],[Surgery Start Date]])*(tbl_Case_mins[Theatre]=tbl_Case_mins[[#This Row],[Theatre]])*(tbl_Case_mins[AmCase]=1)),1)),1,0),0)</f>
        <v>0</v>
      </c>
      <c r="CR101" s="9" cm="1">
        <f t="array" ref="CR10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1" s="9" t="e" cm="1">
        <f t="array" ref="CS10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1" s="9" cm="1">
        <f t="array" ref="CT101">IFERROR(IF(tbl_Case_mins[[#This Row],[Rank]]=_xlfn.AGGREGATE(15,6,(tbl_Case_mins[Rank])/((tbl_Case_mins[Surgery Start Date]=tbl_Case_mins[[#This Row],[Surgery Start Date]])*(tbl_Case_mins[Theatre]=tbl_Case_mins[[#This Row],[Theatre]])*(tbl_Case_mins[PmCase]=1)),1),1,0),0)</f>
        <v>0</v>
      </c>
      <c r="CU101">
        <f>IFERROR(#REF!,0)</f>
        <v>0</v>
      </c>
      <c r="CV101" s="9" t="e" cm="1">
        <f t="array" ref="CV10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1" s="9">
        <f>IFERROR(IF(ISBLANK(INDEX(Bay_AmClose,MATCH(1,INDEX((tbl_Case_mins[[#This Row],[Bay]]=BayNo)*(tbl_Case_mins[[#This Row],[Surgery Start Date]]=BDate),0,1),0))*1440),0,INDEX(Bay_AmClose,MATCH(1,INDEX((tbl_Case_mins[[#This Row],[Bay]]=BayNo)*(tbl_Case_mins[[#This Row],[Surgery Start Date]]=BDate),0,1),0))*1440),0)</f>
        <v>0</v>
      </c>
      <c r="CX101" s="9" cm="1">
        <f t="array" ref="CX101">IFERROR(IF(ISBLANK(INDEX(Bay_PmOpen,MATCH(1,INDEX((tbl_Case_mins[[#This Row],[Bay]]=BayNo)*(tbl_Case_mins[[#This Row],[Surgery Start Date]]=BDate),0,1),0))*1440),0,INDEX(Bay_PmOpen,MATCH(1,INDEX((tbl_Case_mins[[#This Row],[Bay]]=BayNo)*(tbl_Case_mins[[#This Row],[Surgery Start Date]]=BDate),0,1),0))*1440),0)</f>
        <v>0</v>
      </c>
      <c r="CY10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1" s="9"/>
    </row>
    <row r="102" spans="1:104" x14ac:dyDescent="0.2">
      <c r="A102">
        <v>101</v>
      </c>
      <c r="B102" t="e">
        <f>#REF!</f>
        <v>#REF!</v>
      </c>
      <c r="C102" t="e">
        <f>#REF!</f>
        <v>#REF!</v>
      </c>
      <c r="D102" t="e">
        <f>#REF!</f>
        <v>#REF!</v>
      </c>
      <c r="E102" t="e">
        <f>#REF!</f>
        <v>#REF!</v>
      </c>
      <c r="F102" t="e">
        <f>#REF!</f>
        <v>#REF!</v>
      </c>
      <c r="G102" t="e">
        <f>#REF!</f>
        <v>#REF!</v>
      </c>
      <c r="H102" t="e">
        <f>#REF!</f>
        <v>#REF!</v>
      </c>
      <c r="I102" t="e">
        <f>IF(#REF!="Case Cancelled",1,IF(#REF!="No Cases",2,0))</f>
        <v>#REF!</v>
      </c>
      <c r="J102" t="e">
        <f>#REF!</f>
        <v>#REF!</v>
      </c>
      <c r="K102" s="4" t="e">
        <f>#REF!</f>
        <v>#REF!</v>
      </c>
      <c r="L102" t="e">
        <f>"Wk "&amp;WEEKNUM(tbl_Case_mins[[#This Row],[Surgery Start Date]],21)</f>
        <v>#REF!</v>
      </c>
      <c r="M102" t="e">
        <f>TEXT(tbl_Case_mins[[#This Row],[Surgery Start Date]],"ddd")</f>
        <v>#REF!</v>
      </c>
      <c r="N102" s="9" t="e">
        <f>(#REF!-TIME(0,0,0))*1440</f>
        <v>#REF!</v>
      </c>
      <c r="O102" t="e">
        <f>IF(AND(ROUND((#REF!-TIME(0,0,0))*1440,0)&gt;0,ROUND((#REF!-TIME(0,0,0))*1440,0)&lt;tbl_Case_mins[[#This Row],[Patient Called]],tbl_Case_mins[[#This Row],[Surgery End Date]]&gt;tbl_Case_mins[[#This Row],[Surgery Start Date]]),ROUND((#REF!-TIME(0,0,0))*1440,0)+1440,ROUND((#REF!-TIME(0,0,0))*1440,0))</f>
        <v>#REF!</v>
      </c>
      <c r="P102" s="9" t="e">
        <f>IF(AND(ROUND((#REF!-TIME(0,0,0))*1440,0)&gt;0,ROUND((#REF!-TIME(0,0,0))*1440,0)&lt;tbl_Case_mins[[#This Row],[Arrival]],tbl_Case_mins[[#This Row],[Surgery End Date]]&gt;tbl_Case_mins[[#This Row],[Surgery Start Date]]),ROUND((#REF!-TIME(0,0,0))*1440,0)+1440,ROUND((#REF!-TIME(0,0,0))*1440,0))</f>
        <v>#REF!</v>
      </c>
      <c r="Q102" s="9" t="e">
        <f>IF(AND(ROUND((#REF!-TIME(0,0,0))*1440,0)&gt;0,ROUND((#REF!-TIME(0,0,0))*1440,0)&lt;tbl_Case_mins[[#This Row],[Into Th or AR]],tbl_Case_mins[[#This Row],[Surgery End Date]]&gt;tbl_Case_mins[[#This Row],[Surgery Start Date]]),ROUND((#REF!-TIME(0,0,0))*1440,0)+1440,ROUND((#REF!-TIME(0,0,0))*1440,0))</f>
        <v>#REF!</v>
      </c>
      <c r="R102" s="9" t="e">
        <f>IF(AND(ROUND((#REF!-TIME(0,0,0))*1440,0)&gt;0,ROUND((#REF!-TIME(0,0,0))*1440,0)&lt;tbl_Case_mins[[#This Row],[AnaesthStart]],tbl_Case_mins[[#This Row],[Surgery End Date]]&gt;tbl_Case_mins[[#This Row],[Surgery Start Date]]),ROUND((#REF!-TIME(0,0,0))*1440,0)+1440,ROUND((#REF!-TIME(0,0,0))*1440,0))</f>
        <v>#REF!</v>
      </c>
      <c r="S102" s="9" t="e">
        <f>IF(AND(ROUND((#REF!-TIME(0,0,0))*1440,0),ROUND((#REF!-TIME(0,0,0))*1440,0)&lt;tbl_Case_mins[[#This Row],[Surgery Start]],tbl_Case_mins[[#This Row],[Surgery End Date]]&gt;tbl_Case_mins[[#This Row],[Surgery Start Date]]),ROUND((#REF!-TIME(0,0,0))*1440,0)+1440,ROUND((#REF!-TIME(0,0,0))*1440,0))</f>
        <v>#REF!</v>
      </c>
      <c r="T102" s="9" t="e">
        <f>IF(AND(ROUND((#REF!-TIME(0,0,0))*1440,0)&gt;0,ROUND((#REF!-TIME(0,0,0))*1440,0)&lt;tbl_Case_mins[[#This Row],[Surgery Finish]],tbl_Case_mins[[#This Row],[Surgery End Date]]&gt;tbl_Case_mins[[#This Row],[Surgery Start Date]]),ROUND((#REF!-TIME(0,0,0))*1440,0)+1440,ROUND((#REF!-TIME(0,0,0))*1440,0))</f>
        <v>#REF!</v>
      </c>
      <c r="U102" s="9" t="e">
        <f>IF(AND(ROUND((#REF!-TIME(0,0,0))*1440,0)&gt;0,ROUND((#REF!-TIME(0,0,0))*1440,0)&lt;tbl_Case_mins[[#This Row],[Anaesth End]],tbl_Case_mins[[#This Row],[Surgery End Date]]&gt;tbl_Case_mins[[#This Row],[Surgery Start Date]]),ROUND((#REF!-TIME(0,0,0))*1440,0)+1440,ROUND((#REF!-TIME(0,0,0))*1440,0))</f>
        <v>#REF!</v>
      </c>
      <c r="V102" s="9" t="e">
        <f>IF(AND(ROUND((#REF!-TIME(0,0,0))*1440,0)&gt;0,ROUND((#REF!-TIME(0,0,0))*1440,0)&lt;tbl_Case_mins[[#This Row],[Into Recov]],tbl_Case_mins[[#This Row],[Surgery End Date]]&gt;tbl_Case_mins[[#This Row],[Surgery Start Date]]),ROUND((#REF!-TIME(0,0,0))*1440,0)+1440,ROUND((#REF!-TIME(0,0,0))*1440,0))</f>
        <v>#REF!</v>
      </c>
      <c r="W102" s="9" t="e">
        <f>IF(AND(ROUND((#REF!-TIME(0,0,0))*1440,0)&gt;0,ROUND((#REF!-TIME(0,0,0))*1440,0)&lt;tbl_Case_mins[[#This Row],[Ward Called]],tbl_Case_mins[[#This Row],[Surgery End Date]]&gt;tbl_Case_mins[[#This Row],[Surgery Start Date]]),ROUND((#REF!-TIME(0,0,0))*1440,0)+1440,ROUND((#REF!-TIME(0,0,0))*1440,0))</f>
        <v>#REF!</v>
      </c>
      <c r="X102" s="4" t="e">
        <f>IF(ISBLANK(#REF!),tbl_Case_mins[[#This Row],[Surgery Start Date]],#REF!)</f>
        <v>#REF!</v>
      </c>
      <c r="Y102">
        <f>IFERROR(IF(VLOOKUP(tbl_Case_mins[[#This Row],[Theatre]],'Mng Theatres'!$C$7:$G$12,3,FALSE)="Yes","Yes","No"),0)</f>
        <v>0</v>
      </c>
      <c r="Z102" s="9" t="e" cm="1">
        <f t="array" ref="Z10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2" s="9" t="e" cm="1">
        <f t="array" ref="AA10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2" s="9" t="e">
        <f>IF(tbl_Case_mins[[#This Row],[Case Type]]="Unsch",1,0)</f>
        <v>#REF!</v>
      </c>
      <c r="AD102" s="9" t="e">
        <f>IF(tbl_Case_mins[[#This Row],[Case Type]]="Sch",1,0)</f>
        <v>#REF!</v>
      </c>
      <c r="AE10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2" s="9">
        <f>IFERROR(IF(ISBLANK(INDEX(Am_Close,MATCH(1,INDEX((tbl_Case_mins[[#This Row],[Theatre]]=Theatre_No)*(tbl_Case_mins[[#This Row],[Surgery Start Date]]=Date),0,1),0))*1440),0,INDEX(Am_Close,MATCH(1,INDEX((tbl_Case_mins[[#This Row],[Theatre]]=Theatre_No)*(tbl_Case_mins[[#This Row],[Surgery Start Date]]=Date),0,1),0))*1440),0)</f>
        <v>0</v>
      </c>
      <c r="AG102" s="9">
        <f>IFERROR(IF(ISBLANK(INDEX(PM_Open,MATCH(1,INDEX((tbl_Case_mins[[#This Row],[Theatre]]=Theatre_No)*(tbl_Case_mins[[#This Row],[Surgery Start Date]]=Date),0,1),0))*1440),0,INDEX(PM_Open,MATCH(1,INDEX((tbl_Case_mins[[#This Row],[Theatre]]=Theatre_No)*(tbl_Case_mins[[#This Row],[Surgery Start Date]]=Date),0,1),0))*1440),0)</f>
        <v>0</v>
      </c>
      <c r="AH10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2" s="9" t="e">
        <f>IF(tbl_Case_mins[[#This Row],[ThOpenAm]]=0,tbl_Case_mins[[#This Row],[ThOpenPM]],tbl_Case_mins[[#This Row],[ThOpenAm]])</f>
        <v>#REF!</v>
      </c>
      <c r="AJ102" s="9" t="e">
        <f>IF(tbl_Case_mins[[#This Row],[ThCloseAm]]&gt;0,IF(tbl_Case_mins[[#This Row],[ThOpenPM]]&gt;0,tbl_Case_mins[[#This Row],[ThClosePm]],tbl_Case_mins[[#This Row],[ThCloseAm]]),tbl_Case_mins[[#This Row],[ThClosePm]])</f>
        <v>#REF!</v>
      </c>
      <c r="AK102" s="9" t="e">
        <f>IF(tbl_Case_mins[[#This Row],[TOT]]&gt;0,1,0)</f>
        <v>#REF!</v>
      </c>
      <c r="AL10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2" s="9" t="e">
        <f>IF(AND(tbl_Case_mins[[#This Row],[Surgery Status]]&lt;&gt;2,tbl_Case_mins[[#This Row],[InCoreCase]]=0,tbl_Case_mins[[#This Row],[CancelledCase]]=0),1,0)</f>
        <v>#REF!</v>
      </c>
      <c r="AN102" s="9" t="e">
        <f>IF(tbl_Case_mins[[#This Row],[Surgery Status]]=1,1,0)</f>
        <v>#REF!</v>
      </c>
      <c r="AO10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2" s="9" t="e">
        <f>IF(AND(tbl_Case_mins[[#This Row],[NonCoreCase]]=1,tbl_Case_mins[[#This Row],[NoInCoreTime]]=0),1,0)</f>
        <v>#REF!</v>
      </c>
      <c r="AQ102" s="9" t="e">
        <f>IF(tbl_Case_mins[[#This Row],[Rank_AnaEnd]]&lt;tbl_Case_mins[[#This Row],[Rank_AnaSt]],1,0)</f>
        <v>#REF!</v>
      </c>
      <c r="AR102" s="9" t="e">
        <f>IF(AND(tbl_Case_mins[[#This Row],[InCoreCase]]=1,tbl_Case_mins[[#This Row],[Sch]]=1),1,0)</f>
        <v>#REF!</v>
      </c>
      <c r="AS102" s="9" t="e">
        <f>IF(AND(tbl_Case_mins[[#This Row],[InCoreCase]]=1,tbl_Case_mins[[#This Row],[Unsch]]=1),1,0)</f>
        <v>#REF!</v>
      </c>
      <c r="AT10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2" s="9" t="e">
        <f>IF(tbl_Case_mins[[#This Row],[Surgery Status]]=0,(tbl_Case_mins[[#This Row],[Anaesth End]]-tbl_Case_mins[[#This Row],[AnaesthStart]]),0)</f>
        <v>#REF!</v>
      </c>
      <c r="AX102" s="9" t="e">
        <f>IF(tbl_Case_mins[[#This Row],[Surgery Status]]=0,(tbl_Case_mins[[#This Row],[Surgery Finish]]-tbl_Case_mins[[#This Row],[Surgery Start]]),0)</f>
        <v>#REF!</v>
      </c>
      <c r="AY102" s="9" t="e">
        <f>tbl_Case_mins[[#This Row],[Surgery Start]]-tbl_Case_mins[[#This Row],[AnaesthStart]]</f>
        <v>#REF!</v>
      </c>
      <c r="AZ102" s="9" t="e">
        <f>tbl_Case_mins[[#This Row],[Anaesth End]]-tbl_Case_mins[[#This Row],[Surgery Finish]]</f>
        <v>#REF!</v>
      </c>
      <c r="BA10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2" s="16" cm="1">
        <f t="array" ref="BC10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2" s="16" t="e">
        <f>IF(AND(tbl_Case_mins[[#This Row],[FirstAMCase]]=1,tbl_Case_mins[[#This Row],[CancelledCase]]=0,OR(tbl_Case_mins[[#This Row],[EarlyStartAM]]&gt;0,tbl_Case_mins[[#This Row],[AnaesthStart]]=tbl_Case_mins[[#This Row],[ThOpenAm]])),1,0)</f>
        <v>#REF!</v>
      </c>
      <c r="BE102" s="16" t="e">
        <f>IF(AND(tbl_Case_mins[[#This Row],[Rank_AnaSt]]=tbl_Case_mins[[#This Row],[Min_RankAnaSt]],tbl_Case_mins[[#This Row],[Anaesth End]]&gt;=tbl_Case_mins[[#This Row],[ThOpenAm]],tbl_Case_mins[[#This Row],[PmCase]]=0),1,0)</f>
        <v>#REF!</v>
      </c>
      <c r="BF10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2" s="9" t="e" cm="1">
        <f t="array" ref="BH10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2" s="9" t="e">
        <f>IF(AND(tbl_Case_mins[[#This Row],[ThOpenPM]]&gt;0,tbl_Case_mins[[#This Row],[AnaesthStart]]&gt;tbl_Case_mins[[#This Row],[ThOpenPM]],tbl_Case_mins[[#This Row],[First PM Case]]=1),tbl_Case_mins[[#This Row],[AnaesthStart]]-tbl_Case_mins[[#This Row],[ThOpenPM]],0)</f>
        <v>#REF!</v>
      </c>
      <c r="BL10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2" s="9" t="e" cm="1">
        <f t="array" ref="BN10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2" s="9" t="e">
        <f>IF(AND(tbl_Case_mins[[#This Row],[ThClosePm]]&gt;0,tbl_Case_mins[[#This Row],[Anaesth End]]&gt;tbl_Case_mins[[#This Row],[ThClosePm]],tbl_Case_mins[[#This Row],[AnaesthStart]]&gt;tbl_Case_mins[[#This Row],[ThClosePm]]),tbl_Case_mins[[#This Row],[Into Recov]]-tbl_Case_mins[[#This Row],[AnaesthStart]],0)</f>
        <v>#REF!</v>
      </c>
      <c r="BP102" s="9" t="e">
        <f>IF(AND(tbl_Case_mins[[#This Row],[AnaesthStart]]&lt;tbl_Case_mins[[#This Row],[ThClosePm]],tbl_Case_mins[[#This Row],[Anaesth End]]&gt;tbl_Case_mins[[#This Row],[ThClosePm]]),tbl_Case_mins[[#This Row],[Anaesth End]]-tbl_Case_mins[[#This Row],[ThClosePm]],0)</f>
        <v>#REF!</v>
      </c>
      <c r="BQ102" s="9" t="e" cm="1">
        <f t="array" ref="BQ10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2" s="9" t="e" cm="1">
        <f t="array" ref="BR102">IF(tbl_Case_mins[[#This Row],[Rank_Adjust]]=SUMPRODUCT(-(tbl_Case_mins[Surgery Start Date]=tbl_Case_mins[[#This Row],[Surgery Start Date]]),-(tbl_Case_mins[Theatre]=tbl_Case_mins[[#This Row],[Theatre]])),INDEX(Poss_Time,MATCH(TEXT(tbl_Case_mins[[#This Row],[Surgery Start Date]],"ddd"),Day,0)),0)</f>
        <v>#REF!</v>
      </c>
      <c r="BS102" s="9" t="e">
        <f>tbl_Case_mins[[#This Row],[Core_Time]]*Util_Goal</f>
        <v>#REF!</v>
      </c>
      <c r="BT102" s="9" t="e" cm="1">
        <f t="array" ref="BT1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2" s="9" t="e" cm="1">
        <f t="array" ref="BU1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2" s="9" t="e">
        <f>IF(tbl_Case_mins[[#This Row],[Surgery End Date]]&gt;tbl_Case_mins[[#This Row],[Surgery Start Date]],tbl_Case_mins[[#This Row],[Anaesth End]]-1440,0)</f>
        <v>#REF!</v>
      </c>
      <c r="BY102" s="9" t="e">
        <f>tbl_Case_mins[[#This Row],[Total_NonCore]]-tbl_Case_mins[[#This Row],[NextDay_NonCore]]</f>
        <v>#REF!</v>
      </c>
      <c r="BZ102" s="10" t="e">
        <f>tbl_Case_mins[[#This Row],[InCoreUse]]/60</f>
        <v>#REF!</v>
      </c>
      <c r="CA102" s="10" t="e">
        <f>tbl_Case_mins[[#This Row],[Total_NonCore]]/60</f>
        <v>#REF!</v>
      </c>
      <c r="CB102" t="e" cm="1">
        <f t="array" ref="CB1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2" s="9" t="e" cm="1">
        <f t="array" ref="CC10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2" s="9" t="e" cm="1">
        <f t="array" ref="CD1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2" s="9" t="e" cm="1">
        <f t="array" ref="CE10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2" s="9" cm="1">
        <f t="array" ref="CF102">IFERROR(_xlfn.AGGREGATE(14,6,(tbl_Case_mins[Rank_AnaEnd])/((tbl_Case_mins[Surgery Start Date]=tbl_Case_mins[[#This Row],[Surgery Start Date]])*(tbl_Case_mins[Theatre]=tbl_Case_mins[[#This Row],[Theatre]])*(tbl_Case_mins[NoInCoreTime]=0)),1),-1)</f>
        <v>-1</v>
      </c>
      <c r="CG102" s="9" cm="1">
        <f t="array" ref="CG102">IFERROR(_xlfn.AGGREGATE(15,6,(tbl_Case_mins[Rank_AnaSt])/((tbl_Case_mins[Surgery Start Date]=tbl_Case_mins[[#This Row],[Surgery Start Date]])*(tbl_Case_mins[Theatre]=tbl_Case_mins[[#This Row],[Theatre]])*(tbl_Case_mins[NoInCoreTime]=0)),1),-1)</f>
        <v>-1</v>
      </c>
      <c r="CH10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2" t="e" cm="1">
        <f t="array" ref="CJ10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2" s="9" cm="1">
        <f t="array" ref="CO1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2" s="9" cm="1">
        <f t="array" ref="CP1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2" s="9" cm="1">
        <f t="array" ref="CQ102">IFERROR(IF(AND(tbl_Case_mins[[#This Row],[FirstAMCase]]=0,tbl_Case_mins[[#This Row],[Rank]]=_xlfn.AGGREGATE(14,6,(tbl_Case_mins[Rank])/((tbl_Case_mins[Surgery Start Date]=tbl_Case_mins[[#This Row],[Surgery Start Date]])*(tbl_Case_mins[Theatre]=tbl_Case_mins[[#This Row],[Theatre]])*(tbl_Case_mins[AmCase]=1)),1)),1,0),0)</f>
        <v>0</v>
      </c>
      <c r="CR102" s="9" cm="1">
        <f t="array" ref="CR10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2" s="9" t="e" cm="1">
        <f t="array" ref="CS10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2" s="9" cm="1">
        <f t="array" ref="CT102">IFERROR(IF(tbl_Case_mins[[#This Row],[Rank]]=_xlfn.AGGREGATE(15,6,(tbl_Case_mins[Rank])/((tbl_Case_mins[Surgery Start Date]=tbl_Case_mins[[#This Row],[Surgery Start Date]])*(tbl_Case_mins[Theatre]=tbl_Case_mins[[#This Row],[Theatre]])*(tbl_Case_mins[PmCase]=1)),1),1,0),0)</f>
        <v>0</v>
      </c>
      <c r="CU102">
        <f>IFERROR(#REF!,0)</f>
        <v>0</v>
      </c>
      <c r="CV102" s="9" t="e" cm="1">
        <f t="array" ref="CV10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2" s="9">
        <f>IFERROR(IF(ISBLANK(INDEX(Bay_AmClose,MATCH(1,INDEX((tbl_Case_mins[[#This Row],[Bay]]=BayNo)*(tbl_Case_mins[[#This Row],[Surgery Start Date]]=BDate),0,1),0))*1440),0,INDEX(Bay_AmClose,MATCH(1,INDEX((tbl_Case_mins[[#This Row],[Bay]]=BayNo)*(tbl_Case_mins[[#This Row],[Surgery Start Date]]=BDate),0,1),0))*1440),0)</f>
        <v>0</v>
      </c>
      <c r="CX102" s="9" cm="1">
        <f t="array" ref="CX102">IFERROR(IF(ISBLANK(INDEX(Bay_PmOpen,MATCH(1,INDEX((tbl_Case_mins[[#This Row],[Bay]]=BayNo)*(tbl_Case_mins[[#This Row],[Surgery Start Date]]=BDate),0,1),0))*1440),0,INDEX(Bay_PmOpen,MATCH(1,INDEX((tbl_Case_mins[[#This Row],[Bay]]=BayNo)*(tbl_Case_mins[[#This Row],[Surgery Start Date]]=BDate),0,1),0))*1440),0)</f>
        <v>0</v>
      </c>
      <c r="CY10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2" s="9"/>
    </row>
    <row r="103" spans="1:104" x14ac:dyDescent="0.2">
      <c r="A103">
        <v>102</v>
      </c>
      <c r="B103" t="e">
        <f>#REF!</f>
        <v>#REF!</v>
      </c>
      <c r="C103" t="e">
        <f>#REF!</f>
        <v>#REF!</v>
      </c>
      <c r="D103" t="e">
        <f>#REF!</f>
        <v>#REF!</v>
      </c>
      <c r="E103" t="e">
        <f>#REF!</f>
        <v>#REF!</v>
      </c>
      <c r="F103" t="e">
        <f>#REF!</f>
        <v>#REF!</v>
      </c>
      <c r="G103" t="e">
        <f>#REF!</f>
        <v>#REF!</v>
      </c>
      <c r="H103" t="e">
        <f>#REF!</f>
        <v>#REF!</v>
      </c>
      <c r="I103" t="e">
        <f>IF(#REF!="Case Cancelled",1,IF(#REF!="No Cases",2,0))</f>
        <v>#REF!</v>
      </c>
      <c r="J103" t="e">
        <f>#REF!</f>
        <v>#REF!</v>
      </c>
      <c r="K103" s="4" t="e">
        <f>#REF!</f>
        <v>#REF!</v>
      </c>
      <c r="L103" t="e">
        <f>"Wk "&amp;WEEKNUM(tbl_Case_mins[[#This Row],[Surgery Start Date]],21)</f>
        <v>#REF!</v>
      </c>
      <c r="M103" t="e">
        <f>TEXT(tbl_Case_mins[[#This Row],[Surgery Start Date]],"ddd")</f>
        <v>#REF!</v>
      </c>
      <c r="N103" s="9" t="e">
        <f>(#REF!-TIME(0,0,0))*1440</f>
        <v>#REF!</v>
      </c>
      <c r="O103" t="e">
        <f>IF(AND(ROUND((#REF!-TIME(0,0,0))*1440,0)&gt;0,ROUND((#REF!-TIME(0,0,0))*1440,0)&lt;tbl_Case_mins[[#This Row],[Patient Called]],tbl_Case_mins[[#This Row],[Surgery End Date]]&gt;tbl_Case_mins[[#This Row],[Surgery Start Date]]),ROUND((#REF!-TIME(0,0,0))*1440,0)+1440,ROUND((#REF!-TIME(0,0,0))*1440,0))</f>
        <v>#REF!</v>
      </c>
      <c r="P103" s="9" t="e">
        <f>IF(AND(ROUND((#REF!-TIME(0,0,0))*1440,0)&gt;0,ROUND((#REF!-TIME(0,0,0))*1440,0)&lt;tbl_Case_mins[[#This Row],[Arrival]],tbl_Case_mins[[#This Row],[Surgery End Date]]&gt;tbl_Case_mins[[#This Row],[Surgery Start Date]]),ROUND((#REF!-TIME(0,0,0))*1440,0)+1440,ROUND((#REF!-TIME(0,0,0))*1440,0))</f>
        <v>#REF!</v>
      </c>
      <c r="Q103" s="9" t="e">
        <f>IF(AND(ROUND((#REF!-TIME(0,0,0))*1440,0)&gt;0,ROUND((#REF!-TIME(0,0,0))*1440,0)&lt;tbl_Case_mins[[#This Row],[Into Th or AR]],tbl_Case_mins[[#This Row],[Surgery End Date]]&gt;tbl_Case_mins[[#This Row],[Surgery Start Date]]),ROUND((#REF!-TIME(0,0,0))*1440,0)+1440,ROUND((#REF!-TIME(0,0,0))*1440,0))</f>
        <v>#REF!</v>
      </c>
      <c r="R103" s="9" t="e">
        <f>IF(AND(ROUND((#REF!-TIME(0,0,0))*1440,0)&gt;0,ROUND((#REF!-TIME(0,0,0))*1440,0)&lt;tbl_Case_mins[[#This Row],[AnaesthStart]],tbl_Case_mins[[#This Row],[Surgery End Date]]&gt;tbl_Case_mins[[#This Row],[Surgery Start Date]]),ROUND((#REF!-TIME(0,0,0))*1440,0)+1440,ROUND((#REF!-TIME(0,0,0))*1440,0))</f>
        <v>#REF!</v>
      </c>
      <c r="S103" s="9" t="e">
        <f>IF(AND(ROUND((#REF!-TIME(0,0,0))*1440,0),ROUND((#REF!-TIME(0,0,0))*1440,0)&lt;tbl_Case_mins[[#This Row],[Surgery Start]],tbl_Case_mins[[#This Row],[Surgery End Date]]&gt;tbl_Case_mins[[#This Row],[Surgery Start Date]]),ROUND((#REF!-TIME(0,0,0))*1440,0)+1440,ROUND((#REF!-TIME(0,0,0))*1440,0))</f>
        <v>#REF!</v>
      </c>
      <c r="T103" s="9" t="e">
        <f>IF(AND(ROUND((#REF!-TIME(0,0,0))*1440,0)&gt;0,ROUND((#REF!-TIME(0,0,0))*1440,0)&lt;tbl_Case_mins[[#This Row],[Surgery Finish]],tbl_Case_mins[[#This Row],[Surgery End Date]]&gt;tbl_Case_mins[[#This Row],[Surgery Start Date]]),ROUND((#REF!-TIME(0,0,0))*1440,0)+1440,ROUND((#REF!-TIME(0,0,0))*1440,0))</f>
        <v>#REF!</v>
      </c>
      <c r="U103" s="9" t="e">
        <f>IF(AND(ROUND((#REF!-TIME(0,0,0))*1440,0)&gt;0,ROUND((#REF!-TIME(0,0,0))*1440,0)&lt;tbl_Case_mins[[#This Row],[Anaesth End]],tbl_Case_mins[[#This Row],[Surgery End Date]]&gt;tbl_Case_mins[[#This Row],[Surgery Start Date]]),ROUND((#REF!-TIME(0,0,0))*1440,0)+1440,ROUND((#REF!-TIME(0,0,0))*1440,0))</f>
        <v>#REF!</v>
      </c>
      <c r="V103" s="9" t="e">
        <f>IF(AND(ROUND((#REF!-TIME(0,0,0))*1440,0)&gt;0,ROUND((#REF!-TIME(0,0,0))*1440,0)&lt;tbl_Case_mins[[#This Row],[Into Recov]],tbl_Case_mins[[#This Row],[Surgery End Date]]&gt;tbl_Case_mins[[#This Row],[Surgery Start Date]]),ROUND((#REF!-TIME(0,0,0))*1440,0)+1440,ROUND((#REF!-TIME(0,0,0))*1440,0))</f>
        <v>#REF!</v>
      </c>
      <c r="W103" s="9" t="e">
        <f>IF(AND(ROUND((#REF!-TIME(0,0,0))*1440,0)&gt;0,ROUND((#REF!-TIME(0,0,0))*1440,0)&lt;tbl_Case_mins[[#This Row],[Ward Called]],tbl_Case_mins[[#This Row],[Surgery End Date]]&gt;tbl_Case_mins[[#This Row],[Surgery Start Date]]),ROUND((#REF!-TIME(0,0,0))*1440,0)+1440,ROUND((#REF!-TIME(0,0,0))*1440,0))</f>
        <v>#REF!</v>
      </c>
      <c r="X103" s="4" t="e">
        <f>IF(ISBLANK(#REF!),tbl_Case_mins[[#This Row],[Surgery Start Date]],#REF!)</f>
        <v>#REF!</v>
      </c>
      <c r="Y103">
        <f>IFERROR(IF(VLOOKUP(tbl_Case_mins[[#This Row],[Theatre]],'Mng Theatres'!$C$7:$G$12,3,FALSE)="Yes","Yes","No"),0)</f>
        <v>0</v>
      </c>
      <c r="Z103" s="9" t="e" cm="1">
        <f t="array" ref="Z10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3" s="9" t="e" cm="1">
        <f t="array" ref="AA10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3" s="9" t="e">
        <f>IF(tbl_Case_mins[[#This Row],[Case Type]]="Unsch",1,0)</f>
        <v>#REF!</v>
      </c>
      <c r="AD103" s="9" t="e">
        <f>IF(tbl_Case_mins[[#This Row],[Case Type]]="Sch",1,0)</f>
        <v>#REF!</v>
      </c>
      <c r="AE10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3" s="9">
        <f>IFERROR(IF(ISBLANK(INDEX(Am_Close,MATCH(1,INDEX((tbl_Case_mins[[#This Row],[Theatre]]=Theatre_No)*(tbl_Case_mins[[#This Row],[Surgery Start Date]]=Date),0,1),0))*1440),0,INDEX(Am_Close,MATCH(1,INDEX((tbl_Case_mins[[#This Row],[Theatre]]=Theatre_No)*(tbl_Case_mins[[#This Row],[Surgery Start Date]]=Date),0,1),0))*1440),0)</f>
        <v>0</v>
      </c>
      <c r="AG103" s="9">
        <f>IFERROR(IF(ISBLANK(INDEX(PM_Open,MATCH(1,INDEX((tbl_Case_mins[[#This Row],[Theatre]]=Theatre_No)*(tbl_Case_mins[[#This Row],[Surgery Start Date]]=Date),0,1),0))*1440),0,INDEX(PM_Open,MATCH(1,INDEX((tbl_Case_mins[[#This Row],[Theatre]]=Theatre_No)*(tbl_Case_mins[[#This Row],[Surgery Start Date]]=Date),0,1),0))*1440),0)</f>
        <v>0</v>
      </c>
      <c r="AH10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3" s="9" t="e">
        <f>IF(tbl_Case_mins[[#This Row],[ThOpenAm]]=0,tbl_Case_mins[[#This Row],[ThOpenPM]],tbl_Case_mins[[#This Row],[ThOpenAm]])</f>
        <v>#REF!</v>
      </c>
      <c r="AJ103" s="9" t="e">
        <f>IF(tbl_Case_mins[[#This Row],[ThCloseAm]]&gt;0,IF(tbl_Case_mins[[#This Row],[ThOpenPM]]&gt;0,tbl_Case_mins[[#This Row],[ThClosePm]],tbl_Case_mins[[#This Row],[ThCloseAm]]),tbl_Case_mins[[#This Row],[ThClosePm]])</f>
        <v>#REF!</v>
      </c>
      <c r="AK103" s="9" t="e">
        <f>IF(tbl_Case_mins[[#This Row],[TOT]]&gt;0,1,0)</f>
        <v>#REF!</v>
      </c>
      <c r="AL10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3" s="9" t="e">
        <f>IF(AND(tbl_Case_mins[[#This Row],[Surgery Status]]&lt;&gt;2,tbl_Case_mins[[#This Row],[InCoreCase]]=0,tbl_Case_mins[[#This Row],[CancelledCase]]=0),1,0)</f>
        <v>#REF!</v>
      </c>
      <c r="AN103" s="9" t="e">
        <f>IF(tbl_Case_mins[[#This Row],[Surgery Status]]=1,1,0)</f>
        <v>#REF!</v>
      </c>
      <c r="AO10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3" s="9" t="e">
        <f>IF(AND(tbl_Case_mins[[#This Row],[NonCoreCase]]=1,tbl_Case_mins[[#This Row],[NoInCoreTime]]=0),1,0)</f>
        <v>#REF!</v>
      </c>
      <c r="AQ103" s="9" t="e">
        <f>IF(tbl_Case_mins[[#This Row],[Rank_AnaEnd]]&lt;tbl_Case_mins[[#This Row],[Rank_AnaSt]],1,0)</f>
        <v>#REF!</v>
      </c>
      <c r="AR103" s="9" t="e">
        <f>IF(AND(tbl_Case_mins[[#This Row],[InCoreCase]]=1,tbl_Case_mins[[#This Row],[Sch]]=1),1,0)</f>
        <v>#REF!</v>
      </c>
      <c r="AS103" s="9" t="e">
        <f>IF(AND(tbl_Case_mins[[#This Row],[InCoreCase]]=1,tbl_Case_mins[[#This Row],[Unsch]]=1),1,0)</f>
        <v>#REF!</v>
      </c>
      <c r="AT10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3" s="9" t="e">
        <f>IF(tbl_Case_mins[[#This Row],[Surgery Status]]=0,(tbl_Case_mins[[#This Row],[Anaesth End]]-tbl_Case_mins[[#This Row],[AnaesthStart]]),0)</f>
        <v>#REF!</v>
      </c>
      <c r="AX103" s="9" t="e">
        <f>IF(tbl_Case_mins[[#This Row],[Surgery Status]]=0,(tbl_Case_mins[[#This Row],[Surgery Finish]]-tbl_Case_mins[[#This Row],[Surgery Start]]),0)</f>
        <v>#REF!</v>
      </c>
      <c r="AY103" s="9" t="e">
        <f>tbl_Case_mins[[#This Row],[Surgery Start]]-tbl_Case_mins[[#This Row],[AnaesthStart]]</f>
        <v>#REF!</v>
      </c>
      <c r="AZ103" s="9" t="e">
        <f>tbl_Case_mins[[#This Row],[Anaesth End]]-tbl_Case_mins[[#This Row],[Surgery Finish]]</f>
        <v>#REF!</v>
      </c>
      <c r="BA10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3" s="16" cm="1">
        <f t="array" ref="BC10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3" s="16" t="e">
        <f>IF(AND(tbl_Case_mins[[#This Row],[FirstAMCase]]=1,tbl_Case_mins[[#This Row],[CancelledCase]]=0,OR(tbl_Case_mins[[#This Row],[EarlyStartAM]]&gt;0,tbl_Case_mins[[#This Row],[AnaesthStart]]=tbl_Case_mins[[#This Row],[ThOpenAm]])),1,0)</f>
        <v>#REF!</v>
      </c>
      <c r="BE103" s="16" t="e">
        <f>IF(AND(tbl_Case_mins[[#This Row],[Rank_AnaSt]]=tbl_Case_mins[[#This Row],[Min_RankAnaSt]],tbl_Case_mins[[#This Row],[Anaesth End]]&gt;=tbl_Case_mins[[#This Row],[ThOpenAm]],tbl_Case_mins[[#This Row],[PmCase]]=0),1,0)</f>
        <v>#REF!</v>
      </c>
      <c r="BF10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3" s="9" t="e" cm="1">
        <f t="array" ref="BH10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3" s="9" t="e">
        <f>IF(AND(tbl_Case_mins[[#This Row],[ThOpenPM]]&gt;0,tbl_Case_mins[[#This Row],[AnaesthStart]]&gt;tbl_Case_mins[[#This Row],[ThOpenPM]],tbl_Case_mins[[#This Row],[First PM Case]]=1),tbl_Case_mins[[#This Row],[AnaesthStart]]-tbl_Case_mins[[#This Row],[ThOpenPM]],0)</f>
        <v>#REF!</v>
      </c>
      <c r="BL10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3" s="9" t="e" cm="1">
        <f t="array" ref="BN10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3" s="9" t="e">
        <f>IF(AND(tbl_Case_mins[[#This Row],[ThClosePm]]&gt;0,tbl_Case_mins[[#This Row],[Anaesth End]]&gt;tbl_Case_mins[[#This Row],[ThClosePm]],tbl_Case_mins[[#This Row],[AnaesthStart]]&gt;tbl_Case_mins[[#This Row],[ThClosePm]]),tbl_Case_mins[[#This Row],[Into Recov]]-tbl_Case_mins[[#This Row],[AnaesthStart]],0)</f>
        <v>#REF!</v>
      </c>
      <c r="BP103" s="9" t="e">
        <f>IF(AND(tbl_Case_mins[[#This Row],[AnaesthStart]]&lt;tbl_Case_mins[[#This Row],[ThClosePm]],tbl_Case_mins[[#This Row],[Anaesth End]]&gt;tbl_Case_mins[[#This Row],[ThClosePm]]),tbl_Case_mins[[#This Row],[Anaesth End]]-tbl_Case_mins[[#This Row],[ThClosePm]],0)</f>
        <v>#REF!</v>
      </c>
      <c r="BQ103" s="9" t="e" cm="1">
        <f t="array" ref="BQ10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3" s="9" t="e" cm="1">
        <f t="array" ref="BR103">IF(tbl_Case_mins[[#This Row],[Rank_Adjust]]=SUMPRODUCT(-(tbl_Case_mins[Surgery Start Date]=tbl_Case_mins[[#This Row],[Surgery Start Date]]),-(tbl_Case_mins[Theatre]=tbl_Case_mins[[#This Row],[Theatre]])),INDEX(Poss_Time,MATCH(TEXT(tbl_Case_mins[[#This Row],[Surgery Start Date]],"ddd"),Day,0)),0)</f>
        <v>#REF!</v>
      </c>
      <c r="BS103" s="9" t="e">
        <f>tbl_Case_mins[[#This Row],[Core_Time]]*Util_Goal</f>
        <v>#REF!</v>
      </c>
      <c r="BT103" s="9" t="e" cm="1">
        <f t="array" ref="BT1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3" s="9" t="e" cm="1">
        <f t="array" ref="BU1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3" s="9" t="e">
        <f>IF(tbl_Case_mins[[#This Row],[Surgery End Date]]&gt;tbl_Case_mins[[#This Row],[Surgery Start Date]],tbl_Case_mins[[#This Row],[Anaesth End]]-1440,0)</f>
        <v>#REF!</v>
      </c>
      <c r="BY103" s="9" t="e">
        <f>tbl_Case_mins[[#This Row],[Total_NonCore]]-tbl_Case_mins[[#This Row],[NextDay_NonCore]]</f>
        <v>#REF!</v>
      </c>
      <c r="BZ103" s="10" t="e">
        <f>tbl_Case_mins[[#This Row],[InCoreUse]]/60</f>
        <v>#REF!</v>
      </c>
      <c r="CA103" s="10" t="e">
        <f>tbl_Case_mins[[#This Row],[Total_NonCore]]/60</f>
        <v>#REF!</v>
      </c>
      <c r="CB103" t="e" cm="1">
        <f t="array" ref="CB1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3" s="9" t="e" cm="1">
        <f t="array" ref="CC10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3" s="9" t="e" cm="1">
        <f t="array" ref="CD1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3" s="9" t="e" cm="1">
        <f t="array" ref="CE10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3" s="9" cm="1">
        <f t="array" ref="CF103">IFERROR(_xlfn.AGGREGATE(14,6,(tbl_Case_mins[Rank_AnaEnd])/((tbl_Case_mins[Surgery Start Date]=tbl_Case_mins[[#This Row],[Surgery Start Date]])*(tbl_Case_mins[Theatre]=tbl_Case_mins[[#This Row],[Theatre]])*(tbl_Case_mins[NoInCoreTime]=0)),1),-1)</f>
        <v>-1</v>
      </c>
      <c r="CG103" s="9" cm="1">
        <f t="array" ref="CG103">IFERROR(_xlfn.AGGREGATE(15,6,(tbl_Case_mins[Rank_AnaSt])/((tbl_Case_mins[Surgery Start Date]=tbl_Case_mins[[#This Row],[Surgery Start Date]])*(tbl_Case_mins[Theatre]=tbl_Case_mins[[#This Row],[Theatre]])*(tbl_Case_mins[NoInCoreTime]=0)),1),-1)</f>
        <v>-1</v>
      </c>
      <c r="CH10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3" t="e" cm="1">
        <f t="array" ref="CJ10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3" s="9" cm="1">
        <f t="array" ref="CO1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3" s="9" cm="1">
        <f t="array" ref="CP1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3" s="9" cm="1">
        <f t="array" ref="CQ103">IFERROR(IF(AND(tbl_Case_mins[[#This Row],[FirstAMCase]]=0,tbl_Case_mins[[#This Row],[Rank]]=_xlfn.AGGREGATE(14,6,(tbl_Case_mins[Rank])/((tbl_Case_mins[Surgery Start Date]=tbl_Case_mins[[#This Row],[Surgery Start Date]])*(tbl_Case_mins[Theatre]=tbl_Case_mins[[#This Row],[Theatre]])*(tbl_Case_mins[AmCase]=1)),1)),1,0),0)</f>
        <v>0</v>
      </c>
      <c r="CR103" s="9" cm="1">
        <f t="array" ref="CR10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3" s="9" t="e" cm="1">
        <f t="array" ref="CS10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3" s="9" cm="1">
        <f t="array" ref="CT103">IFERROR(IF(tbl_Case_mins[[#This Row],[Rank]]=_xlfn.AGGREGATE(15,6,(tbl_Case_mins[Rank])/((tbl_Case_mins[Surgery Start Date]=tbl_Case_mins[[#This Row],[Surgery Start Date]])*(tbl_Case_mins[Theatre]=tbl_Case_mins[[#This Row],[Theatre]])*(tbl_Case_mins[PmCase]=1)),1),1,0),0)</f>
        <v>0</v>
      </c>
      <c r="CU103">
        <f>IFERROR(#REF!,0)</f>
        <v>0</v>
      </c>
      <c r="CV103" s="9" t="e" cm="1">
        <f t="array" ref="CV10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3" s="9">
        <f>IFERROR(IF(ISBLANK(INDEX(Bay_AmClose,MATCH(1,INDEX((tbl_Case_mins[[#This Row],[Bay]]=BayNo)*(tbl_Case_mins[[#This Row],[Surgery Start Date]]=BDate),0,1),0))*1440),0,INDEX(Bay_AmClose,MATCH(1,INDEX((tbl_Case_mins[[#This Row],[Bay]]=BayNo)*(tbl_Case_mins[[#This Row],[Surgery Start Date]]=BDate),0,1),0))*1440),0)</f>
        <v>0</v>
      </c>
      <c r="CX103" s="9" cm="1">
        <f t="array" ref="CX103">IFERROR(IF(ISBLANK(INDEX(Bay_PmOpen,MATCH(1,INDEX((tbl_Case_mins[[#This Row],[Bay]]=BayNo)*(tbl_Case_mins[[#This Row],[Surgery Start Date]]=BDate),0,1),0))*1440),0,INDEX(Bay_PmOpen,MATCH(1,INDEX((tbl_Case_mins[[#This Row],[Bay]]=BayNo)*(tbl_Case_mins[[#This Row],[Surgery Start Date]]=BDate),0,1),0))*1440),0)</f>
        <v>0</v>
      </c>
      <c r="CY10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3" s="9"/>
    </row>
    <row r="104" spans="1:104" x14ac:dyDescent="0.2">
      <c r="A104">
        <v>103</v>
      </c>
      <c r="B104" t="e">
        <f>#REF!</f>
        <v>#REF!</v>
      </c>
      <c r="C104" t="e">
        <f>#REF!</f>
        <v>#REF!</v>
      </c>
      <c r="D104" t="e">
        <f>#REF!</f>
        <v>#REF!</v>
      </c>
      <c r="E104" t="e">
        <f>#REF!</f>
        <v>#REF!</v>
      </c>
      <c r="F104" t="e">
        <f>#REF!</f>
        <v>#REF!</v>
      </c>
      <c r="G104" t="e">
        <f>#REF!</f>
        <v>#REF!</v>
      </c>
      <c r="H104" t="e">
        <f>#REF!</f>
        <v>#REF!</v>
      </c>
      <c r="I104" t="e">
        <f>IF(#REF!="Case Cancelled",1,IF(#REF!="No Cases",2,0))</f>
        <v>#REF!</v>
      </c>
      <c r="J104" t="e">
        <f>#REF!</f>
        <v>#REF!</v>
      </c>
      <c r="K104" s="4" t="e">
        <f>#REF!</f>
        <v>#REF!</v>
      </c>
      <c r="L104" t="e">
        <f>"Wk "&amp;WEEKNUM(tbl_Case_mins[[#This Row],[Surgery Start Date]],21)</f>
        <v>#REF!</v>
      </c>
      <c r="M104" t="e">
        <f>TEXT(tbl_Case_mins[[#This Row],[Surgery Start Date]],"ddd")</f>
        <v>#REF!</v>
      </c>
      <c r="N104" s="9" t="e">
        <f>(#REF!-TIME(0,0,0))*1440</f>
        <v>#REF!</v>
      </c>
      <c r="O104" t="e">
        <f>IF(AND(ROUND((#REF!-TIME(0,0,0))*1440,0)&gt;0,ROUND((#REF!-TIME(0,0,0))*1440,0)&lt;tbl_Case_mins[[#This Row],[Patient Called]],tbl_Case_mins[[#This Row],[Surgery End Date]]&gt;tbl_Case_mins[[#This Row],[Surgery Start Date]]),ROUND((#REF!-TIME(0,0,0))*1440,0)+1440,ROUND((#REF!-TIME(0,0,0))*1440,0))</f>
        <v>#REF!</v>
      </c>
      <c r="P104" s="9" t="e">
        <f>IF(AND(ROUND((#REF!-TIME(0,0,0))*1440,0)&gt;0,ROUND((#REF!-TIME(0,0,0))*1440,0)&lt;tbl_Case_mins[[#This Row],[Arrival]],tbl_Case_mins[[#This Row],[Surgery End Date]]&gt;tbl_Case_mins[[#This Row],[Surgery Start Date]]),ROUND((#REF!-TIME(0,0,0))*1440,0)+1440,ROUND((#REF!-TIME(0,0,0))*1440,0))</f>
        <v>#REF!</v>
      </c>
      <c r="Q104" s="9" t="e">
        <f>IF(AND(ROUND((#REF!-TIME(0,0,0))*1440,0)&gt;0,ROUND((#REF!-TIME(0,0,0))*1440,0)&lt;tbl_Case_mins[[#This Row],[Into Th or AR]],tbl_Case_mins[[#This Row],[Surgery End Date]]&gt;tbl_Case_mins[[#This Row],[Surgery Start Date]]),ROUND((#REF!-TIME(0,0,0))*1440,0)+1440,ROUND((#REF!-TIME(0,0,0))*1440,0))</f>
        <v>#REF!</v>
      </c>
      <c r="R104" s="9" t="e">
        <f>IF(AND(ROUND((#REF!-TIME(0,0,0))*1440,0)&gt;0,ROUND((#REF!-TIME(0,0,0))*1440,0)&lt;tbl_Case_mins[[#This Row],[AnaesthStart]],tbl_Case_mins[[#This Row],[Surgery End Date]]&gt;tbl_Case_mins[[#This Row],[Surgery Start Date]]),ROUND((#REF!-TIME(0,0,0))*1440,0)+1440,ROUND((#REF!-TIME(0,0,0))*1440,0))</f>
        <v>#REF!</v>
      </c>
      <c r="S104" s="9" t="e">
        <f>IF(AND(ROUND((#REF!-TIME(0,0,0))*1440,0),ROUND((#REF!-TIME(0,0,0))*1440,0)&lt;tbl_Case_mins[[#This Row],[Surgery Start]],tbl_Case_mins[[#This Row],[Surgery End Date]]&gt;tbl_Case_mins[[#This Row],[Surgery Start Date]]),ROUND((#REF!-TIME(0,0,0))*1440,0)+1440,ROUND((#REF!-TIME(0,0,0))*1440,0))</f>
        <v>#REF!</v>
      </c>
      <c r="T104" s="9" t="e">
        <f>IF(AND(ROUND((#REF!-TIME(0,0,0))*1440,0)&gt;0,ROUND((#REF!-TIME(0,0,0))*1440,0)&lt;tbl_Case_mins[[#This Row],[Surgery Finish]],tbl_Case_mins[[#This Row],[Surgery End Date]]&gt;tbl_Case_mins[[#This Row],[Surgery Start Date]]),ROUND((#REF!-TIME(0,0,0))*1440,0)+1440,ROUND((#REF!-TIME(0,0,0))*1440,0))</f>
        <v>#REF!</v>
      </c>
      <c r="U104" s="9" t="e">
        <f>IF(AND(ROUND((#REF!-TIME(0,0,0))*1440,0)&gt;0,ROUND((#REF!-TIME(0,0,0))*1440,0)&lt;tbl_Case_mins[[#This Row],[Anaesth End]],tbl_Case_mins[[#This Row],[Surgery End Date]]&gt;tbl_Case_mins[[#This Row],[Surgery Start Date]]),ROUND((#REF!-TIME(0,0,0))*1440,0)+1440,ROUND((#REF!-TIME(0,0,0))*1440,0))</f>
        <v>#REF!</v>
      </c>
      <c r="V104" s="9" t="e">
        <f>IF(AND(ROUND((#REF!-TIME(0,0,0))*1440,0)&gt;0,ROUND((#REF!-TIME(0,0,0))*1440,0)&lt;tbl_Case_mins[[#This Row],[Into Recov]],tbl_Case_mins[[#This Row],[Surgery End Date]]&gt;tbl_Case_mins[[#This Row],[Surgery Start Date]]),ROUND((#REF!-TIME(0,0,0))*1440,0)+1440,ROUND((#REF!-TIME(0,0,0))*1440,0))</f>
        <v>#REF!</v>
      </c>
      <c r="W104" s="9" t="e">
        <f>IF(AND(ROUND((#REF!-TIME(0,0,0))*1440,0)&gt;0,ROUND((#REF!-TIME(0,0,0))*1440,0)&lt;tbl_Case_mins[[#This Row],[Ward Called]],tbl_Case_mins[[#This Row],[Surgery End Date]]&gt;tbl_Case_mins[[#This Row],[Surgery Start Date]]),ROUND((#REF!-TIME(0,0,0))*1440,0)+1440,ROUND((#REF!-TIME(0,0,0))*1440,0))</f>
        <v>#REF!</v>
      </c>
      <c r="X104" s="4" t="e">
        <f>IF(ISBLANK(#REF!),tbl_Case_mins[[#This Row],[Surgery Start Date]],#REF!)</f>
        <v>#REF!</v>
      </c>
      <c r="Y104">
        <f>IFERROR(IF(VLOOKUP(tbl_Case_mins[[#This Row],[Theatre]],'Mng Theatres'!$C$7:$G$12,3,FALSE)="Yes","Yes","No"),0)</f>
        <v>0</v>
      </c>
      <c r="Z104" s="9" t="e" cm="1">
        <f t="array" ref="Z10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4" s="9" t="e" cm="1">
        <f t="array" ref="AA10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4" s="9" t="e">
        <f>IF(tbl_Case_mins[[#This Row],[Case Type]]="Unsch",1,0)</f>
        <v>#REF!</v>
      </c>
      <c r="AD104" s="9" t="e">
        <f>IF(tbl_Case_mins[[#This Row],[Case Type]]="Sch",1,0)</f>
        <v>#REF!</v>
      </c>
      <c r="AE10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4" s="9">
        <f>IFERROR(IF(ISBLANK(INDEX(Am_Close,MATCH(1,INDEX((tbl_Case_mins[[#This Row],[Theatre]]=Theatre_No)*(tbl_Case_mins[[#This Row],[Surgery Start Date]]=Date),0,1),0))*1440),0,INDEX(Am_Close,MATCH(1,INDEX((tbl_Case_mins[[#This Row],[Theatre]]=Theatre_No)*(tbl_Case_mins[[#This Row],[Surgery Start Date]]=Date),0,1),0))*1440),0)</f>
        <v>0</v>
      </c>
      <c r="AG104" s="9">
        <f>IFERROR(IF(ISBLANK(INDEX(PM_Open,MATCH(1,INDEX((tbl_Case_mins[[#This Row],[Theatre]]=Theatre_No)*(tbl_Case_mins[[#This Row],[Surgery Start Date]]=Date),0,1),0))*1440),0,INDEX(PM_Open,MATCH(1,INDEX((tbl_Case_mins[[#This Row],[Theatre]]=Theatre_No)*(tbl_Case_mins[[#This Row],[Surgery Start Date]]=Date),0,1),0))*1440),0)</f>
        <v>0</v>
      </c>
      <c r="AH10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4" s="9" t="e">
        <f>IF(tbl_Case_mins[[#This Row],[ThOpenAm]]=0,tbl_Case_mins[[#This Row],[ThOpenPM]],tbl_Case_mins[[#This Row],[ThOpenAm]])</f>
        <v>#REF!</v>
      </c>
      <c r="AJ104" s="9" t="e">
        <f>IF(tbl_Case_mins[[#This Row],[ThCloseAm]]&gt;0,IF(tbl_Case_mins[[#This Row],[ThOpenPM]]&gt;0,tbl_Case_mins[[#This Row],[ThClosePm]],tbl_Case_mins[[#This Row],[ThCloseAm]]),tbl_Case_mins[[#This Row],[ThClosePm]])</f>
        <v>#REF!</v>
      </c>
      <c r="AK104" s="9" t="e">
        <f>IF(tbl_Case_mins[[#This Row],[TOT]]&gt;0,1,0)</f>
        <v>#REF!</v>
      </c>
      <c r="AL10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4" s="9" t="e">
        <f>IF(AND(tbl_Case_mins[[#This Row],[Surgery Status]]&lt;&gt;2,tbl_Case_mins[[#This Row],[InCoreCase]]=0,tbl_Case_mins[[#This Row],[CancelledCase]]=0),1,0)</f>
        <v>#REF!</v>
      </c>
      <c r="AN104" s="9" t="e">
        <f>IF(tbl_Case_mins[[#This Row],[Surgery Status]]=1,1,0)</f>
        <v>#REF!</v>
      </c>
      <c r="AO10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4" s="9" t="e">
        <f>IF(AND(tbl_Case_mins[[#This Row],[NonCoreCase]]=1,tbl_Case_mins[[#This Row],[NoInCoreTime]]=0),1,0)</f>
        <v>#REF!</v>
      </c>
      <c r="AQ104" s="9" t="e">
        <f>IF(tbl_Case_mins[[#This Row],[Rank_AnaEnd]]&lt;tbl_Case_mins[[#This Row],[Rank_AnaSt]],1,0)</f>
        <v>#REF!</v>
      </c>
      <c r="AR104" s="9" t="e">
        <f>IF(AND(tbl_Case_mins[[#This Row],[InCoreCase]]=1,tbl_Case_mins[[#This Row],[Sch]]=1),1,0)</f>
        <v>#REF!</v>
      </c>
      <c r="AS104" s="9" t="e">
        <f>IF(AND(tbl_Case_mins[[#This Row],[InCoreCase]]=1,tbl_Case_mins[[#This Row],[Unsch]]=1),1,0)</f>
        <v>#REF!</v>
      </c>
      <c r="AT10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4" s="9" t="e">
        <f>IF(tbl_Case_mins[[#This Row],[Surgery Status]]=0,(tbl_Case_mins[[#This Row],[Anaesth End]]-tbl_Case_mins[[#This Row],[AnaesthStart]]),0)</f>
        <v>#REF!</v>
      </c>
      <c r="AX104" s="9" t="e">
        <f>IF(tbl_Case_mins[[#This Row],[Surgery Status]]=0,(tbl_Case_mins[[#This Row],[Surgery Finish]]-tbl_Case_mins[[#This Row],[Surgery Start]]),0)</f>
        <v>#REF!</v>
      </c>
      <c r="AY104" s="9" t="e">
        <f>tbl_Case_mins[[#This Row],[Surgery Start]]-tbl_Case_mins[[#This Row],[AnaesthStart]]</f>
        <v>#REF!</v>
      </c>
      <c r="AZ104" s="9" t="e">
        <f>tbl_Case_mins[[#This Row],[Anaesth End]]-tbl_Case_mins[[#This Row],[Surgery Finish]]</f>
        <v>#REF!</v>
      </c>
      <c r="BA10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4" s="16" cm="1">
        <f t="array" ref="BC10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4" s="16" t="e">
        <f>IF(AND(tbl_Case_mins[[#This Row],[FirstAMCase]]=1,tbl_Case_mins[[#This Row],[CancelledCase]]=0,OR(tbl_Case_mins[[#This Row],[EarlyStartAM]]&gt;0,tbl_Case_mins[[#This Row],[AnaesthStart]]=tbl_Case_mins[[#This Row],[ThOpenAm]])),1,0)</f>
        <v>#REF!</v>
      </c>
      <c r="BE104" s="16" t="e">
        <f>IF(AND(tbl_Case_mins[[#This Row],[Rank_AnaSt]]=tbl_Case_mins[[#This Row],[Min_RankAnaSt]],tbl_Case_mins[[#This Row],[Anaesth End]]&gt;=tbl_Case_mins[[#This Row],[ThOpenAm]],tbl_Case_mins[[#This Row],[PmCase]]=0),1,0)</f>
        <v>#REF!</v>
      </c>
      <c r="BF10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4" s="9" t="e" cm="1">
        <f t="array" ref="BH10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4" s="9" t="e">
        <f>IF(AND(tbl_Case_mins[[#This Row],[ThOpenPM]]&gt;0,tbl_Case_mins[[#This Row],[AnaesthStart]]&gt;tbl_Case_mins[[#This Row],[ThOpenPM]],tbl_Case_mins[[#This Row],[First PM Case]]=1),tbl_Case_mins[[#This Row],[AnaesthStart]]-tbl_Case_mins[[#This Row],[ThOpenPM]],0)</f>
        <v>#REF!</v>
      </c>
      <c r="BL10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4" s="9" t="e" cm="1">
        <f t="array" ref="BN10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4" s="9" t="e">
        <f>IF(AND(tbl_Case_mins[[#This Row],[ThClosePm]]&gt;0,tbl_Case_mins[[#This Row],[Anaesth End]]&gt;tbl_Case_mins[[#This Row],[ThClosePm]],tbl_Case_mins[[#This Row],[AnaesthStart]]&gt;tbl_Case_mins[[#This Row],[ThClosePm]]),tbl_Case_mins[[#This Row],[Into Recov]]-tbl_Case_mins[[#This Row],[AnaesthStart]],0)</f>
        <v>#REF!</v>
      </c>
      <c r="BP104" s="9" t="e">
        <f>IF(AND(tbl_Case_mins[[#This Row],[AnaesthStart]]&lt;tbl_Case_mins[[#This Row],[ThClosePm]],tbl_Case_mins[[#This Row],[Anaesth End]]&gt;tbl_Case_mins[[#This Row],[ThClosePm]]),tbl_Case_mins[[#This Row],[Anaesth End]]-tbl_Case_mins[[#This Row],[ThClosePm]],0)</f>
        <v>#REF!</v>
      </c>
      <c r="BQ104" s="9" t="e" cm="1">
        <f t="array" ref="BQ10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4" s="9" t="e" cm="1">
        <f t="array" ref="BR104">IF(tbl_Case_mins[[#This Row],[Rank_Adjust]]=SUMPRODUCT(-(tbl_Case_mins[Surgery Start Date]=tbl_Case_mins[[#This Row],[Surgery Start Date]]),-(tbl_Case_mins[Theatre]=tbl_Case_mins[[#This Row],[Theatre]])),INDEX(Poss_Time,MATCH(TEXT(tbl_Case_mins[[#This Row],[Surgery Start Date]],"ddd"),Day,0)),0)</f>
        <v>#REF!</v>
      </c>
      <c r="BS104" s="9" t="e">
        <f>tbl_Case_mins[[#This Row],[Core_Time]]*Util_Goal</f>
        <v>#REF!</v>
      </c>
      <c r="BT104" s="9" t="e" cm="1">
        <f t="array" ref="BT1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4" s="9" t="e" cm="1">
        <f t="array" ref="BU1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4" s="9" t="e">
        <f>IF(tbl_Case_mins[[#This Row],[Surgery End Date]]&gt;tbl_Case_mins[[#This Row],[Surgery Start Date]],tbl_Case_mins[[#This Row],[Anaesth End]]-1440,0)</f>
        <v>#REF!</v>
      </c>
      <c r="BY104" s="9" t="e">
        <f>tbl_Case_mins[[#This Row],[Total_NonCore]]-tbl_Case_mins[[#This Row],[NextDay_NonCore]]</f>
        <v>#REF!</v>
      </c>
      <c r="BZ104" s="10" t="e">
        <f>tbl_Case_mins[[#This Row],[InCoreUse]]/60</f>
        <v>#REF!</v>
      </c>
      <c r="CA104" s="10" t="e">
        <f>tbl_Case_mins[[#This Row],[Total_NonCore]]/60</f>
        <v>#REF!</v>
      </c>
      <c r="CB104" t="e" cm="1">
        <f t="array" ref="CB1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4" s="9" t="e" cm="1">
        <f t="array" ref="CC10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4" s="9" t="e" cm="1">
        <f t="array" ref="CD1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4" s="9" t="e" cm="1">
        <f t="array" ref="CE10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4" s="9" cm="1">
        <f t="array" ref="CF104">IFERROR(_xlfn.AGGREGATE(14,6,(tbl_Case_mins[Rank_AnaEnd])/((tbl_Case_mins[Surgery Start Date]=tbl_Case_mins[[#This Row],[Surgery Start Date]])*(tbl_Case_mins[Theatre]=tbl_Case_mins[[#This Row],[Theatre]])*(tbl_Case_mins[NoInCoreTime]=0)),1),-1)</f>
        <v>-1</v>
      </c>
      <c r="CG104" s="9" cm="1">
        <f t="array" ref="CG104">IFERROR(_xlfn.AGGREGATE(15,6,(tbl_Case_mins[Rank_AnaSt])/((tbl_Case_mins[Surgery Start Date]=tbl_Case_mins[[#This Row],[Surgery Start Date]])*(tbl_Case_mins[Theatre]=tbl_Case_mins[[#This Row],[Theatre]])*(tbl_Case_mins[NoInCoreTime]=0)),1),-1)</f>
        <v>-1</v>
      </c>
      <c r="CH10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4" t="e" cm="1">
        <f t="array" ref="CJ10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4" s="9" cm="1">
        <f t="array" ref="CO1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4" s="9" cm="1">
        <f t="array" ref="CP1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4" s="9" cm="1">
        <f t="array" ref="CQ104">IFERROR(IF(AND(tbl_Case_mins[[#This Row],[FirstAMCase]]=0,tbl_Case_mins[[#This Row],[Rank]]=_xlfn.AGGREGATE(14,6,(tbl_Case_mins[Rank])/((tbl_Case_mins[Surgery Start Date]=tbl_Case_mins[[#This Row],[Surgery Start Date]])*(tbl_Case_mins[Theatre]=tbl_Case_mins[[#This Row],[Theatre]])*(tbl_Case_mins[AmCase]=1)),1)),1,0),0)</f>
        <v>0</v>
      </c>
      <c r="CR104" s="9" cm="1">
        <f t="array" ref="CR10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4" s="9" t="e" cm="1">
        <f t="array" ref="CS10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4" s="9" cm="1">
        <f t="array" ref="CT104">IFERROR(IF(tbl_Case_mins[[#This Row],[Rank]]=_xlfn.AGGREGATE(15,6,(tbl_Case_mins[Rank])/((tbl_Case_mins[Surgery Start Date]=tbl_Case_mins[[#This Row],[Surgery Start Date]])*(tbl_Case_mins[Theatre]=tbl_Case_mins[[#This Row],[Theatre]])*(tbl_Case_mins[PmCase]=1)),1),1,0),0)</f>
        <v>0</v>
      </c>
      <c r="CU104">
        <f>IFERROR(#REF!,0)</f>
        <v>0</v>
      </c>
      <c r="CV104" s="9" t="e" cm="1">
        <f t="array" ref="CV10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4" s="9">
        <f>IFERROR(IF(ISBLANK(INDEX(Bay_AmClose,MATCH(1,INDEX((tbl_Case_mins[[#This Row],[Bay]]=BayNo)*(tbl_Case_mins[[#This Row],[Surgery Start Date]]=BDate),0,1),0))*1440),0,INDEX(Bay_AmClose,MATCH(1,INDEX((tbl_Case_mins[[#This Row],[Bay]]=BayNo)*(tbl_Case_mins[[#This Row],[Surgery Start Date]]=BDate),0,1),0))*1440),0)</f>
        <v>0</v>
      </c>
      <c r="CX104" s="9" cm="1">
        <f t="array" ref="CX104">IFERROR(IF(ISBLANK(INDEX(Bay_PmOpen,MATCH(1,INDEX((tbl_Case_mins[[#This Row],[Bay]]=BayNo)*(tbl_Case_mins[[#This Row],[Surgery Start Date]]=BDate),0,1),0))*1440),0,INDEX(Bay_PmOpen,MATCH(1,INDEX((tbl_Case_mins[[#This Row],[Bay]]=BayNo)*(tbl_Case_mins[[#This Row],[Surgery Start Date]]=BDate),0,1),0))*1440),0)</f>
        <v>0</v>
      </c>
      <c r="CY10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4" s="9"/>
    </row>
    <row r="105" spans="1:104" x14ac:dyDescent="0.2">
      <c r="A105">
        <v>104</v>
      </c>
      <c r="B105" t="e">
        <f>#REF!</f>
        <v>#REF!</v>
      </c>
      <c r="C105" t="e">
        <f>#REF!</f>
        <v>#REF!</v>
      </c>
      <c r="D105" t="e">
        <f>#REF!</f>
        <v>#REF!</v>
      </c>
      <c r="E105" t="e">
        <f>#REF!</f>
        <v>#REF!</v>
      </c>
      <c r="F105" t="e">
        <f>#REF!</f>
        <v>#REF!</v>
      </c>
      <c r="G105" t="e">
        <f>#REF!</f>
        <v>#REF!</v>
      </c>
      <c r="H105" t="e">
        <f>#REF!</f>
        <v>#REF!</v>
      </c>
      <c r="I105" t="e">
        <f>IF(#REF!="Case Cancelled",1,IF(#REF!="No Cases",2,0))</f>
        <v>#REF!</v>
      </c>
      <c r="J105" t="e">
        <f>#REF!</f>
        <v>#REF!</v>
      </c>
      <c r="K105" s="4" t="e">
        <f>#REF!</f>
        <v>#REF!</v>
      </c>
      <c r="L105" t="e">
        <f>"Wk "&amp;WEEKNUM(tbl_Case_mins[[#This Row],[Surgery Start Date]],21)</f>
        <v>#REF!</v>
      </c>
      <c r="M105" t="e">
        <f>TEXT(tbl_Case_mins[[#This Row],[Surgery Start Date]],"ddd")</f>
        <v>#REF!</v>
      </c>
      <c r="N105" s="9" t="e">
        <f>(#REF!-TIME(0,0,0))*1440</f>
        <v>#REF!</v>
      </c>
      <c r="O105" t="e">
        <f>IF(AND(ROUND((#REF!-TIME(0,0,0))*1440,0)&gt;0,ROUND((#REF!-TIME(0,0,0))*1440,0)&lt;tbl_Case_mins[[#This Row],[Patient Called]],tbl_Case_mins[[#This Row],[Surgery End Date]]&gt;tbl_Case_mins[[#This Row],[Surgery Start Date]]),ROUND((#REF!-TIME(0,0,0))*1440,0)+1440,ROUND((#REF!-TIME(0,0,0))*1440,0))</f>
        <v>#REF!</v>
      </c>
      <c r="P105" s="9" t="e">
        <f>IF(AND(ROUND((#REF!-TIME(0,0,0))*1440,0)&gt;0,ROUND((#REF!-TIME(0,0,0))*1440,0)&lt;tbl_Case_mins[[#This Row],[Arrival]],tbl_Case_mins[[#This Row],[Surgery End Date]]&gt;tbl_Case_mins[[#This Row],[Surgery Start Date]]),ROUND((#REF!-TIME(0,0,0))*1440,0)+1440,ROUND((#REF!-TIME(0,0,0))*1440,0))</f>
        <v>#REF!</v>
      </c>
      <c r="Q105" s="9" t="e">
        <f>IF(AND(ROUND((#REF!-TIME(0,0,0))*1440,0)&gt;0,ROUND((#REF!-TIME(0,0,0))*1440,0)&lt;tbl_Case_mins[[#This Row],[Into Th or AR]],tbl_Case_mins[[#This Row],[Surgery End Date]]&gt;tbl_Case_mins[[#This Row],[Surgery Start Date]]),ROUND((#REF!-TIME(0,0,0))*1440,0)+1440,ROUND((#REF!-TIME(0,0,0))*1440,0))</f>
        <v>#REF!</v>
      </c>
      <c r="R105" s="9" t="e">
        <f>IF(AND(ROUND((#REF!-TIME(0,0,0))*1440,0)&gt;0,ROUND((#REF!-TIME(0,0,0))*1440,0)&lt;tbl_Case_mins[[#This Row],[AnaesthStart]],tbl_Case_mins[[#This Row],[Surgery End Date]]&gt;tbl_Case_mins[[#This Row],[Surgery Start Date]]),ROUND((#REF!-TIME(0,0,0))*1440,0)+1440,ROUND((#REF!-TIME(0,0,0))*1440,0))</f>
        <v>#REF!</v>
      </c>
      <c r="S105" s="9" t="e">
        <f>IF(AND(ROUND((#REF!-TIME(0,0,0))*1440,0),ROUND((#REF!-TIME(0,0,0))*1440,0)&lt;tbl_Case_mins[[#This Row],[Surgery Start]],tbl_Case_mins[[#This Row],[Surgery End Date]]&gt;tbl_Case_mins[[#This Row],[Surgery Start Date]]),ROUND((#REF!-TIME(0,0,0))*1440,0)+1440,ROUND((#REF!-TIME(0,0,0))*1440,0))</f>
        <v>#REF!</v>
      </c>
      <c r="T105" s="9" t="e">
        <f>IF(AND(ROUND((#REF!-TIME(0,0,0))*1440,0)&gt;0,ROUND((#REF!-TIME(0,0,0))*1440,0)&lt;tbl_Case_mins[[#This Row],[Surgery Finish]],tbl_Case_mins[[#This Row],[Surgery End Date]]&gt;tbl_Case_mins[[#This Row],[Surgery Start Date]]),ROUND((#REF!-TIME(0,0,0))*1440,0)+1440,ROUND((#REF!-TIME(0,0,0))*1440,0))</f>
        <v>#REF!</v>
      </c>
      <c r="U105" s="9" t="e">
        <f>IF(AND(ROUND((#REF!-TIME(0,0,0))*1440,0)&gt;0,ROUND((#REF!-TIME(0,0,0))*1440,0)&lt;tbl_Case_mins[[#This Row],[Anaesth End]],tbl_Case_mins[[#This Row],[Surgery End Date]]&gt;tbl_Case_mins[[#This Row],[Surgery Start Date]]),ROUND((#REF!-TIME(0,0,0))*1440,0)+1440,ROUND((#REF!-TIME(0,0,0))*1440,0))</f>
        <v>#REF!</v>
      </c>
      <c r="V105" s="9" t="e">
        <f>IF(AND(ROUND((#REF!-TIME(0,0,0))*1440,0)&gt;0,ROUND((#REF!-TIME(0,0,0))*1440,0)&lt;tbl_Case_mins[[#This Row],[Into Recov]],tbl_Case_mins[[#This Row],[Surgery End Date]]&gt;tbl_Case_mins[[#This Row],[Surgery Start Date]]),ROUND((#REF!-TIME(0,0,0))*1440,0)+1440,ROUND((#REF!-TIME(0,0,0))*1440,0))</f>
        <v>#REF!</v>
      </c>
      <c r="W105" s="9" t="e">
        <f>IF(AND(ROUND((#REF!-TIME(0,0,0))*1440,0)&gt;0,ROUND((#REF!-TIME(0,0,0))*1440,0)&lt;tbl_Case_mins[[#This Row],[Ward Called]],tbl_Case_mins[[#This Row],[Surgery End Date]]&gt;tbl_Case_mins[[#This Row],[Surgery Start Date]]),ROUND((#REF!-TIME(0,0,0))*1440,0)+1440,ROUND((#REF!-TIME(0,0,0))*1440,0))</f>
        <v>#REF!</v>
      </c>
      <c r="X105" s="4" t="e">
        <f>IF(ISBLANK(#REF!),tbl_Case_mins[[#This Row],[Surgery Start Date]],#REF!)</f>
        <v>#REF!</v>
      </c>
      <c r="Y105">
        <f>IFERROR(IF(VLOOKUP(tbl_Case_mins[[#This Row],[Theatre]],'Mng Theatres'!$C$7:$G$12,3,FALSE)="Yes","Yes","No"),0)</f>
        <v>0</v>
      </c>
      <c r="Z105" s="9" t="e" cm="1">
        <f t="array" ref="Z10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5" s="9" t="e" cm="1">
        <f t="array" ref="AA10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5" s="9" t="e">
        <f>IF(tbl_Case_mins[[#This Row],[Case Type]]="Unsch",1,0)</f>
        <v>#REF!</v>
      </c>
      <c r="AD105" s="9" t="e">
        <f>IF(tbl_Case_mins[[#This Row],[Case Type]]="Sch",1,0)</f>
        <v>#REF!</v>
      </c>
      <c r="AE10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5" s="9">
        <f>IFERROR(IF(ISBLANK(INDEX(Am_Close,MATCH(1,INDEX((tbl_Case_mins[[#This Row],[Theatre]]=Theatre_No)*(tbl_Case_mins[[#This Row],[Surgery Start Date]]=Date),0,1),0))*1440),0,INDEX(Am_Close,MATCH(1,INDEX((tbl_Case_mins[[#This Row],[Theatre]]=Theatre_No)*(tbl_Case_mins[[#This Row],[Surgery Start Date]]=Date),0,1),0))*1440),0)</f>
        <v>0</v>
      </c>
      <c r="AG105" s="9">
        <f>IFERROR(IF(ISBLANK(INDEX(PM_Open,MATCH(1,INDEX((tbl_Case_mins[[#This Row],[Theatre]]=Theatre_No)*(tbl_Case_mins[[#This Row],[Surgery Start Date]]=Date),0,1),0))*1440),0,INDEX(PM_Open,MATCH(1,INDEX((tbl_Case_mins[[#This Row],[Theatre]]=Theatre_No)*(tbl_Case_mins[[#This Row],[Surgery Start Date]]=Date),0,1),0))*1440),0)</f>
        <v>0</v>
      </c>
      <c r="AH10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5" s="9" t="e">
        <f>IF(tbl_Case_mins[[#This Row],[ThOpenAm]]=0,tbl_Case_mins[[#This Row],[ThOpenPM]],tbl_Case_mins[[#This Row],[ThOpenAm]])</f>
        <v>#REF!</v>
      </c>
      <c r="AJ105" s="9" t="e">
        <f>IF(tbl_Case_mins[[#This Row],[ThCloseAm]]&gt;0,IF(tbl_Case_mins[[#This Row],[ThOpenPM]]&gt;0,tbl_Case_mins[[#This Row],[ThClosePm]],tbl_Case_mins[[#This Row],[ThCloseAm]]),tbl_Case_mins[[#This Row],[ThClosePm]])</f>
        <v>#REF!</v>
      </c>
      <c r="AK105" s="9" t="e">
        <f>IF(tbl_Case_mins[[#This Row],[TOT]]&gt;0,1,0)</f>
        <v>#REF!</v>
      </c>
      <c r="AL10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5" s="9" t="e">
        <f>IF(AND(tbl_Case_mins[[#This Row],[Surgery Status]]&lt;&gt;2,tbl_Case_mins[[#This Row],[InCoreCase]]=0,tbl_Case_mins[[#This Row],[CancelledCase]]=0),1,0)</f>
        <v>#REF!</v>
      </c>
      <c r="AN105" s="9" t="e">
        <f>IF(tbl_Case_mins[[#This Row],[Surgery Status]]=1,1,0)</f>
        <v>#REF!</v>
      </c>
      <c r="AO10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5" s="9" t="e">
        <f>IF(AND(tbl_Case_mins[[#This Row],[NonCoreCase]]=1,tbl_Case_mins[[#This Row],[NoInCoreTime]]=0),1,0)</f>
        <v>#REF!</v>
      </c>
      <c r="AQ105" s="9" t="e">
        <f>IF(tbl_Case_mins[[#This Row],[Rank_AnaEnd]]&lt;tbl_Case_mins[[#This Row],[Rank_AnaSt]],1,0)</f>
        <v>#REF!</v>
      </c>
      <c r="AR105" s="9" t="e">
        <f>IF(AND(tbl_Case_mins[[#This Row],[InCoreCase]]=1,tbl_Case_mins[[#This Row],[Sch]]=1),1,0)</f>
        <v>#REF!</v>
      </c>
      <c r="AS105" s="9" t="e">
        <f>IF(AND(tbl_Case_mins[[#This Row],[InCoreCase]]=1,tbl_Case_mins[[#This Row],[Unsch]]=1),1,0)</f>
        <v>#REF!</v>
      </c>
      <c r="AT10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5" s="9" t="e">
        <f>IF(tbl_Case_mins[[#This Row],[Surgery Status]]=0,(tbl_Case_mins[[#This Row],[Anaesth End]]-tbl_Case_mins[[#This Row],[AnaesthStart]]),0)</f>
        <v>#REF!</v>
      </c>
      <c r="AX105" s="9" t="e">
        <f>IF(tbl_Case_mins[[#This Row],[Surgery Status]]=0,(tbl_Case_mins[[#This Row],[Surgery Finish]]-tbl_Case_mins[[#This Row],[Surgery Start]]),0)</f>
        <v>#REF!</v>
      </c>
      <c r="AY105" s="9" t="e">
        <f>tbl_Case_mins[[#This Row],[Surgery Start]]-tbl_Case_mins[[#This Row],[AnaesthStart]]</f>
        <v>#REF!</v>
      </c>
      <c r="AZ105" s="9" t="e">
        <f>tbl_Case_mins[[#This Row],[Anaesth End]]-tbl_Case_mins[[#This Row],[Surgery Finish]]</f>
        <v>#REF!</v>
      </c>
      <c r="BA10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5" s="16" cm="1">
        <f t="array" ref="BC10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5" s="16" t="e">
        <f>IF(AND(tbl_Case_mins[[#This Row],[FirstAMCase]]=1,tbl_Case_mins[[#This Row],[CancelledCase]]=0,OR(tbl_Case_mins[[#This Row],[EarlyStartAM]]&gt;0,tbl_Case_mins[[#This Row],[AnaesthStart]]=tbl_Case_mins[[#This Row],[ThOpenAm]])),1,0)</f>
        <v>#REF!</v>
      </c>
      <c r="BE105" s="16" t="e">
        <f>IF(AND(tbl_Case_mins[[#This Row],[Rank_AnaSt]]=tbl_Case_mins[[#This Row],[Min_RankAnaSt]],tbl_Case_mins[[#This Row],[Anaesth End]]&gt;=tbl_Case_mins[[#This Row],[ThOpenAm]],tbl_Case_mins[[#This Row],[PmCase]]=0),1,0)</f>
        <v>#REF!</v>
      </c>
      <c r="BF10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5" s="9" t="e" cm="1">
        <f t="array" ref="BH10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5" s="9" t="e">
        <f>IF(AND(tbl_Case_mins[[#This Row],[ThOpenPM]]&gt;0,tbl_Case_mins[[#This Row],[AnaesthStart]]&gt;tbl_Case_mins[[#This Row],[ThOpenPM]],tbl_Case_mins[[#This Row],[First PM Case]]=1),tbl_Case_mins[[#This Row],[AnaesthStart]]-tbl_Case_mins[[#This Row],[ThOpenPM]],0)</f>
        <v>#REF!</v>
      </c>
      <c r="BL10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5" s="9" t="e" cm="1">
        <f t="array" ref="BN10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5" s="9" t="e">
        <f>IF(AND(tbl_Case_mins[[#This Row],[ThClosePm]]&gt;0,tbl_Case_mins[[#This Row],[Anaesth End]]&gt;tbl_Case_mins[[#This Row],[ThClosePm]],tbl_Case_mins[[#This Row],[AnaesthStart]]&gt;tbl_Case_mins[[#This Row],[ThClosePm]]),tbl_Case_mins[[#This Row],[Into Recov]]-tbl_Case_mins[[#This Row],[AnaesthStart]],0)</f>
        <v>#REF!</v>
      </c>
      <c r="BP105" s="9" t="e">
        <f>IF(AND(tbl_Case_mins[[#This Row],[AnaesthStart]]&lt;tbl_Case_mins[[#This Row],[ThClosePm]],tbl_Case_mins[[#This Row],[Anaesth End]]&gt;tbl_Case_mins[[#This Row],[ThClosePm]]),tbl_Case_mins[[#This Row],[Anaesth End]]-tbl_Case_mins[[#This Row],[ThClosePm]],0)</f>
        <v>#REF!</v>
      </c>
      <c r="BQ105" s="9" t="e" cm="1">
        <f t="array" ref="BQ10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5" s="9" t="e" cm="1">
        <f t="array" ref="BR105">IF(tbl_Case_mins[[#This Row],[Rank_Adjust]]=SUMPRODUCT(-(tbl_Case_mins[Surgery Start Date]=tbl_Case_mins[[#This Row],[Surgery Start Date]]),-(tbl_Case_mins[Theatre]=tbl_Case_mins[[#This Row],[Theatre]])),INDEX(Poss_Time,MATCH(TEXT(tbl_Case_mins[[#This Row],[Surgery Start Date]],"ddd"),Day,0)),0)</f>
        <v>#REF!</v>
      </c>
      <c r="BS105" s="9" t="e">
        <f>tbl_Case_mins[[#This Row],[Core_Time]]*Util_Goal</f>
        <v>#REF!</v>
      </c>
      <c r="BT105" s="9" t="e" cm="1">
        <f t="array" ref="BT1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5" s="9" t="e" cm="1">
        <f t="array" ref="BU1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5" s="9" t="e">
        <f>IF(tbl_Case_mins[[#This Row],[Surgery End Date]]&gt;tbl_Case_mins[[#This Row],[Surgery Start Date]],tbl_Case_mins[[#This Row],[Anaesth End]]-1440,0)</f>
        <v>#REF!</v>
      </c>
      <c r="BY105" s="9" t="e">
        <f>tbl_Case_mins[[#This Row],[Total_NonCore]]-tbl_Case_mins[[#This Row],[NextDay_NonCore]]</f>
        <v>#REF!</v>
      </c>
      <c r="BZ105" s="10" t="e">
        <f>tbl_Case_mins[[#This Row],[InCoreUse]]/60</f>
        <v>#REF!</v>
      </c>
      <c r="CA105" s="10" t="e">
        <f>tbl_Case_mins[[#This Row],[Total_NonCore]]/60</f>
        <v>#REF!</v>
      </c>
      <c r="CB105" t="e" cm="1">
        <f t="array" ref="CB1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5" s="9" t="e" cm="1">
        <f t="array" ref="CC10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5" s="9" t="e" cm="1">
        <f t="array" ref="CD1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5" s="9" t="e" cm="1">
        <f t="array" ref="CE10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5" s="9" cm="1">
        <f t="array" ref="CF105">IFERROR(_xlfn.AGGREGATE(14,6,(tbl_Case_mins[Rank_AnaEnd])/((tbl_Case_mins[Surgery Start Date]=tbl_Case_mins[[#This Row],[Surgery Start Date]])*(tbl_Case_mins[Theatre]=tbl_Case_mins[[#This Row],[Theatre]])*(tbl_Case_mins[NoInCoreTime]=0)),1),-1)</f>
        <v>-1</v>
      </c>
      <c r="CG105" s="9" cm="1">
        <f t="array" ref="CG105">IFERROR(_xlfn.AGGREGATE(15,6,(tbl_Case_mins[Rank_AnaSt])/((tbl_Case_mins[Surgery Start Date]=tbl_Case_mins[[#This Row],[Surgery Start Date]])*(tbl_Case_mins[Theatre]=tbl_Case_mins[[#This Row],[Theatre]])*(tbl_Case_mins[NoInCoreTime]=0)),1),-1)</f>
        <v>-1</v>
      </c>
      <c r="CH10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5" t="e" cm="1">
        <f t="array" ref="CJ10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5" s="9" cm="1">
        <f t="array" ref="CO1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5" s="9" cm="1">
        <f t="array" ref="CP1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5" s="9" cm="1">
        <f t="array" ref="CQ105">IFERROR(IF(AND(tbl_Case_mins[[#This Row],[FirstAMCase]]=0,tbl_Case_mins[[#This Row],[Rank]]=_xlfn.AGGREGATE(14,6,(tbl_Case_mins[Rank])/((tbl_Case_mins[Surgery Start Date]=tbl_Case_mins[[#This Row],[Surgery Start Date]])*(tbl_Case_mins[Theatre]=tbl_Case_mins[[#This Row],[Theatre]])*(tbl_Case_mins[AmCase]=1)),1)),1,0),0)</f>
        <v>0</v>
      </c>
      <c r="CR105" s="9" cm="1">
        <f t="array" ref="CR10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5" s="9" t="e" cm="1">
        <f t="array" ref="CS10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5" s="9" cm="1">
        <f t="array" ref="CT105">IFERROR(IF(tbl_Case_mins[[#This Row],[Rank]]=_xlfn.AGGREGATE(15,6,(tbl_Case_mins[Rank])/((tbl_Case_mins[Surgery Start Date]=tbl_Case_mins[[#This Row],[Surgery Start Date]])*(tbl_Case_mins[Theatre]=tbl_Case_mins[[#This Row],[Theatre]])*(tbl_Case_mins[PmCase]=1)),1),1,0),0)</f>
        <v>0</v>
      </c>
      <c r="CU105">
        <f>IFERROR(#REF!,0)</f>
        <v>0</v>
      </c>
      <c r="CV105" s="9" t="e" cm="1">
        <f t="array" ref="CV10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5" s="9">
        <f>IFERROR(IF(ISBLANK(INDEX(Bay_AmClose,MATCH(1,INDEX((tbl_Case_mins[[#This Row],[Bay]]=BayNo)*(tbl_Case_mins[[#This Row],[Surgery Start Date]]=BDate),0,1),0))*1440),0,INDEX(Bay_AmClose,MATCH(1,INDEX((tbl_Case_mins[[#This Row],[Bay]]=BayNo)*(tbl_Case_mins[[#This Row],[Surgery Start Date]]=BDate),0,1),0))*1440),0)</f>
        <v>0</v>
      </c>
      <c r="CX105" s="9" cm="1">
        <f t="array" ref="CX105">IFERROR(IF(ISBLANK(INDEX(Bay_PmOpen,MATCH(1,INDEX((tbl_Case_mins[[#This Row],[Bay]]=BayNo)*(tbl_Case_mins[[#This Row],[Surgery Start Date]]=BDate),0,1),0))*1440),0,INDEX(Bay_PmOpen,MATCH(1,INDEX((tbl_Case_mins[[#This Row],[Bay]]=BayNo)*(tbl_Case_mins[[#This Row],[Surgery Start Date]]=BDate),0,1),0))*1440),0)</f>
        <v>0</v>
      </c>
      <c r="CY10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5" s="9"/>
    </row>
    <row r="106" spans="1:104" x14ac:dyDescent="0.2">
      <c r="A106">
        <v>105</v>
      </c>
      <c r="B106" t="e">
        <f>#REF!</f>
        <v>#REF!</v>
      </c>
      <c r="C106" t="e">
        <f>#REF!</f>
        <v>#REF!</v>
      </c>
      <c r="D106" t="e">
        <f>#REF!</f>
        <v>#REF!</v>
      </c>
      <c r="E106" t="e">
        <f>#REF!</f>
        <v>#REF!</v>
      </c>
      <c r="F106" t="e">
        <f>#REF!</f>
        <v>#REF!</v>
      </c>
      <c r="G106" t="e">
        <f>#REF!</f>
        <v>#REF!</v>
      </c>
      <c r="H106" t="e">
        <f>#REF!</f>
        <v>#REF!</v>
      </c>
      <c r="I106" t="e">
        <f>IF(#REF!="Case Cancelled",1,IF(#REF!="No Cases",2,0))</f>
        <v>#REF!</v>
      </c>
      <c r="J106" t="e">
        <f>#REF!</f>
        <v>#REF!</v>
      </c>
      <c r="K106" s="4" t="e">
        <f>#REF!</f>
        <v>#REF!</v>
      </c>
      <c r="L106" t="e">
        <f>"Wk "&amp;WEEKNUM(tbl_Case_mins[[#This Row],[Surgery Start Date]],21)</f>
        <v>#REF!</v>
      </c>
      <c r="M106" t="e">
        <f>TEXT(tbl_Case_mins[[#This Row],[Surgery Start Date]],"ddd")</f>
        <v>#REF!</v>
      </c>
      <c r="N106" s="9" t="e">
        <f>(#REF!-TIME(0,0,0))*1440</f>
        <v>#REF!</v>
      </c>
      <c r="O106" t="e">
        <f>IF(AND(ROUND((#REF!-TIME(0,0,0))*1440,0)&gt;0,ROUND((#REF!-TIME(0,0,0))*1440,0)&lt;tbl_Case_mins[[#This Row],[Patient Called]],tbl_Case_mins[[#This Row],[Surgery End Date]]&gt;tbl_Case_mins[[#This Row],[Surgery Start Date]]),ROUND((#REF!-TIME(0,0,0))*1440,0)+1440,ROUND((#REF!-TIME(0,0,0))*1440,0))</f>
        <v>#REF!</v>
      </c>
      <c r="P106" s="9" t="e">
        <f>IF(AND(ROUND((#REF!-TIME(0,0,0))*1440,0)&gt;0,ROUND((#REF!-TIME(0,0,0))*1440,0)&lt;tbl_Case_mins[[#This Row],[Arrival]],tbl_Case_mins[[#This Row],[Surgery End Date]]&gt;tbl_Case_mins[[#This Row],[Surgery Start Date]]),ROUND((#REF!-TIME(0,0,0))*1440,0)+1440,ROUND((#REF!-TIME(0,0,0))*1440,0))</f>
        <v>#REF!</v>
      </c>
      <c r="Q106" s="9" t="e">
        <f>IF(AND(ROUND((#REF!-TIME(0,0,0))*1440,0)&gt;0,ROUND((#REF!-TIME(0,0,0))*1440,0)&lt;tbl_Case_mins[[#This Row],[Into Th or AR]],tbl_Case_mins[[#This Row],[Surgery End Date]]&gt;tbl_Case_mins[[#This Row],[Surgery Start Date]]),ROUND((#REF!-TIME(0,0,0))*1440,0)+1440,ROUND((#REF!-TIME(0,0,0))*1440,0))</f>
        <v>#REF!</v>
      </c>
      <c r="R106" s="9" t="e">
        <f>IF(AND(ROUND((#REF!-TIME(0,0,0))*1440,0)&gt;0,ROUND((#REF!-TIME(0,0,0))*1440,0)&lt;tbl_Case_mins[[#This Row],[AnaesthStart]],tbl_Case_mins[[#This Row],[Surgery End Date]]&gt;tbl_Case_mins[[#This Row],[Surgery Start Date]]),ROUND((#REF!-TIME(0,0,0))*1440,0)+1440,ROUND((#REF!-TIME(0,0,0))*1440,0))</f>
        <v>#REF!</v>
      </c>
      <c r="S106" s="9" t="e">
        <f>IF(AND(ROUND((#REF!-TIME(0,0,0))*1440,0),ROUND((#REF!-TIME(0,0,0))*1440,0)&lt;tbl_Case_mins[[#This Row],[Surgery Start]],tbl_Case_mins[[#This Row],[Surgery End Date]]&gt;tbl_Case_mins[[#This Row],[Surgery Start Date]]),ROUND((#REF!-TIME(0,0,0))*1440,0)+1440,ROUND((#REF!-TIME(0,0,0))*1440,0))</f>
        <v>#REF!</v>
      </c>
      <c r="T106" s="9" t="e">
        <f>IF(AND(ROUND((#REF!-TIME(0,0,0))*1440,0)&gt;0,ROUND((#REF!-TIME(0,0,0))*1440,0)&lt;tbl_Case_mins[[#This Row],[Surgery Finish]],tbl_Case_mins[[#This Row],[Surgery End Date]]&gt;tbl_Case_mins[[#This Row],[Surgery Start Date]]),ROUND((#REF!-TIME(0,0,0))*1440,0)+1440,ROUND((#REF!-TIME(0,0,0))*1440,0))</f>
        <v>#REF!</v>
      </c>
      <c r="U106" s="9" t="e">
        <f>IF(AND(ROUND((#REF!-TIME(0,0,0))*1440,0)&gt;0,ROUND((#REF!-TIME(0,0,0))*1440,0)&lt;tbl_Case_mins[[#This Row],[Anaesth End]],tbl_Case_mins[[#This Row],[Surgery End Date]]&gt;tbl_Case_mins[[#This Row],[Surgery Start Date]]),ROUND((#REF!-TIME(0,0,0))*1440,0)+1440,ROUND((#REF!-TIME(0,0,0))*1440,0))</f>
        <v>#REF!</v>
      </c>
      <c r="V106" s="9" t="e">
        <f>IF(AND(ROUND((#REF!-TIME(0,0,0))*1440,0)&gt;0,ROUND((#REF!-TIME(0,0,0))*1440,0)&lt;tbl_Case_mins[[#This Row],[Into Recov]],tbl_Case_mins[[#This Row],[Surgery End Date]]&gt;tbl_Case_mins[[#This Row],[Surgery Start Date]]),ROUND((#REF!-TIME(0,0,0))*1440,0)+1440,ROUND((#REF!-TIME(0,0,0))*1440,0))</f>
        <v>#REF!</v>
      </c>
      <c r="W106" s="9" t="e">
        <f>IF(AND(ROUND((#REF!-TIME(0,0,0))*1440,0)&gt;0,ROUND((#REF!-TIME(0,0,0))*1440,0)&lt;tbl_Case_mins[[#This Row],[Ward Called]],tbl_Case_mins[[#This Row],[Surgery End Date]]&gt;tbl_Case_mins[[#This Row],[Surgery Start Date]]),ROUND((#REF!-TIME(0,0,0))*1440,0)+1440,ROUND((#REF!-TIME(0,0,0))*1440,0))</f>
        <v>#REF!</v>
      </c>
      <c r="X106" s="4" t="e">
        <f>IF(ISBLANK(#REF!),tbl_Case_mins[[#This Row],[Surgery Start Date]],#REF!)</f>
        <v>#REF!</v>
      </c>
      <c r="Y106">
        <f>IFERROR(IF(VLOOKUP(tbl_Case_mins[[#This Row],[Theatre]],'Mng Theatres'!$C$7:$G$12,3,FALSE)="Yes","Yes","No"),0)</f>
        <v>0</v>
      </c>
      <c r="Z106" s="9" t="e" cm="1">
        <f t="array" ref="Z10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6" s="9" t="e" cm="1">
        <f t="array" ref="AA10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6" s="9" t="e">
        <f>IF(tbl_Case_mins[[#This Row],[Case Type]]="Unsch",1,0)</f>
        <v>#REF!</v>
      </c>
      <c r="AD106" s="9" t="e">
        <f>IF(tbl_Case_mins[[#This Row],[Case Type]]="Sch",1,0)</f>
        <v>#REF!</v>
      </c>
      <c r="AE10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6" s="9">
        <f>IFERROR(IF(ISBLANK(INDEX(Am_Close,MATCH(1,INDEX((tbl_Case_mins[[#This Row],[Theatre]]=Theatre_No)*(tbl_Case_mins[[#This Row],[Surgery Start Date]]=Date),0,1),0))*1440),0,INDEX(Am_Close,MATCH(1,INDEX((tbl_Case_mins[[#This Row],[Theatre]]=Theatre_No)*(tbl_Case_mins[[#This Row],[Surgery Start Date]]=Date),0,1),0))*1440),0)</f>
        <v>0</v>
      </c>
      <c r="AG106" s="9">
        <f>IFERROR(IF(ISBLANK(INDEX(PM_Open,MATCH(1,INDEX((tbl_Case_mins[[#This Row],[Theatre]]=Theatre_No)*(tbl_Case_mins[[#This Row],[Surgery Start Date]]=Date),0,1),0))*1440),0,INDEX(PM_Open,MATCH(1,INDEX((tbl_Case_mins[[#This Row],[Theatre]]=Theatre_No)*(tbl_Case_mins[[#This Row],[Surgery Start Date]]=Date),0,1),0))*1440),0)</f>
        <v>0</v>
      </c>
      <c r="AH10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6" s="9" t="e">
        <f>IF(tbl_Case_mins[[#This Row],[ThOpenAm]]=0,tbl_Case_mins[[#This Row],[ThOpenPM]],tbl_Case_mins[[#This Row],[ThOpenAm]])</f>
        <v>#REF!</v>
      </c>
      <c r="AJ106" s="9" t="e">
        <f>IF(tbl_Case_mins[[#This Row],[ThCloseAm]]&gt;0,IF(tbl_Case_mins[[#This Row],[ThOpenPM]]&gt;0,tbl_Case_mins[[#This Row],[ThClosePm]],tbl_Case_mins[[#This Row],[ThCloseAm]]),tbl_Case_mins[[#This Row],[ThClosePm]])</f>
        <v>#REF!</v>
      </c>
      <c r="AK106" s="9" t="e">
        <f>IF(tbl_Case_mins[[#This Row],[TOT]]&gt;0,1,0)</f>
        <v>#REF!</v>
      </c>
      <c r="AL10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6" s="9" t="e">
        <f>IF(AND(tbl_Case_mins[[#This Row],[Surgery Status]]&lt;&gt;2,tbl_Case_mins[[#This Row],[InCoreCase]]=0,tbl_Case_mins[[#This Row],[CancelledCase]]=0),1,0)</f>
        <v>#REF!</v>
      </c>
      <c r="AN106" s="9" t="e">
        <f>IF(tbl_Case_mins[[#This Row],[Surgery Status]]=1,1,0)</f>
        <v>#REF!</v>
      </c>
      <c r="AO10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6" s="9" t="e">
        <f>IF(AND(tbl_Case_mins[[#This Row],[NonCoreCase]]=1,tbl_Case_mins[[#This Row],[NoInCoreTime]]=0),1,0)</f>
        <v>#REF!</v>
      </c>
      <c r="AQ106" s="9" t="e">
        <f>IF(tbl_Case_mins[[#This Row],[Rank_AnaEnd]]&lt;tbl_Case_mins[[#This Row],[Rank_AnaSt]],1,0)</f>
        <v>#REF!</v>
      </c>
      <c r="AR106" s="9" t="e">
        <f>IF(AND(tbl_Case_mins[[#This Row],[InCoreCase]]=1,tbl_Case_mins[[#This Row],[Sch]]=1),1,0)</f>
        <v>#REF!</v>
      </c>
      <c r="AS106" s="9" t="e">
        <f>IF(AND(tbl_Case_mins[[#This Row],[InCoreCase]]=1,tbl_Case_mins[[#This Row],[Unsch]]=1),1,0)</f>
        <v>#REF!</v>
      </c>
      <c r="AT10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6" s="9" t="e">
        <f>IF(tbl_Case_mins[[#This Row],[Surgery Status]]=0,(tbl_Case_mins[[#This Row],[Anaesth End]]-tbl_Case_mins[[#This Row],[AnaesthStart]]),0)</f>
        <v>#REF!</v>
      </c>
      <c r="AX106" s="9" t="e">
        <f>IF(tbl_Case_mins[[#This Row],[Surgery Status]]=0,(tbl_Case_mins[[#This Row],[Surgery Finish]]-tbl_Case_mins[[#This Row],[Surgery Start]]),0)</f>
        <v>#REF!</v>
      </c>
      <c r="AY106" s="9" t="e">
        <f>tbl_Case_mins[[#This Row],[Surgery Start]]-tbl_Case_mins[[#This Row],[AnaesthStart]]</f>
        <v>#REF!</v>
      </c>
      <c r="AZ106" s="9" t="e">
        <f>tbl_Case_mins[[#This Row],[Anaesth End]]-tbl_Case_mins[[#This Row],[Surgery Finish]]</f>
        <v>#REF!</v>
      </c>
      <c r="BA10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6" s="16" cm="1">
        <f t="array" ref="BC10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6" s="16" t="e">
        <f>IF(AND(tbl_Case_mins[[#This Row],[FirstAMCase]]=1,tbl_Case_mins[[#This Row],[CancelledCase]]=0,OR(tbl_Case_mins[[#This Row],[EarlyStartAM]]&gt;0,tbl_Case_mins[[#This Row],[AnaesthStart]]=tbl_Case_mins[[#This Row],[ThOpenAm]])),1,0)</f>
        <v>#REF!</v>
      </c>
      <c r="BE106" s="16" t="e">
        <f>IF(AND(tbl_Case_mins[[#This Row],[Rank_AnaSt]]=tbl_Case_mins[[#This Row],[Min_RankAnaSt]],tbl_Case_mins[[#This Row],[Anaesth End]]&gt;=tbl_Case_mins[[#This Row],[ThOpenAm]],tbl_Case_mins[[#This Row],[PmCase]]=0),1,0)</f>
        <v>#REF!</v>
      </c>
      <c r="BF10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6" s="9" t="e" cm="1">
        <f t="array" ref="BH10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6" s="9" t="e">
        <f>IF(AND(tbl_Case_mins[[#This Row],[ThOpenPM]]&gt;0,tbl_Case_mins[[#This Row],[AnaesthStart]]&gt;tbl_Case_mins[[#This Row],[ThOpenPM]],tbl_Case_mins[[#This Row],[First PM Case]]=1),tbl_Case_mins[[#This Row],[AnaesthStart]]-tbl_Case_mins[[#This Row],[ThOpenPM]],0)</f>
        <v>#REF!</v>
      </c>
      <c r="BL10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6" s="9" t="e" cm="1">
        <f t="array" ref="BN10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6" s="9" t="e">
        <f>IF(AND(tbl_Case_mins[[#This Row],[ThClosePm]]&gt;0,tbl_Case_mins[[#This Row],[Anaesth End]]&gt;tbl_Case_mins[[#This Row],[ThClosePm]],tbl_Case_mins[[#This Row],[AnaesthStart]]&gt;tbl_Case_mins[[#This Row],[ThClosePm]]),tbl_Case_mins[[#This Row],[Into Recov]]-tbl_Case_mins[[#This Row],[AnaesthStart]],0)</f>
        <v>#REF!</v>
      </c>
      <c r="BP106" s="9" t="e">
        <f>IF(AND(tbl_Case_mins[[#This Row],[AnaesthStart]]&lt;tbl_Case_mins[[#This Row],[ThClosePm]],tbl_Case_mins[[#This Row],[Anaesth End]]&gt;tbl_Case_mins[[#This Row],[ThClosePm]]),tbl_Case_mins[[#This Row],[Anaesth End]]-tbl_Case_mins[[#This Row],[ThClosePm]],0)</f>
        <v>#REF!</v>
      </c>
      <c r="BQ106" s="9" t="e" cm="1">
        <f t="array" ref="BQ10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6" s="9" t="e" cm="1">
        <f t="array" ref="BR106">IF(tbl_Case_mins[[#This Row],[Rank_Adjust]]=SUMPRODUCT(-(tbl_Case_mins[Surgery Start Date]=tbl_Case_mins[[#This Row],[Surgery Start Date]]),-(tbl_Case_mins[Theatre]=tbl_Case_mins[[#This Row],[Theatre]])),INDEX(Poss_Time,MATCH(TEXT(tbl_Case_mins[[#This Row],[Surgery Start Date]],"ddd"),Day,0)),0)</f>
        <v>#REF!</v>
      </c>
      <c r="BS106" s="9" t="e">
        <f>tbl_Case_mins[[#This Row],[Core_Time]]*Util_Goal</f>
        <v>#REF!</v>
      </c>
      <c r="BT106" s="9" t="e" cm="1">
        <f t="array" ref="BT1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6" s="9" t="e" cm="1">
        <f t="array" ref="BU1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6" s="9" t="e">
        <f>IF(tbl_Case_mins[[#This Row],[Surgery End Date]]&gt;tbl_Case_mins[[#This Row],[Surgery Start Date]],tbl_Case_mins[[#This Row],[Anaesth End]]-1440,0)</f>
        <v>#REF!</v>
      </c>
      <c r="BY106" s="9" t="e">
        <f>tbl_Case_mins[[#This Row],[Total_NonCore]]-tbl_Case_mins[[#This Row],[NextDay_NonCore]]</f>
        <v>#REF!</v>
      </c>
      <c r="BZ106" s="10" t="e">
        <f>tbl_Case_mins[[#This Row],[InCoreUse]]/60</f>
        <v>#REF!</v>
      </c>
      <c r="CA106" s="10" t="e">
        <f>tbl_Case_mins[[#This Row],[Total_NonCore]]/60</f>
        <v>#REF!</v>
      </c>
      <c r="CB106" t="e" cm="1">
        <f t="array" ref="CB1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6" s="9" t="e" cm="1">
        <f t="array" ref="CC10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6" s="9" t="e" cm="1">
        <f t="array" ref="CD1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6" s="9" t="e" cm="1">
        <f t="array" ref="CE10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6" s="9" cm="1">
        <f t="array" ref="CF106">IFERROR(_xlfn.AGGREGATE(14,6,(tbl_Case_mins[Rank_AnaEnd])/((tbl_Case_mins[Surgery Start Date]=tbl_Case_mins[[#This Row],[Surgery Start Date]])*(tbl_Case_mins[Theatre]=tbl_Case_mins[[#This Row],[Theatre]])*(tbl_Case_mins[NoInCoreTime]=0)),1),-1)</f>
        <v>-1</v>
      </c>
      <c r="CG106" s="9" cm="1">
        <f t="array" ref="CG106">IFERROR(_xlfn.AGGREGATE(15,6,(tbl_Case_mins[Rank_AnaSt])/((tbl_Case_mins[Surgery Start Date]=tbl_Case_mins[[#This Row],[Surgery Start Date]])*(tbl_Case_mins[Theatre]=tbl_Case_mins[[#This Row],[Theatre]])*(tbl_Case_mins[NoInCoreTime]=0)),1),-1)</f>
        <v>-1</v>
      </c>
      <c r="CH10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6" t="e" cm="1">
        <f t="array" ref="CJ10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6" s="9" cm="1">
        <f t="array" ref="CO1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6" s="9" cm="1">
        <f t="array" ref="CP1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6" s="9" cm="1">
        <f t="array" ref="CQ106">IFERROR(IF(AND(tbl_Case_mins[[#This Row],[FirstAMCase]]=0,tbl_Case_mins[[#This Row],[Rank]]=_xlfn.AGGREGATE(14,6,(tbl_Case_mins[Rank])/((tbl_Case_mins[Surgery Start Date]=tbl_Case_mins[[#This Row],[Surgery Start Date]])*(tbl_Case_mins[Theatre]=tbl_Case_mins[[#This Row],[Theatre]])*(tbl_Case_mins[AmCase]=1)),1)),1,0),0)</f>
        <v>0</v>
      </c>
      <c r="CR106" s="9" cm="1">
        <f t="array" ref="CR10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6" s="9" t="e" cm="1">
        <f t="array" ref="CS10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6" s="9" cm="1">
        <f t="array" ref="CT106">IFERROR(IF(tbl_Case_mins[[#This Row],[Rank]]=_xlfn.AGGREGATE(15,6,(tbl_Case_mins[Rank])/((tbl_Case_mins[Surgery Start Date]=tbl_Case_mins[[#This Row],[Surgery Start Date]])*(tbl_Case_mins[Theatre]=tbl_Case_mins[[#This Row],[Theatre]])*(tbl_Case_mins[PmCase]=1)),1),1,0),0)</f>
        <v>0</v>
      </c>
      <c r="CU106">
        <f>IFERROR(#REF!,0)</f>
        <v>0</v>
      </c>
      <c r="CV106" s="9" t="e" cm="1">
        <f t="array" ref="CV10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6" s="9">
        <f>IFERROR(IF(ISBLANK(INDEX(Bay_AmClose,MATCH(1,INDEX((tbl_Case_mins[[#This Row],[Bay]]=BayNo)*(tbl_Case_mins[[#This Row],[Surgery Start Date]]=BDate),0,1),0))*1440),0,INDEX(Bay_AmClose,MATCH(1,INDEX((tbl_Case_mins[[#This Row],[Bay]]=BayNo)*(tbl_Case_mins[[#This Row],[Surgery Start Date]]=BDate),0,1),0))*1440),0)</f>
        <v>0</v>
      </c>
      <c r="CX106" s="9" cm="1">
        <f t="array" ref="CX106">IFERROR(IF(ISBLANK(INDEX(Bay_PmOpen,MATCH(1,INDEX((tbl_Case_mins[[#This Row],[Bay]]=BayNo)*(tbl_Case_mins[[#This Row],[Surgery Start Date]]=BDate),0,1),0))*1440),0,INDEX(Bay_PmOpen,MATCH(1,INDEX((tbl_Case_mins[[#This Row],[Bay]]=BayNo)*(tbl_Case_mins[[#This Row],[Surgery Start Date]]=BDate),0,1),0))*1440),0)</f>
        <v>0</v>
      </c>
      <c r="CY10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6" s="9"/>
    </row>
    <row r="107" spans="1:104" x14ac:dyDescent="0.2">
      <c r="A107">
        <v>106</v>
      </c>
      <c r="B107" t="e">
        <f>#REF!</f>
        <v>#REF!</v>
      </c>
      <c r="C107" t="e">
        <f>#REF!</f>
        <v>#REF!</v>
      </c>
      <c r="D107" t="e">
        <f>#REF!</f>
        <v>#REF!</v>
      </c>
      <c r="E107" t="e">
        <f>#REF!</f>
        <v>#REF!</v>
      </c>
      <c r="F107" t="e">
        <f>#REF!</f>
        <v>#REF!</v>
      </c>
      <c r="G107" t="e">
        <f>#REF!</f>
        <v>#REF!</v>
      </c>
      <c r="H107" t="e">
        <f>#REF!</f>
        <v>#REF!</v>
      </c>
      <c r="I107" t="e">
        <f>IF(#REF!="Case Cancelled",1,IF(#REF!="No Cases",2,0))</f>
        <v>#REF!</v>
      </c>
      <c r="J107" t="e">
        <f>#REF!</f>
        <v>#REF!</v>
      </c>
      <c r="K107" s="4" t="e">
        <f>#REF!</f>
        <v>#REF!</v>
      </c>
      <c r="L107" t="e">
        <f>"Wk "&amp;WEEKNUM(tbl_Case_mins[[#This Row],[Surgery Start Date]],21)</f>
        <v>#REF!</v>
      </c>
      <c r="M107" t="e">
        <f>TEXT(tbl_Case_mins[[#This Row],[Surgery Start Date]],"ddd")</f>
        <v>#REF!</v>
      </c>
      <c r="N107" s="9" t="e">
        <f>(#REF!-TIME(0,0,0))*1440</f>
        <v>#REF!</v>
      </c>
      <c r="O107" t="e">
        <f>IF(AND(ROUND((#REF!-TIME(0,0,0))*1440,0)&gt;0,ROUND((#REF!-TIME(0,0,0))*1440,0)&lt;tbl_Case_mins[[#This Row],[Patient Called]],tbl_Case_mins[[#This Row],[Surgery End Date]]&gt;tbl_Case_mins[[#This Row],[Surgery Start Date]]),ROUND((#REF!-TIME(0,0,0))*1440,0)+1440,ROUND((#REF!-TIME(0,0,0))*1440,0))</f>
        <v>#REF!</v>
      </c>
      <c r="P107" s="9" t="e">
        <f>IF(AND(ROUND((#REF!-TIME(0,0,0))*1440,0)&gt;0,ROUND((#REF!-TIME(0,0,0))*1440,0)&lt;tbl_Case_mins[[#This Row],[Arrival]],tbl_Case_mins[[#This Row],[Surgery End Date]]&gt;tbl_Case_mins[[#This Row],[Surgery Start Date]]),ROUND((#REF!-TIME(0,0,0))*1440,0)+1440,ROUND((#REF!-TIME(0,0,0))*1440,0))</f>
        <v>#REF!</v>
      </c>
      <c r="Q107" s="9" t="e">
        <f>IF(AND(ROUND((#REF!-TIME(0,0,0))*1440,0)&gt;0,ROUND((#REF!-TIME(0,0,0))*1440,0)&lt;tbl_Case_mins[[#This Row],[Into Th or AR]],tbl_Case_mins[[#This Row],[Surgery End Date]]&gt;tbl_Case_mins[[#This Row],[Surgery Start Date]]),ROUND((#REF!-TIME(0,0,0))*1440,0)+1440,ROUND((#REF!-TIME(0,0,0))*1440,0))</f>
        <v>#REF!</v>
      </c>
      <c r="R107" s="9" t="e">
        <f>IF(AND(ROUND((#REF!-TIME(0,0,0))*1440,0)&gt;0,ROUND((#REF!-TIME(0,0,0))*1440,0)&lt;tbl_Case_mins[[#This Row],[AnaesthStart]],tbl_Case_mins[[#This Row],[Surgery End Date]]&gt;tbl_Case_mins[[#This Row],[Surgery Start Date]]),ROUND((#REF!-TIME(0,0,0))*1440,0)+1440,ROUND((#REF!-TIME(0,0,0))*1440,0))</f>
        <v>#REF!</v>
      </c>
      <c r="S107" s="9" t="e">
        <f>IF(AND(ROUND((#REF!-TIME(0,0,0))*1440,0),ROUND((#REF!-TIME(0,0,0))*1440,0)&lt;tbl_Case_mins[[#This Row],[Surgery Start]],tbl_Case_mins[[#This Row],[Surgery End Date]]&gt;tbl_Case_mins[[#This Row],[Surgery Start Date]]),ROUND((#REF!-TIME(0,0,0))*1440,0)+1440,ROUND((#REF!-TIME(0,0,0))*1440,0))</f>
        <v>#REF!</v>
      </c>
      <c r="T107" s="9" t="e">
        <f>IF(AND(ROUND((#REF!-TIME(0,0,0))*1440,0)&gt;0,ROUND((#REF!-TIME(0,0,0))*1440,0)&lt;tbl_Case_mins[[#This Row],[Surgery Finish]],tbl_Case_mins[[#This Row],[Surgery End Date]]&gt;tbl_Case_mins[[#This Row],[Surgery Start Date]]),ROUND((#REF!-TIME(0,0,0))*1440,0)+1440,ROUND((#REF!-TIME(0,0,0))*1440,0))</f>
        <v>#REF!</v>
      </c>
      <c r="U107" s="9" t="e">
        <f>IF(AND(ROUND((#REF!-TIME(0,0,0))*1440,0)&gt;0,ROUND((#REF!-TIME(0,0,0))*1440,0)&lt;tbl_Case_mins[[#This Row],[Anaesth End]],tbl_Case_mins[[#This Row],[Surgery End Date]]&gt;tbl_Case_mins[[#This Row],[Surgery Start Date]]),ROUND((#REF!-TIME(0,0,0))*1440,0)+1440,ROUND((#REF!-TIME(0,0,0))*1440,0))</f>
        <v>#REF!</v>
      </c>
      <c r="V107" s="9" t="e">
        <f>IF(AND(ROUND((#REF!-TIME(0,0,0))*1440,0)&gt;0,ROUND((#REF!-TIME(0,0,0))*1440,0)&lt;tbl_Case_mins[[#This Row],[Into Recov]],tbl_Case_mins[[#This Row],[Surgery End Date]]&gt;tbl_Case_mins[[#This Row],[Surgery Start Date]]),ROUND((#REF!-TIME(0,0,0))*1440,0)+1440,ROUND((#REF!-TIME(0,0,0))*1440,0))</f>
        <v>#REF!</v>
      </c>
      <c r="W107" s="9" t="e">
        <f>IF(AND(ROUND((#REF!-TIME(0,0,0))*1440,0)&gt;0,ROUND((#REF!-TIME(0,0,0))*1440,0)&lt;tbl_Case_mins[[#This Row],[Ward Called]],tbl_Case_mins[[#This Row],[Surgery End Date]]&gt;tbl_Case_mins[[#This Row],[Surgery Start Date]]),ROUND((#REF!-TIME(0,0,0))*1440,0)+1440,ROUND((#REF!-TIME(0,0,0))*1440,0))</f>
        <v>#REF!</v>
      </c>
      <c r="X107" s="4" t="e">
        <f>IF(ISBLANK(#REF!),tbl_Case_mins[[#This Row],[Surgery Start Date]],#REF!)</f>
        <v>#REF!</v>
      </c>
      <c r="Y107">
        <f>IFERROR(IF(VLOOKUP(tbl_Case_mins[[#This Row],[Theatre]],'Mng Theatres'!$C$7:$G$12,3,FALSE)="Yes","Yes","No"),0)</f>
        <v>0</v>
      </c>
      <c r="Z107" s="9" t="e" cm="1">
        <f t="array" ref="Z10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7" s="9" t="e" cm="1">
        <f t="array" ref="AA10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7" s="9" t="e">
        <f>IF(tbl_Case_mins[[#This Row],[Case Type]]="Unsch",1,0)</f>
        <v>#REF!</v>
      </c>
      <c r="AD107" s="9" t="e">
        <f>IF(tbl_Case_mins[[#This Row],[Case Type]]="Sch",1,0)</f>
        <v>#REF!</v>
      </c>
      <c r="AE10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7" s="9">
        <f>IFERROR(IF(ISBLANK(INDEX(Am_Close,MATCH(1,INDEX((tbl_Case_mins[[#This Row],[Theatre]]=Theatre_No)*(tbl_Case_mins[[#This Row],[Surgery Start Date]]=Date),0,1),0))*1440),0,INDEX(Am_Close,MATCH(1,INDEX((tbl_Case_mins[[#This Row],[Theatre]]=Theatre_No)*(tbl_Case_mins[[#This Row],[Surgery Start Date]]=Date),0,1),0))*1440),0)</f>
        <v>0</v>
      </c>
      <c r="AG107" s="9">
        <f>IFERROR(IF(ISBLANK(INDEX(PM_Open,MATCH(1,INDEX((tbl_Case_mins[[#This Row],[Theatre]]=Theatre_No)*(tbl_Case_mins[[#This Row],[Surgery Start Date]]=Date),0,1),0))*1440),0,INDEX(PM_Open,MATCH(1,INDEX((tbl_Case_mins[[#This Row],[Theatre]]=Theatre_No)*(tbl_Case_mins[[#This Row],[Surgery Start Date]]=Date),0,1),0))*1440),0)</f>
        <v>0</v>
      </c>
      <c r="AH10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7" s="9" t="e">
        <f>IF(tbl_Case_mins[[#This Row],[ThOpenAm]]=0,tbl_Case_mins[[#This Row],[ThOpenPM]],tbl_Case_mins[[#This Row],[ThOpenAm]])</f>
        <v>#REF!</v>
      </c>
      <c r="AJ107" s="9" t="e">
        <f>IF(tbl_Case_mins[[#This Row],[ThCloseAm]]&gt;0,IF(tbl_Case_mins[[#This Row],[ThOpenPM]]&gt;0,tbl_Case_mins[[#This Row],[ThClosePm]],tbl_Case_mins[[#This Row],[ThCloseAm]]),tbl_Case_mins[[#This Row],[ThClosePm]])</f>
        <v>#REF!</v>
      </c>
      <c r="AK107" s="9" t="e">
        <f>IF(tbl_Case_mins[[#This Row],[TOT]]&gt;0,1,0)</f>
        <v>#REF!</v>
      </c>
      <c r="AL10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7" s="9" t="e">
        <f>IF(AND(tbl_Case_mins[[#This Row],[Surgery Status]]&lt;&gt;2,tbl_Case_mins[[#This Row],[InCoreCase]]=0,tbl_Case_mins[[#This Row],[CancelledCase]]=0),1,0)</f>
        <v>#REF!</v>
      </c>
      <c r="AN107" s="9" t="e">
        <f>IF(tbl_Case_mins[[#This Row],[Surgery Status]]=1,1,0)</f>
        <v>#REF!</v>
      </c>
      <c r="AO10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7" s="9" t="e">
        <f>IF(AND(tbl_Case_mins[[#This Row],[NonCoreCase]]=1,tbl_Case_mins[[#This Row],[NoInCoreTime]]=0),1,0)</f>
        <v>#REF!</v>
      </c>
      <c r="AQ107" s="9" t="e">
        <f>IF(tbl_Case_mins[[#This Row],[Rank_AnaEnd]]&lt;tbl_Case_mins[[#This Row],[Rank_AnaSt]],1,0)</f>
        <v>#REF!</v>
      </c>
      <c r="AR107" s="9" t="e">
        <f>IF(AND(tbl_Case_mins[[#This Row],[InCoreCase]]=1,tbl_Case_mins[[#This Row],[Sch]]=1),1,0)</f>
        <v>#REF!</v>
      </c>
      <c r="AS107" s="9" t="e">
        <f>IF(AND(tbl_Case_mins[[#This Row],[InCoreCase]]=1,tbl_Case_mins[[#This Row],[Unsch]]=1),1,0)</f>
        <v>#REF!</v>
      </c>
      <c r="AT10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7" s="9" t="e">
        <f>IF(tbl_Case_mins[[#This Row],[Surgery Status]]=0,(tbl_Case_mins[[#This Row],[Anaesth End]]-tbl_Case_mins[[#This Row],[AnaesthStart]]),0)</f>
        <v>#REF!</v>
      </c>
      <c r="AX107" s="9" t="e">
        <f>IF(tbl_Case_mins[[#This Row],[Surgery Status]]=0,(tbl_Case_mins[[#This Row],[Surgery Finish]]-tbl_Case_mins[[#This Row],[Surgery Start]]),0)</f>
        <v>#REF!</v>
      </c>
      <c r="AY107" s="9" t="e">
        <f>tbl_Case_mins[[#This Row],[Surgery Start]]-tbl_Case_mins[[#This Row],[AnaesthStart]]</f>
        <v>#REF!</v>
      </c>
      <c r="AZ107" s="9" t="e">
        <f>tbl_Case_mins[[#This Row],[Anaesth End]]-tbl_Case_mins[[#This Row],[Surgery Finish]]</f>
        <v>#REF!</v>
      </c>
      <c r="BA10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7" s="16" cm="1">
        <f t="array" ref="BC10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7" s="16" t="e">
        <f>IF(AND(tbl_Case_mins[[#This Row],[FirstAMCase]]=1,tbl_Case_mins[[#This Row],[CancelledCase]]=0,OR(tbl_Case_mins[[#This Row],[EarlyStartAM]]&gt;0,tbl_Case_mins[[#This Row],[AnaesthStart]]=tbl_Case_mins[[#This Row],[ThOpenAm]])),1,0)</f>
        <v>#REF!</v>
      </c>
      <c r="BE107" s="16" t="e">
        <f>IF(AND(tbl_Case_mins[[#This Row],[Rank_AnaSt]]=tbl_Case_mins[[#This Row],[Min_RankAnaSt]],tbl_Case_mins[[#This Row],[Anaesth End]]&gt;=tbl_Case_mins[[#This Row],[ThOpenAm]],tbl_Case_mins[[#This Row],[PmCase]]=0),1,0)</f>
        <v>#REF!</v>
      </c>
      <c r="BF10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7" s="9" t="e" cm="1">
        <f t="array" ref="BH10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7" s="9" t="e">
        <f>IF(AND(tbl_Case_mins[[#This Row],[ThOpenPM]]&gt;0,tbl_Case_mins[[#This Row],[AnaesthStart]]&gt;tbl_Case_mins[[#This Row],[ThOpenPM]],tbl_Case_mins[[#This Row],[First PM Case]]=1),tbl_Case_mins[[#This Row],[AnaesthStart]]-tbl_Case_mins[[#This Row],[ThOpenPM]],0)</f>
        <v>#REF!</v>
      </c>
      <c r="BL10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7" s="9" t="e" cm="1">
        <f t="array" ref="BN10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7" s="9" t="e">
        <f>IF(AND(tbl_Case_mins[[#This Row],[ThClosePm]]&gt;0,tbl_Case_mins[[#This Row],[Anaesth End]]&gt;tbl_Case_mins[[#This Row],[ThClosePm]],tbl_Case_mins[[#This Row],[AnaesthStart]]&gt;tbl_Case_mins[[#This Row],[ThClosePm]]),tbl_Case_mins[[#This Row],[Into Recov]]-tbl_Case_mins[[#This Row],[AnaesthStart]],0)</f>
        <v>#REF!</v>
      </c>
      <c r="BP107" s="9" t="e">
        <f>IF(AND(tbl_Case_mins[[#This Row],[AnaesthStart]]&lt;tbl_Case_mins[[#This Row],[ThClosePm]],tbl_Case_mins[[#This Row],[Anaesth End]]&gt;tbl_Case_mins[[#This Row],[ThClosePm]]),tbl_Case_mins[[#This Row],[Anaesth End]]-tbl_Case_mins[[#This Row],[ThClosePm]],0)</f>
        <v>#REF!</v>
      </c>
      <c r="BQ107" s="9" t="e" cm="1">
        <f t="array" ref="BQ10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7" s="9" t="e" cm="1">
        <f t="array" ref="BR107">IF(tbl_Case_mins[[#This Row],[Rank_Adjust]]=SUMPRODUCT(-(tbl_Case_mins[Surgery Start Date]=tbl_Case_mins[[#This Row],[Surgery Start Date]]),-(tbl_Case_mins[Theatre]=tbl_Case_mins[[#This Row],[Theatre]])),INDEX(Poss_Time,MATCH(TEXT(tbl_Case_mins[[#This Row],[Surgery Start Date]],"ddd"),Day,0)),0)</f>
        <v>#REF!</v>
      </c>
      <c r="BS107" s="9" t="e">
        <f>tbl_Case_mins[[#This Row],[Core_Time]]*Util_Goal</f>
        <v>#REF!</v>
      </c>
      <c r="BT107" s="9" t="e" cm="1">
        <f t="array" ref="BT1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7" s="9" t="e" cm="1">
        <f t="array" ref="BU1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7" s="9" t="e">
        <f>IF(tbl_Case_mins[[#This Row],[Surgery End Date]]&gt;tbl_Case_mins[[#This Row],[Surgery Start Date]],tbl_Case_mins[[#This Row],[Anaesth End]]-1440,0)</f>
        <v>#REF!</v>
      </c>
      <c r="BY107" s="9" t="e">
        <f>tbl_Case_mins[[#This Row],[Total_NonCore]]-tbl_Case_mins[[#This Row],[NextDay_NonCore]]</f>
        <v>#REF!</v>
      </c>
      <c r="BZ107" s="10" t="e">
        <f>tbl_Case_mins[[#This Row],[InCoreUse]]/60</f>
        <v>#REF!</v>
      </c>
      <c r="CA107" s="10" t="e">
        <f>tbl_Case_mins[[#This Row],[Total_NonCore]]/60</f>
        <v>#REF!</v>
      </c>
      <c r="CB107" t="e" cm="1">
        <f t="array" ref="CB1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7" s="9" t="e" cm="1">
        <f t="array" ref="CC10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7" s="9" t="e" cm="1">
        <f t="array" ref="CD1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7" s="9" t="e" cm="1">
        <f t="array" ref="CE10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7" s="9" cm="1">
        <f t="array" ref="CF107">IFERROR(_xlfn.AGGREGATE(14,6,(tbl_Case_mins[Rank_AnaEnd])/((tbl_Case_mins[Surgery Start Date]=tbl_Case_mins[[#This Row],[Surgery Start Date]])*(tbl_Case_mins[Theatre]=tbl_Case_mins[[#This Row],[Theatre]])*(tbl_Case_mins[NoInCoreTime]=0)),1),-1)</f>
        <v>-1</v>
      </c>
      <c r="CG107" s="9" cm="1">
        <f t="array" ref="CG107">IFERROR(_xlfn.AGGREGATE(15,6,(tbl_Case_mins[Rank_AnaSt])/((tbl_Case_mins[Surgery Start Date]=tbl_Case_mins[[#This Row],[Surgery Start Date]])*(tbl_Case_mins[Theatre]=tbl_Case_mins[[#This Row],[Theatre]])*(tbl_Case_mins[NoInCoreTime]=0)),1),-1)</f>
        <v>-1</v>
      </c>
      <c r="CH10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7" t="e" cm="1">
        <f t="array" ref="CJ10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7" s="9" cm="1">
        <f t="array" ref="CO1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7" s="9" cm="1">
        <f t="array" ref="CP1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7" s="9" cm="1">
        <f t="array" ref="CQ107">IFERROR(IF(AND(tbl_Case_mins[[#This Row],[FirstAMCase]]=0,tbl_Case_mins[[#This Row],[Rank]]=_xlfn.AGGREGATE(14,6,(tbl_Case_mins[Rank])/((tbl_Case_mins[Surgery Start Date]=tbl_Case_mins[[#This Row],[Surgery Start Date]])*(tbl_Case_mins[Theatre]=tbl_Case_mins[[#This Row],[Theatre]])*(tbl_Case_mins[AmCase]=1)),1)),1,0),0)</f>
        <v>0</v>
      </c>
      <c r="CR107" s="9" cm="1">
        <f t="array" ref="CR10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7" s="9" t="e" cm="1">
        <f t="array" ref="CS10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7" s="9" cm="1">
        <f t="array" ref="CT107">IFERROR(IF(tbl_Case_mins[[#This Row],[Rank]]=_xlfn.AGGREGATE(15,6,(tbl_Case_mins[Rank])/((tbl_Case_mins[Surgery Start Date]=tbl_Case_mins[[#This Row],[Surgery Start Date]])*(tbl_Case_mins[Theatre]=tbl_Case_mins[[#This Row],[Theatre]])*(tbl_Case_mins[PmCase]=1)),1),1,0),0)</f>
        <v>0</v>
      </c>
      <c r="CU107">
        <f>IFERROR(#REF!,0)</f>
        <v>0</v>
      </c>
      <c r="CV107" s="9" t="e" cm="1">
        <f t="array" ref="CV10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7" s="9">
        <f>IFERROR(IF(ISBLANK(INDEX(Bay_AmClose,MATCH(1,INDEX((tbl_Case_mins[[#This Row],[Bay]]=BayNo)*(tbl_Case_mins[[#This Row],[Surgery Start Date]]=BDate),0,1),0))*1440),0,INDEX(Bay_AmClose,MATCH(1,INDEX((tbl_Case_mins[[#This Row],[Bay]]=BayNo)*(tbl_Case_mins[[#This Row],[Surgery Start Date]]=BDate),0,1),0))*1440),0)</f>
        <v>0</v>
      </c>
      <c r="CX107" s="9" cm="1">
        <f t="array" ref="CX107">IFERROR(IF(ISBLANK(INDEX(Bay_PmOpen,MATCH(1,INDEX((tbl_Case_mins[[#This Row],[Bay]]=BayNo)*(tbl_Case_mins[[#This Row],[Surgery Start Date]]=BDate),0,1),0))*1440),0,INDEX(Bay_PmOpen,MATCH(1,INDEX((tbl_Case_mins[[#This Row],[Bay]]=BayNo)*(tbl_Case_mins[[#This Row],[Surgery Start Date]]=BDate),0,1),0))*1440),0)</f>
        <v>0</v>
      </c>
      <c r="CY10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7" s="9"/>
    </row>
    <row r="108" spans="1:104" x14ac:dyDescent="0.2">
      <c r="A108">
        <v>107</v>
      </c>
      <c r="B108" t="e">
        <f>#REF!</f>
        <v>#REF!</v>
      </c>
      <c r="C108" t="e">
        <f>#REF!</f>
        <v>#REF!</v>
      </c>
      <c r="D108" t="e">
        <f>#REF!</f>
        <v>#REF!</v>
      </c>
      <c r="E108" t="e">
        <f>#REF!</f>
        <v>#REF!</v>
      </c>
      <c r="F108" t="e">
        <f>#REF!</f>
        <v>#REF!</v>
      </c>
      <c r="G108" t="e">
        <f>#REF!</f>
        <v>#REF!</v>
      </c>
      <c r="H108" t="e">
        <f>#REF!</f>
        <v>#REF!</v>
      </c>
      <c r="I108" t="e">
        <f>IF(#REF!="Case Cancelled",1,IF(#REF!="No Cases",2,0))</f>
        <v>#REF!</v>
      </c>
      <c r="J108" t="e">
        <f>#REF!</f>
        <v>#REF!</v>
      </c>
      <c r="K108" s="4" t="e">
        <f>#REF!</f>
        <v>#REF!</v>
      </c>
      <c r="L108" t="e">
        <f>"Wk "&amp;WEEKNUM(tbl_Case_mins[[#This Row],[Surgery Start Date]],21)</f>
        <v>#REF!</v>
      </c>
      <c r="M108" t="e">
        <f>TEXT(tbl_Case_mins[[#This Row],[Surgery Start Date]],"ddd")</f>
        <v>#REF!</v>
      </c>
      <c r="N108" s="9" t="e">
        <f>(#REF!-TIME(0,0,0))*1440</f>
        <v>#REF!</v>
      </c>
      <c r="O108" t="e">
        <f>IF(AND(ROUND((#REF!-TIME(0,0,0))*1440,0)&gt;0,ROUND((#REF!-TIME(0,0,0))*1440,0)&lt;tbl_Case_mins[[#This Row],[Patient Called]],tbl_Case_mins[[#This Row],[Surgery End Date]]&gt;tbl_Case_mins[[#This Row],[Surgery Start Date]]),ROUND((#REF!-TIME(0,0,0))*1440,0)+1440,ROUND((#REF!-TIME(0,0,0))*1440,0))</f>
        <v>#REF!</v>
      </c>
      <c r="P108" s="9" t="e">
        <f>IF(AND(ROUND((#REF!-TIME(0,0,0))*1440,0)&gt;0,ROUND((#REF!-TIME(0,0,0))*1440,0)&lt;tbl_Case_mins[[#This Row],[Arrival]],tbl_Case_mins[[#This Row],[Surgery End Date]]&gt;tbl_Case_mins[[#This Row],[Surgery Start Date]]),ROUND((#REF!-TIME(0,0,0))*1440,0)+1440,ROUND((#REF!-TIME(0,0,0))*1440,0))</f>
        <v>#REF!</v>
      </c>
      <c r="Q108" s="9" t="e">
        <f>IF(AND(ROUND((#REF!-TIME(0,0,0))*1440,0)&gt;0,ROUND((#REF!-TIME(0,0,0))*1440,0)&lt;tbl_Case_mins[[#This Row],[Into Th or AR]],tbl_Case_mins[[#This Row],[Surgery End Date]]&gt;tbl_Case_mins[[#This Row],[Surgery Start Date]]),ROUND((#REF!-TIME(0,0,0))*1440,0)+1440,ROUND((#REF!-TIME(0,0,0))*1440,0))</f>
        <v>#REF!</v>
      </c>
      <c r="R108" s="9" t="e">
        <f>IF(AND(ROUND((#REF!-TIME(0,0,0))*1440,0)&gt;0,ROUND((#REF!-TIME(0,0,0))*1440,0)&lt;tbl_Case_mins[[#This Row],[AnaesthStart]],tbl_Case_mins[[#This Row],[Surgery End Date]]&gt;tbl_Case_mins[[#This Row],[Surgery Start Date]]),ROUND((#REF!-TIME(0,0,0))*1440,0)+1440,ROUND((#REF!-TIME(0,0,0))*1440,0))</f>
        <v>#REF!</v>
      </c>
      <c r="S108" s="9" t="e">
        <f>IF(AND(ROUND((#REF!-TIME(0,0,0))*1440,0),ROUND((#REF!-TIME(0,0,0))*1440,0)&lt;tbl_Case_mins[[#This Row],[Surgery Start]],tbl_Case_mins[[#This Row],[Surgery End Date]]&gt;tbl_Case_mins[[#This Row],[Surgery Start Date]]),ROUND((#REF!-TIME(0,0,0))*1440,0)+1440,ROUND((#REF!-TIME(0,0,0))*1440,0))</f>
        <v>#REF!</v>
      </c>
      <c r="T108" s="9" t="e">
        <f>IF(AND(ROUND((#REF!-TIME(0,0,0))*1440,0)&gt;0,ROUND((#REF!-TIME(0,0,0))*1440,0)&lt;tbl_Case_mins[[#This Row],[Surgery Finish]],tbl_Case_mins[[#This Row],[Surgery End Date]]&gt;tbl_Case_mins[[#This Row],[Surgery Start Date]]),ROUND((#REF!-TIME(0,0,0))*1440,0)+1440,ROUND((#REF!-TIME(0,0,0))*1440,0))</f>
        <v>#REF!</v>
      </c>
      <c r="U108" s="9" t="e">
        <f>IF(AND(ROUND((#REF!-TIME(0,0,0))*1440,0)&gt;0,ROUND((#REF!-TIME(0,0,0))*1440,0)&lt;tbl_Case_mins[[#This Row],[Anaesth End]],tbl_Case_mins[[#This Row],[Surgery End Date]]&gt;tbl_Case_mins[[#This Row],[Surgery Start Date]]),ROUND((#REF!-TIME(0,0,0))*1440,0)+1440,ROUND((#REF!-TIME(0,0,0))*1440,0))</f>
        <v>#REF!</v>
      </c>
      <c r="V108" s="9" t="e">
        <f>IF(AND(ROUND((#REF!-TIME(0,0,0))*1440,0)&gt;0,ROUND((#REF!-TIME(0,0,0))*1440,0)&lt;tbl_Case_mins[[#This Row],[Into Recov]],tbl_Case_mins[[#This Row],[Surgery End Date]]&gt;tbl_Case_mins[[#This Row],[Surgery Start Date]]),ROUND((#REF!-TIME(0,0,0))*1440,0)+1440,ROUND((#REF!-TIME(0,0,0))*1440,0))</f>
        <v>#REF!</v>
      </c>
      <c r="W108" s="9" t="e">
        <f>IF(AND(ROUND((#REF!-TIME(0,0,0))*1440,0)&gt;0,ROUND((#REF!-TIME(0,0,0))*1440,0)&lt;tbl_Case_mins[[#This Row],[Ward Called]],tbl_Case_mins[[#This Row],[Surgery End Date]]&gt;tbl_Case_mins[[#This Row],[Surgery Start Date]]),ROUND((#REF!-TIME(0,0,0))*1440,0)+1440,ROUND((#REF!-TIME(0,0,0))*1440,0))</f>
        <v>#REF!</v>
      </c>
      <c r="X108" s="4" t="e">
        <f>IF(ISBLANK(#REF!),tbl_Case_mins[[#This Row],[Surgery Start Date]],#REF!)</f>
        <v>#REF!</v>
      </c>
      <c r="Y108">
        <f>IFERROR(IF(VLOOKUP(tbl_Case_mins[[#This Row],[Theatre]],'Mng Theatres'!$C$7:$G$12,3,FALSE)="Yes","Yes","No"),0)</f>
        <v>0</v>
      </c>
      <c r="Z108" s="9" t="e" cm="1">
        <f t="array" ref="Z10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8" s="9" t="e" cm="1">
        <f t="array" ref="AA10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8" s="9" t="e">
        <f>IF(tbl_Case_mins[[#This Row],[Case Type]]="Unsch",1,0)</f>
        <v>#REF!</v>
      </c>
      <c r="AD108" s="9" t="e">
        <f>IF(tbl_Case_mins[[#This Row],[Case Type]]="Sch",1,0)</f>
        <v>#REF!</v>
      </c>
      <c r="AE10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8" s="9">
        <f>IFERROR(IF(ISBLANK(INDEX(Am_Close,MATCH(1,INDEX((tbl_Case_mins[[#This Row],[Theatre]]=Theatre_No)*(tbl_Case_mins[[#This Row],[Surgery Start Date]]=Date),0,1),0))*1440),0,INDEX(Am_Close,MATCH(1,INDEX((tbl_Case_mins[[#This Row],[Theatre]]=Theatre_No)*(tbl_Case_mins[[#This Row],[Surgery Start Date]]=Date),0,1),0))*1440),0)</f>
        <v>0</v>
      </c>
      <c r="AG108" s="9">
        <f>IFERROR(IF(ISBLANK(INDEX(PM_Open,MATCH(1,INDEX((tbl_Case_mins[[#This Row],[Theatre]]=Theatre_No)*(tbl_Case_mins[[#This Row],[Surgery Start Date]]=Date),0,1),0))*1440),0,INDEX(PM_Open,MATCH(1,INDEX((tbl_Case_mins[[#This Row],[Theatre]]=Theatre_No)*(tbl_Case_mins[[#This Row],[Surgery Start Date]]=Date),0,1),0))*1440),0)</f>
        <v>0</v>
      </c>
      <c r="AH10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8" s="9" t="e">
        <f>IF(tbl_Case_mins[[#This Row],[ThOpenAm]]=0,tbl_Case_mins[[#This Row],[ThOpenPM]],tbl_Case_mins[[#This Row],[ThOpenAm]])</f>
        <v>#REF!</v>
      </c>
      <c r="AJ108" s="9" t="e">
        <f>IF(tbl_Case_mins[[#This Row],[ThCloseAm]]&gt;0,IF(tbl_Case_mins[[#This Row],[ThOpenPM]]&gt;0,tbl_Case_mins[[#This Row],[ThClosePm]],tbl_Case_mins[[#This Row],[ThCloseAm]]),tbl_Case_mins[[#This Row],[ThClosePm]])</f>
        <v>#REF!</v>
      </c>
      <c r="AK108" s="9" t="e">
        <f>IF(tbl_Case_mins[[#This Row],[TOT]]&gt;0,1,0)</f>
        <v>#REF!</v>
      </c>
      <c r="AL10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8" s="9" t="e">
        <f>IF(AND(tbl_Case_mins[[#This Row],[Surgery Status]]&lt;&gt;2,tbl_Case_mins[[#This Row],[InCoreCase]]=0,tbl_Case_mins[[#This Row],[CancelledCase]]=0),1,0)</f>
        <v>#REF!</v>
      </c>
      <c r="AN108" s="9" t="e">
        <f>IF(tbl_Case_mins[[#This Row],[Surgery Status]]=1,1,0)</f>
        <v>#REF!</v>
      </c>
      <c r="AO10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8" s="9" t="e">
        <f>IF(AND(tbl_Case_mins[[#This Row],[NonCoreCase]]=1,tbl_Case_mins[[#This Row],[NoInCoreTime]]=0),1,0)</f>
        <v>#REF!</v>
      </c>
      <c r="AQ108" s="9" t="e">
        <f>IF(tbl_Case_mins[[#This Row],[Rank_AnaEnd]]&lt;tbl_Case_mins[[#This Row],[Rank_AnaSt]],1,0)</f>
        <v>#REF!</v>
      </c>
      <c r="AR108" s="9" t="e">
        <f>IF(AND(tbl_Case_mins[[#This Row],[InCoreCase]]=1,tbl_Case_mins[[#This Row],[Sch]]=1),1,0)</f>
        <v>#REF!</v>
      </c>
      <c r="AS108" s="9" t="e">
        <f>IF(AND(tbl_Case_mins[[#This Row],[InCoreCase]]=1,tbl_Case_mins[[#This Row],[Unsch]]=1),1,0)</f>
        <v>#REF!</v>
      </c>
      <c r="AT10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8" s="9" t="e">
        <f>IF(tbl_Case_mins[[#This Row],[Surgery Status]]=0,(tbl_Case_mins[[#This Row],[Anaesth End]]-tbl_Case_mins[[#This Row],[AnaesthStart]]),0)</f>
        <v>#REF!</v>
      </c>
      <c r="AX108" s="9" t="e">
        <f>IF(tbl_Case_mins[[#This Row],[Surgery Status]]=0,(tbl_Case_mins[[#This Row],[Surgery Finish]]-tbl_Case_mins[[#This Row],[Surgery Start]]),0)</f>
        <v>#REF!</v>
      </c>
      <c r="AY108" s="9" t="e">
        <f>tbl_Case_mins[[#This Row],[Surgery Start]]-tbl_Case_mins[[#This Row],[AnaesthStart]]</f>
        <v>#REF!</v>
      </c>
      <c r="AZ108" s="9" t="e">
        <f>tbl_Case_mins[[#This Row],[Anaesth End]]-tbl_Case_mins[[#This Row],[Surgery Finish]]</f>
        <v>#REF!</v>
      </c>
      <c r="BA10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8" s="16" cm="1">
        <f t="array" ref="BC10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8" s="16" t="e">
        <f>IF(AND(tbl_Case_mins[[#This Row],[FirstAMCase]]=1,tbl_Case_mins[[#This Row],[CancelledCase]]=0,OR(tbl_Case_mins[[#This Row],[EarlyStartAM]]&gt;0,tbl_Case_mins[[#This Row],[AnaesthStart]]=tbl_Case_mins[[#This Row],[ThOpenAm]])),1,0)</f>
        <v>#REF!</v>
      </c>
      <c r="BE108" s="16" t="e">
        <f>IF(AND(tbl_Case_mins[[#This Row],[Rank_AnaSt]]=tbl_Case_mins[[#This Row],[Min_RankAnaSt]],tbl_Case_mins[[#This Row],[Anaesth End]]&gt;=tbl_Case_mins[[#This Row],[ThOpenAm]],tbl_Case_mins[[#This Row],[PmCase]]=0),1,0)</f>
        <v>#REF!</v>
      </c>
      <c r="BF10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8" s="9" t="e" cm="1">
        <f t="array" ref="BH10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8" s="9" t="e">
        <f>IF(AND(tbl_Case_mins[[#This Row],[ThOpenPM]]&gt;0,tbl_Case_mins[[#This Row],[AnaesthStart]]&gt;tbl_Case_mins[[#This Row],[ThOpenPM]],tbl_Case_mins[[#This Row],[First PM Case]]=1),tbl_Case_mins[[#This Row],[AnaesthStart]]-tbl_Case_mins[[#This Row],[ThOpenPM]],0)</f>
        <v>#REF!</v>
      </c>
      <c r="BL10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8" s="9" t="e" cm="1">
        <f t="array" ref="BN10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8" s="9" t="e">
        <f>IF(AND(tbl_Case_mins[[#This Row],[ThClosePm]]&gt;0,tbl_Case_mins[[#This Row],[Anaesth End]]&gt;tbl_Case_mins[[#This Row],[ThClosePm]],tbl_Case_mins[[#This Row],[AnaesthStart]]&gt;tbl_Case_mins[[#This Row],[ThClosePm]]),tbl_Case_mins[[#This Row],[Into Recov]]-tbl_Case_mins[[#This Row],[AnaesthStart]],0)</f>
        <v>#REF!</v>
      </c>
      <c r="BP108" s="9" t="e">
        <f>IF(AND(tbl_Case_mins[[#This Row],[AnaesthStart]]&lt;tbl_Case_mins[[#This Row],[ThClosePm]],tbl_Case_mins[[#This Row],[Anaesth End]]&gt;tbl_Case_mins[[#This Row],[ThClosePm]]),tbl_Case_mins[[#This Row],[Anaesth End]]-tbl_Case_mins[[#This Row],[ThClosePm]],0)</f>
        <v>#REF!</v>
      </c>
      <c r="BQ108" s="9" t="e" cm="1">
        <f t="array" ref="BQ10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8" s="9" t="e" cm="1">
        <f t="array" ref="BR108">IF(tbl_Case_mins[[#This Row],[Rank_Adjust]]=SUMPRODUCT(-(tbl_Case_mins[Surgery Start Date]=tbl_Case_mins[[#This Row],[Surgery Start Date]]),-(tbl_Case_mins[Theatre]=tbl_Case_mins[[#This Row],[Theatre]])),INDEX(Poss_Time,MATCH(TEXT(tbl_Case_mins[[#This Row],[Surgery Start Date]],"ddd"),Day,0)),0)</f>
        <v>#REF!</v>
      </c>
      <c r="BS108" s="9" t="e">
        <f>tbl_Case_mins[[#This Row],[Core_Time]]*Util_Goal</f>
        <v>#REF!</v>
      </c>
      <c r="BT108" s="9" t="e" cm="1">
        <f t="array" ref="BT1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8" s="9" t="e" cm="1">
        <f t="array" ref="BU1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8" s="9" t="e">
        <f>IF(tbl_Case_mins[[#This Row],[Surgery End Date]]&gt;tbl_Case_mins[[#This Row],[Surgery Start Date]],tbl_Case_mins[[#This Row],[Anaesth End]]-1440,0)</f>
        <v>#REF!</v>
      </c>
      <c r="BY108" s="9" t="e">
        <f>tbl_Case_mins[[#This Row],[Total_NonCore]]-tbl_Case_mins[[#This Row],[NextDay_NonCore]]</f>
        <v>#REF!</v>
      </c>
      <c r="BZ108" s="10" t="e">
        <f>tbl_Case_mins[[#This Row],[InCoreUse]]/60</f>
        <v>#REF!</v>
      </c>
      <c r="CA108" s="10" t="e">
        <f>tbl_Case_mins[[#This Row],[Total_NonCore]]/60</f>
        <v>#REF!</v>
      </c>
      <c r="CB108" t="e" cm="1">
        <f t="array" ref="CB1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8" s="9" t="e" cm="1">
        <f t="array" ref="CC10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8" s="9" t="e" cm="1">
        <f t="array" ref="CD1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8" s="9" t="e" cm="1">
        <f t="array" ref="CE10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8" s="9" cm="1">
        <f t="array" ref="CF108">IFERROR(_xlfn.AGGREGATE(14,6,(tbl_Case_mins[Rank_AnaEnd])/((tbl_Case_mins[Surgery Start Date]=tbl_Case_mins[[#This Row],[Surgery Start Date]])*(tbl_Case_mins[Theatre]=tbl_Case_mins[[#This Row],[Theatre]])*(tbl_Case_mins[NoInCoreTime]=0)),1),-1)</f>
        <v>-1</v>
      </c>
      <c r="CG108" s="9" cm="1">
        <f t="array" ref="CG108">IFERROR(_xlfn.AGGREGATE(15,6,(tbl_Case_mins[Rank_AnaSt])/((tbl_Case_mins[Surgery Start Date]=tbl_Case_mins[[#This Row],[Surgery Start Date]])*(tbl_Case_mins[Theatre]=tbl_Case_mins[[#This Row],[Theatre]])*(tbl_Case_mins[NoInCoreTime]=0)),1),-1)</f>
        <v>-1</v>
      </c>
      <c r="CH10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8" t="e" cm="1">
        <f t="array" ref="CJ10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8" s="9" cm="1">
        <f t="array" ref="CO1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8" s="9" cm="1">
        <f t="array" ref="CP1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8" s="9" cm="1">
        <f t="array" ref="CQ108">IFERROR(IF(AND(tbl_Case_mins[[#This Row],[FirstAMCase]]=0,tbl_Case_mins[[#This Row],[Rank]]=_xlfn.AGGREGATE(14,6,(tbl_Case_mins[Rank])/((tbl_Case_mins[Surgery Start Date]=tbl_Case_mins[[#This Row],[Surgery Start Date]])*(tbl_Case_mins[Theatre]=tbl_Case_mins[[#This Row],[Theatre]])*(tbl_Case_mins[AmCase]=1)),1)),1,0),0)</f>
        <v>0</v>
      </c>
      <c r="CR108" s="9" cm="1">
        <f t="array" ref="CR10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8" s="9" t="e" cm="1">
        <f t="array" ref="CS10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8" s="9" cm="1">
        <f t="array" ref="CT108">IFERROR(IF(tbl_Case_mins[[#This Row],[Rank]]=_xlfn.AGGREGATE(15,6,(tbl_Case_mins[Rank])/((tbl_Case_mins[Surgery Start Date]=tbl_Case_mins[[#This Row],[Surgery Start Date]])*(tbl_Case_mins[Theatre]=tbl_Case_mins[[#This Row],[Theatre]])*(tbl_Case_mins[PmCase]=1)),1),1,0),0)</f>
        <v>0</v>
      </c>
      <c r="CU108">
        <f>IFERROR(#REF!,0)</f>
        <v>0</v>
      </c>
      <c r="CV108" s="9" t="e" cm="1">
        <f t="array" ref="CV10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8" s="9">
        <f>IFERROR(IF(ISBLANK(INDEX(Bay_AmClose,MATCH(1,INDEX((tbl_Case_mins[[#This Row],[Bay]]=BayNo)*(tbl_Case_mins[[#This Row],[Surgery Start Date]]=BDate),0,1),0))*1440),0,INDEX(Bay_AmClose,MATCH(1,INDEX((tbl_Case_mins[[#This Row],[Bay]]=BayNo)*(tbl_Case_mins[[#This Row],[Surgery Start Date]]=BDate),0,1),0))*1440),0)</f>
        <v>0</v>
      </c>
      <c r="CX108" s="9" cm="1">
        <f t="array" ref="CX108">IFERROR(IF(ISBLANK(INDEX(Bay_PmOpen,MATCH(1,INDEX((tbl_Case_mins[[#This Row],[Bay]]=BayNo)*(tbl_Case_mins[[#This Row],[Surgery Start Date]]=BDate),0,1),0))*1440),0,INDEX(Bay_PmOpen,MATCH(1,INDEX((tbl_Case_mins[[#This Row],[Bay]]=BayNo)*(tbl_Case_mins[[#This Row],[Surgery Start Date]]=BDate),0,1),0))*1440),0)</f>
        <v>0</v>
      </c>
      <c r="CY10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8" s="9"/>
    </row>
    <row r="109" spans="1:104" x14ac:dyDescent="0.2">
      <c r="A109">
        <v>108</v>
      </c>
      <c r="B109" t="e">
        <f>#REF!</f>
        <v>#REF!</v>
      </c>
      <c r="C109" t="e">
        <f>#REF!</f>
        <v>#REF!</v>
      </c>
      <c r="D109" t="e">
        <f>#REF!</f>
        <v>#REF!</v>
      </c>
      <c r="E109" t="e">
        <f>#REF!</f>
        <v>#REF!</v>
      </c>
      <c r="F109" t="e">
        <f>#REF!</f>
        <v>#REF!</v>
      </c>
      <c r="G109" t="e">
        <f>#REF!</f>
        <v>#REF!</v>
      </c>
      <c r="H109" t="e">
        <f>#REF!</f>
        <v>#REF!</v>
      </c>
      <c r="I109" t="e">
        <f>IF(#REF!="Case Cancelled",1,IF(#REF!="No Cases",2,0))</f>
        <v>#REF!</v>
      </c>
      <c r="J109" t="e">
        <f>#REF!</f>
        <v>#REF!</v>
      </c>
      <c r="K109" s="4" t="e">
        <f>#REF!</f>
        <v>#REF!</v>
      </c>
      <c r="L109" t="e">
        <f>"Wk "&amp;WEEKNUM(tbl_Case_mins[[#This Row],[Surgery Start Date]],21)</f>
        <v>#REF!</v>
      </c>
      <c r="M109" t="e">
        <f>TEXT(tbl_Case_mins[[#This Row],[Surgery Start Date]],"ddd")</f>
        <v>#REF!</v>
      </c>
      <c r="N109" s="9" t="e">
        <f>(#REF!-TIME(0,0,0))*1440</f>
        <v>#REF!</v>
      </c>
      <c r="O109" t="e">
        <f>IF(AND(ROUND((#REF!-TIME(0,0,0))*1440,0)&gt;0,ROUND((#REF!-TIME(0,0,0))*1440,0)&lt;tbl_Case_mins[[#This Row],[Patient Called]],tbl_Case_mins[[#This Row],[Surgery End Date]]&gt;tbl_Case_mins[[#This Row],[Surgery Start Date]]),ROUND((#REF!-TIME(0,0,0))*1440,0)+1440,ROUND((#REF!-TIME(0,0,0))*1440,0))</f>
        <v>#REF!</v>
      </c>
      <c r="P109" s="9" t="e">
        <f>IF(AND(ROUND((#REF!-TIME(0,0,0))*1440,0)&gt;0,ROUND((#REF!-TIME(0,0,0))*1440,0)&lt;tbl_Case_mins[[#This Row],[Arrival]],tbl_Case_mins[[#This Row],[Surgery End Date]]&gt;tbl_Case_mins[[#This Row],[Surgery Start Date]]),ROUND((#REF!-TIME(0,0,0))*1440,0)+1440,ROUND((#REF!-TIME(0,0,0))*1440,0))</f>
        <v>#REF!</v>
      </c>
      <c r="Q109" s="9" t="e">
        <f>IF(AND(ROUND((#REF!-TIME(0,0,0))*1440,0)&gt;0,ROUND((#REF!-TIME(0,0,0))*1440,0)&lt;tbl_Case_mins[[#This Row],[Into Th or AR]],tbl_Case_mins[[#This Row],[Surgery End Date]]&gt;tbl_Case_mins[[#This Row],[Surgery Start Date]]),ROUND((#REF!-TIME(0,0,0))*1440,0)+1440,ROUND((#REF!-TIME(0,0,0))*1440,0))</f>
        <v>#REF!</v>
      </c>
      <c r="R109" s="9" t="e">
        <f>IF(AND(ROUND((#REF!-TIME(0,0,0))*1440,0)&gt;0,ROUND((#REF!-TIME(0,0,0))*1440,0)&lt;tbl_Case_mins[[#This Row],[AnaesthStart]],tbl_Case_mins[[#This Row],[Surgery End Date]]&gt;tbl_Case_mins[[#This Row],[Surgery Start Date]]),ROUND((#REF!-TIME(0,0,0))*1440,0)+1440,ROUND((#REF!-TIME(0,0,0))*1440,0))</f>
        <v>#REF!</v>
      </c>
      <c r="S109" s="9" t="e">
        <f>IF(AND(ROUND((#REF!-TIME(0,0,0))*1440,0),ROUND((#REF!-TIME(0,0,0))*1440,0)&lt;tbl_Case_mins[[#This Row],[Surgery Start]],tbl_Case_mins[[#This Row],[Surgery End Date]]&gt;tbl_Case_mins[[#This Row],[Surgery Start Date]]),ROUND((#REF!-TIME(0,0,0))*1440,0)+1440,ROUND((#REF!-TIME(0,0,0))*1440,0))</f>
        <v>#REF!</v>
      </c>
      <c r="T109" s="9" t="e">
        <f>IF(AND(ROUND((#REF!-TIME(0,0,0))*1440,0)&gt;0,ROUND((#REF!-TIME(0,0,0))*1440,0)&lt;tbl_Case_mins[[#This Row],[Surgery Finish]],tbl_Case_mins[[#This Row],[Surgery End Date]]&gt;tbl_Case_mins[[#This Row],[Surgery Start Date]]),ROUND((#REF!-TIME(0,0,0))*1440,0)+1440,ROUND((#REF!-TIME(0,0,0))*1440,0))</f>
        <v>#REF!</v>
      </c>
      <c r="U109" s="9" t="e">
        <f>IF(AND(ROUND((#REF!-TIME(0,0,0))*1440,0)&gt;0,ROUND((#REF!-TIME(0,0,0))*1440,0)&lt;tbl_Case_mins[[#This Row],[Anaesth End]],tbl_Case_mins[[#This Row],[Surgery End Date]]&gt;tbl_Case_mins[[#This Row],[Surgery Start Date]]),ROUND((#REF!-TIME(0,0,0))*1440,0)+1440,ROUND((#REF!-TIME(0,0,0))*1440,0))</f>
        <v>#REF!</v>
      </c>
      <c r="V109" s="9" t="e">
        <f>IF(AND(ROUND((#REF!-TIME(0,0,0))*1440,0)&gt;0,ROUND((#REF!-TIME(0,0,0))*1440,0)&lt;tbl_Case_mins[[#This Row],[Into Recov]],tbl_Case_mins[[#This Row],[Surgery End Date]]&gt;tbl_Case_mins[[#This Row],[Surgery Start Date]]),ROUND((#REF!-TIME(0,0,0))*1440,0)+1440,ROUND((#REF!-TIME(0,0,0))*1440,0))</f>
        <v>#REF!</v>
      </c>
      <c r="W109" s="9" t="e">
        <f>IF(AND(ROUND((#REF!-TIME(0,0,0))*1440,0)&gt;0,ROUND((#REF!-TIME(0,0,0))*1440,0)&lt;tbl_Case_mins[[#This Row],[Ward Called]],tbl_Case_mins[[#This Row],[Surgery End Date]]&gt;tbl_Case_mins[[#This Row],[Surgery Start Date]]),ROUND((#REF!-TIME(0,0,0))*1440,0)+1440,ROUND((#REF!-TIME(0,0,0))*1440,0))</f>
        <v>#REF!</v>
      </c>
      <c r="X109" s="4" t="e">
        <f>IF(ISBLANK(#REF!),tbl_Case_mins[[#This Row],[Surgery Start Date]],#REF!)</f>
        <v>#REF!</v>
      </c>
      <c r="Y109">
        <f>IFERROR(IF(VLOOKUP(tbl_Case_mins[[#This Row],[Theatre]],'Mng Theatres'!$C$7:$G$12,3,FALSE)="Yes","Yes","No"),0)</f>
        <v>0</v>
      </c>
      <c r="Z109" s="9" t="e" cm="1">
        <f t="array" ref="Z10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09" s="9" t="e" cm="1">
        <f t="array" ref="AA10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0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09" s="9" t="e">
        <f>IF(tbl_Case_mins[[#This Row],[Case Type]]="Unsch",1,0)</f>
        <v>#REF!</v>
      </c>
      <c r="AD109" s="9" t="e">
        <f>IF(tbl_Case_mins[[#This Row],[Case Type]]="Sch",1,0)</f>
        <v>#REF!</v>
      </c>
      <c r="AE10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09" s="9">
        <f>IFERROR(IF(ISBLANK(INDEX(Am_Close,MATCH(1,INDEX((tbl_Case_mins[[#This Row],[Theatre]]=Theatre_No)*(tbl_Case_mins[[#This Row],[Surgery Start Date]]=Date),0,1),0))*1440),0,INDEX(Am_Close,MATCH(1,INDEX((tbl_Case_mins[[#This Row],[Theatre]]=Theatre_No)*(tbl_Case_mins[[#This Row],[Surgery Start Date]]=Date),0,1),0))*1440),0)</f>
        <v>0</v>
      </c>
      <c r="AG109" s="9">
        <f>IFERROR(IF(ISBLANK(INDEX(PM_Open,MATCH(1,INDEX((tbl_Case_mins[[#This Row],[Theatre]]=Theatre_No)*(tbl_Case_mins[[#This Row],[Surgery Start Date]]=Date),0,1),0))*1440),0,INDEX(PM_Open,MATCH(1,INDEX((tbl_Case_mins[[#This Row],[Theatre]]=Theatre_No)*(tbl_Case_mins[[#This Row],[Surgery Start Date]]=Date),0,1),0))*1440),0)</f>
        <v>0</v>
      </c>
      <c r="AH10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09" s="9" t="e">
        <f>IF(tbl_Case_mins[[#This Row],[ThOpenAm]]=0,tbl_Case_mins[[#This Row],[ThOpenPM]],tbl_Case_mins[[#This Row],[ThOpenAm]])</f>
        <v>#REF!</v>
      </c>
      <c r="AJ109" s="9" t="e">
        <f>IF(tbl_Case_mins[[#This Row],[ThCloseAm]]&gt;0,IF(tbl_Case_mins[[#This Row],[ThOpenPM]]&gt;0,tbl_Case_mins[[#This Row],[ThClosePm]],tbl_Case_mins[[#This Row],[ThCloseAm]]),tbl_Case_mins[[#This Row],[ThClosePm]])</f>
        <v>#REF!</v>
      </c>
      <c r="AK109" s="9" t="e">
        <f>IF(tbl_Case_mins[[#This Row],[TOT]]&gt;0,1,0)</f>
        <v>#REF!</v>
      </c>
      <c r="AL10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09" s="9" t="e">
        <f>IF(AND(tbl_Case_mins[[#This Row],[Surgery Status]]&lt;&gt;2,tbl_Case_mins[[#This Row],[InCoreCase]]=0,tbl_Case_mins[[#This Row],[CancelledCase]]=0),1,0)</f>
        <v>#REF!</v>
      </c>
      <c r="AN109" s="9" t="e">
        <f>IF(tbl_Case_mins[[#This Row],[Surgery Status]]=1,1,0)</f>
        <v>#REF!</v>
      </c>
      <c r="AO10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09" s="9" t="e">
        <f>IF(AND(tbl_Case_mins[[#This Row],[NonCoreCase]]=1,tbl_Case_mins[[#This Row],[NoInCoreTime]]=0),1,0)</f>
        <v>#REF!</v>
      </c>
      <c r="AQ109" s="9" t="e">
        <f>IF(tbl_Case_mins[[#This Row],[Rank_AnaEnd]]&lt;tbl_Case_mins[[#This Row],[Rank_AnaSt]],1,0)</f>
        <v>#REF!</v>
      </c>
      <c r="AR109" s="9" t="e">
        <f>IF(AND(tbl_Case_mins[[#This Row],[InCoreCase]]=1,tbl_Case_mins[[#This Row],[Sch]]=1),1,0)</f>
        <v>#REF!</v>
      </c>
      <c r="AS109" s="9" t="e">
        <f>IF(AND(tbl_Case_mins[[#This Row],[InCoreCase]]=1,tbl_Case_mins[[#This Row],[Unsch]]=1),1,0)</f>
        <v>#REF!</v>
      </c>
      <c r="AT10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0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0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09" s="9" t="e">
        <f>IF(tbl_Case_mins[[#This Row],[Surgery Status]]=0,(tbl_Case_mins[[#This Row],[Anaesth End]]-tbl_Case_mins[[#This Row],[AnaesthStart]]),0)</f>
        <v>#REF!</v>
      </c>
      <c r="AX109" s="9" t="e">
        <f>IF(tbl_Case_mins[[#This Row],[Surgery Status]]=0,(tbl_Case_mins[[#This Row],[Surgery Finish]]-tbl_Case_mins[[#This Row],[Surgery Start]]),0)</f>
        <v>#REF!</v>
      </c>
      <c r="AY109" s="9" t="e">
        <f>tbl_Case_mins[[#This Row],[Surgery Start]]-tbl_Case_mins[[#This Row],[AnaesthStart]]</f>
        <v>#REF!</v>
      </c>
      <c r="AZ109" s="9" t="e">
        <f>tbl_Case_mins[[#This Row],[Anaesth End]]-tbl_Case_mins[[#This Row],[Surgery Finish]]</f>
        <v>#REF!</v>
      </c>
      <c r="BA10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0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09" s="16" cm="1">
        <f t="array" ref="BC10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09" s="16" t="e">
        <f>IF(AND(tbl_Case_mins[[#This Row],[FirstAMCase]]=1,tbl_Case_mins[[#This Row],[CancelledCase]]=0,OR(tbl_Case_mins[[#This Row],[EarlyStartAM]]&gt;0,tbl_Case_mins[[#This Row],[AnaesthStart]]=tbl_Case_mins[[#This Row],[ThOpenAm]])),1,0)</f>
        <v>#REF!</v>
      </c>
      <c r="BE109" s="16" t="e">
        <f>IF(AND(tbl_Case_mins[[#This Row],[Rank_AnaSt]]=tbl_Case_mins[[#This Row],[Min_RankAnaSt]],tbl_Case_mins[[#This Row],[Anaesth End]]&gt;=tbl_Case_mins[[#This Row],[ThOpenAm]],tbl_Case_mins[[#This Row],[PmCase]]=0),1,0)</f>
        <v>#REF!</v>
      </c>
      <c r="BF10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0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09" s="9" t="e" cm="1">
        <f t="array" ref="BH10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0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0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09" s="9" t="e">
        <f>IF(AND(tbl_Case_mins[[#This Row],[ThOpenPM]]&gt;0,tbl_Case_mins[[#This Row],[AnaesthStart]]&gt;tbl_Case_mins[[#This Row],[ThOpenPM]],tbl_Case_mins[[#This Row],[First PM Case]]=1),tbl_Case_mins[[#This Row],[AnaesthStart]]-tbl_Case_mins[[#This Row],[ThOpenPM]],0)</f>
        <v>#REF!</v>
      </c>
      <c r="BL10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0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09" s="9" t="e" cm="1">
        <f t="array" ref="BN10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09" s="9" t="e">
        <f>IF(AND(tbl_Case_mins[[#This Row],[ThClosePm]]&gt;0,tbl_Case_mins[[#This Row],[Anaesth End]]&gt;tbl_Case_mins[[#This Row],[ThClosePm]],tbl_Case_mins[[#This Row],[AnaesthStart]]&gt;tbl_Case_mins[[#This Row],[ThClosePm]]),tbl_Case_mins[[#This Row],[Into Recov]]-tbl_Case_mins[[#This Row],[AnaesthStart]],0)</f>
        <v>#REF!</v>
      </c>
      <c r="BP109" s="9" t="e">
        <f>IF(AND(tbl_Case_mins[[#This Row],[AnaesthStart]]&lt;tbl_Case_mins[[#This Row],[ThClosePm]],tbl_Case_mins[[#This Row],[Anaesth End]]&gt;tbl_Case_mins[[#This Row],[ThClosePm]]),tbl_Case_mins[[#This Row],[Anaesth End]]-tbl_Case_mins[[#This Row],[ThClosePm]],0)</f>
        <v>#REF!</v>
      </c>
      <c r="BQ109" s="9" t="e" cm="1">
        <f t="array" ref="BQ10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09" s="9" t="e" cm="1">
        <f t="array" ref="BR109">IF(tbl_Case_mins[[#This Row],[Rank_Adjust]]=SUMPRODUCT(-(tbl_Case_mins[Surgery Start Date]=tbl_Case_mins[[#This Row],[Surgery Start Date]]),-(tbl_Case_mins[Theatre]=tbl_Case_mins[[#This Row],[Theatre]])),INDEX(Poss_Time,MATCH(TEXT(tbl_Case_mins[[#This Row],[Surgery Start Date]],"ddd"),Day,0)),0)</f>
        <v>#REF!</v>
      </c>
      <c r="BS109" s="9" t="e">
        <f>tbl_Case_mins[[#This Row],[Core_Time]]*Util_Goal</f>
        <v>#REF!</v>
      </c>
      <c r="BT109" s="9" t="e" cm="1">
        <f t="array" ref="BT1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09" s="9" t="e" cm="1">
        <f t="array" ref="BU1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0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0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09" s="9" t="e">
        <f>IF(tbl_Case_mins[[#This Row],[Surgery End Date]]&gt;tbl_Case_mins[[#This Row],[Surgery Start Date]],tbl_Case_mins[[#This Row],[Anaesth End]]-1440,0)</f>
        <v>#REF!</v>
      </c>
      <c r="BY109" s="9" t="e">
        <f>tbl_Case_mins[[#This Row],[Total_NonCore]]-tbl_Case_mins[[#This Row],[NextDay_NonCore]]</f>
        <v>#REF!</v>
      </c>
      <c r="BZ109" s="10" t="e">
        <f>tbl_Case_mins[[#This Row],[InCoreUse]]/60</f>
        <v>#REF!</v>
      </c>
      <c r="CA109" s="10" t="e">
        <f>tbl_Case_mins[[#This Row],[Total_NonCore]]/60</f>
        <v>#REF!</v>
      </c>
      <c r="CB109" t="e" cm="1">
        <f t="array" ref="CB1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09" s="9" t="e" cm="1">
        <f t="array" ref="CC10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09" s="9" t="e" cm="1">
        <f t="array" ref="CD1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09" s="9" t="e" cm="1">
        <f t="array" ref="CE10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09" s="9" cm="1">
        <f t="array" ref="CF109">IFERROR(_xlfn.AGGREGATE(14,6,(tbl_Case_mins[Rank_AnaEnd])/((tbl_Case_mins[Surgery Start Date]=tbl_Case_mins[[#This Row],[Surgery Start Date]])*(tbl_Case_mins[Theatre]=tbl_Case_mins[[#This Row],[Theatre]])*(tbl_Case_mins[NoInCoreTime]=0)),1),-1)</f>
        <v>-1</v>
      </c>
      <c r="CG109" s="9" cm="1">
        <f t="array" ref="CG109">IFERROR(_xlfn.AGGREGATE(15,6,(tbl_Case_mins[Rank_AnaSt])/((tbl_Case_mins[Surgery Start Date]=tbl_Case_mins[[#This Row],[Surgery Start Date]])*(tbl_Case_mins[Theatre]=tbl_Case_mins[[#This Row],[Theatre]])*(tbl_Case_mins[NoInCoreTime]=0)),1),-1)</f>
        <v>-1</v>
      </c>
      <c r="CH10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0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09" t="e" cm="1">
        <f t="array" ref="CJ10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0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0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09" s="9" cm="1">
        <f t="array" ref="CO1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09" s="9" cm="1">
        <f t="array" ref="CP1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09" s="9" cm="1">
        <f t="array" ref="CQ109">IFERROR(IF(AND(tbl_Case_mins[[#This Row],[FirstAMCase]]=0,tbl_Case_mins[[#This Row],[Rank]]=_xlfn.AGGREGATE(14,6,(tbl_Case_mins[Rank])/((tbl_Case_mins[Surgery Start Date]=tbl_Case_mins[[#This Row],[Surgery Start Date]])*(tbl_Case_mins[Theatre]=tbl_Case_mins[[#This Row],[Theatre]])*(tbl_Case_mins[AmCase]=1)),1)),1,0),0)</f>
        <v>0</v>
      </c>
      <c r="CR109" s="9" cm="1">
        <f t="array" ref="CR10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09" s="9" t="e" cm="1">
        <f t="array" ref="CS10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09" s="9" cm="1">
        <f t="array" ref="CT109">IFERROR(IF(tbl_Case_mins[[#This Row],[Rank]]=_xlfn.AGGREGATE(15,6,(tbl_Case_mins[Rank])/((tbl_Case_mins[Surgery Start Date]=tbl_Case_mins[[#This Row],[Surgery Start Date]])*(tbl_Case_mins[Theatre]=tbl_Case_mins[[#This Row],[Theatre]])*(tbl_Case_mins[PmCase]=1)),1),1,0),0)</f>
        <v>0</v>
      </c>
      <c r="CU109">
        <f>IFERROR(#REF!,0)</f>
        <v>0</v>
      </c>
      <c r="CV109" s="9" t="e" cm="1">
        <f t="array" ref="CV10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09" s="9">
        <f>IFERROR(IF(ISBLANK(INDEX(Bay_AmClose,MATCH(1,INDEX((tbl_Case_mins[[#This Row],[Bay]]=BayNo)*(tbl_Case_mins[[#This Row],[Surgery Start Date]]=BDate),0,1),0))*1440),0,INDEX(Bay_AmClose,MATCH(1,INDEX((tbl_Case_mins[[#This Row],[Bay]]=BayNo)*(tbl_Case_mins[[#This Row],[Surgery Start Date]]=BDate),0,1),0))*1440),0)</f>
        <v>0</v>
      </c>
      <c r="CX109" s="9" cm="1">
        <f t="array" ref="CX109">IFERROR(IF(ISBLANK(INDEX(Bay_PmOpen,MATCH(1,INDEX((tbl_Case_mins[[#This Row],[Bay]]=BayNo)*(tbl_Case_mins[[#This Row],[Surgery Start Date]]=BDate),0,1),0))*1440),0,INDEX(Bay_PmOpen,MATCH(1,INDEX((tbl_Case_mins[[#This Row],[Bay]]=BayNo)*(tbl_Case_mins[[#This Row],[Surgery Start Date]]=BDate),0,1),0))*1440),0)</f>
        <v>0</v>
      </c>
      <c r="CY10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09" s="9"/>
    </row>
    <row r="110" spans="1:104" x14ac:dyDescent="0.2">
      <c r="A110">
        <v>109</v>
      </c>
      <c r="B110" t="e">
        <f>#REF!</f>
        <v>#REF!</v>
      </c>
      <c r="C110" t="e">
        <f>#REF!</f>
        <v>#REF!</v>
      </c>
      <c r="D110" t="e">
        <f>#REF!</f>
        <v>#REF!</v>
      </c>
      <c r="E110" t="e">
        <f>#REF!</f>
        <v>#REF!</v>
      </c>
      <c r="F110" t="e">
        <f>#REF!</f>
        <v>#REF!</v>
      </c>
      <c r="G110" t="e">
        <f>#REF!</f>
        <v>#REF!</v>
      </c>
      <c r="H110" t="e">
        <f>#REF!</f>
        <v>#REF!</v>
      </c>
      <c r="I110" t="e">
        <f>IF(#REF!="Case Cancelled",1,IF(#REF!="No Cases",2,0))</f>
        <v>#REF!</v>
      </c>
      <c r="J110" t="e">
        <f>#REF!</f>
        <v>#REF!</v>
      </c>
      <c r="K110" s="4" t="e">
        <f>#REF!</f>
        <v>#REF!</v>
      </c>
      <c r="L110" t="e">
        <f>"Wk "&amp;WEEKNUM(tbl_Case_mins[[#This Row],[Surgery Start Date]],21)</f>
        <v>#REF!</v>
      </c>
      <c r="M110" t="e">
        <f>TEXT(tbl_Case_mins[[#This Row],[Surgery Start Date]],"ddd")</f>
        <v>#REF!</v>
      </c>
      <c r="N110" s="9" t="e">
        <f>(#REF!-TIME(0,0,0))*1440</f>
        <v>#REF!</v>
      </c>
      <c r="O110" t="e">
        <f>IF(AND(ROUND((#REF!-TIME(0,0,0))*1440,0)&gt;0,ROUND((#REF!-TIME(0,0,0))*1440,0)&lt;tbl_Case_mins[[#This Row],[Patient Called]],tbl_Case_mins[[#This Row],[Surgery End Date]]&gt;tbl_Case_mins[[#This Row],[Surgery Start Date]]),ROUND((#REF!-TIME(0,0,0))*1440,0)+1440,ROUND((#REF!-TIME(0,0,0))*1440,0))</f>
        <v>#REF!</v>
      </c>
      <c r="P110" s="9" t="e">
        <f>IF(AND(ROUND((#REF!-TIME(0,0,0))*1440,0)&gt;0,ROUND((#REF!-TIME(0,0,0))*1440,0)&lt;tbl_Case_mins[[#This Row],[Arrival]],tbl_Case_mins[[#This Row],[Surgery End Date]]&gt;tbl_Case_mins[[#This Row],[Surgery Start Date]]),ROUND((#REF!-TIME(0,0,0))*1440,0)+1440,ROUND((#REF!-TIME(0,0,0))*1440,0))</f>
        <v>#REF!</v>
      </c>
      <c r="Q110" s="9" t="e">
        <f>IF(AND(ROUND((#REF!-TIME(0,0,0))*1440,0)&gt;0,ROUND((#REF!-TIME(0,0,0))*1440,0)&lt;tbl_Case_mins[[#This Row],[Into Th or AR]],tbl_Case_mins[[#This Row],[Surgery End Date]]&gt;tbl_Case_mins[[#This Row],[Surgery Start Date]]),ROUND((#REF!-TIME(0,0,0))*1440,0)+1440,ROUND((#REF!-TIME(0,0,0))*1440,0))</f>
        <v>#REF!</v>
      </c>
      <c r="R110" s="9" t="e">
        <f>IF(AND(ROUND((#REF!-TIME(0,0,0))*1440,0)&gt;0,ROUND((#REF!-TIME(0,0,0))*1440,0)&lt;tbl_Case_mins[[#This Row],[AnaesthStart]],tbl_Case_mins[[#This Row],[Surgery End Date]]&gt;tbl_Case_mins[[#This Row],[Surgery Start Date]]),ROUND((#REF!-TIME(0,0,0))*1440,0)+1440,ROUND((#REF!-TIME(0,0,0))*1440,0))</f>
        <v>#REF!</v>
      </c>
      <c r="S110" s="9" t="e">
        <f>IF(AND(ROUND((#REF!-TIME(0,0,0))*1440,0),ROUND((#REF!-TIME(0,0,0))*1440,0)&lt;tbl_Case_mins[[#This Row],[Surgery Start]],tbl_Case_mins[[#This Row],[Surgery End Date]]&gt;tbl_Case_mins[[#This Row],[Surgery Start Date]]),ROUND((#REF!-TIME(0,0,0))*1440,0)+1440,ROUND((#REF!-TIME(0,0,0))*1440,0))</f>
        <v>#REF!</v>
      </c>
      <c r="T110" s="9" t="e">
        <f>IF(AND(ROUND((#REF!-TIME(0,0,0))*1440,0)&gt;0,ROUND((#REF!-TIME(0,0,0))*1440,0)&lt;tbl_Case_mins[[#This Row],[Surgery Finish]],tbl_Case_mins[[#This Row],[Surgery End Date]]&gt;tbl_Case_mins[[#This Row],[Surgery Start Date]]),ROUND((#REF!-TIME(0,0,0))*1440,0)+1440,ROUND((#REF!-TIME(0,0,0))*1440,0))</f>
        <v>#REF!</v>
      </c>
      <c r="U110" s="9" t="e">
        <f>IF(AND(ROUND((#REF!-TIME(0,0,0))*1440,0)&gt;0,ROUND((#REF!-TIME(0,0,0))*1440,0)&lt;tbl_Case_mins[[#This Row],[Anaesth End]],tbl_Case_mins[[#This Row],[Surgery End Date]]&gt;tbl_Case_mins[[#This Row],[Surgery Start Date]]),ROUND((#REF!-TIME(0,0,0))*1440,0)+1440,ROUND((#REF!-TIME(0,0,0))*1440,0))</f>
        <v>#REF!</v>
      </c>
      <c r="V110" s="9" t="e">
        <f>IF(AND(ROUND((#REF!-TIME(0,0,0))*1440,0)&gt;0,ROUND((#REF!-TIME(0,0,0))*1440,0)&lt;tbl_Case_mins[[#This Row],[Into Recov]],tbl_Case_mins[[#This Row],[Surgery End Date]]&gt;tbl_Case_mins[[#This Row],[Surgery Start Date]]),ROUND((#REF!-TIME(0,0,0))*1440,0)+1440,ROUND((#REF!-TIME(0,0,0))*1440,0))</f>
        <v>#REF!</v>
      </c>
      <c r="W110" s="9" t="e">
        <f>IF(AND(ROUND((#REF!-TIME(0,0,0))*1440,0)&gt;0,ROUND((#REF!-TIME(0,0,0))*1440,0)&lt;tbl_Case_mins[[#This Row],[Ward Called]],tbl_Case_mins[[#This Row],[Surgery End Date]]&gt;tbl_Case_mins[[#This Row],[Surgery Start Date]]),ROUND((#REF!-TIME(0,0,0))*1440,0)+1440,ROUND((#REF!-TIME(0,0,0))*1440,0))</f>
        <v>#REF!</v>
      </c>
      <c r="X110" s="4" t="e">
        <f>IF(ISBLANK(#REF!),tbl_Case_mins[[#This Row],[Surgery Start Date]],#REF!)</f>
        <v>#REF!</v>
      </c>
      <c r="Y110">
        <f>IFERROR(IF(VLOOKUP(tbl_Case_mins[[#This Row],[Theatre]],'Mng Theatres'!$C$7:$G$12,3,FALSE)="Yes","Yes","No"),0)</f>
        <v>0</v>
      </c>
      <c r="Z110" s="9" t="e" cm="1">
        <f t="array" ref="Z11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0" s="9" t="e" cm="1">
        <f t="array" ref="AA11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0" s="9" t="e">
        <f>IF(tbl_Case_mins[[#This Row],[Case Type]]="Unsch",1,0)</f>
        <v>#REF!</v>
      </c>
      <c r="AD110" s="9" t="e">
        <f>IF(tbl_Case_mins[[#This Row],[Case Type]]="Sch",1,0)</f>
        <v>#REF!</v>
      </c>
      <c r="AE11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0" s="9">
        <f>IFERROR(IF(ISBLANK(INDEX(Am_Close,MATCH(1,INDEX((tbl_Case_mins[[#This Row],[Theatre]]=Theatre_No)*(tbl_Case_mins[[#This Row],[Surgery Start Date]]=Date),0,1),0))*1440),0,INDEX(Am_Close,MATCH(1,INDEX((tbl_Case_mins[[#This Row],[Theatre]]=Theatre_No)*(tbl_Case_mins[[#This Row],[Surgery Start Date]]=Date),0,1),0))*1440),0)</f>
        <v>0</v>
      </c>
      <c r="AG110" s="9">
        <f>IFERROR(IF(ISBLANK(INDEX(PM_Open,MATCH(1,INDEX((tbl_Case_mins[[#This Row],[Theatre]]=Theatre_No)*(tbl_Case_mins[[#This Row],[Surgery Start Date]]=Date),0,1),0))*1440),0,INDEX(PM_Open,MATCH(1,INDEX((tbl_Case_mins[[#This Row],[Theatre]]=Theatre_No)*(tbl_Case_mins[[#This Row],[Surgery Start Date]]=Date),0,1),0))*1440),0)</f>
        <v>0</v>
      </c>
      <c r="AH11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0" s="9" t="e">
        <f>IF(tbl_Case_mins[[#This Row],[ThOpenAm]]=0,tbl_Case_mins[[#This Row],[ThOpenPM]],tbl_Case_mins[[#This Row],[ThOpenAm]])</f>
        <v>#REF!</v>
      </c>
      <c r="AJ110" s="9" t="e">
        <f>IF(tbl_Case_mins[[#This Row],[ThCloseAm]]&gt;0,IF(tbl_Case_mins[[#This Row],[ThOpenPM]]&gt;0,tbl_Case_mins[[#This Row],[ThClosePm]],tbl_Case_mins[[#This Row],[ThCloseAm]]),tbl_Case_mins[[#This Row],[ThClosePm]])</f>
        <v>#REF!</v>
      </c>
      <c r="AK110" s="9" t="e">
        <f>IF(tbl_Case_mins[[#This Row],[TOT]]&gt;0,1,0)</f>
        <v>#REF!</v>
      </c>
      <c r="AL11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0" s="9" t="e">
        <f>IF(AND(tbl_Case_mins[[#This Row],[Surgery Status]]&lt;&gt;2,tbl_Case_mins[[#This Row],[InCoreCase]]=0,tbl_Case_mins[[#This Row],[CancelledCase]]=0),1,0)</f>
        <v>#REF!</v>
      </c>
      <c r="AN110" s="9" t="e">
        <f>IF(tbl_Case_mins[[#This Row],[Surgery Status]]=1,1,0)</f>
        <v>#REF!</v>
      </c>
      <c r="AO11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0" s="9" t="e">
        <f>IF(AND(tbl_Case_mins[[#This Row],[NonCoreCase]]=1,tbl_Case_mins[[#This Row],[NoInCoreTime]]=0),1,0)</f>
        <v>#REF!</v>
      </c>
      <c r="AQ110" s="9" t="e">
        <f>IF(tbl_Case_mins[[#This Row],[Rank_AnaEnd]]&lt;tbl_Case_mins[[#This Row],[Rank_AnaSt]],1,0)</f>
        <v>#REF!</v>
      </c>
      <c r="AR110" s="9" t="e">
        <f>IF(AND(tbl_Case_mins[[#This Row],[InCoreCase]]=1,tbl_Case_mins[[#This Row],[Sch]]=1),1,0)</f>
        <v>#REF!</v>
      </c>
      <c r="AS110" s="9" t="e">
        <f>IF(AND(tbl_Case_mins[[#This Row],[InCoreCase]]=1,tbl_Case_mins[[#This Row],[Unsch]]=1),1,0)</f>
        <v>#REF!</v>
      </c>
      <c r="AT11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0" s="9" t="e">
        <f>IF(tbl_Case_mins[[#This Row],[Surgery Status]]=0,(tbl_Case_mins[[#This Row],[Anaesth End]]-tbl_Case_mins[[#This Row],[AnaesthStart]]),0)</f>
        <v>#REF!</v>
      </c>
      <c r="AX110" s="9" t="e">
        <f>IF(tbl_Case_mins[[#This Row],[Surgery Status]]=0,(tbl_Case_mins[[#This Row],[Surgery Finish]]-tbl_Case_mins[[#This Row],[Surgery Start]]),0)</f>
        <v>#REF!</v>
      </c>
      <c r="AY110" s="9" t="e">
        <f>tbl_Case_mins[[#This Row],[Surgery Start]]-tbl_Case_mins[[#This Row],[AnaesthStart]]</f>
        <v>#REF!</v>
      </c>
      <c r="AZ110" s="9" t="e">
        <f>tbl_Case_mins[[#This Row],[Anaesth End]]-tbl_Case_mins[[#This Row],[Surgery Finish]]</f>
        <v>#REF!</v>
      </c>
      <c r="BA11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0" s="16" cm="1">
        <f t="array" ref="BC11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0" s="16" t="e">
        <f>IF(AND(tbl_Case_mins[[#This Row],[FirstAMCase]]=1,tbl_Case_mins[[#This Row],[CancelledCase]]=0,OR(tbl_Case_mins[[#This Row],[EarlyStartAM]]&gt;0,tbl_Case_mins[[#This Row],[AnaesthStart]]=tbl_Case_mins[[#This Row],[ThOpenAm]])),1,0)</f>
        <v>#REF!</v>
      </c>
      <c r="BE110" s="16" t="e">
        <f>IF(AND(tbl_Case_mins[[#This Row],[Rank_AnaSt]]=tbl_Case_mins[[#This Row],[Min_RankAnaSt]],tbl_Case_mins[[#This Row],[Anaesth End]]&gt;=tbl_Case_mins[[#This Row],[ThOpenAm]],tbl_Case_mins[[#This Row],[PmCase]]=0),1,0)</f>
        <v>#REF!</v>
      </c>
      <c r="BF11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0" s="9" t="e" cm="1">
        <f t="array" ref="BH11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0" s="9" t="e">
        <f>IF(AND(tbl_Case_mins[[#This Row],[ThOpenPM]]&gt;0,tbl_Case_mins[[#This Row],[AnaesthStart]]&gt;tbl_Case_mins[[#This Row],[ThOpenPM]],tbl_Case_mins[[#This Row],[First PM Case]]=1),tbl_Case_mins[[#This Row],[AnaesthStart]]-tbl_Case_mins[[#This Row],[ThOpenPM]],0)</f>
        <v>#REF!</v>
      </c>
      <c r="BL11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0" s="9" t="e" cm="1">
        <f t="array" ref="BN11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0" s="9" t="e">
        <f>IF(AND(tbl_Case_mins[[#This Row],[ThClosePm]]&gt;0,tbl_Case_mins[[#This Row],[Anaesth End]]&gt;tbl_Case_mins[[#This Row],[ThClosePm]],tbl_Case_mins[[#This Row],[AnaesthStart]]&gt;tbl_Case_mins[[#This Row],[ThClosePm]]),tbl_Case_mins[[#This Row],[Into Recov]]-tbl_Case_mins[[#This Row],[AnaesthStart]],0)</f>
        <v>#REF!</v>
      </c>
      <c r="BP110" s="9" t="e">
        <f>IF(AND(tbl_Case_mins[[#This Row],[AnaesthStart]]&lt;tbl_Case_mins[[#This Row],[ThClosePm]],tbl_Case_mins[[#This Row],[Anaesth End]]&gt;tbl_Case_mins[[#This Row],[ThClosePm]]),tbl_Case_mins[[#This Row],[Anaesth End]]-tbl_Case_mins[[#This Row],[ThClosePm]],0)</f>
        <v>#REF!</v>
      </c>
      <c r="BQ110" s="9" t="e" cm="1">
        <f t="array" ref="BQ11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0" s="9" t="e" cm="1">
        <f t="array" ref="BR110">IF(tbl_Case_mins[[#This Row],[Rank_Adjust]]=SUMPRODUCT(-(tbl_Case_mins[Surgery Start Date]=tbl_Case_mins[[#This Row],[Surgery Start Date]]),-(tbl_Case_mins[Theatre]=tbl_Case_mins[[#This Row],[Theatre]])),INDEX(Poss_Time,MATCH(TEXT(tbl_Case_mins[[#This Row],[Surgery Start Date]],"ddd"),Day,0)),0)</f>
        <v>#REF!</v>
      </c>
      <c r="BS110" s="9" t="e">
        <f>tbl_Case_mins[[#This Row],[Core_Time]]*Util_Goal</f>
        <v>#REF!</v>
      </c>
      <c r="BT110" s="9" t="e" cm="1">
        <f t="array" ref="BT1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0" s="9" t="e" cm="1">
        <f t="array" ref="BU1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0" s="9" t="e">
        <f>IF(tbl_Case_mins[[#This Row],[Surgery End Date]]&gt;tbl_Case_mins[[#This Row],[Surgery Start Date]],tbl_Case_mins[[#This Row],[Anaesth End]]-1440,0)</f>
        <v>#REF!</v>
      </c>
      <c r="BY110" s="9" t="e">
        <f>tbl_Case_mins[[#This Row],[Total_NonCore]]-tbl_Case_mins[[#This Row],[NextDay_NonCore]]</f>
        <v>#REF!</v>
      </c>
      <c r="BZ110" s="10" t="e">
        <f>tbl_Case_mins[[#This Row],[InCoreUse]]/60</f>
        <v>#REF!</v>
      </c>
      <c r="CA110" s="10" t="e">
        <f>tbl_Case_mins[[#This Row],[Total_NonCore]]/60</f>
        <v>#REF!</v>
      </c>
      <c r="CB110" t="e" cm="1">
        <f t="array" ref="CB1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0" s="9" t="e" cm="1">
        <f t="array" ref="CC11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0" s="9" t="e" cm="1">
        <f t="array" ref="CD1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0" s="9" t="e" cm="1">
        <f t="array" ref="CE11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0" s="9" cm="1">
        <f t="array" ref="CF110">IFERROR(_xlfn.AGGREGATE(14,6,(tbl_Case_mins[Rank_AnaEnd])/((tbl_Case_mins[Surgery Start Date]=tbl_Case_mins[[#This Row],[Surgery Start Date]])*(tbl_Case_mins[Theatre]=tbl_Case_mins[[#This Row],[Theatre]])*(tbl_Case_mins[NoInCoreTime]=0)),1),-1)</f>
        <v>-1</v>
      </c>
      <c r="CG110" s="9" cm="1">
        <f t="array" ref="CG110">IFERROR(_xlfn.AGGREGATE(15,6,(tbl_Case_mins[Rank_AnaSt])/((tbl_Case_mins[Surgery Start Date]=tbl_Case_mins[[#This Row],[Surgery Start Date]])*(tbl_Case_mins[Theatre]=tbl_Case_mins[[#This Row],[Theatre]])*(tbl_Case_mins[NoInCoreTime]=0)),1),-1)</f>
        <v>-1</v>
      </c>
      <c r="CH11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0" t="e" cm="1">
        <f t="array" ref="CJ11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0" s="9" cm="1">
        <f t="array" ref="CO1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0" s="9" cm="1">
        <f t="array" ref="CP1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0" s="9" cm="1">
        <f t="array" ref="CQ110">IFERROR(IF(AND(tbl_Case_mins[[#This Row],[FirstAMCase]]=0,tbl_Case_mins[[#This Row],[Rank]]=_xlfn.AGGREGATE(14,6,(tbl_Case_mins[Rank])/((tbl_Case_mins[Surgery Start Date]=tbl_Case_mins[[#This Row],[Surgery Start Date]])*(tbl_Case_mins[Theatre]=tbl_Case_mins[[#This Row],[Theatre]])*(tbl_Case_mins[AmCase]=1)),1)),1,0),0)</f>
        <v>0</v>
      </c>
      <c r="CR110" s="9" cm="1">
        <f t="array" ref="CR11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0" s="9" t="e" cm="1">
        <f t="array" ref="CS11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0" s="9" cm="1">
        <f t="array" ref="CT110">IFERROR(IF(tbl_Case_mins[[#This Row],[Rank]]=_xlfn.AGGREGATE(15,6,(tbl_Case_mins[Rank])/((tbl_Case_mins[Surgery Start Date]=tbl_Case_mins[[#This Row],[Surgery Start Date]])*(tbl_Case_mins[Theatre]=tbl_Case_mins[[#This Row],[Theatre]])*(tbl_Case_mins[PmCase]=1)),1),1,0),0)</f>
        <v>0</v>
      </c>
      <c r="CU110">
        <f>IFERROR(#REF!,0)</f>
        <v>0</v>
      </c>
      <c r="CV110" s="9" t="e" cm="1">
        <f t="array" ref="CV11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0" s="9">
        <f>IFERROR(IF(ISBLANK(INDEX(Bay_AmClose,MATCH(1,INDEX((tbl_Case_mins[[#This Row],[Bay]]=BayNo)*(tbl_Case_mins[[#This Row],[Surgery Start Date]]=BDate),0,1),0))*1440),0,INDEX(Bay_AmClose,MATCH(1,INDEX((tbl_Case_mins[[#This Row],[Bay]]=BayNo)*(tbl_Case_mins[[#This Row],[Surgery Start Date]]=BDate),0,1),0))*1440),0)</f>
        <v>0</v>
      </c>
      <c r="CX110" s="9" cm="1">
        <f t="array" ref="CX110">IFERROR(IF(ISBLANK(INDEX(Bay_PmOpen,MATCH(1,INDEX((tbl_Case_mins[[#This Row],[Bay]]=BayNo)*(tbl_Case_mins[[#This Row],[Surgery Start Date]]=BDate),0,1),0))*1440),0,INDEX(Bay_PmOpen,MATCH(1,INDEX((tbl_Case_mins[[#This Row],[Bay]]=BayNo)*(tbl_Case_mins[[#This Row],[Surgery Start Date]]=BDate),0,1),0))*1440),0)</f>
        <v>0</v>
      </c>
      <c r="CY11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0" s="9"/>
    </row>
    <row r="111" spans="1:104" x14ac:dyDescent="0.2">
      <c r="A111">
        <v>110</v>
      </c>
      <c r="B111" t="e">
        <f>#REF!</f>
        <v>#REF!</v>
      </c>
      <c r="C111" t="e">
        <f>#REF!</f>
        <v>#REF!</v>
      </c>
      <c r="D111" t="e">
        <f>#REF!</f>
        <v>#REF!</v>
      </c>
      <c r="E111" t="e">
        <f>#REF!</f>
        <v>#REF!</v>
      </c>
      <c r="F111" t="e">
        <f>#REF!</f>
        <v>#REF!</v>
      </c>
      <c r="G111" t="e">
        <f>#REF!</f>
        <v>#REF!</v>
      </c>
      <c r="H111" t="e">
        <f>#REF!</f>
        <v>#REF!</v>
      </c>
      <c r="I111" t="e">
        <f>IF(#REF!="Case Cancelled",1,IF(#REF!="No Cases",2,0))</f>
        <v>#REF!</v>
      </c>
      <c r="J111" t="e">
        <f>#REF!</f>
        <v>#REF!</v>
      </c>
      <c r="K111" s="4" t="e">
        <f>#REF!</f>
        <v>#REF!</v>
      </c>
      <c r="L111" t="e">
        <f>"Wk "&amp;WEEKNUM(tbl_Case_mins[[#This Row],[Surgery Start Date]],21)</f>
        <v>#REF!</v>
      </c>
      <c r="M111" t="e">
        <f>TEXT(tbl_Case_mins[[#This Row],[Surgery Start Date]],"ddd")</f>
        <v>#REF!</v>
      </c>
      <c r="N111" s="9" t="e">
        <f>(#REF!-TIME(0,0,0))*1440</f>
        <v>#REF!</v>
      </c>
      <c r="O111" t="e">
        <f>IF(AND(ROUND((#REF!-TIME(0,0,0))*1440,0)&gt;0,ROUND((#REF!-TIME(0,0,0))*1440,0)&lt;tbl_Case_mins[[#This Row],[Patient Called]],tbl_Case_mins[[#This Row],[Surgery End Date]]&gt;tbl_Case_mins[[#This Row],[Surgery Start Date]]),ROUND((#REF!-TIME(0,0,0))*1440,0)+1440,ROUND((#REF!-TIME(0,0,0))*1440,0))</f>
        <v>#REF!</v>
      </c>
      <c r="P111" s="9" t="e">
        <f>IF(AND(ROUND((#REF!-TIME(0,0,0))*1440,0)&gt;0,ROUND((#REF!-TIME(0,0,0))*1440,0)&lt;tbl_Case_mins[[#This Row],[Arrival]],tbl_Case_mins[[#This Row],[Surgery End Date]]&gt;tbl_Case_mins[[#This Row],[Surgery Start Date]]),ROUND((#REF!-TIME(0,0,0))*1440,0)+1440,ROUND((#REF!-TIME(0,0,0))*1440,0))</f>
        <v>#REF!</v>
      </c>
      <c r="Q111" s="9" t="e">
        <f>IF(AND(ROUND((#REF!-TIME(0,0,0))*1440,0)&gt;0,ROUND((#REF!-TIME(0,0,0))*1440,0)&lt;tbl_Case_mins[[#This Row],[Into Th or AR]],tbl_Case_mins[[#This Row],[Surgery End Date]]&gt;tbl_Case_mins[[#This Row],[Surgery Start Date]]),ROUND((#REF!-TIME(0,0,0))*1440,0)+1440,ROUND((#REF!-TIME(0,0,0))*1440,0))</f>
        <v>#REF!</v>
      </c>
      <c r="R111" s="9" t="e">
        <f>IF(AND(ROUND((#REF!-TIME(0,0,0))*1440,0)&gt;0,ROUND((#REF!-TIME(0,0,0))*1440,0)&lt;tbl_Case_mins[[#This Row],[AnaesthStart]],tbl_Case_mins[[#This Row],[Surgery End Date]]&gt;tbl_Case_mins[[#This Row],[Surgery Start Date]]),ROUND((#REF!-TIME(0,0,0))*1440,0)+1440,ROUND((#REF!-TIME(0,0,0))*1440,0))</f>
        <v>#REF!</v>
      </c>
      <c r="S111" s="9" t="e">
        <f>IF(AND(ROUND((#REF!-TIME(0,0,0))*1440,0),ROUND((#REF!-TIME(0,0,0))*1440,0)&lt;tbl_Case_mins[[#This Row],[Surgery Start]],tbl_Case_mins[[#This Row],[Surgery End Date]]&gt;tbl_Case_mins[[#This Row],[Surgery Start Date]]),ROUND((#REF!-TIME(0,0,0))*1440,0)+1440,ROUND((#REF!-TIME(0,0,0))*1440,0))</f>
        <v>#REF!</v>
      </c>
      <c r="T111" s="9" t="e">
        <f>IF(AND(ROUND((#REF!-TIME(0,0,0))*1440,0)&gt;0,ROUND((#REF!-TIME(0,0,0))*1440,0)&lt;tbl_Case_mins[[#This Row],[Surgery Finish]],tbl_Case_mins[[#This Row],[Surgery End Date]]&gt;tbl_Case_mins[[#This Row],[Surgery Start Date]]),ROUND((#REF!-TIME(0,0,0))*1440,0)+1440,ROUND((#REF!-TIME(0,0,0))*1440,0))</f>
        <v>#REF!</v>
      </c>
      <c r="U111" s="9" t="e">
        <f>IF(AND(ROUND((#REF!-TIME(0,0,0))*1440,0)&gt;0,ROUND((#REF!-TIME(0,0,0))*1440,0)&lt;tbl_Case_mins[[#This Row],[Anaesth End]],tbl_Case_mins[[#This Row],[Surgery End Date]]&gt;tbl_Case_mins[[#This Row],[Surgery Start Date]]),ROUND((#REF!-TIME(0,0,0))*1440,0)+1440,ROUND((#REF!-TIME(0,0,0))*1440,0))</f>
        <v>#REF!</v>
      </c>
      <c r="V111" s="9" t="e">
        <f>IF(AND(ROUND((#REF!-TIME(0,0,0))*1440,0)&gt;0,ROUND((#REF!-TIME(0,0,0))*1440,0)&lt;tbl_Case_mins[[#This Row],[Into Recov]],tbl_Case_mins[[#This Row],[Surgery End Date]]&gt;tbl_Case_mins[[#This Row],[Surgery Start Date]]),ROUND((#REF!-TIME(0,0,0))*1440,0)+1440,ROUND((#REF!-TIME(0,0,0))*1440,0))</f>
        <v>#REF!</v>
      </c>
      <c r="W111" s="9" t="e">
        <f>IF(AND(ROUND((#REF!-TIME(0,0,0))*1440,0)&gt;0,ROUND((#REF!-TIME(0,0,0))*1440,0)&lt;tbl_Case_mins[[#This Row],[Ward Called]],tbl_Case_mins[[#This Row],[Surgery End Date]]&gt;tbl_Case_mins[[#This Row],[Surgery Start Date]]),ROUND((#REF!-TIME(0,0,0))*1440,0)+1440,ROUND((#REF!-TIME(0,0,0))*1440,0))</f>
        <v>#REF!</v>
      </c>
      <c r="X111" s="4" t="e">
        <f>IF(ISBLANK(#REF!),tbl_Case_mins[[#This Row],[Surgery Start Date]],#REF!)</f>
        <v>#REF!</v>
      </c>
      <c r="Y111">
        <f>IFERROR(IF(VLOOKUP(tbl_Case_mins[[#This Row],[Theatre]],'Mng Theatres'!$C$7:$G$12,3,FALSE)="Yes","Yes","No"),0)</f>
        <v>0</v>
      </c>
      <c r="Z111" s="9" t="e" cm="1">
        <f t="array" ref="Z11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1" s="9" t="e" cm="1">
        <f t="array" ref="AA11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1" s="9" t="e">
        <f>IF(tbl_Case_mins[[#This Row],[Case Type]]="Unsch",1,0)</f>
        <v>#REF!</v>
      </c>
      <c r="AD111" s="9" t="e">
        <f>IF(tbl_Case_mins[[#This Row],[Case Type]]="Sch",1,0)</f>
        <v>#REF!</v>
      </c>
      <c r="AE11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1" s="9">
        <f>IFERROR(IF(ISBLANK(INDEX(Am_Close,MATCH(1,INDEX((tbl_Case_mins[[#This Row],[Theatre]]=Theatre_No)*(tbl_Case_mins[[#This Row],[Surgery Start Date]]=Date),0,1),0))*1440),0,INDEX(Am_Close,MATCH(1,INDEX((tbl_Case_mins[[#This Row],[Theatre]]=Theatre_No)*(tbl_Case_mins[[#This Row],[Surgery Start Date]]=Date),0,1),0))*1440),0)</f>
        <v>0</v>
      </c>
      <c r="AG111" s="9">
        <f>IFERROR(IF(ISBLANK(INDEX(PM_Open,MATCH(1,INDEX((tbl_Case_mins[[#This Row],[Theatre]]=Theatre_No)*(tbl_Case_mins[[#This Row],[Surgery Start Date]]=Date),0,1),0))*1440),0,INDEX(PM_Open,MATCH(1,INDEX((tbl_Case_mins[[#This Row],[Theatre]]=Theatre_No)*(tbl_Case_mins[[#This Row],[Surgery Start Date]]=Date),0,1),0))*1440),0)</f>
        <v>0</v>
      </c>
      <c r="AH11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1" s="9" t="e">
        <f>IF(tbl_Case_mins[[#This Row],[ThOpenAm]]=0,tbl_Case_mins[[#This Row],[ThOpenPM]],tbl_Case_mins[[#This Row],[ThOpenAm]])</f>
        <v>#REF!</v>
      </c>
      <c r="AJ111" s="9" t="e">
        <f>IF(tbl_Case_mins[[#This Row],[ThCloseAm]]&gt;0,IF(tbl_Case_mins[[#This Row],[ThOpenPM]]&gt;0,tbl_Case_mins[[#This Row],[ThClosePm]],tbl_Case_mins[[#This Row],[ThCloseAm]]),tbl_Case_mins[[#This Row],[ThClosePm]])</f>
        <v>#REF!</v>
      </c>
      <c r="AK111" s="9" t="e">
        <f>IF(tbl_Case_mins[[#This Row],[TOT]]&gt;0,1,0)</f>
        <v>#REF!</v>
      </c>
      <c r="AL11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1" s="9" t="e">
        <f>IF(AND(tbl_Case_mins[[#This Row],[Surgery Status]]&lt;&gt;2,tbl_Case_mins[[#This Row],[InCoreCase]]=0,tbl_Case_mins[[#This Row],[CancelledCase]]=0),1,0)</f>
        <v>#REF!</v>
      </c>
      <c r="AN111" s="9" t="e">
        <f>IF(tbl_Case_mins[[#This Row],[Surgery Status]]=1,1,0)</f>
        <v>#REF!</v>
      </c>
      <c r="AO11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1" s="9" t="e">
        <f>IF(AND(tbl_Case_mins[[#This Row],[NonCoreCase]]=1,tbl_Case_mins[[#This Row],[NoInCoreTime]]=0),1,0)</f>
        <v>#REF!</v>
      </c>
      <c r="AQ111" s="9" t="e">
        <f>IF(tbl_Case_mins[[#This Row],[Rank_AnaEnd]]&lt;tbl_Case_mins[[#This Row],[Rank_AnaSt]],1,0)</f>
        <v>#REF!</v>
      </c>
      <c r="AR111" s="9" t="e">
        <f>IF(AND(tbl_Case_mins[[#This Row],[InCoreCase]]=1,tbl_Case_mins[[#This Row],[Sch]]=1),1,0)</f>
        <v>#REF!</v>
      </c>
      <c r="AS111" s="9" t="e">
        <f>IF(AND(tbl_Case_mins[[#This Row],[InCoreCase]]=1,tbl_Case_mins[[#This Row],[Unsch]]=1),1,0)</f>
        <v>#REF!</v>
      </c>
      <c r="AT11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1" s="9" t="e">
        <f>IF(tbl_Case_mins[[#This Row],[Surgery Status]]=0,(tbl_Case_mins[[#This Row],[Anaesth End]]-tbl_Case_mins[[#This Row],[AnaesthStart]]),0)</f>
        <v>#REF!</v>
      </c>
      <c r="AX111" s="9" t="e">
        <f>IF(tbl_Case_mins[[#This Row],[Surgery Status]]=0,(tbl_Case_mins[[#This Row],[Surgery Finish]]-tbl_Case_mins[[#This Row],[Surgery Start]]),0)</f>
        <v>#REF!</v>
      </c>
      <c r="AY111" s="9" t="e">
        <f>tbl_Case_mins[[#This Row],[Surgery Start]]-tbl_Case_mins[[#This Row],[AnaesthStart]]</f>
        <v>#REF!</v>
      </c>
      <c r="AZ111" s="9" t="e">
        <f>tbl_Case_mins[[#This Row],[Anaesth End]]-tbl_Case_mins[[#This Row],[Surgery Finish]]</f>
        <v>#REF!</v>
      </c>
      <c r="BA11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1" s="16" cm="1">
        <f t="array" ref="BC11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1" s="16" t="e">
        <f>IF(AND(tbl_Case_mins[[#This Row],[FirstAMCase]]=1,tbl_Case_mins[[#This Row],[CancelledCase]]=0,OR(tbl_Case_mins[[#This Row],[EarlyStartAM]]&gt;0,tbl_Case_mins[[#This Row],[AnaesthStart]]=tbl_Case_mins[[#This Row],[ThOpenAm]])),1,0)</f>
        <v>#REF!</v>
      </c>
      <c r="BE111" s="16" t="e">
        <f>IF(AND(tbl_Case_mins[[#This Row],[Rank_AnaSt]]=tbl_Case_mins[[#This Row],[Min_RankAnaSt]],tbl_Case_mins[[#This Row],[Anaesth End]]&gt;=tbl_Case_mins[[#This Row],[ThOpenAm]],tbl_Case_mins[[#This Row],[PmCase]]=0),1,0)</f>
        <v>#REF!</v>
      </c>
      <c r="BF11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1" s="9" t="e" cm="1">
        <f t="array" ref="BH11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1" s="9" t="e">
        <f>IF(AND(tbl_Case_mins[[#This Row],[ThOpenPM]]&gt;0,tbl_Case_mins[[#This Row],[AnaesthStart]]&gt;tbl_Case_mins[[#This Row],[ThOpenPM]],tbl_Case_mins[[#This Row],[First PM Case]]=1),tbl_Case_mins[[#This Row],[AnaesthStart]]-tbl_Case_mins[[#This Row],[ThOpenPM]],0)</f>
        <v>#REF!</v>
      </c>
      <c r="BL11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1" s="9" t="e" cm="1">
        <f t="array" ref="BN11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1" s="9" t="e">
        <f>IF(AND(tbl_Case_mins[[#This Row],[ThClosePm]]&gt;0,tbl_Case_mins[[#This Row],[Anaesth End]]&gt;tbl_Case_mins[[#This Row],[ThClosePm]],tbl_Case_mins[[#This Row],[AnaesthStart]]&gt;tbl_Case_mins[[#This Row],[ThClosePm]]),tbl_Case_mins[[#This Row],[Into Recov]]-tbl_Case_mins[[#This Row],[AnaesthStart]],0)</f>
        <v>#REF!</v>
      </c>
      <c r="BP111" s="9" t="e">
        <f>IF(AND(tbl_Case_mins[[#This Row],[AnaesthStart]]&lt;tbl_Case_mins[[#This Row],[ThClosePm]],tbl_Case_mins[[#This Row],[Anaesth End]]&gt;tbl_Case_mins[[#This Row],[ThClosePm]]),tbl_Case_mins[[#This Row],[Anaesth End]]-tbl_Case_mins[[#This Row],[ThClosePm]],0)</f>
        <v>#REF!</v>
      </c>
      <c r="BQ111" s="9" t="e" cm="1">
        <f t="array" ref="BQ11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1" s="9" t="e" cm="1">
        <f t="array" ref="BR111">IF(tbl_Case_mins[[#This Row],[Rank_Adjust]]=SUMPRODUCT(-(tbl_Case_mins[Surgery Start Date]=tbl_Case_mins[[#This Row],[Surgery Start Date]]),-(tbl_Case_mins[Theatre]=tbl_Case_mins[[#This Row],[Theatre]])),INDEX(Poss_Time,MATCH(TEXT(tbl_Case_mins[[#This Row],[Surgery Start Date]],"ddd"),Day,0)),0)</f>
        <v>#REF!</v>
      </c>
      <c r="BS111" s="9" t="e">
        <f>tbl_Case_mins[[#This Row],[Core_Time]]*Util_Goal</f>
        <v>#REF!</v>
      </c>
      <c r="BT111" s="9" t="e" cm="1">
        <f t="array" ref="BT1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1" s="9" t="e" cm="1">
        <f t="array" ref="BU1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1" s="9" t="e">
        <f>IF(tbl_Case_mins[[#This Row],[Surgery End Date]]&gt;tbl_Case_mins[[#This Row],[Surgery Start Date]],tbl_Case_mins[[#This Row],[Anaesth End]]-1440,0)</f>
        <v>#REF!</v>
      </c>
      <c r="BY111" s="9" t="e">
        <f>tbl_Case_mins[[#This Row],[Total_NonCore]]-tbl_Case_mins[[#This Row],[NextDay_NonCore]]</f>
        <v>#REF!</v>
      </c>
      <c r="BZ111" s="10" t="e">
        <f>tbl_Case_mins[[#This Row],[InCoreUse]]/60</f>
        <v>#REF!</v>
      </c>
      <c r="CA111" s="10" t="e">
        <f>tbl_Case_mins[[#This Row],[Total_NonCore]]/60</f>
        <v>#REF!</v>
      </c>
      <c r="CB111" t="e" cm="1">
        <f t="array" ref="CB1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1" s="9" t="e" cm="1">
        <f t="array" ref="CC11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1" s="9" t="e" cm="1">
        <f t="array" ref="CD1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1" s="9" t="e" cm="1">
        <f t="array" ref="CE11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1" s="9" cm="1">
        <f t="array" ref="CF111">IFERROR(_xlfn.AGGREGATE(14,6,(tbl_Case_mins[Rank_AnaEnd])/((tbl_Case_mins[Surgery Start Date]=tbl_Case_mins[[#This Row],[Surgery Start Date]])*(tbl_Case_mins[Theatre]=tbl_Case_mins[[#This Row],[Theatre]])*(tbl_Case_mins[NoInCoreTime]=0)),1),-1)</f>
        <v>-1</v>
      </c>
      <c r="CG111" s="9" cm="1">
        <f t="array" ref="CG111">IFERROR(_xlfn.AGGREGATE(15,6,(tbl_Case_mins[Rank_AnaSt])/((tbl_Case_mins[Surgery Start Date]=tbl_Case_mins[[#This Row],[Surgery Start Date]])*(tbl_Case_mins[Theatre]=tbl_Case_mins[[#This Row],[Theatre]])*(tbl_Case_mins[NoInCoreTime]=0)),1),-1)</f>
        <v>-1</v>
      </c>
      <c r="CH11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1" t="e" cm="1">
        <f t="array" ref="CJ11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1" s="9" cm="1">
        <f t="array" ref="CO1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1" s="9" cm="1">
        <f t="array" ref="CP1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1" s="9" cm="1">
        <f t="array" ref="CQ111">IFERROR(IF(AND(tbl_Case_mins[[#This Row],[FirstAMCase]]=0,tbl_Case_mins[[#This Row],[Rank]]=_xlfn.AGGREGATE(14,6,(tbl_Case_mins[Rank])/((tbl_Case_mins[Surgery Start Date]=tbl_Case_mins[[#This Row],[Surgery Start Date]])*(tbl_Case_mins[Theatre]=tbl_Case_mins[[#This Row],[Theatre]])*(tbl_Case_mins[AmCase]=1)),1)),1,0),0)</f>
        <v>0</v>
      </c>
      <c r="CR111" s="9" cm="1">
        <f t="array" ref="CR11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1" s="9" t="e" cm="1">
        <f t="array" ref="CS11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1" s="9" cm="1">
        <f t="array" ref="CT111">IFERROR(IF(tbl_Case_mins[[#This Row],[Rank]]=_xlfn.AGGREGATE(15,6,(tbl_Case_mins[Rank])/((tbl_Case_mins[Surgery Start Date]=tbl_Case_mins[[#This Row],[Surgery Start Date]])*(tbl_Case_mins[Theatre]=tbl_Case_mins[[#This Row],[Theatre]])*(tbl_Case_mins[PmCase]=1)),1),1,0),0)</f>
        <v>0</v>
      </c>
      <c r="CU111">
        <f>IFERROR(#REF!,0)</f>
        <v>0</v>
      </c>
      <c r="CV111" s="9" t="e" cm="1">
        <f t="array" ref="CV11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1" s="9">
        <f>IFERROR(IF(ISBLANK(INDEX(Bay_AmClose,MATCH(1,INDEX((tbl_Case_mins[[#This Row],[Bay]]=BayNo)*(tbl_Case_mins[[#This Row],[Surgery Start Date]]=BDate),0,1),0))*1440),0,INDEX(Bay_AmClose,MATCH(1,INDEX((tbl_Case_mins[[#This Row],[Bay]]=BayNo)*(tbl_Case_mins[[#This Row],[Surgery Start Date]]=BDate),0,1),0))*1440),0)</f>
        <v>0</v>
      </c>
      <c r="CX111" s="9" cm="1">
        <f t="array" ref="CX111">IFERROR(IF(ISBLANK(INDEX(Bay_PmOpen,MATCH(1,INDEX((tbl_Case_mins[[#This Row],[Bay]]=BayNo)*(tbl_Case_mins[[#This Row],[Surgery Start Date]]=BDate),0,1),0))*1440),0,INDEX(Bay_PmOpen,MATCH(1,INDEX((tbl_Case_mins[[#This Row],[Bay]]=BayNo)*(tbl_Case_mins[[#This Row],[Surgery Start Date]]=BDate),0,1),0))*1440),0)</f>
        <v>0</v>
      </c>
      <c r="CY11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1" s="9"/>
    </row>
    <row r="112" spans="1:104" x14ac:dyDescent="0.2">
      <c r="A112">
        <v>111</v>
      </c>
      <c r="B112" t="e">
        <f>#REF!</f>
        <v>#REF!</v>
      </c>
      <c r="C112" t="e">
        <f>#REF!</f>
        <v>#REF!</v>
      </c>
      <c r="D112" t="e">
        <f>#REF!</f>
        <v>#REF!</v>
      </c>
      <c r="E112" t="e">
        <f>#REF!</f>
        <v>#REF!</v>
      </c>
      <c r="F112" t="e">
        <f>#REF!</f>
        <v>#REF!</v>
      </c>
      <c r="G112" t="e">
        <f>#REF!</f>
        <v>#REF!</v>
      </c>
      <c r="H112" t="e">
        <f>#REF!</f>
        <v>#REF!</v>
      </c>
      <c r="I112" t="e">
        <f>IF(#REF!="Case Cancelled",1,IF(#REF!="No Cases",2,0))</f>
        <v>#REF!</v>
      </c>
      <c r="J112" t="e">
        <f>#REF!</f>
        <v>#REF!</v>
      </c>
      <c r="K112" s="4" t="e">
        <f>#REF!</f>
        <v>#REF!</v>
      </c>
      <c r="L112" t="e">
        <f>"Wk "&amp;WEEKNUM(tbl_Case_mins[[#This Row],[Surgery Start Date]],21)</f>
        <v>#REF!</v>
      </c>
      <c r="M112" t="e">
        <f>TEXT(tbl_Case_mins[[#This Row],[Surgery Start Date]],"ddd")</f>
        <v>#REF!</v>
      </c>
      <c r="N112" s="9" t="e">
        <f>(#REF!-TIME(0,0,0))*1440</f>
        <v>#REF!</v>
      </c>
      <c r="O112" t="e">
        <f>IF(AND(ROUND((#REF!-TIME(0,0,0))*1440,0)&gt;0,ROUND((#REF!-TIME(0,0,0))*1440,0)&lt;tbl_Case_mins[[#This Row],[Patient Called]],tbl_Case_mins[[#This Row],[Surgery End Date]]&gt;tbl_Case_mins[[#This Row],[Surgery Start Date]]),ROUND((#REF!-TIME(0,0,0))*1440,0)+1440,ROUND((#REF!-TIME(0,0,0))*1440,0))</f>
        <v>#REF!</v>
      </c>
      <c r="P112" s="9" t="e">
        <f>IF(AND(ROUND((#REF!-TIME(0,0,0))*1440,0)&gt;0,ROUND((#REF!-TIME(0,0,0))*1440,0)&lt;tbl_Case_mins[[#This Row],[Arrival]],tbl_Case_mins[[#This Row],[Surgery End Date]]&gt;tbl_Case_mins[[#This Row],[Surgery Start Date]]),ROUND((#REF!-TIME(0,0,0))*1440,0)+1440,ROUND((#REF!-TIME(0,0,0))*1440,0))</f>
        <v>#REF!</v>
      </c>
      <c r="Q112" s="9" t="e">
        <f>IF(AND(ROUND((#REF!-TIME(0,0,0))*1440,0)&gt;0,ROUND((#REF!-TIME(0,0,0))*1440,0)&lt;tbl_Case_mins[[#This Row],[Into Th or AR]],tbl_Case_mins[[#This Row],[Surgery End Date]]&gt;tbl_Case_mins[[#This Row],[Surgery Start Date]]),ROUND((#REF!-TIME(0,0,0))*1440,0)+1440,ROUND((#REF!-TIME(0,0,0))*1440,0))</f>
        <v>#REF!</v>
      </c>
      <c r="R112" s="9" t="e">
        <f>IF(AND(ROUND((#REF!-TIME(0,0,0))*1440,0)&gt;0,ROUND((#REF!-TIME(0,0,0))*1440,0)&lt;tbl_Case_mins[[#This Row],[AnaesthStart]],tbl_Case_mins[[#This Row],[Surgery End Date]]&gt;tbl_Case_mins[[#This Row],[Surgery Start Date]]),ROUND((#REF!-TIME(0,0,0))*1440,0)+1440,ROUND((#REF!-TIME(0,0,0))*1440,0))</f>
        <v>#REF!</v>
      </c>
      <c r="S112" s="9" t="e">
        <f>IF(AND(ROUND((#REF!-TIME(0,0,0))*1440,0),ROUND((#REF!-TIME(0,0,0))*1440,0)&lt;tbl_Case_mins[[#This Row],[Surgery Start]],tbl_Case_mins[[#This Row],[Surgery End Date]]&gt;tbl_Case_mins[[#This Row],[Surgery Start Date]]),ROUND((#REF!-TIME(0,0,0))*1440,0)+1440,ROUND((#REF!-TIME(0,0,0))*1440,0))</f>
        <v>#REF!</v>
      </c>
      <c r="T112" s="9" t="e">
        <f>IF(AND(ROUND((#REF!-TIME(0,0,0))*1440,0)&gt;0,ROUND((#REF!-TIME(0,0,0))*1440,0)&lt;tbl_Case_mins[[#This Row],[Surgery Finish]],tbl_Case_mins[[#This Row],[Surgery End Date]]&gt;tbl_Case_mins[[#This Row],[Surgery Start Date]]),ROUND((#REF!-TIME(0,0,0))*1440,0)+1440,ROUND((#REF!-TIME(0,0,0))*1440,0))</f>
        <v>#REF!</v>
      </c>
      <c r="U112" s="9" t="e">
        <f>IF(AND(ROUND((#REF!-TIME(0,0,0))*1440,0)&gt;0,ROUND((#REF!-TIME(0,0,0))*1440,0)&lt;tbl_Case_mins[[#This Row],[Anaesth End]],tbl_Case_mins[[#This Row],[Surgery End Date]]&gt;tbl_Case_mins[[#This Row],[Surgery Start Date]]),ROUND((#REF!-TIME(0,0,0))*1440,0)+1440,ROUND((#REF!-TIME(0,0,0))*1440,0))</f>
        <v>#REF!</v>
      </c>
      <c r="V112" s="9" t="e">
        <f>IF(AND(ROUND((#REF!-TIME(0,0,0))*1440,0)&gt;0,ROUND((#REF!-TIME(0,0,0))*1440,0)&lt;tbl_Case_mins[[#This Row],[Into Recov]],tbl_Case_mins[[#This Row],[Surgery End Date]]&gt;tbl_Case_mins[[#This Row],[Surgery Start Date]]),ROUND((#REF!-TIME(0,0,0))*1440,0)+1440,ROUND((#REF!-TIME(0,0,0))*1440,0))</f>
        <v>#REF!</v>
      </c>
      <c r="W112" s="9" t="e">
        <f>IF(AND(ROUND((#REF!-TIME(0,0,0))*1440,0)&gt;0,ROUND((#REF!-TIME(0,0,0))*1440,0)&lt;tbl_Case_mins[[#This Row],[Ward Called]],tbl_Case_mins[[#This Row],[Surgery End Date]]&gt;tbl_Case_mins[[#This Row],[Surgery Start Date]]),ROUND((#REF!-TIME(0,0,0))*1440,0)+1440,ROUND((#REF!-TIME(0,0,0))*1440,0))</f>
        <v>#REF!</v>
      </c>
      <c r="X112" s="4" t="e">
        <f>IF(ISBLANK(#REF!),tbl_Case_mins[[#This Row],[Surgery Start Date]],#REF!)</f>
        <v>#REF!</v>
      </c>
      <c r="Y112">
        <f>IFERROR(IF(VLOOKUP(tbl_Case_mins[[#This Row],[Theatre]],'Mng Theatres'!$C$7:$G$12,3,FALSE)="Yes","Yes","No"),0)</f>
        <v>0</v>
      </c>
      <c r="Z112" s="9" t="e" cm="1">
        <f t="array" ref="Z11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2" s="9" t="e" cm="1">
        <f t="array" ref="AA11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2" s="9" t="e">
        <f>IF(tbl_Case_mins[[#This Row],[Case Type]]="Unsch",1,0)</f>
        <v>#REF!</v>
      </c>
      <c r="AD112" s="9" t="e">
        <f>IF(tbl_Case_mins[[#This Row],[Case Type]]="Sch",1,0)</f>
        <v>#REF!</v>
      </c>
      <c r="AE11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2" s="9">
        <f>IFERROR(IF(ISBLANK(INDEX(Am_Close,MATCH(1,INDEX((tbl_Case_mins[[#This Row],[Theatre]]=Theatre_No)*(tbl_Case_mins[[#This Row],[Surgery Start Date]]=Date),0,1),0))*1440),0,INDEX(Am_Close,MATCH(1,INDEX((tbl_Case_mins[[#This Row],[Theatre]]=Theatre_No)*(tbl_Case_mins[[#This Row],[Surgery Start Date]]=Date),0,1),0))*1440),0)</f>
        <v>0</v>
      </c>
      <c r="AG112" s="9">
        <f>IFERROR(IF(ISBLANK(INDEX(PM_Open,MATCH(1,INDEX((tbl_Case_mins[[#This Row],[Theatre]]=Theatre_No)*(tbl_Case_mins[[#This Row],[Surgery Start Date]]=Date),0,1),0))*1440),0,INDEX(PM_Open,MATCH(1,INDEX((tbl_Case_mins[[#This Row],[Theatre]]=Theatre_No)*(tbl_Case_mins[[#This Row],[Surgery Start Date]]=Date),0,1),0))*1440),0)</f>
        <v>0</v>
      </c>
      <c r="AH11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2" s="9" t="e">
        <f>IF(tbl_Case_mins[[#This Row],[ThOpenAm]]=0,tbl_Case_mins[[#This Row],[ThOpenPM]],tbl_Case_mins[[#This Row],[ThOpenAm]])</f>
        <v>#REF!</v>
      </c>
      <c r="AJ112" s="9" t="e">
        <f>IF(tbl_Case_mins[[#This Row],[ThCloseAm]]&gt;0,IF(tbl_Case_mins[[#This Row],[ThOpenPM]]&gt;0,tbl_Case_mins[[#This Row],[ThClosePm]],tbl_Case_mins[[#This Row],[ThCloseAm]]),tbl_Case_mins[[#This Row],[ThClosePm]])</f>
        <v>#REF!</v>
      </c>
      <c r="AK112" s="9" t="e">
        <f>IF(tbl_Case_mins[[#This Row],[TOT]]&gt;0,1,0)</f>
        <v>#REF!</v>
      </c>
      <c r="AL11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2" s="9" t="e">
        <f>IF(AND(tbl_Case_mins[[#This Row],[Surgery Status]]&lt;&gt;2,tbl_Case_mins[[#This Row],[InCoreCase]]=0,tbl_Case_mins[[#This Row],[CancelledCase]]=0),1,0)</f>
        <v>#REF!</v>
      </c>
      <c r="AN112" s="9" t="e">
        <f>IF(tbl_Case_mins[[#This Row],[Surgery Status]]=1,1,0)</f>
        <v>#REF!</v>
      </c>
      <c r="AO11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2" s="9" t="e">
        <f>IF(AND(tbl_Case_mins[[#This Row],[NonCoreCase]]=1,tbl_Case_mins[[#This Row],[NoInCoreTime]]=0),1,0)</f>
        <v>#REF!</v>
      </c>
      <c r="AQ112" s="9" t="e">
        <f>IF(tbl_Case_mins[[#This Row],[Rank_AnaEnd]]&lt;tbl_Case_mins[[#This Row],[Rank_AnaSt]],1,0)</f>
        <v>#REF!</v>
      </c>
      <c r="AR112" s="9" t="e">
        <f>IF(AND(tbl_Case_mins[[#This Row],[InCoreCase]]=1,tbl_Case_mins[[#This Row],[Sch]]=1),1,0)</f>
        <v>#REF!</v>
      </c>
      <c r="AS112" s="9" t="e">
        <f>IF(AND(tbl_Case_mins[[#This Row],[InCoreCase]]=1,tbl_Case_mins[[#This Row],[Unsch]]=1),1,0)</f>
        <v>#REF!</v>
      </c>
      <c r="AT11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2" s="9" t="e">
        <f>IF(tbl_Case_mins[[#This Row],[Surgery Status]]=0,(tbl_Case_mins[[#This Row],[Anaesth End]]-tbl_Case_mins[[#This Row],[AnaesthStart]]),0)</f>
        <v>#REF!</v>
      </c>
      <c r="AX112" s="9" t="e">
        <f>IF(tbl_Case_mins[[#This Row],[Surgery Status]]=0,(tbl_Case_mins[[#This Row],[Surgery Finish]]-tbl_Case_mins[[#This Row],[Surgery Start]]),0)</f>
        <v>#REF!</v>
      </c>
      <c r="AY112" s="9" t="e">
        <f>tbl_Case_mins[[#This Row],[Surgery Start]]-tbl_Case_mins[[#This Row],[AnaesthStart]]</f>
        <v>#REF!</v>
      </c>
      <c r="AZ112" s="9" t="e">
        <f>tbl_Case_mins[[#This Row],[Anaesth End]]-tbl_Case_mins[[#This Row],[Surgery Finish]]</f>
        <v>#REF!</v>
      </c>
      <c r="BA11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2" s="16" cm="1">
        <f t="array" ref="BC11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2" s="16" t="e">
        <f>IF(AND(tbl_Case_mins[[#This Row],[FirstAMCase]]=1,tbl_Case_mins[[#This Row],[CancelledCase]]=0,OR(tbl_Case_mins[[#This Row],[EarlyStartAM]]&gt;0,tbl_Case_mins[[#This Row],[AnaesthStart]]=tbl_Case_mins[[#This Row],[ThOpenAm]])),1,0)</f>
        <v>#REF!</v>
      </c>
      <c r="BE112" s="16" t="e">
        <f>IF(AND(tbl_Case_mins[[#This Row],[Rank_AnaSt]]=tbl_Case_mins[[#This Row],[Min_RankAnaSt]],tbl_Case_mins[[#This Row],[Anaesth End]]&gt;=tbl_Case_mins[[#This Row],[ThOpenAm]],tbl_Case_mins[[#This Row],[PmCase]]=0),1,0)</f>
        <v>#REF!</v>
      </c>
      <c r="BF11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2" s="9" t="e" cm="1">
        <f t="array" ref="BH11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2" s="9" t="e">
        <f>IF(AND(tbl_Case_mins[[#This Row],[ThOpenPM]]&gt;0,tbl_Case_mins[[#This Row],[AnaesthStart]]&gt;tbl_Case_mins[[#This Row],[ThOpenPM]],tbl_Case_mins[[#This Row],[First PM Case]]=1),tbl_Case_mins[[#This Row],[AnaesthStart]]-tbl_Case_mins[[#This Row],[ThOpenPM]],0)</f>
        <v>#REF!</v>
      </c>
      <c r="BL11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2" s="9" t="e" cm="1">
        <f t="array" ref="BN11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2" s="9" t="e">
        <f>IF(AND(tbl_Case_mins[[#This Row],[ThClosePm]]&gt;0,tbl_Case_mins[[#This Row],[Anaesth End]]&gt;tbl_Case_mins[[#This Row],[ThClosePm]],tbl_Case_mins[[#This Row],[AnaesthStart]]&gt;tbl_Case_mins[[#This Row],[ThClosePm]]),tbl_Case_mins[[#This Row],[Into Recov]]-tbl_Case_mins[[#This Row],[AnaesthStart]],0)</f>
        <v>#REF!</v>
      </c>
      <c r="BP112" s="9" t="e">
        <f>IF(AND(tbl_Case_mins[[#This Row],[AnaesthStart]]&lt;tbl_Case_mins[[#This Row],[ThClosePm]],tbl_Case_mins[[#This Row],[Anaesth End]]&gt;tbl_Case_mins[[#This Row],[ThClosePm]]),tbl_Case_mins[[#This Row],[Anaesth End]]-tbl_Case_mins[[#This Row],[ThClosePm]],0)</f>
        <v>#REF!</v>
      </c>
      <c r="BQ112" s="9" t="e" cm="1">
        <f t="array" ref="BQ11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2" s="9" t="e" cm="1">
        <f t="array" ref="BR112">IF(tbl_Case_mins[[#This Row],[Rank_Adjust]]=SUMPRODUCT(-(tbl_Case_mins[Surgery Start Date]=tbl_Case_mins[[#This Row],[Surgery Start Date]]),-(tbl_Case_mins[Theatre]=tbl_Case_mins[[#This Row],[Theatre]])),INDEX(Poss_Time,MATCH(TEXT(tbl_Case_mins[[#This Row],[Surgery Start Date]],"ddd"),Day,0)),0)</f>
        <v>#REF!</v>
      </c>
      <c r="BS112" s="9" t="e">
        <f>tbl_Case_mins[[#This Row],[Core_Time]]*Util_Goal</f>
        <v>#REF!</v>
      </c>
      <c r="BT112" s="9" t="e" cm="1">
        <f t="array" ref="BT1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2" s="9" t="e" cm="1">
        <f t="array" ref="BU1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2" s="9" t="e">
        <f>IF(tbl_Case_mins[[#This Row],[Surgery End Date]]&gt;tbl_Case_mins[[#This Row],[Surgery Start Date]],tbl_Case_mins[[#This Row],[Anaesth End]]-1440,0)</f>
        <v>#REF!</v>
      </c>
      <c r="BY112" s="9" t="e">
        <f>tbl_Case_mins[[#This Row],[Total_NonCore]]-tbl_Case_mins[[#This Row],[NextDay_NonCore]]</f>
        <v>#REF!</v>
      </c>
      <c r="BZ112" s="10" t="e">
        <f>tbl_Case_mins[[#This Row],[InCoreUse]]/60</f>
        <v>#REF!</v>
      </c>
      <c r="CA112" s="10" t="e">
        <f>tbl_Case_mins[[#This Row],[Total_NonCore]]/60</f>
        <v>#REF!</v>
      </c>
      <c r="CB112" t="e" cm="1">
        <f t="array" ref="CB1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2" s="9" t="e" cm="1">
        <f t="array" ref="CC11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2" s="9" t="e" cm="1">
        <f t="array" ref="CD1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2" s="9" t="e" cm="1">
        <f t="array" ref="CE11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2" s="9" cm="1">
        <f t="array" ref="CF112">IFERROR(_xlfn.AGGREGATE(14,6,(tbl_Case_mins[Rank_AnaEnd])/((tbl_Case_mins[Surgery Start Date]=tbl_Case_mins[[#This Row],[Surgery Start Date]])*(tbl_Case_mins[Theatre]=tbl_Case_mins[[#This Row],[Theatre]])*(tbl_Case_mins[NoInCoreTime]=0)),1),-1)</f>
        <v>-1</v>
      </c>
      <c r="CG112" s="9" cm="1">
        <f t="array" ref="CG112">IFERROR(_xlfn.AGGREGATE(15,6,(tbl_Case_mins[Rank_AnaSt])/((tbl_Case_mins[Surgery Start Date]=tbl_Case_mins[[#This Row],[Surgery Start Date]])*(tbl_Case_mins[Theatre]=tbl_Case_mins[[#This Row],[Theatre]])*(tbl_Case_mins[NoInCoreTime]=0)),1),-1)</f>
        <v>-1</v>
      </c>
      <c r="CH11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2" t="e" cm="1">
        <f t="array" ref="CJ11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2" s="9" cm="1">
        <f t="array" ref="CO1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2" s="9" cm="1">
        <f t="array" ref="CP1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2" s="9" cm="1">
        <f t="array" ref="CQ112">IFERROR(IF(AND(tbl_Case_mins[[#This Row],[FirstAMCase]]=0,tbl_Case_mins[[#This Row],[Rank]]=_xlfn.AGGREGATE(14,6,(tbl_Case_mins[Rank])/((tbl_Case_mins[Surgery Start Date]=tbl_Case_mins[[#This Row],[Surgery Start Date]])*(tbl_Case_mins[Theatre]=tbl_Case_mins[[#This Row],[Theatre]])*(tbl_Case_mins[AmCase]=1)),1)),1,0),0)</f>
        <v>0</v>
      </c>
      <c r="CR112" s="9" cm="1">
        <f t="array" ref="CR11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2" s="9" t="e" cm="1">
        <f t="array" ref="CS11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2" s="9" cm="1">
        <f t="array" ref="CT112">IFERROR(IF(tbl_Case_mins[[#This Row],[Rank]]=_xlfn.AGGREGATE(15,6,(tbl_Case_mins[Rank])/((tbl_Case_mins[Surgery Start Date]=tbl_Case_mins[[#This Row],[Surgery Start Date]])*(tbl_Case_mins[Theatre]=tbl_Case_mins[[#This Row],[Theatre]])*(tbl_Case_mins[PmCase]=1)),1),1,0),0)</f>
        <v>0</v>
      </c>
      <c r="CU112">
        <f>IFERROR(#REF!,0)</f>
        <v>0</v>
      </c>
      <c r="CV112" s="9" t="e" cm="1">
        <f t="array" ref="CV11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2" s="9">
        <f>IFERROR(IF(ISBLANK(INDEX(Bay_AmClose,MATCH(1,INDEX((tbl_Case_mins[[#This Row],[Bay]]=BayNo)*(tbl_Case_mins[[#This Row],[Surgery Start Date]]=BDate),0,1),0))*1440),0,INDEX(Bay_AmClose,MATCH(1,INDEX((tbl_Case_mins[[#This Row],[Bay]]=BayNo)*(tbl_Case_mins[[#This Row],[Surgery Start Date]]=BDate),0,1),0))*1440),0)</f>
        <v>0</v>
      </c>
      <c r="CX112" s="9" cm="1">
        <f t="array" ref="CX112">IFERROR(IF(ISBLANK(INDEX(Bay_PmOpen,MATCH(1,INDEX((tbl_Case_mins[[#This Row],[Bay]]=BayNo)*(tbl_Case_mins[[#This Row],[Surgery Start Date]]=BDate),0,1),0))*1440),0,INDEX(Bay_PmOpen,MATCH(1,INDEX((tbl_Case_mins[[#This Row],[Bay]]=BayNo)*(tbl_Case_mins[[#This Row],[Surgery Start Date]]=BDate),0,1),0))*1440),0)</f>
        <v>0</v>
      </c>
      <c r="CY11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2" s="9"/>
    </row>
    <row r="113" spans="1:104" x14ac:dyDescent="0.2">
      <c r="A113">
        <v>112</v>
      </c>
      <c r="B113" t="e">
        <f>#REF!</f>
        <v>#REF!</v>
      </c>
      <c r="C113" t="e">
        <f>#REF!</f>
        <v>#REF!</v>
      </c>
      <c r="D113" t="e">
        <f>#REF!</f>
        <v>#REF!</v>
      </c>
      <c r="E113" t="e">
        <f>#REF!</f>
        <v>#REF!</v>
      </c>
      <c r="F113" t="e">
        <f>#REF!</f>
        <v>#REF!</v>
      </c>
      <c r="G113" t="e">
        <f>#REF!</f>
        <v>#REF!</v>
      </c>
      <c r="H113" t="e">
        <f>#REF!</f>
        <v>#REF!</v>
      </c>
      <c r="I113" t="e">
        <f>IF(#REF!="Case Cancelled",1,IF(#REF!="No Cases",2,0))</f>
        <v>#REF!</v>
      </c>
      <c r="J113" t="e">
        <f>#REF!</f>
        <v>#REF!</v>
      </c>
      <c r="K113" s="4" t="e">
        <f>#REF!</f>
        <v>#REF!</v>
      </c>
      <c r="L113" t="e">
        <f>"Wk "&amp;WEEKNUM(tbl_Case_mins[[#This Row],[Surgery Start Date]],21)</f>
        <v>#REF!</v>
      </c>
      <c r="M113" t="e">
        <f>TEXT(tbl_Case_mins[[#This Row],[Surgery Start Date]],"ddd")</f>
        <v>#REF!</v>
      </c>
      <c r="N113" s="9" t="e">
        <f>(#REF!-TIME(0,0,0))*1440</f>
        <v>#REF!</v>
      </c>
      <c r="O113" t="e">
        <f>IF(AND(ROUND((#REF!-TIME(0,0,0))*1440,0)&gt;0,ROUND((#REF!-TIME(0,0,0))*1440,0)&lt;tbl_Case_mins[[#This Row],[Patient Called]],tbl_Case_mins[[#This Row],[Surgery End Date]]&gt;tbl_Case_mins[[#This Row],[Surgery Start Date]]),ROUND((#REF!-TIME(0,0,0))*1440,0)+1440,ROUND((#REF!-TIME(0,0,0))*1440,0))</f>
        <v>#REF!</v>
      </c>
      <c r="P113" s="9" t="e">
        <f>IF(AND(ROUND((#REF!-TIME(0,0,0))*1440,0)&gt;0,ROUND((#REF!-TIME(0,0,0))*1440,0)&lt;tbl_Case_mins[[#This Row],[Arrival]],tbl_Case_mins[[#This Row],[Surgery End Date]]&gt;tbl_Case_mins[[#This Row],[Surgery Start Date]]),ROUND((#REF!-TIME(0,0,0))*1440,0)+1440,ROUND((#REF!-TIME(0,0,0))*1440,0))</f>
        <v>#REF!</v>
      </c>
      <c r="Q113" s="9" t="e">
        <f>IF(AND(ROUND((#REF!-TIME(0,0,0))*1440,0)&gt;0,ROUND((#REF!-TIME(0,0,0))*1440,0)&lt;tbl_Case_mins[[#This Row],[Into Th or AR]],tbl_Case_mins[[#This Row],[Surgery End Date]]&gt;tbl_Case_mins[[#This Row],[Surgery Start Date]]),ROUND((#REF!-TIME(0,0,0))*1440,0)+1440,ROUND((#REF!-TIME(0,0,0))*1440,0))</f>
        <v>#REF!</v>
      </c>
      <c r="R113" s="9" t="e">
        <f>IF(AND(ROUND((#REF!-TIME(0,0,0))*1440,0)&gt;0,ROUND((#REF!-TIME(0,0,0))*1440,0)&lt;tbl_Case_mins[[#This Row],[AnaesthStart]],tbl_Case_mins[[#This Row],[Surgery End Date]]&gt;tbl_Case_mins[[#This Row],[Surgery Start Date]]),ROUND((#REF!-TIME(0,0,0))*1440,0)+1440,ROUND((#REF!-TIME(0,0,0))*1440,0))</f>
        <v>#REF!</v>
      </c>
      <c r="S113" s="9" t="e">
        <f>IF(AND(ROUND((#REF!-TIME(0,0,0))*1440,0),ROUND((#REF!-TIME(0,0,0))*1440,0)&lt;tbl_Case_mins[[#This Row],[Surgery Start]],tbl_Case_mins[[#This Row],[Surgery End Date]]&gt;tbl_Case_mins[[#This Row],[Surgery Start Date]]),ROUND((#REF!-TIME(0,0,0))*1440,0)+1440,ROUND((#REF!-TIME(0,0,0))*1440,0))</f>
        <v>#REF!</v>
      </c>
      <c r="T113" s="9" t="e">
        <f>IF(AND(ROUND((#REF!-TIME(0,0,0))*1440,0)&gt;0,ROUND((#REF!-TIME(0,0,0))*1440,0)&lt;tbl_Case_mins[[#This Row],[Surgery Finish]],tbl_Case_mins[[#This Row],[Surgery End Date]]&gt;tbl_Case_mins[[#This Row],[Surgery Start Date]]),ROUND((#REF!-TIME(0,0,0))*1440,0)+1440,ROUND((#REF!-TIME(0,0,0))*1440,0))</f>
        <v>#REF!</v>
      </c>
      <c r="U113" s="9" t="e">
        <f>IF(AND(ROUND((#REF!-TIME(0,0,0))*1440,0)&gt;0,ROUND((#REF!-TIME(0,0,0))*1440,0)&lt;tbl_Case_mins[[#This Row],[Anaesth End]],tbl_Case_mins[[#This Row],[Surgery End Date]]&gt;tbl_Case_mins[[#This Row],[Surgery Start Date]]),ROUND((#REF!-TIME(0,0,0))*1440,0)+1440,ROUND((#REF!-TIME(0,0,0))*1440,0))</f>
        <v>#REF!</v>
      </c>
      <c r="V113" s="9" t="e">
        <f>IF(AND(ROUND((#REF!-TIME(0,0,0))*1440,0)&gt;0,ROUND((#REF!-TIME(0,0,0))*1440,0)&lt;tbl_Case_mins[[#This Row],[Into Recov]],tbl_Case_mins[[#This Row],[Surgery End Date]]&gt;tbl_Case_mins[[#This Row],[Surgery Start Date]]),ROUND((#REF!-TIME(0,0,0))*1440,0)+1440,ROUND((#REF!-TIME(0,0,0))*1440,0))</f>
        <v>#REF!</v>
      </c>
      <c r="W113" s="9" t="e">
        <f>IF(AND(ROUND((#REF!-TIME(0,0,0))*1440,0)&gt;0,ROUND((#REF!-TIME(0,0,0))*1440,0)&lt;tbl_Case_mins[[#This Row],[Ward Called]],tbl_Case_mins[[#This Row],[Surgery End Date]]&gt;tbl_Case_mins[[#This Row],[Surgery Start Date]]),ROUND((#REF!-TIME(0,0,0))*1440,0)+1440,ROUND((#REF!-TIME(0,0,0))*1440,0))</f>
        <v>#REF!</v>
      </c>
      <c r="X113" s="4" t="e">
        <f>IF(ISBLANK(#REF!),tbl_Case_mins[[#This Row],[Surgery Start Date]],#REF!)</f>
        <v>#REF!</v>
      </c>
      <c r="Y113">
        <f>IFERROR(IF(VLOOKUP(tbl_Case_mins[[#This Row],[Theatre]],'Mng Theatres'!$C$7:$G$12,3,FALSE)="Yes","Yes","No"),0)</f>
        <v>0</v>
      </c>
      <c r="Z113" s="9" t="e" cm="1">
        <f t="array" ref="Z11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3" s="9" t="e" cm="1">
        <f t="array" ref="AA11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3" s="9" t="e">
        <f>IF(tbl_Case_mins[[#This Row],[Case Type]]="Unsch",1,0)</f>
        <v>#REF!</v>
      </c>
      <c r="AD113" s="9" t="e">
        <f>IF(tbl_Case_mins[[#This Row],[Case Type]]="Sch",1,0)</f>
        <v>#REF!</v>
      </c>
      <c r="AE11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3" s="9">
        <f>IFERROR(IF(ISBLANK(INDEX(Am_Close,MATCH(1,INDEX((tbl_Case_mins[[#This Row],[Theatre]]=Theatre_No)*(tbl_Case_mins[[#This Row],[Surgery Start Date]]=Date),0,1),0))*1440),0,INDEX(Am_Close,MATCH(1,INDEX((tbl_Case_mins[[#This Row],[Theatre]]=Theatre_No)*(tbl_Case_mins[[#This Row],[Surgery Start Date]]=Date),0,1),0))*1440),0)</f>
        <v>0</v>
      </c>
      <c r="AG113" s="9">
        <f>IFERROR(IF(ISBLANK(INDEX(PM_Open,MATCH(1,INDEX((tbl_Case_mins[[#This Row],[Theatre]]=Theatre_No)*(tbl_Case_mins[[#This Row],[Surgery Start Date]]=Date),0,1),0))*1440),0,INDEX(PM_Open,MATCH(1,INDEX((tbl_Case_mins[[#This Row],[Theatre]]=Theatre_No)*(tbl_Case_mins[[#This Row],[Surgery Start Date]]=Date),0,1),0))*1440),0)</f>
        <v>0</v>
      </c>
      <c r="AH11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3" s="9" t="e">
        <f>IF(tbl_Case_mins[[#This Row],[ThOpenAm]]=0,tbl_Case_mins[[#This Row],[ThOpenPM]],tbl_Case_mins[[#This Row],[ThOpenAm]])</f>
        <v>#REF!</v>
      </c>
      <c r="AJ113" s="9" t="e">
        <f>IF(tbl_Case_mins[[#This Row],[ThCloseAm]]&gt;0,IF(tbl_Case_mins[[#This Row],[ThOpenPM]]&gt;0,tbl_Case_mins[[#This Row],[ThClosePm]],tbl_Case_mins[[#This Row],[ThCloseAm]]),tbl_Case_mins[[#This Row],[ThClosePm]])</f>
        <v>#REF!</v>
      </c>
      <c r="AK113" s="9" t="e">
        <f>IF(tbl_Case_mins[[#This Row],[TOT]]&gt;0,1,0)</f>
        <v>#REF!</v>
      </c>
      <c r="AL11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3" s="9" t="e">
        <f>IF(AND(tbl_Case_mins[[#This Row],[Surgery Status]]&lt;&gt;2,tbl_Case_mins[[#This Row],[InCoreCase]]=0,tbl_Case_mins[[#This Row],[CancelledCase]]=0),1,0)</f>
        <v>#REF!</v>
      </c>
      <c r="AN113" s="9" t="e">
        <f>IF(tbl_Case_mins[[#This Row],[Surgery Status]]=1,1,0)</f>
        <v>#REF!</v>
      </c>
      <c r="AO11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3" s="9" t="e">
        <f>IF(AND(tbl_Case_mins[[#This Row],[NonCoreCase]]=1,tbl_Case_mins[[#This Row],[NoInCoreTime]]=0),1,0)</f>
        <v>#REF!</v>
      </c>
      <c r="AQ113" s="9" t="e">
        <f>IF(tbl_Case_mins[[#This Row],[Rank_AnaEnd]]&lt;tbl_Case_mins[[#This Row],[Rank_AnaSt]],1,0)</f>
        <v>#REF!</v>
      </c>
      <c r="AR113" s="9" t="e">
        <f>IF(AND(tbl_Case_mins[[#This Row],[InCoreCase]]=1,tbl_Case_mins[[#This Row],[Sch]]=1),1,0)</f>
        <v>#REF!</v>
      </c>
      <c r="AS113" s="9" t="e">
        <f>IF(AND(tbl_Case_mins[[#This Row],[InCoreCase]]=1,tbl_Case_mins[[#This Row],[Unsch]]=1),1,0)</f>
        <v>#REF!</v>
      </c>
      <c r="AT11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3" s="9" t="e">
        <f>IF(tbl_Case_mins[[#This Row],[Surgery Status]]=0,(tbl_Case_mins[[#This Row],[Anaesth End]]-tbl_Case_mins[[#This Row],[AnaesthStart]]),0)</f>
        <v>#REF!</v>
      </c>
      <c r="AX113" s="9" t="e">
        <f>IF(tbl_Case_mins[[#This Row],[Surgery Status]]=0,(tbl_Case_mins[[#This Row],[Surgery Finish]]-tbl_Case_mins[[#This Row],[Surgery Start]]),0)</f>
        <v>#REF!</v>
      </c>
      <c r="AY113" s="9" t="e">
        <f>tbl_Case_mins[[#This Row],[Surgery Start]]-tbl_Case_mins[[#This Row],[AnaesthStart]]</f>
        <v>#REF!</v>
      </c>
      <c r="AZ113" s="9" t="e">
        <f>tbl_Case_mins[[#This Row],[Anaesth End]]-tbl_Case_mins[[#This Row],[Surgery Finish]]</f>
        <v>#REF!</v>
      </c>
      <c r="BA11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3" s="16" cm="1">
        <f t="array" ref="BC11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3" s="16" t="e">
        <f>IF(AND(tbl_Case_mins[[#This Row],[FirstAMCase]]=1,tbl_Case_mins[[#This Row],[CancelledCase]]=0,OR(tbl_Case_mins[[#This Row],[EarlyStartAM]]&gt;0,tbl_Case_mins[[#This Row],[AnaesthStart]]=tbl_Case_mins[[#This Row],[ThOpenAm]])),1,0)</f>
        <v>#REF!</v>
      </c>
      <c r="BE113" s="16" t="e">
        <f>IF(AND(tbl_Case_mins[[#This Row],[Rank_AnaSt]]=tbl_Case_mins[[#This Row],[Min_RankAnaSt]],tbl_Case_mins[[#This Row],[Anaesth End]]&gt;=tbl_Case_mins[[#This Row],[ThOpenAm]],tbl_Case_mins[[#This Row],[PmCase]]=0),1,0)</f>
        <v>#REF!</v>
      </c>
      <c r="BF11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3" s="9" t="e" cm="1">
        <f t="array" ref="BH11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3" s="9" t="e">
        <f>IF(AND(tbl_Case_mins[[#This Row],[ThOpenPM]]&gt;0,tbl_Case_mins[[#This Row],[AnaesthStart]]&gt;tbl_Case_mins[[#This Row],[ThOpenPM]],tbl_Case_mins[[#This Row],[First PM Case]]=1),tbl_Case_mins[[#This Row],[AnaesthStart]]-tbl_Case_mins[[#This Row],[ThOpenPM]],0)</f>
        <v>#REF!</v>
      </c>
      <c r="BL11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3" s="9" t="e" cm="1">
        <f t="array" ref="BN11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3" s="9" t="e">
        <f>IF(AND(tbl_Case_mins[[#This Row],[ThClosePm]]&gt;0,tbl_Case_mins[[#This Row],[Anaesth End]]&gt;tbl_Case_mins[[#This Row],[ThClosePm]],tbl_Case_mins[[#This Row],[AnaesthStart]]&gt;tbl_Case_mins[[#This Row],[ThClosePm]]),tbl_Case_mins[[#This Row],[Into Recov]]-tbl_Case_mins[[#This Row],[AnaesthStart]],0)</f>
        <v>#REF!</v>
      </c>
      <c r="BP113" s="9" t="e">
        <f>IF(AND(tbl_Case_mins[[#This Row],[AnaesthStart]]&lt;tbl_Case_mins[[#This Row],[ThClosePm]],tbl_Case_mins[[#This Row],[Anaesth End]]&gt;tbl_Case_mins[[#This Row],[ThClosePm]]),tbl_Case_mins[[#This Row],[Anaesth End]]-tbl_Case_mins[[#This Row],[ThClosePm]],0)</f>
        <v>#REF!</v>
      </c>
      <c r="BQ113" s="9" t="e" cm="1">
        <f t="array" ref="BQ11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3" s="9" t="e" cm="1">
        <f t="array" ref="BR113">IF(tbl_Case_mins[[#This Row],[Rank_Adjust]]=SUMPRODUCT(-(tbl_Case_mins[Surgery Start Date]=tbl_Case_mins[[#This Row],[Surgery Start Date]]),-(tbl_Case_mins[Theatre]=tbl_Case_mins[[#This Row],[Theatre]])),INDEX(Poss_Time,MATCH(TEXT(tbl_Case_mins[[#This Row],[Surgery Start Date]],"ddd"),Day,0)),0)</f>
        <v>#REF!</v>
      </c>
      <c r="BS113" s="9" t="e">
        <f>tbl_Case_mins[[#This Row],[Core_Time]]*Util_Goal</f>
        <v>#REF!</v>
      </c>
      <c r="BT113" s="9" t="e" cm="1">
        <f t="array" ref="BT1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3" s="9" t="e" cm="1">
        <f t="array" ref="BU1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3" s="9" t="e">
        <f>IF(tbl_Case_mins[[#This Row],[Surgery End Date]]&gt;tbl_Case_mins[[#This Row],[Surgery Start Date]],tbl_Case_mins[[#This Row],[Anaesth End]]-1440,0)</f>
        <v>#REF!</v>
      </c>
      <c r="BY113" s="9" t="e">
        <f>tbl_Case_mins[[#This Row],[Total_NonCore]]-tbl_Case_mins[[#This Row],[NextDay_NonCore]]</f>
        <v>#REF!</v>
      </c>
      <c r="BZ113" s="10" t="e">
        <f>tbl_Case_mins[[#This Row],[InCoreUse]]/60</f>
        <v>#REF!</v>
      </c>
      <c r="CA113" s="10" t="e">
        <f>tbl_Case_mins[[#This Row],[Total_NonCore]]/60</f>
        <v>#REF!</v>
      </c>
      <c r="CB113" t="e" cm="1">
        <f t="array" ref="CB1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3" s="9" t="e" cm="1">
        <f t="array" ref="CC11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3" s="9" t="e" cm="1">
        <f t="array" ref="CD1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3" s="9" t="e" cm="1">
        <f t="array" ref="CE11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3" s="9" cm="1">
        <f t="array" ref="CF113">IFERROR(_xlfn.AGGREGATE(14,6,(tbl_Case_mins[Rank_AnaEnd])/((tbl_Case_mins[Surgery Start Date]=tbl_Case_mins[[#This Row],[Surgery Start Date]])*(tbl_Case_mins[Theatre]=tbl_Case_mins[[#This Row],[Theatre]])*(tbl_Case_mins[NoInCoreTime]=0)),1),-1)</f>
        <v>-1</v>
      </c>
      <c r="CG113" s="9" cm="1">
        <f t="array" ref="CG113">IFERROR(_xlfn.AGGREGATE(15,6,(tbl_Case_mins[Rank_AnaSt])/((tbl_Case_mins[Surgery Start Date]=tbl_Case_mins[[#This Row],[Surgery Start Date]])*(tbl_Case_mins[Theatre]=tbl_Case_mins[[#This Row],[Theatre]])*(tbl_Case_mins[NoInCoreTime]=0)),1),-1)</f>
        <v>-1</v>
      </c>
      <c r="CH11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3" t="e" cm="1">
        <f t="array" ref="CJ11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3" s="9" cm="1">
        <f t="array" ref="CO1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3" s="9" cm="1">
        <f t="array" ref="CP1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3" s="9" cm="1">
        <f t="array" ref="CQ113">IFERROR(IF(AND(tbl_Case_mins[[#This Row],[FirstAMCase]]=0,tbl_Case_mins[[#This Row],[Rank]]=_xlfn.AGGREGATE(14,6,(tbl_Case_mins[Rank])/((tbl_Case_mins[Surgery Start Date]=tbl_Case_mins[[#This Row],[Surgery Start Date]])*(tbl_Case_mins[Theatre]=tbl_Case_mins[[#This Row],[Theatre]])*(tbl_Case_mins[AmCase]=1)),1)),1,0),0)</f>
        <v>0</v>
      </c>
      <c r="CR113" s="9" cm="1">
        <f t="array" ref="CR11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3" s="9" t="e" cm="1">
        <f t="array" ref="CS11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3" s="9" cm="1">
        <f t="array" ref="CT113">IFERROR(IF(tbl_Case_mins[[#This Row],[Rank]]=_xlfn.AGGREGATE(15,6,(tbl_Case_mins[Rank])/((tbl_Case_mins[Surgery Start Date]=tbl_Case_mins[[#This Row],[Surgery Start Date]])*(tbl_Case_mins[Theatre]=tbl_Case_mins[[#This Row],[Theatre]])*(tbl_Case_mins[PmCase]=1)),1),1,0),0)</f>
        <v>0</v>
      </c>
      <c r="CU113">
        <f>IFERROR(#REF!,0)</f>
        <v>0</v>
      </c>
      <c r="CV113" s="9" t="e" cm="1">
        <f t="array" ref="CV11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3" s="9">
        <f>IFERROR(IF(ISBLANK(INDEX(Bay_AmClose,MATCH(1,INDEX((tbl_Case_mins[[#This Row],[Bay]]=BayNo)*(tbl_Case_mins[[#This Row],[Surgery Start Date]]=BDate),0,1),0))*1440),0,INDEX(Bay_AmClose,MATCH(1,INDEX((tbl_Case_mins[[#This Row],[Bay]]=BayNo)*(tbl_Case_mins[[#This Row],[Surgery Start Date]]=BDate),0,1),0))*1440),0)</f>
        <v>0</v>
      </c>
      <c r="CX113" s="9" cm="1">
        <f t="array" ref="CX113">IFERROR(IF(ISBLANK(INDEX(Bay_PmOpen,MATCH(1,INDEX((tbl_Case_mins[[#This Row],[Bay]]=BayNo)*(tbl_Case_mins[[#This Row],[Surgery Start Date]]=BDate),0,1),0))*1440),0,INDEX(Bay_PmOpen,MATCH(1,INDEX((tbl_Case_mins[[#This Row],[Bay]]=BayNo)*(tbl_Case_mins[[#This Row],[Surgery Start Date]]=BDate),0,1),0))*1440),0)</f>
        <v>0</v>
      </c>
      <c r="CY11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3" s="9"/>
    </row>
    <row r="114" spans="1:104" x14ac:dyDescent="0.2">
      <c r="A114">
        <v>113</v>
      </c>
      <c r="B114" t="e">
        <f>#REF!</f>
        <v>#REF!</v>
      </c>
      <c r="C114" t="e">
        <f>#REF!</f>
        <v>#REF!</v>
      </c>
      <c r="D114" t="e">
        <f>#REF!</f>
        <v>#REF!</v>
      </c>
      <c r="E114" t="e">
        <f>#REF!</f>
        <v>#REF!</v>
      </c>
      <c r="F114" t="e">
        <f>#REF!</f>
        <v>#REF!</v>
      </c>
      <c r="G114" t="e">
        <f>#REF!</f>
        <v>#REF!</v>
      </c>
      <c r="H114" t="e">
        <f>#REF!</f>
        <v>#REF!</v>
      </c>
      <c r="I114" t="e">
        <f>IF(#REF!="Case Cancelled",1,IF(#REF!="No Cases",2,0))</f>
        <v>#REF!</v>
      </c>
      <c r="J114" t="e">
        <f>#REF!</f>
        <v>#REF!</v>
      </c>
      <c r="K114" s="4" t="e">
        <f>#REF!</f>
        <v>#REF!</v>
      </c>
      <c r="L114" t="e">
        <f>"Wk "&amp;WEEKNUM(tbl_Case_mins[[#This Row],[Surgery Start Date]],21)</f>
        <v>#REF!</v>
      </c>
      <c r="M114" t="e">
        <f>TEXT(tbl_Case_mins[[#This Row],[Surgery Start Date]],"ddd")</f>
        <v>#REF!</v>
      </c>
      <c r="N114" s="9" t="e">
        <f>(#REF!-TIME(0,0,0))*1440</f>
        <v>#REF!</v>
      </c>
      <c r="O114" t="e">
        <f>IF(AND(ROUND((#REF!-TIME(0,0,0))*1440,0)&gt;0,ROUND((#REF!-TIME(0,0,0))*1440,0)&lt;tbl_Case_mins[[#This Row],[Patient Called]],tbl_Case_mins[[#This Row],[Surgery End Date]]&gt;tbl_Case_mins[[#This Row],[Surgery Start Date]]),ROUND((#REF!-TIME(0,0,0))*1440,0)+1440,ROUND((#REF!-TIME(0,0,0))*1440,0))</f>
        <v>#REF!</v>
      </c>
      <c r="P114" s="9" t="e">
        <f>IF(AND(ROUND((#REF!-TIME(0,0,0))*1440,0)&gt;0,ROUND((#REF!-TIME(0,0,0))*1440,0)&lt;tbl_Case_mins[[#This Row],[Arrival]],tbl_Case_mins[[#This Row],[Surgery End Date]]&gt;tbl_Case_mins[[#This Row],[Surgery Start Date]]),ROUND((#REF!-TIME(0,0,0))*1440,0)+1440,ROUND((#REF!-TIME(0,0,0))*1440,0))</f>
        <v>#REF!</v>
      </c>
      <c r="Q114" s="9" t="e">
        <f>IF(AND(ROUND((#REF!-TIME(0,0,0))*1440,0)&gt;0,ROUND((#REF!-TIME(0,0,0))*1440,0)&lt;tbl_Case_mins[[#This Row],[Into Th or AR]],tbl_Case_mins[[#This Row],[Surgery End Date]]&gt;tbl_Case_mins[[#This Row],[Surgery Start Date]]),ROUND((#REF!-TIME(0,0,0))*1440,0)+1440,ROUND((#REF!-TIME(0,0,0))*1440,0))</f>
        <v>#REF!</v>
      </c>
      <c r="R114" s="9" t="e">
        <f>IF(AND(ROUND((#REF!-TIME(0,0,0))*1440,0)&gt;0,ROUND((#REF!-TIME(0,0,0))*1440,0)&lt;tbl_Case_mins[[#This Row],[AnaesthStart]],tbl_Case_mins[[#This Row],[Surgery End Date]]&gt;tbl_Case_mins[[#This Row],[Surgery Start Date]]),ROUND((#REF!-TIME(0,0,0))*1440,0)+1440,ROUND((#REF!-TIME(0,0,0))*1440,0))</f>
        <v>#REF!</v>
      </c>
      <c r="S114" s="9" t="e">
        <f>IF(AND(ROUND((#REF!-TIME(0,0,0))*1440,0),ROUND((#REF!-TIME(0,0,0))*1440,0)&lt;tbl_Case_mins[[#This Row],[Surgery Start]],tbl_Case_mins[[#This Row],[Surgery End Date]]&gt;tbl_Case_mins[[#This Row],[Surgery Start Date]]),ROUND((#REF!-TIME(0,0,0))*1440,0)+1440,ROUND((#REF!-TIME(0,0,0))*1440,0))</f>
        <v>#REF!</v>
      </c>
      <c r="T114" s="9" t="e">
        <f>IF(AND(ROUND((#REF!-TIME(0,0,0))*1440,0)&gt;0,ROUND((#REF!-TIME(0,0,0))*1440,0)&lt;tbl_Case_mins[[#This Row],[Surgery Finish]],tbl_Case_mins[[#This Row],[Surgery End Date]]&gt;tbl_Case_mins[[#This Row],[Surgery Start Date]]),ROUND((#REF!-TIME(0,0,0))*1440,0)+1440,ROUND((#REF!-TIME(0,0,0))*1440,0))</f>
        <v>#REF!</v>
      </c>
      <c r="U114" s="9" t="e">
        <f>IF(AND(ROUND((#REF!-TIME(0,0,0))*1440,0)&gt;0,ROUND((#REF!-TIME(0,0,0))*1440,0)&lt;tbl_Case_mins[[#This Row],[Anaesth End]],tbl_Case_mins[[#This Row],[Surgery End Date]]&gt;tbl_Case_mins[[#This Row],[Surgery Start Date]]),ROUND((#REF!-TIME(0,0,0))*1440,0)+1440,ROUND((#REF!-TIME(0,0,0))*1440,0))</f>
        <v>#REF!</v>
      </c>
      <c r="V114" s="9" t="e">
        <f>IF(AND(ROUND((#REF!-TIME(0,0,0))*1440,0)&gt;0,ROUND((#REF!-TIME(0,0,0))*1440,0)&lt;tbl_Case_mins[[#This Row],[Into Recov]],tbl_Case_mins[[#This Row],[Surgery End Date]]&gt;tbl_Case_mins[[#This Row],[Surgery Start Date]]),ROUND((#REF!-TIME(0,0,0))*1440,0)+1440,ROUND((#REF!-TIME(0,0,0))*1440,0))</f>
        <v>#REF!</v>
      </c>
      <c r="W114" s="9" t="e">
        <f>IF(AND(ROUND((#REF!-TIME(0,0,0))*1440,0)&gt;0,ROUND((#REF!-TIME(0,0,0))*1440,0)&lt;tbl_Case_mins[[#This Row],[Ward Called]],tbl_Case_mins[[#This Row],[Surgery End Date]]&gt;tbl_Case_mins[[#This Row],[Surgery Start Date]]),ROUND((#REF!-TIME(0,0,0))*1440,0)+1440,ROUND((#REF!-TIME(0,0,0))*1440,0))</f>
        <v>#REF!</v>
      </c>
      <c r="X114" s="4" t="e">
        <f>IF(ISBLANK(#REF!),tbl_Case_mins[[#This Row],[Surgery Start Date]],#REF!)</f>
        <v>#REF!</v>
      </c>
      <c r="Y114">
        <f>IFERROR(IF(VLOOKUP(tbl_Case_mins[[#This Row],[Theatre]],'Mng Theatres'!$C$7:$G$12,3,FALSE)="Yes","Yes","No"),0)</f>
        <v>0</v>
      </c>
      <c r="Z114" s="9" t="e" cm="1">
        <f t="array" ref="Z11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4" s="9" t="e" cm="1">
        <f t="array" ref="AA11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4" s="9" t="e">
        <f>IF(tbl_Case_mins[[#This Row],[Case Type]]="Unsch",1,0)</f>
        <v>#REF!</v>
      </c>
      <c r="AD114" s="9" t="e">
        <f>IF(tbl_Case_mins[[#This Row],[Case Type]]="Sch",1,0)</f>
        <v>#REF!</v>
      </c>
      <c r="AE11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4" s="9">
        <f>IFERROR(IF(ISBLANK(INDEX(Am_Close,MATCH(1,INDEX((tbl_Case_mins[[#This Row],[Theatre]]=Theatre_No)*(tbl_Case_mins[[#This Row],[Surgery Start Date]]=Date),0,1),0))*1440),0,INDEX(Am_Close,MATCH(1,INDEX((tbl_Case_mins[[#This Row],[Theatre]]=Theatre_No)*(tbl_Case_mins[[#This Row],[Surgery Start Date]]=Date),0,1),0))*1440),0)</f>
        <v>0</v>
      </c>
      <c r="AG114" s="9">
        <f>IFERROR(IF(ISBLANK(INDEX(PM_Open,MATCH(1,INDEX((tbl_Case_mins[[#This Row],[Theatre]]=Theatre_No)*(tbl_Case_mins[[#This Row],[Surgery Start Date]]=Date),0,1),0))*1440),0,INDEX(PM_Open,MATCH(1,INDEX((tbl_Case_mins[[#This Row],[Theatre]]=Theatre_No)*(tbl_Case_mins[[#This Row],[Surgery Start Date]]=Date),0,1),0))*1440),0)</f>
        <v>0</v>
      </c>
      <c r="AH11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4" s="9" t="e">
        <f>IF(tbl_Case_mins[[#This Row],[ThOpenAm]]=0,tbl_Case_mins[[#This Row],[ThOpenPM]],tbl_Case_mins[[#This Row],[ThOpenAm]])</f>
        <v>#REF!</v>
      </c>
      <c r="AJ114" s="9" t="e">
        <f>IF(tbl_Case_mins[[#This Row],[ThCloseAm]]&gt;0,IF(tbl_Case_mins[[#This Row],[ThOpenPM]]&gt;0,tbl_Case_mins[[#This Row],[ThClosePm]],tbl_Case_mins[[#This Row],[ThCloseAm]]),tbl_Case_mins[[#This Row],[ThClosePm]])</f>
        <v>#REF!</v>
      </c>
      <c r="AK114" s="9" t="e">
        <f>IF(tbl_Case_mins[[#This Row],[TOT]]&gt;0,1,0)</f>
        <v>#REF!</v>
      </c>
      <c r="AL11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4" s="9" t="e">
        <f>IF(AND(tbl_Case_mins[[#This Row],[Surgery Status]]&lt;&gt;2,tbl_Case_mins[[#This Row],[InCoreCase]]=0,tbl_Case_mins[[#This Row],[CancelledCase]]=0),1,0)</f>
        <v>#REF!</v>
      </c>
      <c r="AN114" s="9" t="e">
        <f>IF(tbl_Case_mins[[#This Row],[Surgery Status]]=1,1,0)</f>
        <v>#REF!</v>
      </c>
      <c r="AO11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4" s="9" t="e">
        <f>IF(AND(tbl_Case_mins[[#This Row],[NonCoreCase]]=1,tbl_Case_mins[[#This Row],[NoInCoreTime]]=0),1,0)</f>
        <v>#REF!</v>
      </c>
      <c r="AQ114" s="9" t="e">
        <f>IF(tbl_Case_mins[[#This Row],[Rank_AnaEnd]]&lt;tbl_Case_mins[[#This Row],[Rank_AnaSt]],1,0)</f>
        <v>#REF!</v>
      </c>
      <c r="AR114" s="9" t="e">
        <f>IF(AND(tbl_Case_mins[[#This Row],[InCoreCase]]=1,tbl_Case_mins[[#This Row],[Sch]]=1),1,0)</f>
        <v>#REF!</v>
      </c>
      <c r="AS114" s="9" t="e">
        <f>IF(AND(tbl_Case_mins[[#This Row],[InCoreCase]]=1,tbl_Case_mins[[#This Row],[Unsch]]=1),1,0)</f>
        <v>#REF!</v>
      </c>
      <c r="AT11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4" s="9" t="e">
        <f>IF(tbl_Case_mins[[#This Row],[Surgery Status]]=0,(tbl_Case_mins[[#This Row],[Anaesth End]]-tbl_Case_mins[[#This Row],[AnaesthStart]]),0)</f>
        <v>#REF!</v>
      </c>
      <c r="AX114" s="9" t="e">
        <f>IF(tbl_Case_mins[[#This Row],[Surgery Status]]=0,(tbl_Case_mins[[#This Row],[Surgery Finish]]-tbl_Case_mins[[#This Row],[Surgery Start]]),0)</f>
        <v>#REF!</v>
      </c>
      <c r="AY114" s="9" t="e">
        <f>tbl_Case_mins[[#This Row],[Surgery Start]]-tbl_Case_mins[[#This Row],[AnaesthStart]]</f>
        <v>#REF!</v>
      </c>
      <c r="AZ114" s="9" t="e">
        <f>tbl_Case_mins[[#This Row],[Anaesth End]]-tbl_Case_mins[[#This Row],[Surgery Finish]]</f>
        <v>#REF!</v>
      </c>
      <c r="BA11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4" s="16" cm="1">
        <f t="array" ref="BC11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4" s="16" t="e">
        <f>IF(AND(tbl_Case_mins[[#This Row],[FirstAMCase]]=1,tbl_Case_mins[[#This Row],[CancelledCase]]=0,OR(tbl_Case_mins[[#This Row],[EarlyStartAM]]&gt;0,tbl_Case_mins[[#This Row],[AnaesthStart]]=tbl_Case_mins[[#This Row],[ThOpenAm]])),1,0)</f>
        <v>#REF!</v>
      </c>
      <c r="BE114" s="16" t="e">
        <f>IF(AND(tbl_Case_mins[[#This Row],[Rank_AnaSt]]=tbl_Case_mins[[#This Row],[Min_RankAnaSt]],tbl_Case_mins[[#This Row],[Anaesth End]]&gt;=tbl_Case_mins[[#This Row],[ThOpenAm]],tbl_Case_mins[[#This Row],[PmCase]]=0),1,0)</f>
        <v>#REF!</v>
      </c>
      <c r="BF11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4" s="9" t="e" cm="1">
        <f t="array" ref="BH11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4" s="9" t="e">
        <f>IF(AND(tbl_Case_mins[[#This Row],[ThOpenPM]]&gt;0,tbl_Case_mins[[#This Row],[AnaesthStart]]&gt;tbl_Case_mins[[#This Row],[ThOpenPM]],tbl_Case_mins[[#This Row],[First PM Case]]=1),tbl_Case_mins[[#This Row],[AnaesthStart]]-tbl_Case_mins[[#This Row],[ThOpenPM]],0)</f>
        <v>#REF!</v>
      </c>
      <c r="BL11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4" s="9" t="e" cm="1">
        <f t="array" ref="BN11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4" s="9" t="e">
        <f>IF(AND(tbl_Case_mins[[#This Row],[ThClosePm]]&gt;0,tbl_Case_mins[[#This Row],[Anaesth End]]&gt;tbl_Case_mins[[#This Row],[ThClosePm]],tbl_Case_mins[[#This Row],[AnaesthStart]]&gt;tbl_Case_mins[[#This Row],[ThClosePm]]),tbl_Case_mins[[#This Row],[Into Recov]]-tbl_Case_mins[[#This Row],[AnaesthStart]],0)</f>
        <v>#REF!</v>
      </c>
      <c r="BP114" s="9" t="e">
        <f>IF(AND(tbl_Case_mins[[#This Row],[AnaesthStart]]&lt;tbl_Case_mins[[#This Row],[ThClosePm]],tbl_Case_mins[[#This Row],[Anaesth End]]&gt;tbl_Case_mins[[#This Row],[ThClosePm]]),tbl_Case_mins[[#This Row],[Anaesth End]]-tbl_Case_mins[[#This Row],[ThClosePm]],0)</f>
        <v>#REF!</v>
      </c>
      <c r="BQ114" s="9" t="e" cm="1">
        <f t="array" ref="BQ11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4" s="9" t="e" cm="1">
        <f t="array" ref="BR114">IF(tbl_Case_mins[[#This Row],[Rank_Adjust]]=SUMPRODUCT(-(tbl_Case_mins[Surgery Start Date]=tbl_Case_mins[[#This Row],[Surgery Start Date]]),-(tbl_Case_mins[Theatre]=tbl_Case_mins[[#This Row],[Theatre]])),INDEX(Poss_Time,MATCH(TEXT(tbl_Case_mins[[#This Row],[Surgery Start Date]],"ddd"),Day,0)),0)</f>
        <v>#REF!</v>
      </c>
      <c r="BS114" s="9" t="e">
        <f>tbl_Case_mins[[#This Row],[Core_Time]]*Util_Goal</f>
        <v>#REF!</v>
      </c>
      <c r="BT114" s="9" t="e" cm="1">
        <f t="array" ref="BT1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4" s="9" t="e" cm="1">
        <f t="array" ref="BU1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4" s="9" t="e">
        <f>IF(tbl_Case_mins[[#This Row],[Surgery End Date]]&gt;tbl_Case_mins[[#This Row],[Surgery Start Date]],tbl_Case_mins[[#This Row],[Anaesth End]]-1440,0)</f>
        <v>#REF!</v>
      </c>
      <c r="BY114" s="9" t="e">
        <f>tbl_Case_mins[[#This Row],[Total_NonCore]]-tbl_Case_mins[[#This Row],[NextDay_NonCore]]</f>
        <v>#REF!</v>
      </c>
      <c r="BZ114" s="10" t="e">
        <f>tbl_Case_mins[[#This Row],[InCoreUse]]/60</f>
        <v>#REF!</v>
      </c>
      <c r="CA114" s="10" t="e">
        <f>tbl_Case_mins[[#This Row],[Total_NonCore]]/60</f>
        <v>#REF!</v>
      </c>
      <c r="CB114" t="e" cm="1">
        <f t="array" ref="CB1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4" s="9" t="e" cm="1">
        <f t="array" ref="CC11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4" s="9" t="e" cm="1">
        <f t="array" ref="CD1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4" s="9" t="e" cm="1">
        <f t="array" ref="CE11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4" s="9" cm="1">
        <f t="array" ref="CF114">IFERROR(_xlfn.AGGREGATE(14,6,(tbl_Case_mins[Rank_AnaEnd])/((tbl_Case_mins[Surgery Start Date]=tbl_Case_mins[[#This Row],[Surgery Start Date]])*(tbl_Case_mins[Theatre]=tbl_Case_mins[[#This Row],[Theatre]])*(tbl_Case_mins[NoInCoreTime]=0)),1),-1)</f>
        <v>-1</v>
      </c>
      <c r="CG114" s="9" cm="1">
        <f t="array" ref="CG114">IFERROR(_xlfn.AGGREGATE(15,6,(tbl_Case_mins[Rank_AnaSt])/((tbl_Case_mins[Surgery Start Date]=tbl_Case_mins[[#This Row],[Surgery Start Date]])*(tbl_Case_mins[Theatre]=tbl_Case_mins[[#This Row],[Theatre]])*(tbl_Case_mins[NoInCoreTime]=0)),1),-1)</f>
        <v>-1</v>
      </c>
      <c r="CH11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4" t="e" cm="1">
        <f t="array" ref="CJ11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4" s="9" cm="1">
        <f t="array" ref="CO1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4" s="9" cm="1">
        <f t="array" ref="CP1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4" s="9" cm="1">
        <f t="array" ref="CQ114">IFERROR(IF(AND(tbl_Case_mins[[#This Row],[FirstAMCase]]=0,tbl_Case_mins[[#This Row],[Rank]]=_xlfn.AGGREGATE(14,6,(tbl_Case_mins[Rank])/((tbl_Case_mins[Surgery Start Date]=tbl_Case_mins[[#This Row],[Surgery Start Date]])*(tbl_Case_mins[Theatre]=tbl_Case_mins[[#This Row],[Theatre]])*(tbl_Case_mins[AmCase]=1)),1)),1,0),0)</f>
        <v>0</v>
      </c>
      <c r="CR114" s="9" cm="1">
        <f t="array" ref="CR11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4" s="9" t="e" cm="1">
        <f t="array" ref="CS11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4" s="9" cm="1">
        <f t="array" ref="CT114">IFERROR(IF(tbl_Case_mins[[#This Row],[Rank]]=_xlfn.AGGREGATE(15,6,(tbl_Case_mins[Rank])/((tbl_Case_mins[Surgery Start Date]=tbl_Case_mins[[#This Row],[Surgery Start Date]])*(tbl_Case_mins[Theatre]=tbl_Case_mins[[#This Row],[Theatre]])*(tbl_Case_mins[PmCase]=1)),1),1,0),0)</f>
        <v>0</v>
      </c>
      <c r="CU114">
        <f>IFERROR(#REF!,0)</f>
        <v>0</v>
      </c>
      <c r="CV114" s="9" t="e" cm="1">
        <f t="array" ref="CV11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4" s="9">
        <f>IFERROR(IF(ISBLANK(INDEX(Bay_AmClose,MATCH(1,INDEX((tbl_Case_mins[[#This Row],[Bay]]=BayNo)*(tbl_Case_mins[[#This Row],[Surgery Start Date]]=BDate),0,1),0))*1440),0,INDEX(Bay_AmClose,MATCH(1,INDEX((tbl_Case_mins[[#This Row],[Bay]]=BayNo)*(tbl_Case_mins[[#This Row],[Surgery Start Date]]=BDate),0,1),0))*1440),0)</f>
        <v>0</v>
      </c>
      <c r="CX114" s="9" cm="1">
        <f t="array" ref="CX114">IFERROR(IF(ISBLANK(INDEX(Bay_PmOpen,MATCH(1,INDEX((tbl_Case_mins[[#This Row],[Bay]]=BayNo)*(tbl_Case_mins[[#This Row],[Surgery Start Date]]=BDate),0,1),0))*1440),0,INDEX(Bay_PmOpen,MATCH(1,INDEX((tbl_Case_mins[[#This Row],[Bay]]=BayNo)*(tbl_Case_mins[[#This Row],[Surgery Start Date]]=BDate),0,1),0))*1440),0)</f>
        <v>0</v>
      </c>
      <c r="CY11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4" s="9"/>
    </row>
    <row r="115" spans="1:104" x14ac:dyDescent="0.2">
      <c r="A115">
        <v>114</v>
      </c>
      <c r="B115" t="e">
        <f>#REF!</f>
        <v>#REF!</v>
      </c>
      <c r="C115" t="e">
        <f>#REF!</f>
        <v>#REF!</v>
      </c>
      <c r="D115" t="e">
        <f>#REF!</f>
        <v>#REF!</v>
      </c>
      <c r="E115" t="e">
        <f>#REF!</f>
        <v>#REF!</v>
      </c>
      <c r="F115" t="e">
        <f>#REF!</f>
        <v>#REF!</v>
      </c>
      <c r="G115" t="e">
        <f>#REF!</f>
        <v>#REF!</v>
      </c>
      <c r="H115" t="e">
        <f>#REF!</f>
        <v>#REF!</v>
      </c>
      <c r="I115" t="e">
        <f>IF(#REF!="Case Cancelled",1,IF(#REF!="No Cases",2,0))</f>
        <v>#REF!</v>
      </c>
      <c r="J115" t="e">
        <f>#REF!</f>
        <v>#REF!</v>
      </c>
      <c r="K115" s="4" t="e">
        <f>#REF!</f>
        <v>#REF!</v>
      </c>
      <c r="L115" t="e">
        <f>"Wk "&amp;WEEKNUM(tbl_Case_mins[[#This Row],[Surgery Start Date]],21)</f>
        <v>#REF!</v>
      </c>
      <c r="M115" t="e">
        <f>TEXT(tbl_Case_mins[[#This Row],[Surgery Start Date]],"ddd")</f>
        <v>#REF!</v>
      </c>
      <c r="N115" s="9" t="e">
        <f>(#REF!-TIME(0,0,0))*1440</f>
        <v>#REF!</v>
      </c>
      <c r="O115" t="e">
        <f>IF(AND(ROUND((#REF!-TIME(0,0,0))*1440,0)&gt;0,ROUND((#REF!-TIME(0,0,0))*1440,0)&lt;tbl_Case_mins[[#This Row],[Patient Called]],tbl_Case_mins[[#This Row],[Surgery End Date]]&gt;tbl_Case_mins[[#This Row],[Surgery Start Date]]),ROUND((#REF!-TIME(0,0,0))*1440,0)+1440,ROUND((#REF!-TIME(0,0,0))*1440,0))</f>
        <v>#REF!</v>
      </c>
      <c r="P115" s="9" t="e">
        <f>IF(AND(ROUND((#REF!-TIME(0,0,0))*1440,0)&gt;0,ROUND((#REF!-TIME(0,0,0))*1440,0)&lt;tbl_Case_mins[[#This Row],[Arrival]],tbl_Case_mins[[#This Row],[Surgery End Date]]&gt;tbl_Case_mins[[#This Row],[Surgery Start Date]]),ROUND((#REF!-TIME(0,0,0))*1440,0)+1440,ROUND((#REF!-TIME(0,0,0))*1440,0))</f>
        <v>#REF!</v>
      </c>
      <c r="Q115" s="9" t="e">
        <f>IF(AND(ROUND((#REF!-TIME(0,0,0))*1440,0)&gt;0,ROUND((#REF!-TIME(0,0,0))*1440,0)&lt;tbl_Case_mins[[#This Row],[Into Th or AR]],tbl_Case_mins[[#This Row],[Surgery End Date]]&gt;tbl_Case_mins[[#This Row],[Surgery Start Date]]),ROUND((#REF!-TIME(0,0,0))*1440,0)+1440,ROUND((#REF!-TIME(0,0,0))*1440,0))</f>
        <v>#REF!</v>
      </c>
      <c r="R115" s="9" t="e">
        <f>IF(AND(ROUND((#REF!-TIME(0,0,0))*1440,0)&gt;0,ROUND((#REF!-TIME(0,0,0))*1440,0)&lt;tbl_Case_mins[[#This Row],[AnaesthStart]],tbl_Case_mins[[#This Row],[Surgery End Date]]&gt;tbl_Case_mins[[#This Row],[Surgery Start Date]]),ROUND((#REF!-TIME(0,0,0))*1440,0)+1440,ROUND((#REF!-TIME(0,0,0))*1440,0))</f>
        <v>#REF!</v>
      </c>
      <c r="S115" s="9" t="e">
        <f>IF(AND(ROUND((#REF!-TIME(0,0,0))*1440,0),ROUND((#REF!-TIME(0,0,0))*1440,0)&lt;tbl_Case_mins[[#This Row],[Surgery Start]],tbl_Case_mins[[#This Row],[Surgery End Date]]&gt;tbl_Case_mins[[#This Row],[Surgery Start Date]]),ROUND((#REF!-TIME(0,0,0))*1440,0)+1440,ROUND((#REF!-TIME(0,0,0))*1440,0))</f>
        <v>#REF!</v>
      </c>
      <c r="T115" s="9" t="e">
        <f>IF(AND(ROUND((#REF!-TIME(0,0,0))*1440,0)&gt;0,ROUND((#REF!-TIME(0,0,0))*1440,0)&lt;tbl_Case_mins[[#This Row],[Surgery Finish]],tbl_Case_mins[[#This Row],[Surgery End Date]]&gt;tbl_Case_mins[[#This Row],[Surgery Start Date]]),ROUND((#REF!-TIME(0,0,0))*1440,0)+1440,ROUND((#REF!-TIME(0,0,0))*1440,0))</f>
        <v>#REF!</v>
      </c>
      <c r="U115" s="9" t="e">
        <f>IF(AND(ROUND((#REF!-TIME(0,0,0))*1440,0)&gt;0,ROUND((#REF!-TIME(0,0,0))*1440,0)&lt;tbl_Case_mins[[#This Row],[Anaesth End]],tbl_Case_mins[[#This Row],[Surgery End Date]]&gt;tbl_Case_mins[[#This Row],[Surgery Start Date]]),ROUND((#REF!-TIME(0,0,0))*1440,0)+1440,ROUND((#REF!-TIME(0,0,0))*1440,0))</f>
        <v>#REF!</v>
      </c>
      <c r="V115" s="9" t="e">
        <f>IF(AND(ROUND((#REF!-TIME(0,0,0))*1440,0)&gt;0,ROUND((#REF!-TIME(0,0,0))*1440,0)&lt;tbl_Case_mins[[#This Row],[Into Recov]],tbl_Case_mins[[#This Row],[Surgery End Date]]&gt;tbl_Case_mins[[#This Row],[Surgery Start Date]]),ROUND((#REF!-TIME(0,0,0))*1440,0)+1440,ROUND((#REF!-TIME(0,0,0))*1440,0))</f>
        <v>#REF!</v>
      </c>
      <c r="W115" s="9" t="e">
        <f>IF(AND(ROUND((#REF!-TIME(0,0,0))*1440,0)&gt;0,ROUND((#REF!-TIME(0,0,0))*1440,0)&lt;tbl_Case_mins[[#This Row],[Ward Called]],tbl_Case_mins[[#This Row],[Surgery End Date]]&gt;tbl_Case_mins[[#This Row],[Surgery Start Date]]),ROUND((#REF!-TIME(0,0,0))*1440,0)+1440,ROUND((#REF!-TIME(0,0,0))*1440,0))</f>
        <v>#REF!</v>
      </c>
      <c r="X115" s="4" t="e">
        <f>IF(ISBLANK(#REF!),tbl_Case_mins[[#This Row],[Surgery Start Date]],#REF!)</f>
        <v>#REF!</v>
      </c>
      <c r="Y115">
        <f>IFERROR(IF(VLOOKUP(tbl_Case_mins[[#This Row],[Theatre]],'Mng Theatres'!$C$7:$G$12,3,FALSE)="Yes","Yes","No"),0)</f>
        <v>0</v>
      </c>
      <c r="Z115" s="9" t="e" cm="1">
        <f t="array" ref="Z11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5" s="9" t="e" cm="1">
        <f t="array" ref="AA11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5" s="9" t="e">
        <f>IF(tbl_Case_mins[[#This Row],[Case Type]]="Unsch",1,0)</f>
        <v>#REF!</v>
      </c>
      <c r="AD115" s="9" t="e">
        <f>IF(tbl_Case_mins[[#This Row],[Case Type]]="Sch",1,0)</f>
        <v>#REF!</v>
      </c>
      <c r="AE11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5" s="9">
        <f>IFERROR(IF(ISBLANK(INDEX(Am_Close,MATCH(1,INDEX((tbl_Case_mins[[#This Row],[Theatre]]=Theatre_No)*(tbl_Case_mins[[#This Row],[Surgery Start Date]]=Date),0,1),0))*1440),0,INDEX(Am_Close,MATCH(1,INDEX((tbl_Case_mins[[#This Row],[Theatre]]=Theatre_No)*(tbl_Case_mins[[#This Row],[Surgery Start Date]]=Date),0,1),0))*1440),0)</f>
        <v>0</v>
      </c>
      <c r="AG115" s="9">
        <f>IFERROR(IF(ISBLANK(INDEX(PM_Open,MATCH(1,INDEX((tbl_Case_mins[[#This Row],[Theatre]]=Theatre_No)*(tbl_Case_mins[[#This Row],[Surgery Start Date]]=Date),0,1),0))*1440),0,INDEX(PM_Open,MATCH(1,INDEX((tbl_Case_mins[[#This Row],[Theatre]]=Theatre_No)*(tbl_Case_mins[[#This Row],[Surgery Start Date]]=Date),0,1),0))*1440),0)</f>
        <v>0</v>
      </c>
      <c r="AH11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5" s="9" t="e">
        <f>IF(tbl_Case_mins[[#This Row],[ThOpenAm]]=0,tbl_Case_mins[[#This Row],[ThOpenPM]],tbl_Case_mins[[#This Row],[ThOpenAm]])</f>
        <v>#REF!</v>
      </c>
      <c r="AJ115" s="9" t="e">
        <f>IF(tbl_Case_mins[[#This Row],[ThCloseAm]]&gt;0,IF(tbl_Case_mins[[#This Row],[ThOpenPM]]&gt;0,tbl_Case_mins[[#This Row],[ThClosePm]],tbl_Case_mins[[#This Row],[ThCloseAm]]),tbl_Case_mins[[#This Row],[ThClosePm]])</f>
        <v>#REF!</v>
      </c>
      <c r="AK115" s="9" t="e">
        <f>IF(tbl_Case_mins[[#This Row],[TOT]]&gt;0,1,0)</f>
        <v>#REF!</v>
      </c>
      <c r="AL11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5" s="9" t="e">
        <f>IF(AND(tbl_Case_mins[[#This Row],[Surgery Status]]&lt;&gt;2,tbl_Case_mins[[#This Row],[InCoreCase]]=0,tbl_Case_mins[[#This Row],[CancelledCase]]=0),1,0)</f>
        <v>#REF!</v>
      </c>
      <c r="AN115" s="9" t="e">
        <f>IF(tbl_Case_mins[[#This Row],[Surgery Status]]=1,1,0)</f>
        <v>#REF!</v>
      </c>
      <c r="AO11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5" s="9" t="e">
        <f>IF(AND(tbl_Case_mins[[#This Row],[NonCoreCase]]=1,tbl_Case_mins[[#This Row],[NoInCoreTime]]=0),1,0)</f>
        <v>#REF!</v>
      </c>
      <c r="AQ115" s="9" t="e">
        <f>IF(tbl_Case_mins[[#This Row],[Rank_AnaEnd]]&lt;tbl_Case_mins[[#This Row],[Rank_AnaSt]],1,0)</f>
        <v>#REF!</v>
      </c>
      <c r="AR115" s="9" t="e">
        <f>IF(AND(tbl_Case_mins[[#This Row],[InCoreCase]]=1,tbl_Case_mins[[#This Row],[Sch]]=1),1,0)</f>
        <v>#REF!</v>
      </c>
      <c r="AS115" s="9" t="e">
        <f>IF(AND(tbl_Case_mins[[#This Row],[InCoreCase]]=1,tbl_Case_mins[[#This Row],[Unsch]]=1),1,0)</f>
        <v>#REF!</v>
      </c>
      <c r="AT11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5" s="9" t="e">
        <f>IF(tbl_Case_mins[[#This Row],[Surgery Status]]=0,(tbl_Case_mins[[#This Row],[Anaesth End]]-tbl_Case_mins[[#This Row],[AnaesthStart]]),0)</f>
        <v>#REF!</v>
      </c>
      <c r="AX115" s="9" t="e">
        <f>IF(tbl_Case_mins[[#This Row],[Surgery Status]]=0,(tbl_Case_mins[[#This Row],[Surgery Finish]]-tbl_Case_mins[[#This Row],[Surgery Start]]),0)</f>
        <v>#REF!</v>
      </c>
      <c r="AY115" s="9" t="e">
        <f>tbl_Case_mins[[#This Row],[Surgery Start]]-tbl_Case_mins[[#This Row],[AnaesthStart]]</f>
        <v>#REF!</v>
      </c>
      <c r="AZ115" s="9" t="e">
        <f>tbl_Case_mins[[#This Row],[Anaesth End]]-tbl_Case_mins[[#This Row],[Surgery Finish]]</f>
        <v>#REF!</v>
      </c>
      <c r="BA11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5" s="16" cm="1">
        <f t="array" ref="BC11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5" s="16" t="e">
        <f>IF(AND(tbl_Case_mins[[#This Row],[FirstAMCase]]=1,tbl_Case_mins[[#This Row],[CancelledCase]]=0,OR(tbl_Case_mins[[#This Row],[EarlyStartAM]]&gt;0,tbl_Case_mins[[#This Row],[AnaesthStart]]=tbl_Case_mins[[#This Row],[ThOpenAm]])),1,0)</f>
        <v>#REF!</v>
      </c>
      <c r="BE115" s="16" t="e">
        <f>IF(AND(tbl_Case_mins[[#This Row],[Rank_AnaSt]]=tbl_Case_mins[[#This Row],[Min_RankAnaSt]],tbl_Case_mins[[#This Row],[Anaesth End]]&gt;=tbl_Case_mins[[#This Row],[ThOpenAm]],tbl_Case_mins[[#This Row],[PmCase]]=0),1,0)</f>
        <v>#REF!</v>
      </c>
      <c r="BF11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5" s="9" t="e" cm="1">
        <f t="array" ref="BH11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5" s="9" t="e">
        <f>IF(AND(tbl_Case_mins[[#This Row],[ThOpenPM]]&gt;0,tbl_Case_mins[[#This Row],[AnaesthStart]]&gt;tbl_Case_mins[[#This Row],[ThOpenPM]],tbl_Case_mins[[#This Row],[First PM Case]]=1),tbl_Case_mins[[#This Row],[AnaesthStart]]-tbl_Case_mins[[#This Row],[ThOpenPM]],0)</f>
        <v>#REF!</v>
      </c>
      <c r="BL11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5" s="9" t="e" cm="1">
        <f t="array" ref="BN11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5" s="9" t="e">
        <f>IF(AND(tbl_Case_mins[[#This Row],[ThClosePm]]&gt;0,tbl_Case_mins[[#This Row],[Anaesth End]]&gt;tbl_Case_mins[[#This Row],[ThClosePm]],tbl_Case_mins[[#This Row],[AnaesthStart]]&gt;tbl_Case_mins[[#This Row],[ThClosePm]]),tbl_Case_mins[[#This Row],[Into Recov]]-tbl_Case_mins[[#This Row],[AnaesthStart]],0)</f>
        <v>#REF!</v>
      </c>
      <c r="BP115" s="9" t="e">
        <f>IF(AND(tbl_Case_mins[[#This Row],[AnaesthStart]]&lt;tbl_Case_mins[[#This Row],[ThClosePm]],tbl_Case_mins[[#This Row],[Anaesth End]]&gt;tbl_Case_mins[[#This Row],[ThClosePm]]),tbl_Case_mins[[#This Row],[Anaesth End]]-tbl_Case_mins[[#This Row],[ThClosePm]],0)</f>
        <v>#REF!</v>
      </c>
      <c r="BQ115" s="9" t="e" cm="1">
        <f t="array" ref="BQ11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5" s="9" t="e" cm="1">
        <f t="array" ref="BR115">IF(tbl_Case_mins[[#This Row],[Rank_Adjust]]=SUMPRODUCT(-(tbl_Case_mins[Surgery Start Date]=tbl_Case_mins[[#This Row],[Surgery Start Date]]),-(tbl_Case_mins[Theatre]=tbl_Case_mins[[#This Row],[Theatre]])),INDEX(Poss_Time,MATCH(TEXT(tbl_Case_mins[[#This Row],[Surgery Start Date]],"ddd"),Day,0)),0)</f>
        <v>#REF!</v>
      </c>
      <c r="BS115" s="9" t="e">
        <f>tbl_Case_mins[[#This Row],[Core_Time]]*Util_Goal</f>
        <v>#REF!</v>
      </c>
      <c r="BT115" s="9" t="e" cm="1">
        <f t="array" ref="BT1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5" s="9" t="e" cm="1">
        <f t="array" ref="BU1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5" s="9" t="e">
        <f>IF(tbl_Case_mins[[#This Row],[Surgery End Date]]&gt;tbl_Case_mins[[#This Row],[Surgery Start Date]],tbl_Case_mins[[#This Row],[Anaesth End]]-1440,0)</f>
        <v>#REF!</v>
      </c>
      <c r="BY115" s="9" t="e">
        <f>tbl_Case_mins[[#This Row],[Total_NonCore]]-tbl_Case_mins[[#This Row],[NextDay_NonCore]]</f>
        <v>#REF!</v>
      </c>
      <c r="BZ115" s="10" t="e">
        <f>tbl_Case_mins[[#This Row],[InCoreUse]]/60</f>
        <v>#REF!</v>
      </c>
      <c r="CA115" s="10" t="e">
        <f>tbl_Case_mins[[#This Row],[Total_NonCore]]/60</f>
        <v>#REF!</v>
      </c>
      <c r="CB115" t="e" cm="1">
        <f t="array" ref="CB1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5" s="9" t="e" cm="1">
        <f t="array" ref="CC11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5" s="9" t="e" cm="1">
        <f t="array" ref="CD1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5" s="9" t="e" cm="1">
        <f t="array" ref="CE11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5" s="9" cm="1">
        <f t="array" ref="CF115">IFERROR(_xlfn.AGGREGATE(14,6,(tbl_Case_mins[Rank_AnaEnd])/((tbl_Case_mins[Surgery Start Date]=tbl_Case_mins[[#This Row],[Surgery Start Date]])*(tbl_Case_mins[Theatre]=tbl_Case_mins[[#This Row],[Theatre]])*(tbl_Case_mins[NoInCoreTime]=0)),1),-1)</f>
        <v>-1</v>
      </c>
      <c r="CG115" s="9" cm="1">
        <f t="array" ref="CG115">IFERROR(_xlfn.AGGREGATE(15,6,(tbl_Case_mins[Rank_AnaSt])/((tbl_Case_mins[Surgery Start Date]=tbl_Case_mins[[#This Row],[Surgery Start Date]])*(tbl_Case_mins[Theatre]=tbl_Case_mins[[#This Row],[Theatre]])*(tbl_Case_mins[NoInCoreTime]=0)),1),-1)</f>
        <v>-1</v>
      </c>
      <c r="CH11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5" t="e" cm="1">
        <f t="array" ref="CJ11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5" s="9" cm="1">
        <f t="array" ref="CO1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5" s="9" cm="1">
        <f t="array" ref="CP1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5" s="9" cm="1">
        <f t="array" ref="CQ115">IFERROR(IF(AND(tbl_Case_mins[[#This Row],[FirstAMCase]]=0,tbl_Case_mins[[#This Row],[Rank]]=_xlfn.AGGREGATE(14,6,(tbl_Case_mins[Rank])/((tbl_Case_mins[Surgery Start Date]=tbl_Case_mins[[#This Row],[Surgery Start Date]])*(tbl_Case_mins[Theatre]=tbl_Case_mins[[#This Row],[Theatre]])*(tbl_Case_mins[AmCase]=1)),1)),1,0),0)</f>
        <v>0</v>
      </c>
      <c r="CR115" s="9" cm="1">
        <f t="array" ref="CR11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5" s="9" t="e" cm="1">
        <f t="array" ref="CS11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5" s="9" cm="1">
        <f t="array" ref="CT115">IFERROR(IF(tbl_Case_mins[[#This Row],[Rank]]=_xlfn.AGGREGATE(15,6,(tbl_Case_mins[Rank])/((tbl_Case_mins[Surgery Start Date]=tbl_Case_mins[[#This Row],[Surgery Start Date]])*(tbl_Case_mins[Theatre]=tbl_Case_mins[[#This Row],[Theatre]])*(tbl_Case_mins[PmCase]=1)),1),1,0),0)</f>
        <v>0</v>
      </c>
      <c r="CU115">
        <f>IFERROR(#REF!,0)</f>
        <v>0</v>
      </c>
      <c r="CV115" s="9" t="e" cm="1">
        <f t="array" ref="CV11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5" s="9">
        <f>IFERROR(IF(ISBLANK(INDEX(Bay_AmClose,MATCH(1,INDEX((tbl_Case_mins[[#This Row],[Bay]]=BayNo)*(tbl_Case_mins[[#This Row],[Surgery Start Date]]=BDate),0,1),0))*1440),0,INDEX(Bay_AmClose,MATCH(1,INDEX((tbl_Case_mins[[#This Row],[Bay]]=BayNo)*(tbl_Case_mins[[#This Row],[Surgery Start Date]]=BDate),0,1),0))*1440),0)</f>
        <v>0</v>
      </c>
      <c r="CX115" s="9" cm="1">
        <f t="array" ref="CX115">IFERROR(IF(ISBLANK(INDEX(Bay_PmOpen,MATCH(1,INDEX((tbl_Case_mins[[#This Row],[Bay]]=BayNo)*(tbl_Case_mins[[#This Row],[Surgery Start Date]]=BDate),0,1),0))*1440),0,INDEX(Bay_PmOpen,MATCH(1,INDEX((tbl_Case_mins[[#This Row],[Bay]]=BayNo)*(tbl_Case_mins[[#This Row],[Surgery Start Date]]=BDate),0,1),0))*1440),0)</f>
        <v>0</v>
      </c>
      <c r="CY11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5" s="9"/>
    </row>
    <row r="116" spans="1:104" x14ac:dyDescent="0.2">
      <c r="A116">
        <v>115</v>
      </c>
      <c r="B116" t="e">
        <f>#REF!</f>
        <v>#REF!</v>
      </c>
      <c r="C116" t="e">
        <f>#REF!</f>
        <v>#REF!</v>
      </c>
      <c r="D116" t="e">
        <f>#REF!</f>
        <v>#REF!</v>
      </c>
      <c r="E116" t="e">
        <f>#REF!</f>
        <v>#REF!</v>
      </c>
      <c r="F116" t="e">
        <f>#REF!</f>
        <v>#REF!</v>
      </c>
      <c r="G116" t="e">
        <f>#REF!</f>
        <v>#REF!</v>
      </c>
      <c r="H116" t="e">
        <f>#REF!</f>
        <v>#REF!</v>
      </c>
      <c r="I116" t="e">
        <f>IF(#REF!="Case Cancelled",1,IF(#REF!="No Cases",2,0))</f>
        <v>#REF!</v>
      </c>
      <c r="J116" t="e">
        <f>#REF!</f>
        <v>#REF!</v>
      </c>
      <c r="K116" s="4" t="e">
        <f>#REF!</f>
        <v>#REF!</v>
      </c>
      <c r="L116" t="e">
        <f>"Wk "&amp;WEEKNUM(tbl_Case_mins[[#This Row],[Surgery Start Date]],21)</f>
        <v>#REF!</v>
      </c>
      <c r="M116" t="e">
        <f>TEXT(tbl_Case_mins[[#This Row],[Surgery Start Date]],"ddd")</f>
        <v>#REF!</v>
      </c>
      <c r="N116" s="9" t="e">
        <f>(#REF!-TIME(0,0,0))*1440</f>
        <v>#REF!</v>
      </c>
      <c r="O116" t="e">
        <f>IF(AND(ROUND((#REF!-TIME(0,0,0))*1440,0)&gt;0,ROUND((#REF!-TIME(0,0,0))*1440,0)&lt;tbl_Case_mins[[#This Row],[Patient Called]],tbl_Case_mins[[#This Row],[Surgery End Date]]&gt;tbl_Case_mins[[#This Row],[Surgery Start Date]]),ROUND((#REF!-TIME(0,0,0))*1440,0)+1440,ROUND((#REF!-TIME(0,0,0))*1440,0))</f>
        <v>#REF!</v>
      </c>
      <c r="P116" s="9" t="e">
        <f>IF(AND(ROUND((#REF!-TIME(0,0,0))*1440,0)&gt;0,ROUND((#REF!-TIME(0,0,0))*1440,0)&lt;tbl_Case_mins[[#This Row],[Arrival]],tbl_Case_mins[[#This Row],[Surgery End Date]]&gt;tbl_Case_mins[[#This Row],[Surgery Start Date]]),ROUND((#REF!-TIME(0,0,0))*1440,0)+1440,ROUND((#REF!-TIME(0,0,0))*1440,0))</f>
        <v>#REF!</v>
      </c>
      <c r="Q116" s="9" t="e">
        <f>IF(AND(ROUND((#REF!-TIME(0,0,0))*1440,0)&gt;0,ROUND((#REF!-TIME(0,0,0))*1440,0)&lt;tbl_Case_mins[[#This Row],[Into Th or AR]],tbl_Case_mins[[#This Row],[Surgery End Date]]&gt;tbl_Case_mins[[#This Row],[Surgery Start Date]]),ROUND((#REF!-TIME(0,0,0))*1440,0)+1440,ROUND((#REF!-TIME(0,0,0))*1440,0))</f>
        <v>#REF!</v>
      </c>
      <c r="R116" s="9" t="e">
        <f>IF(AND(ROUND((#REF!-TIME(0,0,0))*1440,0)&gt;0,ROUND((#REF!-TIME(0,0,0))*1440,0)&lt;tbl_Case_mins[[#This Row],[AnaesthStart]],tbl_Case_mins[[#This Row],[Surgery End Date]]&gt;tbl_Case_mins[[#This Row],[Surgery Start Date]]),ROUND((#REF!-TIME(0,0,0))*1440,0)+1440,ROUND((#REF!-TIME(0,0,0))*1440,0))</f>
        <v>#REF!</v>
      </c>
      <c r="S116" s="9" t="e">
        <f>IF(AND(ROUND((#REF!-TIME(0,0,0))*1440,0),ROUND((#REF!-TIME(0,0,0))*1440,0)&lt;tbl_Case_mins[[#This Row],[Surgery Start]],tbl_Case_mins[[#This Row],[Surgery End Date]]&gt;tbl_Case_mins[[#This Row],[Surgery Start Date]]),ROUND((#REF!-TIME(0,0,0))*1440,0)+1440,ROUND((#REF!-TIME(0,0,0))*1440,0))</f>
        <v>#REF!</v>
      </c>
      <c r="T116" s="9" t="e">
        <f>IF(AND(ROUND((#REF!-TIME(0,0,0))*1440,0)&gt;0,ROUND((#REF!-TIME(0,0,0))*1440,0)&lt;tbl_Case_mins[[#This Row],[Surgery Finish]],tbl_Case_mins[[#This Row],[Surgery End Date]]&gt;tbl_Case_mins[[#This Row],[Surgery Start Date]]),ROUND((#REF!-TIME(0,0,0))*1440,0)+1440,ROUND((#REF!-TIME(0,0,0))*1440,0))</f>
        <v>#REF!</v>
      </c>
      <c r="U116" s="9" t="e">
        <f>IF(AND(ROUND((#REF!-TIME(0,0,0))*1440,0)&gt;0,ROUND((#REF!-TIME(0,0,0))*1440,0)&lt;tbl_Case_mins[[#This Row],[Anaesth End]],tbl_Case_mins[[#This Row],[Surgery End Date]]&gt;tbl_Case_mins[[#This Row],[Surgery Start Date]]),ROUND((#REF!-TIME(0,0,0))*1440,0)+1440,ROUND((#REF!-TIME(0,0,0))*1440,0))</f>
        <v>#REF!</v>
      </c>
      <c r="V116" s="9" t="e">
        <f>IF(AND(ROUND((#REF!-TIME(0,0,0))*1440,0)&gt;0,ROUND((#REF!-TIME(0,0,0))*1440,0)&lt;tbl_Case_mins[[#This Row],[Into Recov]],tbl_Case_mins[[#This Row],[Surgery End Date]]&gt;tbl_Case_mins[[#This Row],[Surgery Start Date]]),ROUND((#REF!-TIME(0,0,0))*1440,0)+1440,ROUND((#REF!-TIME(0,0,0))*1440,0))</f>
        <v>#REF!</v>
      </c>
      <c r="W116" s="9" t="e">
        <f>IF(AND(ROUND((#REF!-TIME(0,0,0))*1440,0)&gt;0,ROUND((#REF!-TIME(0,0,0))*1440,0)&lt;tbl_Case_mins[[#This Row],[Ward Called]],tbl_Case_mins[[#This Row],[Surgery End Date]]&gt;tbl_Case_mins[[#This Row],[Surgery Start Date]]),ROUND((#REF!-TIME(0,0,0))*1440,0)+1440,ROUND((#REF!-TIME(0,0,0))*1440,0))</f>
        <v>#REF!</v>
      </c>
      <c r="X116" s="4" t="e">
        <f>IF(ISBLANK(#REF!),tbl_Case_mins[[#This Row],[Surgery Start Date]],#REF!)</f>
        <v>#REF!</v>
      </c>
      <c r="Y116">
        <f>IFERROR(IF(VLOOKUP(tbl_Case_mins[[#This Row],[Theatre]],'Mng Theatres'!$C$7:$G$12,3,FALSE)="Yes","Yes","No"),0)</f>
        <v>0</v>
      </c>
      <c r="Z116" s="9" t="e" cm="1">
        <f t="array" ref="Z11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6" s="9" t="e" cm="1">
        <f t="array" ref="AA11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6" s="9" t="e">
        <f>IF(tbl_Case_mins[[#This Row],[Case Type]]="Unsch",1,0)</f>
        <v>#REF!</v>
      </c>
      <c r="AD116" s="9" t="e">
        <f>IF(tbl_Case_mins[[#This Row],[Case Type]]="Sch",1,0)</f>
        <v>#REF!</v>
      </c>
      <c r="AE11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6" s="9">
        <f>IFERROR(IF(ISBLANK(INDEX(Am_Close,MATCH(1,INDEX((tbl_Case_mins[[#This Row],[Theatre]]=Theatre_No)*(tbl_Case_mins[[#This Row],[Surgery Start Date]]=Date),0,1),0))*1440),0,INDEX(Am_Close,MATCH(1,INDEX((tbl_Case_mins[[#This Row],[Theatre]]=Theatre_No)*(tbl_Case_mins[[#This Row],[Surgery Start Date]]=Date),0,1),0))*1440),0)</f>
        <v>0</v>
      </c>
      <c r="AG116" s="9">
        <f>IFERROR(IF(ISBLANK(INDEX(PM_Open,MATCH(1,INDEX((tbl_Case_mins[[#This Row],[Theatre]]=Theatre_No)*(tbl_Case_mins[[#This Row],[Surgery Start Date]]=Date),0,1),0))*1440),0,INDEX(PM_Open,MATCH(1,INDEX((tbl_Case_mins[[#This Row],[Theatre]]=Theatre_No)*(tbl_Case_mins[[#This Row],[Surgery Start Date]]=Date),0,1),0))*1440),0)</f>
        <v>0</v>
      </c>
      <c r="AH11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6" s="9" t="e">
        <f>IF(tbl_Case_mins[[#This Row],[ThOpenAm]]=0,tbl_Case_mins[[#This Row],[ThOpenPM]],tbl_Case_mins[[#This Row],[ThOpenAm]])</f>
        <v>#REF!</v>
      </c>
      <c r="AJ116" s="9" t="e">
        <f>IF(tbl_Case_mins[[#This Row],[ThCloseAm]]&gt;0,IF(tbl_Case_mins[[#This Row],[ThOpenPM]]&gt;0,tbl_Case_mins[[#This Row],[ThClosePm]],tbl_Case_mins[[#This Row],[ThCloseAm]]),tbl_Case_mins[[#This Row],[ThClosePm]])</f>
        <v>#REF!</v>
      </c>
      <c r="AK116" s="9" t="e">
        <f>IF(tbl_Case_mins[[#This Row],[TOT]]&gt;0,1,0)</f>
        <v>#REF!</v>
      </c>
      <c r="AL11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6" s="9" t="e">
        <f>IF(AND(tbl_Case_mins[[#This Row],[Surgery Status]]&lt;&gt;2,tbl_Case_mins[[#This Row],[InCoreCase]]=0,tbl_Case_mins[[#This Row],[CancelledCase]]=0),1,0)</f>
        <v>#REF!</v>
      </c>
      <c r="AN116" s="9" t="e">
        <f>IF(tbl_Case_mins[[#This Row],[Surgery Status]]=1,1,0)</f>
        <v>#REF!</v>
      </c>
      <c r="AO11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6" s="9" t="e">
        <f>IF(AND(tbl_Case_mins[[#This Row],[NonCoreCase]]=1,tbl_Case_mins[[#This Row],[NoInCoreTime]]=0),1,0)</f>
        <v>#REF!</v>
      </c>
      <c r="AQ116" s="9" t="e">
        <f>IF(tbl_Case_mins[[#This Row],[Rank_AnaEnd]]&lt;tbl_Case_mins[[#This Row],[Rank_AnaSt]],1,0)</f>
        <v>#REF!</v>
      </c>
      <c r="AR116" s="9" t="e">
        <f>IF(AND(tbl_Case_mins[[#This Row],[InCoreCase]]=1,tbl_Case_mins[[#This Row],[Sch]]=1),1,0)</f>
        <v>#REF!</v>
      </c>
      <c r="AS116" s="9" t="e">
        <f>IF(AND(tbl_Case_mins[[#This Row],[InCoreCase]]=1,tbl_Case_mins[[#This Row],[Unsch]]=1),1,0)</f>
        <v>#REF!</v>
      </c>
      <c r="AT11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6" s="9" t="e">
        <f>IF(tbl_Case_mins[[#This Row],[Surgery Status]]=0,(tbl_Case_mins[[#This Row],[Anaesth End]]-tbl_Case_mins[[#This Row],[AnaesthStart]]),0)</f>
        <v>#REF!</v>
      </c>
      <c r="AX116" s="9" t="e">
        <f>IF(tbl_Case_mins[[#This Row],[Surgery Status]]=0,(tbl_Case_mins[[#This Row],[Surgery Finish]]-tbl_Case_mins[[#This Row],[Surgery Start]]),0)</f>
        <v>#REF!</v>
      </c>
      <c r="AY116" s="9" t="e">
        <f>tbl_Case_mins[[#This Row],[Surgery Start]]-tbl_Case_mins[[#This Row],[AnaesthStart]]</f>
        <v>#REF!</v>
      </c>
      <c r="AZ116" s="9" t="e">
        <f>tbl_Case_mins[[#This Row],[Anaesth End]]-tbl_Case_mins[[#This Row],[Surgery Finish]]</f>
        <v>#REF!</v>
      </c>
      <c r="BA11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6" s="16" cm="1">
        <f t="array" ref="BC11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6" s="16" t="e">
        <f>IF(AND(tbl_Case_mins[[#This Row],[FirstAMCase]]=1,tbl_Case_mins[[#This Row],[CancelledCase]]=0,OR(tbl_Case_mins[[#This Row],[EarlyStartAM]]&gt;0,tbl_Case_mins[[#This Row],[AnaesthStart]]=tbl_Case_mins[[#This Row],[ThOpenAm]])),1,0)</f>
        <v>#REF!</v>
      </c>
      <c r="BE116" s="16" t="e">
        <f>IF(AND(tbl_Case_mins[[#This Row],[Rank_AnaSt]]=tbl_Case_mins[[#This Row],[Min_RankAnaSt]],tbl_Case_mins[[#This Row],[Anaesth End]]&gt;=tbl_Case_mins[[#This Row],[ThOpenAm]],tbl_Case_mins[[#This Row],[PmCase]]=0),1,0)</f>
        <v>#REF!</v>
      </c>
      <c r="BF11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6" s="9" t="e" cm="1">
        <f t="array" ref="BH11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6" s="9" t="e">
        <f>IF(AND(tbl_Case_mins[[#This Row],[ThOpenPM]]&gt;0,tbl_Case_mins[[#This Row],[AnaesthStart]]&gt;tbl_Case_mins[[#This Row],[ThOpenPM]],tbl_Case_mins[[#This Row],[First PM Case]]=1),tbl_Case_mins[[#This Row],[AnaesthStart]]-tbl_Case_mins[[#This Row],[ThOpenPM]],0)</f>
        <v>#REF!</v>
      </c>
      <c r="BL11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6" s="9" t="e" cm="1">
        <f t="array" ref="BN11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6" s="9" t="e">
        <f>IF(AND(tbl_Case_mins[[#This Row],[ThClosePm]]&gt;0,tbl_Case_mins[[#This Row],[Anaesth End]]&gt;tbl_Case_mins[[#This Row],[ThClosePm]],tbl_Case_mins[[#This Row],[AnaesthStart]]&gt;tbl_Case_mins[[#This Row],[ThClosePm]]),tbl_Case_mins[[#This Row],[Into Recov]]-tbl_Case_mins[[#This Row],[AnaesthStart]],0)</f>
        <v>#REF!</v>
      </c>
      <c r="BP116" s="9" t="e">
        <f>IF(AND(tbl_Case_mins[[#This Row],[AnaesthStart]]&lt;tbl_Case_mins[[#This Row],[ThClosePm]],tbl_Case_mins[[#This Row],[Anaesth End]]&gt;tbl_Case_mins[[#This Row],[ThClosePm]]),tbl_Case_mins[[#This Row],[Anaesth End]]-tbl_Case_mins[[#This Row],[ThClosePm]],0)</f>
        <v>#REF!</v>
      </c>
      <c r="BQ116" s="9" t="e" cm="1">
        <f t="array" ref="BQ11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6" s="9" t="e" cm="1">
        <f t="array" ref="BR116">IF(tbl_Case_mins[[#This Row],[Rank_Adjust]]=SUMPRODUCT(-(tbl_Case_mins[Surgery Start Date]=tbl_Case_mins[[#This Row],[Surgery Start Date]]),-(tbl_Case_mins[Theatre]=tbl_Case_mins[[#This Row],[Theatre]])),INDEX(Poss_Time,MATCH(TEXT(tbl_Case_mins[[#This Row],[Surgery Start Date]],"ddd"),Day,0)),0)</f>
        <v>#REF!</v>
      </c>
      <c r="BS116" s="9" t="e">
        <f>tbl_Case_mins[[#This Row],[Core_Time]]*Util_Goal</f>
        <v>#REF!</v>
      </c>
      <c r="BT116" s="9" t="e" cm="1">
        <f t="array" ref="BT1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6" s="9" t="e" cm="1">
        <f t="array" ref="BU1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6" s="9" t="e">
        <f>IF(tbl_Case_mins[[#This Row],[Surgery End Date]]&gt;tbl_Case_mins[[#This Row],[Surgery Start Date]],tbl_Case_mins[[#This Row],[Anaesth End]]-1440,0)</f>
        <v>#REF!</v>
      </c>
      <c r="BY116" s="9" t="e">
        <f>tbl_Case_mins[[#This Row],[Total_NonCore]]-tbl_Case_mins[[#This Row],[NextDay_NonCore]]</f>
        <v>#REF!</v>
      </c>
      <c r="BZ116" s="10" t="e">
        <f>tbl_Case_mins[[#This Row],[InCoreUse]]/60</f>
        <v>#REF!</v>
      </c>
      <c r="CA116" s="10" t="e">
        <f>tbl_Case_mins[[#This Row],[Total_NonCore]]/60</f>
        <v>#REF!</v>
      </c>
      <c r="CB116" t="e" cm="1">
        <f t="array" ref="CB1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6" s="9" t="e" cm="1">
        <f t="array" ref="CC11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6" s="9" t="e" cm="1">
        <f t="array" ref="CD1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6" s="9" t="e" cm="1">
        <f t="array" ref="CE11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6" s="9" cm="1">
        <f t="array" ref="CF116">IFERROR(_xlfn.AGGREGATE(14,6,(tbl_Case_mins[Rank_AnaEnd])/((tbl_Case_mins[Surgery Start Date]=tbl_Case_mins[[#This Row],[Surgery Start Date]])*(tbl_Case_mins[Theatre]=tbl_Case_mins[[#This Row],[Theatre]])*(tbl_Case_mins[NoInCoreTime]=0)),1),-1)</f>
        <v>-1</v>
      </c>
      <c r="CG116" s="9" cm="1">
        <f t="array" ref="CG116">IFERROR(_xlfn.AGGREGATE(15,6,(tbl_Case_mins[Rank_AnaSt])/((tbl_Case_mins[Surgery Start Date]=tbl_Case_mins[[#This Row],[Surgery Start Date]])*(tbl_Case_mins[Theatre]=tbl_Case_mins[[#This Row],[Theatre]])*(tbl_Case_mins[NoInCoreTime]=0)),1),-1)</f>
        <v>-1</v>
      </c>
      <c r="CH11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6" t="e" cm="1">
        <f t="array" ref="CJ11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6" s="9" cm="1">
        <f t="array" ref="CO1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6" s="9" cm="1">
        <f t="array" ref="CP1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6" s="9" cm="1">
        <f t="array" ref="CQ116">IFERROR(IF(AND(tbl_Case_mins[[#This Row],[FirstAMCase]]=0,tbl_Case_mins[[#This Row],[Rank]]=_xlfn.AGGREGATE(14,6,(tbl_Case_mins[Rank])/((tbl_Case_mins[Surgery Start Date]=tbl_Case_mins[[#This Row],[Surgery Start Date]])*(tbl_Case_mins[Theatre]=tbl_Case_mins[[#This Row],[Theatre]])*(tbl_Case_mins[AmCase]=1)),1)),1,0),0)</f>
        <v>0</v>
      </c>
      <c r="CR116" s="9" cm="1">
        <f t="array" ref="CR11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6" s="9" t="e" cm="1">
        <f t="array" ref="CS11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6" s="9" cm="1">
        <f t="array" ref="CT116">IFERROR(IF(tbl_Case_mins[[#This Row],[Rank]]=_xlfn.AGGREGATE(15,6,(tbl_Case_mins[Rank])/((tbl_Case_mins[Surgery Start Date]=tbl_Case_mins[[#This Row],[Surgery Start Date]])*(tbl_Case_mins[Theatre]=tbl_Case_mins[[#This Row],[Theatre]])*(tbl_Case_mins[PmCase]=1)),1),1,0),0)</f>
        <v>0</v>
      </c>
      <c r="CU116">
        <f>IFERROR(#REF!,0)</f>
        <v>0</v>
      </c>
      <c r="CV116" s="9" t="e" cm="1">
        <f t="array" ref="CV11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6" s="9">
        <f>IFERROR(IF(ISBLANK(INDEX(Bay_AmClose,MATCH(1,INDEX((tbl_Case_mins[[#This Row],[Bay]]=BayNo)*(tbl_Case_mins[[#This Row],[Surgery Start Date]]=BDate),0,1),0))*1440),0,INDEX(Bay_AmClose,MATCH(1,INDEX((tbl_Case_mins[[#This Row],[Bay]]=BayNo)*(tbl_Case_mins[[#This Row],[Surgery Start Date]]=BDate),0,1),0))*1440),0)</f>
        <v>0</v>
      </c>
      <c r="CX116" s="9" cm="1">
        <f t="array" ref="CX116">IFERROR(IF(ISBLANK(INDEX(Bay_PmOpen,MATCH(1,INDEX((tbl_Case_mins[[#This Row],[Bay]]=BayNo)*(tbl_Case_mins[[#This Row],[Surgery Start Date]]=BDate),0,1),0))*1440),0,INDEX(Bay_PmOpen,MATCH(1,INDEX((tbl_Case_mins[[#This Row],[Bay]]=BayNo)*(tbl_Case_mins[[#This Row],[Surgery Start Date]]=BDate),0,1),0))*1440),0)</f>
        <v>0</v>
      </c>
      <c r="CY11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6" s="9"/>
    </row>
    <row r="117" spans="1:104" x14ac:dyDescent="0.2">
      <c r="A117">
        <v>116</v>
      </c>
      <c r="B117" t="e">
        <f>#REF!</f>
        <v>#REF!</v>
      </c>
      <c r="C117" t="e">
        <f>#REF!</f>
        <v>#REF!</v>
      </c>
      <c r="D117" t="e">
        <f>#REF!</f>
        <v>#REF!</v>
      </c>
      <c r="E117" t="e">
        <f>#REF!</f>
        <v>#REF!</v>
      </c>
      <c r="F117" t="e">
        <f>#REF!</f>
        <v>#REF!</v>
      </c>
      <c r="G117" t="e">
        <f>#REF!</f>
        <v>#REF!</v>
      </c>
      <c r="H117" t="e">
        <f>#REF!</f>
        <v>#REF!</v>
      </c>
      <c r="I117" t="e">
        <f>IF(#REF!="Case Cancelled",1,IF(#REF!="No Cases",2,0))</f>
        <v>#REF!</v>
      </c>
      <c r="J117" t="e">
        <f>#REF!</f>
        <v>#REF!</v>
      </c>
      <c r="K117" s="4" t="e">
        <f>#REF!</f>
        <v>#REF!</v>
      </c>
      <c r="L117" t="e">
        <f>"Wk "&amp;WEEKNUM(tbl_Case_mins[[#This Row],[Surgery Start Date]],21)</f>
        <v>#REF!</v>
      </c>
      <c r="M117" t="e">
        <f>TEXT(tbl_Case_mins[[#This Row],[Surgery Start Date]],"ddd")</f>
        <v>#REF!</v>
      </c>
      <c r="N117" s="9" t="e">
        <f>(#REF!-TIME(0,0,0))*1440</f>
        <v>#REF!</v>
      </c>
      <c r="O117" t="e">
        <f>IF(AND(ROUND((#REF!-TIME(0,0,0))*1440,0)&gt;0,ROUND((#REF!-TIME(0,0,0))*1440,0)&lt;tbl_Case_mins[[#This Row],[Patient Called]],tbl_Case_mins[[#This Row],[Surgery End Date]]&gt;tbl_Case_mins[[#This Row],[Surgery Start Date]]),ROUND((#REF!-TIME(0,0,0))*1440,0)+1440,ROUND((#REF!-TIME(0,0,0))*1440,0))</f>
        <v>#REF!</v>
      </c>
      <c r="P117" s="9" t="e">
        <f>IF(AND(ROUND((#REF!-TIME(0,0,0))*1440,0)&gt;0,ROUND((#REF!-TIME(0,0,0))*1440,0)&lt;tbl_Case_mins[[#This Row],[Arrival]],tbl_Case_mins[[#This Row],[Surgery End Date]]&gt;tbl_Case_mins[[#This Row],[Surgery Start Date]]),ROUND((#REF!-TIME(0,0,0))*1440,0)+1440,ROUND((#REF!-TIME(0,0,0))*1440,0))</f>
        <v>#REF!</v>
      </c>
      <c r="Q117" s="9" t="e">
        <f>IF(AND(ROUND((#REF!-TIME(0,0,0))*1440,0)&gt;0,ROUND((#REF!-TIME(0,0,0))*1440,0)&lt;tbl_Case_mins[[#This Row],[Into Th or AR]],tbl_Case_mins[[#This Row],[Surgery End Date]]&gt;tbl_Case_mins[[#This Row],[Surgery Start Date]]),ROUND((#REF!-TIME(0,0,0))*1440,0)+1440,ROUND((#REF!-TIME(0,0,0))*1440,0))</f>
        <v>#REF!</v>
      </c>
      <c r="R117" s="9" t="e">
        <f>IF(AND(ROUND((#REF!-TIME(0,0,0))*1440,0)&gt;0,ROUND((#REF!-TIME(0,0,0))*1440,0)&lt;tbl_Case_mins[[#This Row],[AnaesthStart]],tbl_Case_mins[[#This Row],[Surgery End Date]]&gt;tbl_Case_mins[[#This Row],[Surgery Start Date]]),ROUND((#REF!-TIME(0,0,0))*1440,0)+1440,ROUND((#REF!-TIME(0,0,0))*1440,0))</f>
        <v>#REF!</v>
      </c>
      <c r="S117" s="9" t="e">
        <f>IF(AND(ROUND((#REF!-TIME(0,0,0))*1440,0),ROUND((#REF!-TIME(0,0,0))*1440,0)&lt;tbl_Case_mins[[#This Row],[Surgery Start]],tbl_Case_mins[[#This Row],[Surgery End Date]]&gt;tbl_Case_mins[[#This Row],[Surgery Start Date]]),ROUND((#REF!-TIME(0,0,0))*1440,0)+1440,ROUND((#REF!-TIME(0,0,0))*1440,0))</f>
        <v>#REF!</v>
      </c>
      <c r="T117" s="9" t="e">
        <f>IF(AND(ROUND((#REF!-TIME(0,0,0))*1440,0)&gt;0,ROUND((#REF!-TIME(0,0,0))*1440,0)&lt;tbl_Case_mins[[#This Row],[Surgery Finish]],tbl_Case_mins[[#This Row],[Surgery End Date]]&gt;tbl_Case_mins[[#This Row],[Surgery Start Date]]),ROUND((#REF!-TIME(0,0,0))*1440,0)+1440,ROUND((#REF!-TIME(0,0,0))*1440,0))</f>
        <v>#REF!</v>
      </c>
      <c r="U117" s="9" t="e">
        <f>IF(AND(ROUND((#REF!-TIME(0,0,0))*1440,0)&gt;0,ROUND((#REF!-TIME(0,0,0))*1440,0)&lt;tbl_Case_mins[[#This Row],[Anaesth End]],tbl_Case_mins[[#This Row],[Surgery End Date]]&gt;tbl_Case_mins[[#This Row],[Surgery Start Date]]),ROUND((#REF!-TIME(0,0,0))*1440,0)+1440,ROUND((#REF!-TIME(0,0,0))*1440,0))</f>
        <v>#REF!</v>
      </c>
      <c r="V117" s="9" t="e">
        <f>IF(AND(ROUND((#REF!-TIME(0,0,0))*1440,0)&gt;0,ROUND((#REF!-TIME(0,0,0))*1440,0)&lt;tbl_Case_mins[[#This Row],[Into Recov]],tbl_Case_mins[[#This Row],[Surgery End Date]]&gt;tbl_Case_mins[[#This Row],[Surgery Start Date]]),ROUND((#REF!-TIME(0,0,0))*1440,0)+1440,ROUND((#REF!-TIME(0,0,0))*1440,0))</f>
        <v>#REF!</v>
      </c>
      <c r="W117" s="9" t="e">
        <f>IF(AND(ROUND((#REF!-TIME(0,0,0))*1440,0)&gt;0,ROUND((#REF!-TIME(0,0,0))*1440,0)&lt;tbl_Case_mins[[#This Row],[Ward Called]],tbl_Case_mins[[#This Row],[Surgery End Date]]&gt;tbl_Case_mins[[#This Row],[Surgery Start Date]]),ROUND((#REF!-TIME(0,0,0))*1440,0)+1440,ROUND((#REF!-TIME(0,0,0))*1440,0))</f>
        <v>#REF!</v>
      </c>
      <c r="X117" s="4" t="e">
        <f>IF(ISBLANK(#REF!),tbl_Case_mins[[#This Row],[Surgery Start Date]],#REF!)</f>
        <v>#REF!</v>
      </c>
      <c r="Y117">
        <f>IFERROR(IF(VLOOKUP(tbl_Case_mins[[#This Row],[Theatre]],'Mng Theatres'!$C$7:$G$12,3,FALSE)="Yes","Yes","No"),0)</f>
        <v>0</v>
      </c>
      <c r="Z117" s="9" t="e" cm="1">
        <f t="array" ref="Z11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7" s="9" t="e" cm="1">
        <f t="array" ref="AA11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7" s="9" t="e">
        <f>IF(tbl_Case_mins[[#This Row],[Case Type]]="Unsch",1,0)</f>
        <v>#REF!</v>
      </c>
      <c r="AD117" s="9" t="e">
        <f>IF(tbl_Case_mins[[#This Row],[Case Type]]="Sch",1,0)</f>
        <v>#REF!</v>
      </c>
      <c r="AE11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7" s="9">
        <f>IFERROR(IF(ISBLANK(INDEX(Am_Close,MATCH(1,INDEX((tbl_Case_mins[[#This Row],[Theatre]]=Theatre_No)*(tbl_Case_mins[[#This Row],[Surgery Start Date]]=Date),0,1),0))*1440),0,INDEX(Am_Close,MATCH(1,INDEX((tbl_Case_mins[[#This Row],[Theatre]]=Theatre_No)*(tbl_Case_mins[[#This Row],[Surgery Start Date]]=Date),0,1),0))*1440),0)</f>
        <v>0</v>
      </c>
      <c r="AG117" s="9">
        <f>IFERROR(IF(ISBLANK(INDEX(PM_Open,MATCH(1,INDEX((tbl_Case_mins[[#This Row],[Theatre]]=Theatre_No)*(tbl_Case_mins[[#This Row],[Surgery Start Date]]=Date),0,1),0))*1440),0,INDEX(PM_Open,MATCH(1,INDEX((tbl_Case_mins[[#This Row],[Theatre]]=Theatre_No)*(tbl_Case_mins[[#This Row],[Surgery Start Date]]=Date),0,1),0))*1440),0)</f>
        <v>0</v>
      </c>
      <c r="AH11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7" s="9" t="e">
        <f>IF(tbl_Case_mins[[#This Row],[ThOpenAm]]=0,tbl_Case_mins[[#This Row],[ThOpenPM]],tbl_Case_mins[[#This Row],[ThOpenAm]])</f>
        <v>#REF!</v>
      </c>
      <c r="AJ117" s="9" t="e">
        <f>IF(tbl_Case_mins[[#This Row],[ThCloseAm]]&gt;0,IF(tbl_Case_mins[[#This Row],[ThOpenPM]]&gt;0,tbl_Case_mins[[#This Row],[ThClosePm]],tbl_Case_mins[[#This Row],[ThCloseAm]]),tbl_Case_mins[[#This Row],[ThClosePm]])</f>
        <v>#REF!</v>
      </c>
      <c r="AK117" s="9" t="e">
        <f>IF(tbl_Case_mins[[#This Row],[TOT]]&gt;0,1,0)</f>
        <v>#REF!</v>
      </c>
      <c r="AL11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7" s="9" t="e">
        <f>IF(AND(tbl_Case_mins[[#This Row],[Surgery Status]]&lt;&gt;2,tbl_Case_mins[[#This Row],[InCoreCase]]=0,tbl_Case_mins[[#This Row],[CancelledCase]]=0),1,0)</f>
        <v>#REF!</v>
      </c>
      <c r="AN117" s="9" t="e">
        <f>IF(tbl_Case_mins[[#This Row],[Surgery Status]]=1,1,0)</f>
        <v>#REF!</v>
      </c>
      <c r="AO11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7" s="9" t="e">
        <f>IF(AND(tbl_Case_mins[[#This Row],[NonCoreCase]]=1,tbl_Case_mins[[#This Row],[NoInCoreTime]]=0),1,0)</f>
        <v>#REF!</v>
      </c>
      <c r="AQ117" s="9" t="e">
        <f>IF(tbl_Case_mins[[#This Row],[Rank_AnaEnd]]&lt;tbl_Case_mins[[#This Row],[Rank_AnaSt]],1,0)</f>
        <v>#REF!</v>
      </c>
      <c r="AR117" s="9" t="e">
        <f>IF(AND(tbl_Case_mins[[#This Row],[InCoreCase]]=1,tbl_Case_mins[[#This Row],[Sch]]=1),1,0)</f>
        <v>#REF!</v>
      </c>
      <c r="AS117" s="9" t="e">
        <f>IF(AND(tbl_Case_mins[[#This Row],[InCoreCase]]=1,tbl_Case_mins[[#This Row],[Unsch]]=1),1,0)</f>
        <v>#REF!</v>
      </c>
      <c r="AT11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7" s="9" t="e">
        <f>IF(tbl_Case_mins[[#This Row],[Surgery Status]]=0,(tbl_Case_mins[[#This Row],[Anaesth End]]-tbl_Case_mins[[#This Row],[AnaesthStart]]),0)</f>
        <v>#REF!</v>
      </c>
      <c r="AX117" s="9" t="e">
        <f>IF(tbl_Case_mins[[#This Row],[Surgery Status]]=0,(tbl_Case_mins[[#This Row],[Surgery Finish]]-tbl_Case_mins[[#This Row],[Surgery Start]]),0)</f>
        <v>#REF!</v>
      </c>
      <c r="AY117" s="9" t="e">
        <f>tbl_Case_mins[[#This Row],[Surgery Start]]-tbl_Case_mins[[#This Row],[AnaesthStart]]</f>
        <v>#REF!</v>
      </c>
      <c r="AZ117" s="9" t="e">
        <f>tbl_Case_mins[[#This Row],[Anaesth End]]-tbl_Case_mins[[#This Row],[Surgery Finish]]</f>
        <v>#REF!</v>
      </c>
      <c r="BA11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7" s="16" cm="1">
        <f t="array" ref="BC11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7" s="16" t="e">
        <f>IF(AND(tbl_Case_mins[[#This Row],[FirstAMCase]]=1,tbl_Case_mins[[#This Row],[CancelledCase]]=0,OR(tbl_Case_mins[[#This Row],[EarlyStartAM]]&gt;0,tbl_Case_mins[[#This Row],[AnaesthStart]]=tbl_Case_mins[[#This Row],[ThOpenAm]])),1,0)</f>
        <v>#REF!</v>
      </c>
      <c r="BE117" s="16" t="e">
        <f>IF(AND(tbl_Case_mins[[#This Row],[Rank_AnaSt]]=tbl_Case_mins[[#This Row],[Min_RankAnaSt]],tbl_Case_mins[[#This Row],[Anaesth End]]&gt;=tbl_Case_mins[[#This Row],[ThOpenAm]],tbl_Case_mins[[#This Row],[PmCase]]=0),1,0)</f>
        <v>#REF!</v>
      </c>
      <c r="BF11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7" s="9" t="e" cm="1">
        <f t="array" ref="BH11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7" s="9" t="e">
        <f>IF(AND(tbl_Case_mins[[#This Row],[ThOpenPM]]&gt;0,tbl_Case_mins[[#This Row],[AnaesthStart]]&gt;tbl_Case_mins[[#This Row],[ThOpenPM]],tbl_Case_mins[[#This Row],[First PM Case]]=1),tbl_Case_mins[[#This Row],[AnaesthStart]]-tbl_Case_mins[[#This Row],[ThOpenPM]],0)</f>
        <v>#REF!</v>
      </c>
      <c r="BL11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7" s="9" t="e" cm="1">
        <f t="array" ref="BN11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7" s="9" t="e">
        <f>IF(AND(tbl_Case_mins[[#This Row],[ThClosePm]]&gt;0,tbl_Case_mins[[#This Row],[Anaesth End]]&gt;tbl_Case_mins[[#This Row],[ThClosePm]],tbl_Case_mins[[#This Row],[AnaesthStart]]&gt;tbl_Case_mins[[#This Row],[ThClosePm]]),tbl_Case_mins[[#This Row],[Into Recov]]-tbl_Case_mins[[#This Row],[AnaesthStart]],0)</f>
        <v>#REF!</v>
      </c>
      <c r="BP117" s="9" t="e">
        <f>IF(AND(tbl_Case_mins[[#This Row],[AnaesthStart]]&lt;tbl_Case_mins[[#This Row],[ThClosePm]],tbl_Case_mins[[#This Row],[Anaesth End]]&gt;tbl_Case_mins[[#This Row],[ThClosePm]]),tbl_Case_mins[[#This Row],[Anaesth End]]-tbl_Case_mins[[#This Row],[ThClosePm]],0)</f>
        <v>#REF!</v>
      </c>
      <c r="BQ117" s="9" t="e" cm="1">
        <f t="array" ref="BQ11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7" s="9" t="e" cm="1">
        <f t="array" ref="BR117">IF(tbl_Case_mins[[#This Row],[Rank_Adjust]]=SUMPRODUCT(-(tbl_Case_mins[Surgery Start Date]=tbl_Case_mins[[#This Row],[Surgery Start Date]]),-(tbl_Case_mins[Theatre]=tbl_Case_mins[[#This Row],[Theatre]])),INDEX(Poss_Time,MATCH(TEXT(tbl_Case_mins[[#This Row],[Surgery Start Date]],"ddd"),Day,0)),0)</f>
        <v>#REF!</v>
      </c>
      <c r="BS117" s="9" t="e">
        <f>tbl_Case_mins[[#This Row],[Core_Time]]*Util_Goal</f>
        <v>#REF!</v>
      </c>
      <c r="BT117" s="9" t="e" cm="1">
        <f t="array" ref="BT1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7" s="9" t="e" cm="1">
        <f t="array" ref="BU1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7" s="9" t="e">
        <f>IF(tbl_Case_mins[[#This Row],[Surgery End Date]]&gt;tbl_Case_mins[[#This Row],[Surgery Start Date]],tbl_Case_mins[[#This Row],[Anaesth End]]-1440,0)</f>
        <v>#REF!</v>
      </c>
      <c r="BY117" s="9" t="e">
        <f>tbl_Case_mins[[#This Row],[Total_NonCore]]-tbl_Case_mins[[#This Row],[NextDay_NonCore]]</f>
        <v>#REF!</v>
      </c>
      <c r="BZ117" s="10" t="e">
        <f>tbl_Case_mins[[#This Row],[InCoreUse]]/60</f>
        <v>#REF!</v>
      </c>
      <c r="CA117" s="10" t="e">
        <f>tbl_Case_mins[[#This Row],[Total_NonCore]]/60</f>
        <v>#REF!</v>
      </c>
      <c r="CB117" t="e" cm="1">
        <f t="array" ref="CB1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7" s="9" t="e" cm="1">
        <f t="array" ref="CC11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7" s="9" t="e" cm="1">
        <f t="array" ref="CD1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7" s="9" t="e" cm="1">
        <f t="array" ref="CE11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7" s="9" cm="1">
        <f t="array" ref="CF117">IFERROR(_xlfn.AGGREGATE(14,6,(tbl_Case_mins[Rank_AnaEnd])/((tbl_Case_mins[Surgery Start Date]=tbl_Case_mins[[#This Row],[Surgery Start Date]])*(tbl_Case_mins[Theatre]=tbl_Case_mins[[#This Row],[Theatre]])*(tbl_Case_mins[NoInCoreTime]=0)),1),-1)</f>
        <v>-1</v>
      </c>
      <c r="CG117" s="9" cm="1">
        <f t="array" ref="CG117">IFERROR(_xlfn.AGGREGATE(15,6,(tbl_Case_mins[Rank_AnaSt])/((tbl_Case_mins[Surgery Start Date]=tbl_Case_mins[[#This Row],[Surgery Start Date]])*(tbl_Case_mins[Theatre]=tbl_Case_mins[[#This Row],[Theatre]])*(tbl_Case_mins[NoInCoreTime]=0)),1),-1)</f>
        <v>-1</v>
      </c>
      <c r="CH11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7" t="e" cm="1">
        <f t="array" ref="CJ11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7" s="9" cm="1">
        <f t="array" ref="CO1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7" s="9" cm="1">
        <f t="array" ref="CP1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7" s="9" cm="1">
        <f t="array" ref="CQ117">IFERROR(IF(AND(tbl_Case_mins[[#This Row],[FirstAMCase]]=0,tbl_Case_mins[[#This Row],[Rank]]=_xlfn.AGGREGATE(14,6,(tbl_Case_mins[Rank])/((tbl_Case_mins[Surgery Start Date]=tbl_Case_mins[[#This Row],[Surgery Start Date]])*(tbl_Case_mins[Theatre]=tbl_Case_mins[[#This Row],[Theatre]])*(tbl_Case_mins[AmCase]=1)),1)),1,0),0)</f>
        <v>0</v>
      </c>
      <c r="CR117" s="9" cm="1">
        <f t="array" ref="CR11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7" s="9" t="e" cm="1">
        <f t="array" ref="CS11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7" s="9" cm="1">
        <f t="array" ref="CT117">IFERROR(IF(tbl_Case_mins[[#This Row],[Rank]]=_xlfn.AGGREGATE(15,6,(tbl_Case_mins[Rank])/((tbl_Case_mins[Surgery Start Date]=tbl_Case_mins[[#This Row],[Surgery Start Date]])*(tbl_Case_mins[Theatre]=tbl_Case_mins[[#This Row],[Theatre]])*(tbl_Case_mins[PmCase]=1)),1),1,0),0)</f>
        <v>0</v>
      </c>
      <c r="CU117">
        <f>IFERROR(#REF!,0)</f>
        <v>0</v>
      </c>
      <c r="CV117" s="9" t="e" cm="1">
        <f t="array" ref="CV11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7" s="9">
        <f>IFERROR(IF(ISBLANK(INDEX(Bay_AmClose,MATCH(1,INDEX((tbl_Case_mins[[#This Row],[Bay]]=BayNo)*(tbl_Case_mins[[#This Row],[Surgery Start Date]]=BDate),0,1),0))*1440),0,INDEX(Bay_AmClose,MATCH(1,INDEX((tbl_Case_mins[[#This Row],[Bay]]=BayNo)*(tbl_Case_mins[[#This Row],[Surgery Start Date]]=BDate),0,1),0))*1440),0)</f>
        <v>0</v>
      </c>
      <c r="CX117" s="9" cm="1">
        <f t="array" ref="CX117">IFERROR(IF(ISBLANK(INDEX(Bay_PmOpen,MATCH(1,INDEX((tbl_Case_mins[[#This Row],[Bay]]=BayNo)*(tbl_Case_mins[[#This Row],[Surgery Start Date]]=BDate),0,1),0))*1440),0,INDEX(Bay_PmOpen,MATCH(1,INDEX((tbl_Case_mins[[#This Row],[Bay]]=BayNo)*(tbl_Case_mins[[#This Row],[Surgery Start Date]]=BDate),0,1),0))*1440),0)</f>
        <v>0</v>
      </c>
      <c r="CY11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7" s="9"/>
    </row>
    <row r="118" spans="1:104" x14ac:dyDescent="0.2">
      <c r="A118">
        <v>117</v>
      </c>
      <c r="B118" t="e">
        <f>#REF!</f>
        <v>#REF!</v>
      </c>
      <c r="C118" t="e">
        <f>#REF!</f>
        <v>#REF!</v>
      </c>
      <c r="D118" t="e">
        <f>#REF!</f>
        <v>#REF!</v>
      </c>
      <c r="E118" t="e">
        <f>#REF!</f>
        <v>#REF!</v>
      </c>
      <c r="F118" t="e">
        <f>#REF!</f>
        <v>#REF!</v>
      </c>
      <c r="G118" t="e">
        <f>#REF!</f>
        <v>#REF!</v>
      </c>
      <c r="H118" t="e">
        <f>#REF!</f>
        <v>#REF!</v>
      </c>
      <c r="I118" t="e">
        <f>IF(#REF!="Case Cancelled",1,IF(#REF!="No Cases",2,0))</f>
        <v>#REF!</v>
      </c>
      <c r="J118" t="e">
        <f>#REF!</f>
        <v>#REF!</v>
      </c>
      <c r="K118" s="4" t="e">
        <f>#REF!</f>
        <v>#REF!</v>
      </c>
      <c r="L118" t="e">
        <f>"Wk "&amp;WEEKNUM(tbl_Case_mins[[#This Row],[Surgery Start Date]],21)</f>
        <v>#REF!</v>
      </c>
      <c r="M118" t="e">
        <f>TEXT(tbl_Case_mins[[#This Row],[Surgery Start Date]],"ddd")</f>
        <v>#REF!</v>
      </c>
      <c r="N118" s="9" t="e">
        <f>(#REF!-TIME(0,0,0))*1440</f>
        <v>#REF!</v>
      </c>
      <c r="O118" t="e">
        <f>IF(AND(ROUND((#REF!-TIME(0,0,0))*1440,0)&gt;0,ROUND((#REF!-TIME(0,0,0))*1440,0)&lt;tbl_Case_mins[[#This Row],[Patient Called]],tbl_Case_mins[[#This Row],[Surgery End Date]]&gt;tbl_Case_mins[[#This Row],[Surgery Start Date]]),ROUND((#REF!-TIME(0,0,0))*1440,0)+1440,ROUND((#REF!-TIME(0,0,0))*1440,0))</f>
        <v>#REF!</v>
      </c>
      <c r="P118" s="9" t="e">
        <f>IF(AND(ROUND((#REF!-TIME(0,0,0))*1440,0)&gt;0,ROUND((#REF!-TIME(0,0,0))*1440,0)&lt;tbl_Case_mins[[#This Row],[Arrival]],tbl_Case_mins[[#This Row],[Surgery End Date]]&gt;tbl_Case_mins[[#This Row],[Surgery Start Date]]),ROUND((#REF!-TIME(0,0,0))*1440,0)+1440,ROUND((#REF!-TIME(0,0,0))*1440,0))</f>
        <v>#REF!</v>
      </c>
      <c r="Q118" s="9" t="e">
        <f>IF(AND(ROUND((#REF!-TIME(0,0,0))*1440,0)&gt;0,ROUND((#REF!-TIME(0,0,0))*1440,0)&lt;tbl_Case_mins[[#This Row],[Into Th or AR]],tbl_Case_mins[[#This Row],[Surgery End Date]]&gt;tbl_Case_mins[[#This Row],[Surgery Start Date]]),ROUND((#REF!-TIME(0,0,0))*1440,0)+1440,ROUND((#REF!-TIME(0,0,0))*1440,0))</f>
        <v>#REF!</v>
      </c>
      <c r="R118" s="9" t="e">
        <f>IF(AND(ROUND((#REF!-TIME(0,0,0))*1440,0)&gt;0,ROUND((#REF!-TIME(0,0,0))*1440,0)&lt;tbl_Case_mins[[#This Row],[AnaesthStart]],tbl_Case_mins[[#This Row],[Surgery End Date]]&gt;tbl_Case_mins[[#This Row],[Surgery Start Date]]),ROUND((#REF!-TIME(0,0,0))*1440,0)+1440,ROUND((#REF!-TIME(0,0,0))*1440,0))</f>
        <v>#REF!</v>
      </c>
      <c r="S118" s="9" t="e">
        <f>IF(AND(ROUND((#REF!-TIME(0,0,0))*1440,0),ROUND((#REF!-TIME(0,0,0))*1440,0)&lt;tbl_Case_mins[[#This Row],[Surgery Start]],tbl_Case_mins[[#This Row],[Surgery End Date]]&gt;tbl_Case_mins[[#This Row],[Surgery Start Date]]),ROUND((#REF!-TIME(0,0,0))*1440,0)+1440,ROUND((#REF!-TIME(0,0,0))*1440,0))</f>
        <v>#REF!</v>
      </c>
      <c r="T118" s="9" t="e">
        <f>IF(AND(ROUND((#REF!-TIME(0,0,0))*1440,0)&gt;0,ROUND((#REF!-TIME(0,0,0))*1440,0)&lt;tbl_Case_mins[[#This Row],[Surgery Finish]],tbl_Case_mins[[#This Row],[Surgery End Date]]&gt;tbl_Case_mins[[#This Row],[Surgery Start Date]]),ROUND((#REF!-TIME(0,0,0))*1440,0)+1440,ROUND((#REF!-TIME(0,0,0))*1440,0))</f>
        <v>#REF!</v>
      </c>
      <c r="U118" s="9" t="e">
        <f>IF(AND(ROUND((#REF!-TIME(0,0,0))*1440,0)&gt;0,ROUND((#REF!-TIME(0,0,0))*1440,0)&lt;tbl_Case_mins[[#This Row],[Anaesth End]],tbl_Case_mins[[#This Row],[Surgery End Date]]&gt;tbl_Case_mins[[#This Row],[Surgery Start Date]]),ROUND((#REF!-TIME(0,0,0))*1440,0)+1440,ROUND((#REF!-TIME(0,0,0))*1440,0))</f>
        <v>#REF!</v>
      </c>
      <c r="V118" s="9" t="e">
        <f>IF(AND(ROUND((#REF!-TIME(0,0,0))*1440,0)&gt;0,ROUND((#REF!-TIME(0,0,0))*1440,0)&lt;tbl_Case_mins[[#This Row],[Into Recov]],tbl_Case_mins[[#This Row],[Surgery End Date]]&gt;tbl_Case_mins[[#This Row],[Surgery Start Date]]),ROUND((#REF!-TIME(0,0,0))*1440,0)+1440,ROUND((#REF!-TIME(0,0,0))*1440,0))</f>
        <v>#REF!</v>
      </c>
      <c r="W118" s="9" t="e">
        <f>IF(AND(ROUND((#REF!-TIME(0,0,0))*1440,0)&gt;0,ROUND((#REF!-TIME(0,0,0))*1440,0)&lt;tbl_Case_mins[[#This Row],[Ward Called]],tbl_Case_mins[[#This Row],[Surgery End Date]]&gt;tbl_Case_mins[[#This Row],[Surgery Start Date]]),ROUND((#REF!-TIME(0,0,0))*1440,0)+1440,ROUND((#REF!-TIME(0,0,0))*1440,0))</f>
        <v>#REF!</v>
      </c>
      <c r="X118" s="4" t="e">
        <f>IF(ISBLANK(#REF!),tbl_Case_mins[[#This Row],[Surgery Start Date]],#REF!)</f>
        <v>#REF!</v>
      </c>
      <c r="Y118">
        <f>IFERROR(IF(VLOOKUP(tbl_Case_mins[[#This Row],[Theatre]],'Mng Theatres'!$C$7:$G$12,3,FALSE)="Yes","Yes","No"),0)</f>
        <v>0</v>
      </c>
      <c r="Z118" s="9" t="e" cm="1">
        <f t="array" ref="Z11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8" s="9" t="e" cm="1">
        <f t="array" ref="AA11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8" s="9" t="e">
        <f>IF(tbl_Case_mins[[#This Row],[Case Type]]="Unsch",1,0)</f>
        <v>#REF!</v>
      </c>
      <c r="AD118" s="9" t="e">
        <f>IF(tbl_Case_mins[[#This Row],[Case Type]]="Sch",1,0)</f>
        <v>#REF!</v>
      </c>
      <c r="AE11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8" s="9">
        <f>IFERROR(IF(ISBLANK(INDEX(Am_Close,MATCH(1,INDEX((tbl_Case_mins[[#This Row],[Theatre]]=Theatre_No)*(tbl_Case_mins[[#This Row],[Surgery Start Date]]=Date),0,1),0))*1440),0,INDEX(Am_Close,MATCH(1,INDEX((tbl_Case_mins[[#This Row],[Theatre]]=Theatre_No)*(tbl_Case_mins[[#This Row],[Surgery Start Date]]=Date),0,1),0))*1440),0)</f>
        <v>0</v>
      </c>
      <c r="AG118" s="9">
        <f>IFERROR(IF(ISBLANK(INDEX(PM_Open,MATCH(1,INDEX((tbl_Case_mins[[#This Row],[Theatre]]=Theatre_No)*(tbl_Case_mins[[#This Row],[Surgery Start Date]]=Date),0,1),0))*1440),0,INDEX(PM_Open,MATCH(1,INDEX((tbl_Case_mins[[#This Row],[Theatre]]=Theatre_No)*(tbl_Case_mins[[#This Row],[Surgery Start Date]]=Date),0,1),0))*1440),0)</f>
        <v>0</v>
      </c>
      <c r="AH11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8" s="9" t="e">
        <f>IF(tbl_Case_mins[[#This Row],[ThOpenAm]]=0,tbl_Case_mins[[#This Row],[ThOpenPM]],tbl_Case_mins[[#This Row],[ThOpenAm]])</f>
        <v>#REF!</v>
      </c>
      <c r="AJ118" s="9" t="e">
        <f>IF(tbl_Case_mins[[#This Row],[ThCloseAm]]&gt;0,IF(tbl_Case_mins[[#This Row],[ThOpenPM]]&gt;0,tbl_Case_mins[[#This Row],[ThClosePm]],tbl_Case_mins[[#This Row],[ThCloseAm]]),tbl_Case_mins[[#This Row],[ThClosePm]])</f>
        <v>#REF!</v>
      </c>
      <c r="AK118" s="9" t="e">
        <f>IF(tbl_Case_mins[[#This Row],[TOT]]&gt;0,1,0)</f>
        <v>#REF!</v>
      </c>
      <c r="AL11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8" s="9" t="e">
        <f>IF(AND(tbl_Case_mins[[#This Row],[Surgery Status]]&lt;&gt;2,tbl_Case_mins[[#This Row],[InCoreCase]]=0,tbl_Case_mins[[#This Row],[CancelledCase]]=0),1,0)</f>
        <v>#REF!</v>
      </c>
      <c r="AN118" s="9" t="e">
        <f>IF(tbl_Case_mins[[#This Row],[Surgery Status]]=1,1,0)</f>
        <v>#REF!</v>
      </c>
      <c r="AO11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8" s="9" t="e">
        <f>IF(AND(tbl_Case_mins[[#This Row],[NonCoreCase]]=1,tbl_Case_mins[[#This Row],[NoInCoreTime]]=0),1,0)</f>
        <v>#REF!</v>
      </c>
      <c r="AQ118" s="9" t="e">
        <f>IF(tbl_Case_mins[[#This Row],[Rank_AnaEnd]]&lt;tbl_Case_mins[[#This Row],[Rank_AnaSt]],1,0)</f>
        <v>#REF!</v>
      </c>
      <c r="AR118" s="9" t="e">
        <f>IF(AND(tbl_Case_mins[[#This Row],[InCoreCase]]=1,tbl_Case_mins[[#This Row],[Sch]]=1),1,0)</f>
        <v>#REF!</v>
      </c>
      <c r="AS118" s="9" t="e">
        <f>IF(AND(tbl_Case_mins[[#This Row],[InCoreCase]]=1,tbl_Case_mins[[#This Row],[Unsch]]=1),1,0)</f>
        <v>#REF!</v>
      </c>
      <c r="AT11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8" s="9" t="e">
        <f>IF(tbl_Case_mins[[#This Row],[Surgery Status]]=0,(tbl_Case_mins[[#This Row],[Anaesth End]]-tbl_Case_mins[[#This Row],[AnaesthStart]]),0)</f>
        <v>#REF!</v>
      </c>
      <c r="AX118" s="9" t="e">
        <f>IF(tbl_Case_mins[[#This Row],[Surgery Status]]=0,(tbl_Case_mins[[#This Row],[Surgery Finish]]-tbl_Case_mins[[#This Row],[Surgery Start]]),0)</f>
        <v>#REF!</v>
      </c>
      <c r="AY118" s="9" t="e">
        <f>tbl_Case_mins[[#This Row],[Surgery Start]]-tbl_Case_mins[[#This Row],[AnaesthStart]]</f>
        <v>#REF!</v>
      </c>
      <c r="AZ118" s="9" t="e">
        <f>tbl_Case_mins[[#This Row],[Anaesth End]]-tbl_Case_mins[[#This Row],[Surgery Finish]]</f>
        <v>#REF!</v>
      </c>
      <c r="BA11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8" s="16" cm="1">
        <f t="array" ref="BC11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8" s="16" t="e">
        <f>IF(AND(tbl_Case_mins[[#This Row],[FirstAMCase]]=1,tbl_Case_mins[[#This Row],[CancelledCase]]=0,OR(tbl_Case_mins[[#This Row],[EarlyStartAM]]&gt;0,tbl_Case_mins[[#This Row],[AnaesthStart]]=tbl_Case_mins[[#This Row],[ThOpenAm]])),1,0)</f>
        <v>#REF!</v>
      </c>
      <c r="BE118" s="16" t="e">
        <f>IF(AND(tbl_Case_mins[[#This Row],[Rank_AnaSt]]=tbl_Case_mins[[#This Row],[Min_RankAnaSt]],tbl_Case_mins[[#This Row],[Anaesth End]]&gt;=tbl_Case_mins[[#This Row],[ThOpenAm]],tbl_Case_mins[[#This Row],[PmCase]]=0),1,0)</f>
        <v>#REF!</v>
      </c>
      <c r="BF11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8" s="9" t="e" cm="1">
        <f t="array" ref="BH11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8" s="9" t="e">
        <f>IF(AND(tbl_Case_mins[[#This Row],[ThOpenPM]]&gt;0,tbl_Case_mins[[#This Row],[AnaesthStart]]&gt;tbl_Case_mins[[#This Row],[ThOpenPM]],tbl_Case_mins[[#This Row],[First PM Case]]=1),tbl_Case_mins[[#This Row],[AnaesthStart]]-tbl_Case_mins[[#This Row],[ThOpenPM]],0)</f>
        <v>#REF!</v>
      </c>
      <c r="BL11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8" s="9" t="e" cm="1">
        <f t="array" ref="BN11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8" s="9" t="e">
        <f>IF(AND(tbl_Case_mins[[#This Row],[ThClosePm]]&gt;0,tbl_Case_mins[[#This Row],[Anaesth End]]&gt;tbl_Case_mins[[#This Row],[ThClosePm]],tbl_Case_mins[[#This Row],[AnaesthStart]]&gt;tbl_Case_mins[[#This Row],[ThClosePm]]),tbl_Case_mins[[#This Row],[Into Recov]]-tbl_Case_mins[[#This Row],[AnaesthStart]],0)</f>
        <v>#REF!</v>
      </c>
      <c r="BP118" s="9" t="e">
        <f>IF(AND(tbl_Case_mins[[#This Row],[AnaesthStart]]&lt;tbl_Case_mins[[#This Row],[ThClosePm]],tbl_Case_mins[[#This Row],[Anaesth End]]&gt;tbl_Case_mins[[#This Row],[ThClosePm]]),tbl_Case_mins[[#This Row],[Anaesth End]]-tbl_Case_mins[[#This Row],[ThClosePm]],0)</f>
        <v>#REF!</v>
      </c>
      <c r="BQ118" s="9" t="e" cm="1">
        <f t="array" ref="BQ11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8" s="9" t="e" cm="1">
        <f t="array" ref="BR118">IF(tbl_Case_mins[[#This Row],[Rank_Adjust]]=SUMPRODUCT(-(tbl_Case_mins[Surgery Start Date]=tbl_Case_mins[[#This Row],[Surgery Start Date]]),-(tbl_Case_mins[Theatre]=tbl_Case_mins[[#This Row],[Theatre]])),INDEX(Poss_Time,MATCH(TEXT(tbl_Case_mins[[#This Row],[Surgery Start Date]],"ddd"),Day,0)),0)</f>
        <v>#REF!</v>
      </c>
      <c r="BS118" s="9" t="e">
        <f>tbl_Case_mins[[#This Row],[Core_Time]]*Util_Goal</f>
        <v>#REF!</v>
      </c>
      <c r="BT118" s="9" t="e" cm="1">
        <f t="array" ref="BT1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8" s="9" t="e" cm="1">
        <f t="array" ref="BU1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8" s="9" t="e">
        <f>IF(tbl_Case_mins[[#This Row],[Surgery End Date]]&gt;tbl_Case_mins[[#This Row],[Surgery Start Date]],tbl_Case_mins[[#This Row],[Anaesth End]]-1440,0)</f>
        <v>#REF!</v>
      </c>
      <c r="BY118" s="9" t="e">
        <f>tbl_Case_mins[[#This Row],[Total_NonCore]]-tbl_Case_mins[[#This Row],[NextDay_NonCore]]</f>
        <v>#REF!</v>
      </c>
      <c r="BZ118" s="10" t="e">
        <f>tbl_Case_mins[[#This Row],[InCoreUse]]/60</f>
        <v>#REF!</v>
      </c>
      <c r="CA118" s="10" t="e">
        <f>tbl_Case_mins[[#This Row],[Total_NonCore]]/60</f>
        <v>#REF!</v>
      </c>
      <c r="CB118" t="e" cm="1">
        <f t="array" ref="CB1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8" s="9" t="e" cm="1">
        <f t="array" ref="CC11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8" s="9" t="e" cm="1">
        <f t="array" ref="CD1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8" s="9" t="e" cm="1">
        <f t="array" ref="CE11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8" s="9" cm="1">
        <f t="array" ref="CF118">IFERROR(_xlfn.AGGREGATE(14,6,(tbl_Case_mins[Rank_AnaEnd])/((tbl_Case_mins[Surgery Start Date]=tbl_Case_mins[[#This Row],[Surgery Start Date]])*(tbl_Case_mins[Theatre]=tbl_Case_mins[[#This Row],[Theatre]])*(tbl_Case_mins[NoInCoreTime]=0)),1),-1)</f>
        <v>-1</v>
      </c>
      <c r="CG118" s="9" cm="1">
        <f t="array" ref="CG118">IFERROR(_xlfn.AGGREGATE(15,6,(tbl_Case_mins[Rank_AnaSt])/((tbl_Case_mins[Surgery Start Date]=tbl_Case_mins[[#This Row],[Surgery Start Date]])*(tbl_Case_mins[Theatre]=tbl_Case_mins[[#This Row],[Theatre]])*(tbl_Case_mins[NoInCoreTime]=0)),1),-1)</f>
        <v>-1</v>
      </c>
      <c r="CH11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8" t="e" cm="1">
        <f t="array" ref="CJ11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8" s="9" cm="1">
        <f t="array" ref="CO1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8" s="9" cm="1">
        <f t="array" ref="CP1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8" s="9" cm="1">
        <f t="array" ref="CQ118">IFERROR(IF(AND(tbl_Case_mins[[#This Row],[FirstAMCase]]=0,tbl_Case_mins[[#This Row],[Rank]]=_xlfn.AGGREGATE(14,6,(tbl_Case_mins[Rank])/((tbl_Case_mins[Surgery Start Date]=tbl_Case_mins[[#This Row],[Surgery Start Date]])*(tbl_Case_mins[Theatre]=tbl_Case_mins[[#This Row],[Theatre]])*(tbl_Case_mins[AmCase]=1)),1)),1,0),0)</f>
        <v>0</v>
      </c>
      <c r="CR118" s="9" cm="1">
        <f t="array" ref="CR11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8" s="9" t="e" cm="1">
        <f t="array" ref="CS11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8" s="9" cm="1">
        <f t="array" ref="CT118">IFERROR(IF(tbl_Case_mins[[#This Row],[Rank]]=_xlfn.AGGREGATE(15,6,(tbl_Case_mins[Rank])/((tbl_Case_mins[Surgery Start Date]=tbl_Case_mins[[#This Row],[Surgery Start Date]])*(tbl_Case_mins[Theatre]=tbl_Case_mins[[#This Row],[Theatre]])*(tbl_Case_mins[PmCase]=1)),1),1,0),0)</f>
        <v>0</v>
      </c>
      <c r="CU118">
        <f>IFERROR(#REF!,0)</f>
        <v>0</v>
      </c>
      <c r="CV118" s="9" t="e" cm="1">
        <f t="array" ref="CV11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8" s="9">
        <f>IFERROR(IF(ISBLANK(INDEX(Bay_AmClose,MATCH(1,INDEX((tbl_Case_mins[[#This Row],[Bay]]=BayNo)*(tbl_Case_mins[[#This Row],[Surgery Start Date]]=BDate),0,1),0))*1440),0,INDEX(Bay_AmClose,MATCH(1,INDEX((tbl_Case_mins[[#This Row],[Bay]]=BayNo)*(tbl_Case_mins[[#This Row],[Surgery Start Date]]=BDate),0,1),0))*1440),0)</f>
        <v>0</v>
      </c>
      <c r="CX118" s="9" cm="1">
        <f t="array" ref="CX118">IFERROR(IF(ISBLANK(INDEX(Bay_PmOpen,MATCH(1,INDEX((tbl_Case_mins[[#This Row],[Bay]]=BayNo)*(tbl_Case_mins[[#This Row],[Surgery Start Date]]=BDate),0,1),0))*1440),0,INDEX(Bay_PmOpen,MATCH(1,INDEX((tbl_Case_mins[[#This Row],[Bay]]=BayNo)*(tbl_Case_mins[[#This Row],[Surgery Start Date]]=BDate),0,1),0))*1440),0)</f>
        <v>0</v>
      </c>
      <c r="CY11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8" s="9"/>
    </row>
    <row r="119" spans="1:104" x14ac:dyDescent="0.2">
      <c r="A119">
        <v>118</v>
      </c>
      <c r="B119" t="e">
        <f>#REF!</f>
        <v>#REF!</v>
      </c>
      <c r="C119" t="e">
        <f>#REF!</f>
        <v>#REF!</v>
      </c>
      <c r="D119" t="e">
        <f>#REF!</f>
        <v>#REF!</v>
      </c>
      <c r="E119" t="e">
        <f>#REF!</f>
        <v>#REF!</v>
      </c>
      <c r="F119" t="e">
        <f>#REF!</f>
        <v>#REF!</v>
      </c>
      <c r="G119" t="e">
        <f>#REF!</f>
        <v>#REF!</v>
      </c>
      <c r="H119" t="e">
        <f>#REF!</f>
        <v>#REF!</v>
      </c>
      <c r="I119" t="e">
        <f>IF(#REF!="Case Cancelled",1,IF(#REF!="No Cases",2,0))</f>
        <v>#REF!</v>
      </c>
      <c r="J119" t="e">
        <f>#REF!</f>
        <v>#REF!</v>
      </c>
      <c r="K119" s="4" t="e">
        <f>#REF!</f>
        <v>#REF!</v>
      </c>
      <c r="L119" t="e">
        <f>"Wk "&amp;WEEKNUM(tbl_Case_mins[[#This Row],[Surgery Start Date]],21)</f>
        <v>#REF!</v>
      </c>
      <c r="M119" t="e">
        <f>TEXT(tbl_Case_mins[[#This Row],[Surgery Start Date]],"ddd")</f>
        <v>#REF!</v>
      </c>
      <c r="N119" s="9" t="e">
        <f>(#REF!-TIME(0,0,0))*1440</f>
        <v>#REF!</v>
      </c>
      <c r="O119" t="e">
        <f>IF(AND(ROUND((#REF!-TIME(0,0,0))*1440,0)&gt;0,ROUND((#REF!-TIME(0,0,0))*1440,0)&lt;tbl_Case_mins[[#This Row],[Patient Called]],tbl_Case_mins[[#This Row],[Surgery End Date]]&gt;tbl_Case_mins[[#This Row],[Surgery Start Date]]),ROUND((#REF!-TIME(0,0,0))*1440,0)+1440,ROUND((#REF!-TIME(0,0,0))*1440,0))</f>
        <v>#REF!</v>
      </c>
      <c r="P119" s="9" t="e">
        <f>IF(AND(ROUND((#REF!-TIME(0,0,0))*1440,0)&gt;0,ROUND((#REF!-TIME(0,0,0))*1440,0)&lt;tbl_Case_mins[[#This Row],[Arrival]],tbl_Case_mins[[#This Row],[Surgery End Date]]&gt;tbl_Case_mins[[#This Row],[Surgery Start Date]]),ROUND((#REF!-TIME(0,0,0))*1440,0)+1440,ROUND((#REF!-TIME(0,0,0))*1440,0))</f>
        <v>#REF!</v>
      </c>
      <c r="Q119" s="9" t="e">
        <f>IF(AND(ROUND((#REF!-TIME(0,0,0))*1440,0)&gt;0,ROUND((#REF!-TIME(0,0,0))*1440,0)&lt;tbl_Case_mins[[#This Row],[Into Th or AR]],tbl_Case_mins[[#This Row],[Surgery End Date]]&gt;tbl_Case_mins[[#This Row],[Surgery Start Date]]),ROUND((#REF!-TIME(0,0,0))*1440,0)+1440,ROUND((#REF!-TIME(0,0,0))*1440,0))</f>
        <v>#REF!</v>
      </c>
      <c r="R119" s="9" t="e">
        <f>IF(AND(ROUND((#REF!-TIME(0,0,0))*1440,0)&gt;0,ROUND((#REF!-TIME(0,0,0))*1440,0)&lt;tbl_Case_mins[[#This Row],[AnaesthStart]],tbl_Case_mins[[#This Row],[Surgery End Date]]&gt;tbl_Case_mins[[#This Row],[Surgery Start Date]]),ROUND((#REF!-TIME(0,0,0))*1440,0)+1440,ROUND((#REF!-TIME(0,0,0))*1440,0))</f>
        <v>#REF!</v>
      </c>
      <c r="S119" s="9" t="e">
        <f>IF(AND(ROUND((#REF!-TIME(0,0,0))*1440,0),ROUND((#REF!-TIME(0,0,0))*1440,0)&lt;tbl_Case_mins[[#This Row],[Surgery Start]],tbl_Case_mins[[#This Row],[Surgery End Date]]&gt;tbl_Case_mins[[#This Row],[Surgery Start Date]]),ROUND((#REF!-TIME(0,0,0))*1440,0)+1440,ROUND((#REF!-TIME(0,0,0))*1440,0))</f>
        <v>#REF!</v>
      </c>
      <c r="T119" s="9" t="e">
        <f>IF(AND(ROUND((#REF!-TIME(0,0,0))*1440,0)&gt;0,ROUND((#REF!-TIME(0,0,0))*1440,0)&lt;tbl_Case_mins[[#This Row],[Surgery Finish]],tbl_Case_mins[[#This Row],[Surgery End Date]]&gt;tbl_Case_mins[[#This Row],[Surgery Start Date]]),ROUND((#REF!-TIME(0,0,0))*1440,0)+1440,ROUND((#REF!-TIME(0,0,0))*1440,0))</f>
        <v>#REF!</v>
      </c>
      <c r="U119" s="9" t="e">
        <f>IF(AND(ROUND((#REF!-TIME(0,0,0))*1440,0)&gt;0,ROUND((#REF!-TIME(0,0,0))*1440,0)&lt;tbl_Case_mins[[#This Row],[Anaesth End]],tbl_Case_mins[[#This Row],[Surgery End Date]]&gt;tbl_Case_mins[[#This Row],[Surgery Start Date]]),ROUND((#REF!-TIME(0,0,0))*1440,0)+1440,ROUND((#REF!-TIME(0,0,0))*1440,0))</f>
        <v>#REF!</v>
      </c>
      <c r="V119" s="9" t="e">
        <f>IF(AND(ROUND((#REF!-TIME(0,0,0))*1440,0)&gt;0,ROUND((#REF!-TIME(0,0,0))*1440,0)&lt;tbl_Case_mins[[#This Row],[Into Recov]],tbl_Case_mins[[#This Row],[Surgery End Date]]&gt;tbl_Case_mins[[#This Row],[Surgery Start Date]]),ROUND((#REF!-TIME(0,0,0))*1440,0)+1440,ROUND((#REF!-TIME(0,0,0))*1440,0))</f>
        <v>#REF!</v>
      </c>
      <c r="W119" s="9" t="e">
        <f>IF(AND(ROUND((#REF!-TIME(0,0,0))*1440,0)&gt;0,ROUND((#REF!-TIME(0,0,0))*1440,0)&lt;tbl_Case_mins[[#This Row],[Ward Called]],tbl_Case_mins[[#This Row],[Surgery End Date]]&gt;tbl_Case_mins[[#This Row],[Surgery Start Date]]),ROUND((#REF!-TIME(0,0,0))*1440,0)+1440,ROUND((#REF!-TIME(0,0,0))*1440,0))</f>
        <v>#REF!</v>
      </c>
      <c r="X119" s="4" t="e">
        <f>IF(ISBLANK(#REF!),tbl_Case_mins[[#This Row],[Surgery Start Date]],#REF!)</f>
        <v>#REF!</v>
      </c>
      <c r="Y119">
        <f>IFERROR(IF(VLOOKUP(tbl_Case_mins[[#This Row],[Theatre]],'Mng Theatres'!$C$7:$G$12,3,FALSE)="Yes","Yes","No"),0)</f>
        <v>0</v>
      </c>
      <c r="Z119" s="9" t="e" cm="1">
        <f t="array" ref="Z11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19" s="9" t="e" cm="1">
        <f t="array" ref="AA11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1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19" s="9" t="e">
        <f>IF(tbl_Case_mins[[#This Row],[Case Type]]="Unsch",1,0)</f>
        <v>#REF!</v>
      </c>
      <c r="AD119" s="9" t="e">
        <f>IF(tbl_Case_mins[[#This Row],[Case Type]]="Sch",1,0)</f>
        <v>#REF!</v>
      </c>
      <c r="AE11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19" s="9">
        <f>IFERROR(IF(ISBLANK(INDEX(Am_Close,MATCH(1,INDEX((tbl_Case_mins[[#This Row],[Theatre]]=Theatre_No)*(tbl_Case_mins[[#This Row],[Surgery Start Date]]=Date),0,1),0))*1440),0,INDEX(Am_Close,MATCH(1,INDEX((tbl_Case_mins[[#This Row],[Theatre]]=Theatre_No)*(tbl_Case_mins[[#This Row],[Surgery Start Date]]=Date),0,1),0))*1440),0)</f>
        <v>0</v>
      </c>
      <c r="AG119" s="9">
        <f>IFERROR(IF(ISBLANK(INDEX(PM_Open,MATCH(1,INDEX((tbl_Case_mins[[#This Row],[Theatre]]=Theatre_No)*(tbl_Case_mins[[#This Row],[Surgery Start Date]]=Date),0,1),0))*1440),0,INDEX(PM_Open,MATCH(1,INDEX((tbl_Case_mins[[#This Row],[Theatre]]=Theatre_No)*(tbl_Case_mins[[#This Row],[Surgery Start Date]]=Date),0,1),0))*1440),0)</f>
        <v>0</v>
      </c>
      <c r="AH11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19" s="9" t="e">
        <f>IF(tbl_Case_mins[[#This Row],[ThOpenAm]]=0,tbl_Case_mins[[#This Row],[ThOpenPM]],tbl_Case_mins[[#This Row],[ThOpenAm]])</f>
        <v>#REF!</v>
      </c>
      <c r="AJ119" s="9" t="e">
        <f>IF(tbl_Case_mins[[#This Row],[ThCloseAm]]&gt;0,IF(tbl_Case_mins[[#This Row],[ThOpenPM]]&gt;0,tbl_Case_mins[[#This Row],[ThClosePm]],tbl_Case_mins[[#This Row],[ThCloseAm]]),tbl_Case_mins[[#This Row],[ThClosePm]])</f>
        <v>#REF!</v>
      </c>
      <c r="AK119" s="9" t="e">
        <f>IF(tbl_Case_mins[[#This Row],[TOT]]&gt;0,1,0)</f>
        <v>#REF!</v>
      </c>
      <c r="AL11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19" s="9" t="e">
        <f>IF(AND(tbl_Case_mins[[#This Row],[Surgery Status]]&lt;&gt;2,tbl_Case_mins[[#This Row],[InCoreCase]]=0,tbl_Case_mins[[#This Row],[CancelledCase]]=0),1,0)</f>
        <v>#REF!</v>
      </c>
      <c r="AN119" s="9" t="e">
        <f>IF(tbl_Case_mins[[#This Row],[Surgery Status]]=1,1,0)</f>
        <v>#REF!</v>
      </c>
      <c r="AO11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19" s="9" t="e">
        <f>IF(AND(tbl_Case_mins[[#This Row],[NonCoreCase]]=1,tbl_Case_mins[[#This Row],[NoInCoreTime]]=0),1,0)</f>
        <v>#REF!</v>
      </c>
      <c r="AQ119" s="9" t="e">
        <f>IF(tbl_Case_mins[[#This Row],[Rank_AnaEnd]]&lt;tbl_Case_mins[[#This Row],[Rank_AnaSt]],1,0)</f>
        <v>#REF!</v>
      </c>
      <c r="AR119" s="9" t="e">
        <f>IF(AND(tbl_Case_mins[[#This Row],[InCoreCase]]=1,tbl_Case_mins[[#This Row],[Sch]]=1),1,0)</f>
        <v>#REF!</v>
      </c>
      <c r="AS119" s="9" t="e">
        <f>IF(AND(tbl_Case_mins[[#This Row],[InCoreCase]]=1,tbl_Case_mins[[#This Row],[Unsch]]=1),1,0)</f>
        <v>#REF!</v>
      </c>
      <c r="AT11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1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1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19" s="9" t="e">
        <f>IF(tbl_Case_mins[[#This Row],[Surgery Status]]=0,(tbl_Case_mins[[#This Row],[Anaesth End]]-tbl_Case_mins[[#This Row],[AnaesthStart]]),0)</f>
        <v>#REF!</v>
      </c>
      <c r="AX119" s="9" t="e">
        <f>IF(tbl_Case_mins[[#This Row],[Surgery Status]]=0,(tbl_Case_mins[[#This Row],[Surgery Finish]]-tbl_Case_mins[[#This Row],[Surgery Start]]),0)</f>
        <v>#REF!</v>
      </c>
      <c r="AY119" s="9" t="e">
        <f>tbl_Case_mins[[#This Row],[Surgery Start]]-tbl_Case_mins[[#This Row],[AnaesthStart]]</f>
        <v>#REF!</v>
      </c>
      <c r="AZ119" s="9" t="e">
        <f>tbl_Case_mins[[#This Row],[Anaesth End]]-tbl_Case_mins[[#This Row],[Surgery Finish]]</f>
        <v>#REF!</v>
      </c>
      <c r="BA11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1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19" s="16" cm="1">
        <f t="array" ref="BC11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19" s="16" t="e">
        <f>IF(AND(tbl_Case_mins[[#This Row],[FirstAMCase]]=1,tbl_Case_mins[[#This Row],[CancelledCase]]=0,OR(tbl_Case_mins[[#This Row],[EarlyStartAM]]&gt;0,tbl_Case_mins[[#This Row],[AnaesthStart]]=tbl_Case_mins[[#This Row],[ThOpenAm]])),1,0)</f>
        <v>#REF!</v>
      </c>
      <c r="BE119" s="16" t="e">
        <f>IF(AND(tbl_Case_mins[[#This Row],[Rank_AnaSt]]=tbl_Case_mins[[#This Row],[Min_RankAnaSt]],tbl_Case_mins[[#This Row],[Anaesth End]]&gt;=tbl_Case_mins[[#This Row],[ThOpenAm]],tbl_Case_mins[[#This Row],[PmCase]]=0),1,0)</f>
        <v>#REF!</v>
      </c>
      <c r="BF11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1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19" s="9" t="e" cm="1">
        <f t="array" ref="BH11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1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1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19" s="9" t="e">
        <f>IF(AND(tbl_Case_mins[[#This Row],[ThOpenPM]]&gt;0,tbl_Case_mins[[#This Row],[AnaesthStart]]&gt;tbl_Case_mins[[#This Row],[ThOpenPM]],tbl_Case_mins[[#This Row],[First PM Case]]=1),tbl_Case_mins[[#This Row],[AnaesthStart]]-tbl_Case_mins[[#This Row],[ThOpenPM]],0)</f>
        <v>#REF!</v>
      </c>
      <c r="BL11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1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19" s="9" t="e" cm="1">
        <f t="array" ref="BN11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19" s="9" t="e">
        <f>IF(AND(tbl_Case_mins[[#This Row],[ThClosePm]]&gt;0,tbl_Case_mins[[#This Row],[Anaesth End]]&gt;tbl_Case_mins[[#This Row],[ThClosePm]],tbl_Case_mins[[#This Row],[AnaesthStart]]&gt;tbl_Case_mins[[#This Row],[ThClosePm]]),tbl_Case_mins[[#This Row],[Into Recov]]-tbl_Case_mins[[#This Row],[AnaesthStart]],0)</f>
        <v>#REF!</v>
      </c>
      <c r="BP119" s="9" t="e">
        <f>IF(AND(tbl_Case_mins[[#This Row],[AnaesthStart]]&lt;tbl_Case_mins[[#This Row],[ThClosePm]],tbl_Case_mins[[#This Row],[Anaesth End]]&gt;tbl_Case_mins[[#This Row],[ThClosePm]]),tbl_Case_mins[[#This Row],[Anaesth End]]-tbl_Case_mins[[#This Row],[ThClosePm]],0)</f>
        <v>#REF!</v>
      </c>
      <c r="BQ119" s="9" t="e" cm="1">
        <f t="array" ref="BQ11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19" s="9" t="e" cm="1">
        <f t="array" ref="BR119">IF(tbl_Case_mins[[#This Row],[Rank_Adjust]]=SUMPRODUCT(-(tbl_Case_mins[Surgery Start Date]=tbl_Case_mins[[#This Row],[Surgery Start Date]]),-(tbl_Case_mins[Theatre]=tbl_Case_mins[[#This Row],[Theatre]])),INDEX(Poss_Time,MATCH(TEXT(tbl_Case_mins[[#This Row],[Surgery Start Date]],"ddd"),Day,0)),0)</f>
        <v>#REF!</v>
      </c>
      <c r="BS119" s="9" t="e">
        <f>tbl_Case_mins[[#This Row],[Core_Time]]*Util_Goal</f>
        <v>#REF!</v>
      </c>
      <c r="BT119" s="9" t="e" cm="1">
        <f t="array" ref="BT1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19" s="9" t="e" cm="1">
        <f t="array" ref="BU1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1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1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19" s="9" t="e">
        <f>IF(tbl_Case_mins[[#This Row],[Surgery End Date]]&gt;tbl_Case_mins[[#This Row],[Surgery Start Date]],tbl_Case_mins[[#This Row],[Anaesth End]]-1440,0)</f>
        <v>#REF!</v>
      </c>
      <c r="BY119" s="9" t="e">
        <f>tbl_Case_mins[[#This Row],[Total_NonCore]]-tbl_Case_mins[[#This Row],[NextDay_NonCore]]</f>
        <v>#REF!</v>
      </c>
      <c r="BZ119" s="10" t="e">
        <f>tbl_Case_mins[[#This Row],[InCoreUse]]/60</f>
        <v>#REF!</v>
      </c>
      <c r="CA119" s="10" t="e">
        <f>tbl_Case_mins[[#This Row],[Total_NonCore]]/60</f>
        <v>#REF!</v>
      </c>
      <c r="CB119" t="e" cm="1">
        <f t="array" ref="CB1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19" s="9" t="e" cm="1">
        <f t="array" ref="CC11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19" s="9" t="e" cm="1">
        <f t="array" ref="CD1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19" s="9" t="e" cm="1">
        <f t="array" ref="CE11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19" s="9" cm="1">
        <f t="array" ref="CF119">IFERROR(_xlfn.AGGREGATE(14,6,(tbl_Case_mins[Rank_AnaEnd])/((tbl_Case_mins[Surgery Start Date]=tbl_Case_mins[[#This Row],[Surgery Start Date]])*(tbl_Case_mins[Theatre]=tbl_Case_mins[[#This Row],[Theatre]])*(tbl_Case_mins[NoInCoreTime]=0)),1),-1)</f>
        <v>-1</v>
      </c>
      <c r="CG119" s="9" cm="1">
        <f t="array" ref="CG119">IFERROR(_xlfn.AGGREGATE(15,6,(tbl_Case_mins[Rank_AnaSt])/((tbl_Case_mins[Surgery Start Date]=tbl_Case_mins[[#This Row],[Surgery Start Date]])*(tbl_Case_mins[Theatre]=tbl_Case_mins[[#This Row],[Theatre]])*(tbl_Case_mins[NoInCoreTime]=0)),1),-1)</f>
        <v>-1</v>
      </c>
      <c r="CH11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1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19" t="e" cm="1">
        <f t="array" ref="CJ11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1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1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19" s="9" cm="1">
        <f t="array" ref="CO1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19" s="9" cm="1">
        <f t="array" ref="CP1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19" s="9" cm="1">
        <f t="array" ref="CQ119">IFERROR(IF(AND(tbl_Case_mins[[#This Row],[FirstAMCase]]=0,tbl_Case_mins[[#This Row],[Rank]]=_xlfn.AGGREGATE(14,6,(tbl_Case_mins[Rank])/((tbl_Case_mins[Surgery Start Date]=tbl_Case_mins[[#This Row],[Surgery Start Date]])*(tbl_Case_mins[Theatre]=tbl_Case_mins[[#This Row],[Theatre]])*(tbl_Case_mins[AmCase]=1)),1)),1,0),0)</f>
        <v>0</v>
      </c>
      <c r="CR119" s="9" cm="1">
        <f t="array" ref="CR11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19" s="9" t="e" cm="1">
        <f t="array" ref="CS11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19" s="9" cm="1">
        <f t="array" ref="CT119">IFERROR(IF(tbl_Case_mins[[#This Row],[Rank]]=_xlfn.AGGREGATE(15,6,(tbl_Case_mins[Rank])/((tbl_Case_mins[Surgery Start Date]=tbl_Case_mins[[#This Row],[Surgery Start Date]])*(tbl_Case_mins[Theatre]=tbl_Case_mins[[#This Row],[Theatre]])*(tbl_Case_mins[PmCase]=1)),1),1,0),0)</f>
        <v>0</v>
      </c>
      <c r="CU119">
        <f>IFERROR(#REF!,0)</f>
        <v>0</v>
      </c>
      <c r="CV119" s="9" t="e" cm="1">
        <f t="array" ref="CV11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19" s="9">
        <f>IFERROR(IF(ISBLANK(INDEX(Bay_AmClose,MATCH(1,INDEX((tbl_Case_mins[[#This Row],[Bay]]=BayNo)*(tbl_Case_mins[[#This Row],[Surgery Start Date]]=BDate),0,1),0))*1440),0,INDEX(Bay_AmClose,MATCH(1,INDEX((tbl_Case_mins[[#This Row],[Bay]]=BayNo)*(tbl_Case_mins[[#This Row],[Surgery Start Date]]=BDate),0,1),0))*1440),0)</f>
        <v>0</v>
      </c>
      <c r="CX119" s="9" cm="1">
        <f t="array" ref="CX119">IFERROR(IF(ISBLANK(INDEX(Bay_PmOpen,MATCH(1,INDEX((tbl_Case_mins[[#This Row],[Bay]]=BayNo)*(tbl_Case_mins[[#This Row],[Surgery Start Date]]=BDate),0,1),0))*1440),0,INDEX(Bay_PmOpen,MATCH(1,INDEX((tbl_Case_mins[[#This Row],[Bay]]=BayNo)*(tbl_Case_mins[[#This Row],[Surgery Start Date]]=BDate),0,1),0))*1440),0)</f>
        <v>0</v>
      </c>
      <c r="CY11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19" s="9"/>
    </row>
    <row r="120" spans="1:104" x14ac:dyDescent="0.2">
      <c r="A120">
        <v>119</v>
      </c>
      <c r="B120" t="e">
        <f>#REF!</f>
        <v>#REF!</v>
      </c>
      <c r="C120" t="e">
        <f>#REF!</f>
        <v>#REF!</v>
      </c>
      <c r="D120" t="e">
        <f>#REF!</f>
        <v>#REF!</v>
      </c>
      <c r="E120" t="e">
        <f>#REF!</f>
        <v>#REF!</v>
      </c>
      <c r="F120" t="e">
        <f>#REF!</f>
        <v>#REF!</v>
      </c>
      <c r="G120" t="e">
        <f>#REF!</f>
        <v>#REF!</v>
      </c>
      <c r="H120" t="e">
        <f>#REF!</f>
        <v>#REF!</v>
      </c>
      <c r="I120" t="e">
        <f>IF(#REF!="Case Cancelled",1,IF(#REF!="No Cases",2,0))</f>
        <v>#REF!</v>
      </c>
      <c r="J120" t="e">
        <f>#REF!</f>
        <v>#REF!</v>
      </c>
      <c r="K120" s="4" t="e">
        <f>#REF!</f>
        <v>#REF!</v>
      </c>
      <c r="L120" t="e">
        <f>"Wk "&amp;WEEKNUM(tbl_Case_mins[[#This Row],[Surgery Start Date]],21)</f>
        <v>#REF!</v>
      </c>
      <c r="M120" t="e">
        <f>TEXT(tbl_Case_mins[[#This Row],[Surgery Start Date]],"ddd")</f>
        <v>#REF!</v>
      </c>
      <c r="N120" s="9" t="e">
        <f>(#REF!-TIME(0,0,0))*1440</f>
        <v>#REF!</v>
      </c>
      <c r="O120" t="e">
        <f>IF(AND(ROUND((#REF!-TIME(0,0,0))*1440,0)&gt;0,ROUND((#REF!-TIME(0,0,0))*1440,0)&lt;tbl_Case_mins[[#This Row],[Patient Called]],tbl_Case_mins[[#This Row],[Surgery End Date]]&gt;tbl_Case_mins[[#This Row],[Surgery Start Date]]),ROUND((#REF!-TIME(0,0,0))*1440,0)+1440,ROUND((#REF!-TIME(0,0,0))*1440,0))</f>
        <v>#REF!</v>
      </c>
      <c r="P120" s="9" t="e">
        <f>IF(AND(ROUND((#REF!-TIME(0,0,0))*1440,0)&gt;0,ROUND((#REF!-TIME(0,0,0))*1440,0)&lt;tbl_Case_mins[[#This Row],[Arrival]],tbl_Case_mins[[#This Row],[Surgery End Date]]&gt;tbl_Case_mins[[#This Row],[Surgery Start Date]]),ROUND((#REF!-TIME(0,0,0))*1440,0)+1440,ROUND((#REF!-TIME(0,0,0))*1440,0))</f>
        <v>#REF!</v>
      </c>
      <c r="Q120" s="9" t="e">
        <f>IF(AND(ROUND((#REF!-TIME(0,0,0))*1440,0)&gt;0,ROUND((#REF!-TIME(0,0,0))*1440,0)&lt;tbl_Case_mins[[#This Row],[Into Th or AR]],tbl_Case_mins[[#This Row],[Surgery End Date]]&gt;tbl_Case_mins[[#This Row],[Surgery Start Date]]),ROUND((#REF!-TIME(0,0,0))*1440,0)+1440,ROUND((#REF!-TIME(0,0,0))*1440,0))</f>
        <v>#REF!</v>
      </c>
      <c r="R120" s="9" t="e">
        <f>IF(AND(ROUND((#REF!-TIME(0,0,0))*1440,0)&gt;0,ROUND((#REF!-TIME(0,0,0))*1440,0)&lt;tbl_Case_mins[[#This Row],[AnaesthStart]],tbl_Case_mins[[#This Row],[Surgery End Date]]&gt;tbl_Case_mins[[#This Row],[Surgery Start Date]]),ROUND((#REF!-TIME(0,0,0))*1440,0)+1440,ROUND((#REF!-TIME(0,0,0))*1440,0))</f>
        <v>#REF!</v>
      </c>
      <c r="S120" s="9" t="e">
        <f>IF(AND(ROUND((#REF!-TIME(0,0,0))*1440,0),ROUND((#REF!-TIME(0,0,0))*1440,0)&lt;tbl_Case_mins[[#This Row],[Surgery Start]],tbl_Case_mins[[#This Row],[Surgery End Date]]&gt;tbl_Case_mins[[#This Row],[Surgery Start Date]]),ROUND((#REF!-TIME(0,0,0))*1440,0)+1440,ROUND((#REF!-TIME(0,0,0))*1440,0))</f>
        <v>#REF!</v>
      </c>
      <c r="T120" s="9" t="e">
        <f>IF(AND(ROUND((#REF!-TIME(0,0,0))*1440,0)&gt;0,ROUND((#REF!-TIME(0,0,0))*1440,0)&lt;tbl_Case_mins[[#This Row],[Surgery Finish]],tbl_Case_mins[[#This Row],[Surgery End Date]]&gt;tbl_Case_mins[[#This Row],[Surgery Start Date]]),ROUND((#REF!-TIME(0,0,0))*1440,0)+1440,ROUND((#REF!-TIME(0,0,0))*1440,0))</f>
        <v>#REF!</v>
      </c>
      <c r="U120" s="9" t="e">
        <f>IF(AND(ROUND((#REF!-TIME(0,0,0))*1440,0)&gt;0,ROUND((#REF!-TIME(0,0,0))*1440,0)&lt;tbl_Case_mins[[#This Row],[Anaesth End]],tbl_Case_mins[[#This Row],[Surgery End Date]]&gt;tbl_Case_mins[[#This Row],[Surgery Start Date]]),ROUND((#REF!-TIME(0,0,0))*1440,0)+1440,ROUND((#REF!-TIME(0,0,0))*1440,0))</f>
        <v>#REF!</v>
      </c>
      <c r="V120" s="9" t="e">
        <f>IF(AND(ROUND((#REF!-TIME(0,0,0))*1440,0)&gt;0,ROUND((#REF!-TIME(0,0,0))*1440,0)&lt;tbl_Case_mins[[#This Row],[Into Recov]],tbl_Case_mins[[#This Row],[Surgery End Date]]&gt;tbl_Case_mins[[#This Row],[Surgery Start Date]]),ROUND((#REF!-TIME(0,0,0))*1440,0)+1440,ROUND((#REF!-TIME(0,0,0))*1440,0))</f>
        <v>#REF!</v>
      </c>
      <c r="W120" s="9" t="e">
        <f>IF(AND(ROUND((#REF!-TIME(0,0,0))*1440,0)&gt;0,ROUND((#REF!-TIME(0,0,0))*1440,0)&lt;tbl_Case_mins[[#This Row],[Ward Called]],tbl_Case_mins[[#This Row],[Surgery End Date]]&gt;tbl_Case_mins[[#This Row],[Surgery Start Date]]),ROUND((#REF!-TIME(0,0,0))*1440,0)+1440,ROUND((#REF!-TIME(0,0,0))*1440,0))</f>
        <v>#REF!</v>
      </c>
      <c r="X120" s="4" t="e">
        <f>IF(ISBLANK(#REF!),tbl_Case_mins[[#This Row],[Surgery Start Date]],#REF!)</f>
        <v>#REF!</v>
      </c>
      <c r="Y120">
        <f>IFERROR(IF(VLOOKUP(tbl_Case_mins[[#This Row],[Theatre]],'Mng Theatres'!$C$7:$G$12,3,FALSE)="Yes","Yes","No"),0)</f>
        <v>0</v>
      </c>
      <c r="Z120" s="9" t="e" cm="1">
        <f t="array" ref="Z12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0" s="9" t="e" cm="1">
        <f t="array" ref="AA12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0" s="9" t="e">
        <f>IF(tbl_Case_mins[[#This Row],[Case Type]]="Unsch",1,0)</f>
        <v>#REF!</v>
      </c>
      <c r="AD120" s="9" t="e">
        <f>IF(tbl_Case_mins[[#This Row],[Case Type]]="Sch",1,0)</f>
        <v>#REF!</v>
      </c>
      <c r="AE12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0" s="9">
        <f>IFERROR(IF(ISBLANK(INDEX(Am_Close,MATCH(1,INDEX((tbl_Case_mins[[#This Row],[Theatre]]=Theatre_No)*(tbl_Case_mins[[#This Row],[Surgery Start Date]]=Date),0,1),0))*1440),0,INDEX(Am_Close,MATCH(1,INDEX((tbl_Case_mins[[#This Row],[Theatre]]=Theatre_No)*(tbl_Case_mins[[#This Row],[Surgery Start Date]]=Date),0,1),0))*1440),0)</f>
        <v>0</v>
      </c>
      <c r="AG120" s="9">
        <f>IFERROR(IF(ISBLANK(INDEX(PM_Open,MATCH(1,INDEX((tbl_Case_mins[[#This Row],[Theatre]]=Theatre_No)*(tbl_Case_mins[[#This Row],[Surgery Start Date]]=Date),0,1),0))*1440),0,INDEX(PM_Open,MATCH(1,INDEX((tbl_Case_mins[[#This Row],[Theatre]]=Theatre_No)*(tbl_Case_mins[[#This Row],[Surgery Start Date]]=Date),0,1),0))*1440),0)</f>
        <v>0</v>
      </c>
      <c r="AH12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0" s="9" t="e">
        <f>IF(tbl_Case_mins[[#This Row],[ThOpenAm]]=0,tbl_Case_mins[[#This Row],[ThOpenPM]],tbl_Case_mins[[#This Row],[ThOpenAm]])</f>
        <v>#REF!</v>
      </c>
      <c r="AJ120" s="9" t="e">
        <f>IF(tbl_Case_mins[[#This Row],[ThCloseAm]]&gt;0,IF(tbl_Case_mins[[#This Row],[ThOpenPM]]&gt;0,tbl_Case_mins[[#This Row],[ThClosePm]],tbl_Case_mins[[#This Row],[ThCloseAm]]),tbl_Case_mins[[#This Row],[ThClosePm]])</f>
        <v>#REF!</v>
      </c>
      <c r="AK120" s="9" t="e">
        <f>IF(tbl_Case_mins[[#This Row],[TOT]]&gt;0,1,0)</f>
        <v>#REF!</v>
      </c>
      <c r="AL12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0" s="9" t="e">
        <f>IF(AND(tbl_Case_mins[[#This Row],[Surgery Status]]&lt;&gt;2,tbl_Case_mins[[#This Row],[InCoreCase]]=0,tbl_Case_mins[[#This Row],[CancelledCase]]=0),1,0)</f>
        <v>#REF!</v>
      </c>
      <c r="AN120" s="9" t="e">
        <f>IF(tbl_Case_mins[[#This Row],[Surgery Status]]=1,1,0)</f>
        <v>#REF!</v>
      </c>
      <c r="AO12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0" s="9" t="e">
        <f>IF(AND(tbl_Case_mins[[#This Row],[NonCoreCase]]=1,tbl_Case_mins[[#This Row],[NoInCoreTime]]=0),1,0)</f>
        <v>#REF!</v>
      </c>
      <c r="AQ120" s="9" t="e">
        <f>IF(tbl_Case_mins[[#This Row],[Rank_AnaEnd]]&lt;tbl_Case_mins[[#This Row],[Rank_AnaSt]],1,0)</f>
        <v>#REF!</v>
      </c>
      <c r="AR120" s="9" t="e">
        <f>IF(AND(tbl_Case_mins[[#This Row],[InCoreCase]]=1,tbl_Case_mins[[#This Row],[Sch]]=1),1,0)</f>
        <v>#REF!</v>
      </c>
      <c r="AS120" s="9" t="e">
        <f>IF(AND(tbl_Case_mins[[#This Row],[InCoreCase]]=1,tbl_Case_mins[[#This Row],[Unsch]]=1),1,0)</f>
        <v>#REF!</v>
      </c>
      <c r="AT12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0" s="9" t="e">
        <f>IF(tbl_Case_mins[[#This Row],[Surgery Status]]=0,(tbl_Case_mins[[#This Row],[Anaesth End]]-tbl_Case_mins[[#This Row],[AnaesthStart]]),0)</f>
        <v>#REF!</v>
      </c>
      <c r="AX120" s="9" t="e">
        <f>IF(tbl_Case_mins[[#This Row],[Surgery Status]]=0,(tbl_Case_mins[[#This Row],[Surgery Finish]]-tbl_Case_mins[[#This Row],[Surgery Start]]),0)</f>
        <v>#REF!</v>
      </c>
      <c r="AY120" s="9" t="e">
        <f>tbl_Case_mins[[#This Row],[Surgery Start]]-tbl_Case_mins[[#This Row],[AnaesthStart]]</f>
        <v>#REF!</v>
      </c>
      <c r="AZ120" s="9" t="e">
        <f>tbl_Case_mins[[#This Row],[Anaesth End]]-tbl_Case_mins[[#This Row],[Surgery Finish]]</f>
        <v>#REF!</v>
      </c>
      <c r="BA12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0" s="16" cm="1">
        <f t="array" ref="BC12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0" s="16" t="e">
        <f>IF(AND(tbl_Case_mins[[#This Row],[FirstAMCase]]=1,tbl_Case_mins[[#This Row],[CancelledCase]]=0,OR(tbl_Case_mins[[#This Row],[EarlyStartAM]]&gt;0,tbl_Case_mins[[#This Row],[AnaesthStart]]=tbl_Case_mins[[#This Row],[ThOpenAm]])),1,0)</f>
        <v>#REF!</v>
      </c>
      <c r="BE120" s="16" t="e">
        <f>IF(AND(tbl_Case_mins[[#This Row],[Rank_AnaSt]]=tbl_Case_mins[[#This Row],[Min_RankAnaSt]],tbl_Case_mins[[#This Row],[Anaesth End]]&gt;=tbl_Case_mins[[#This Row],[ThOpenAm]],tbl_Case_mins[[#This Row],[PmCase]]=0),1,0)</f>
        <v>#REF!</v>
      </c>
      <c r="BF12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0" s="9" t="e" cm="1">
        <f t="array" ref="BH12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0" s="9" t="e">
        <f>IF(AND(tbl_Case_mins[[#This Row],[ThOpenPM]]&gt;0,tbl_Case_mins[[#This Row],[AnaesthStart]]&gt;tbl_Case_mins[[#This Row],[ThOpenPM]],tbl_Case_mins[[#This Row],[First PM Case]]=1),tbl_Case_mins[[#This Row],[AnaesthStart]]-tbl_Case_mins[[#This Row],[ThOpenPM]],0)</f>
        <v>#REF!</v>
      </c>
      <c r="BL12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0" s="9" t="e" cm="1">
        <f t="array" ref="BN12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0" s="9" t="e">
        <f>IF(AND(tbl_Case_mins[[#This Row],[ThClosePm]]&gt;0,tbl_Case_mins[[#This Row],[Anaesth End]]&gt;tbl_Case_mins[[#This Row],[ThClosePm]],tbl_Case_mins[[#This Row],[AnaesthStart]]&gt;tbl_Case_mins[[#This Row],[ThClosePm]]),tbl_Case_mins[[#This Row],[Into Recov]]-tbl_Case_mins[[#This Row],[AnaesthStart]],0)</f>
        <v>#REF!</v>
      </c>
      <c r="BP120" s="9" t="e">
        <f>IF(AND(tbl_Case_mins[[#This Row],[AnaesthStart]]&lt;tbl_Case_mins[[#This Row],[ThClosePm]],tbl_Case_mins[[#This Row],[Anaesth End]]&gt;tbl_Case_mins[[#This Row],[ThClosePm]]),tbl_Case_mins[[#This Row],[Anaesth End]]-tbl_Case_mins[[#This Row],[ThClosePm]],0)</f>
        <v>#REF!</v>
      </c>
      <c r="BQ120" s="9" t="e" cm="1">
        <f t="array" ref="BQ12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0" s="9" t="e" cm="1">
        <f t="array" ref="BR120">IF(tbl_Case_mins[[#This Row],[Rank_Adjust]]=SUMPRODUCT(-(tbl_Case_mins[Surgery Start Date]=tbl_Case_mins[[#This Row],[Surgery Start Date]]),-(tbl_Case_mins[Theatre]=tbl_Case_mins[[#This Row],[Theatre]])),INDEX(Poss_Time,MATCH(TEXT(tbl_Case_mins[[#This Row],[Surgery Start Date]],"ddd"),Day,0)),0)</f>
        <v>#REF!</v>
      </c>
      <c r="BS120" s="9" t="e">
        <f>tbl_Case_mins[[#This Row],[Core_Time]]*Util_Goal</f>
        <v>#REF!</v>
      </c>
      <c r="BT120" s="9" t="e" cm="1">
        <f t="array" ref="BT1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0" s="9" t="e" cm="1">
        <f t="array" ref="BU1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0" s="9" t="e">
        <f>IF(tbl_Case_mins[[#This Row],[Surgery End Date]]&gt;tbl_Case_mins[[#This Row],[Surgery Start Date]],tbl_Case_mins[[#This Row],[Anaesth End]]-1440,0)</f>
        <v>#REF!</v>
      </c>
      <c r="BY120" s="9" t="e">
        <f>tbl_Case_mins[[#This Row],[Total_NonCore]]-tbl_Case_mins[[#This Row],[NextDay_NonCore]]</f>
        <v>#REF!</v>
      </c>
      <c r="BZ120" s="10" t="e">
        <f>tbl_Case_mins[[#This Row],[InCoreUse]]/60</f>
        <v>#REF!</v>
      </c>
      <c r="CA120" s="10" t="e">
        <f>tbl_Case_mins[[#This Row],[Total_NonCore]]/60</f>
        <v>#REF!</v>
      </c>
      <c r="CB120" t="e" cm="1">
        <f t="array" ref="CB1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0" s="9" t="e" cm="1">
        <f t="array" ref="CC12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0" s="9" t="e" cm="1">
        <f t="array" ref="CD1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0" s="9" t="e" cm="1">
        <f t="array" ref="CE12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0" s="9" cm="1">
        <f t="array" ref="CF120">IFERROR(_xlfn.AGGREGATE(14,6,(tbl_Case_mins[Rank_AnaEnd])/((tbl_Case_mins[Surgery Start Date]=tbl_Case_mins[[#This Row],[Surgery Start Date]])*(tbl_Case_mins[Theatre]=tbl_Case_mins[[#This Row],[Theatre]])*(tbl_Case_mins[NoInCoreTime]=0)),1),-1)</f>
        <v>-1</v>
      </c>
      <c r="CG120" s="9" cm="1">
        <f t="array" ref="CG120">IFERROR(_xlfn.AGGREGATE(15,6,(tbl_Case_mins[Rank_AnaSt])/((tbl_Case_mins[Surgery Start Date]=tbl_Case_mins[[#This Row],[Surgery Start Date]])*(tbl_Case_mins[Theatre]=tbl_Case_mins[[#This Row],[Theatre]])*(tbl_Case_mins[NoInCoreTime]=0)),1),-1)</f>
        <v>-1</v>
      </c>
      <c r="CH12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0" t="e" cm="1">
        <f t="array" ref="CJ12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0" s="9" cm="1">
        <f t="array" ref="CO1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0" s="9" cm="1">
        <f t="array" ref="CP1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0" s="9" cm="1">
        <f t="array" ref="CQ120">IFERROR(IF(AND(tbl_Case_mins[[#This Row],[FirstAMCase]]=0,tbl_Case_mins[[#This Row],[Rank]]=_xlfn.AGGREGATE(14,6,(tbl_Case_mins[Rank])/((tbl_Case_mins[Surgery Start Date]=tbl_Case_mins[[#This Row],[Surgery Start Date]])*(tbl_Case_mins[Theatre]=tbl_Case_mins[[#This Row],[Theatre]])*(tbl_Case_mins[AmCase]=1)),1)),1,0),0)</f>
        <v>0</v>
      </c>
      <c r="CR120" s="9" cm="1">
        <f t="array" ref="CR12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0" s="9" t="e" cm="1">
        <f t="array" ref="CS12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0" s="9" cm="1">
        <f t="array" ref="CT120">IFERROR(IF(tbl_Case_mins[[#This Row],[Rank]]=_xlfn.AGGREGATE(15,6,(tbl_Case_mins[Rank])/((tbl_Case_mins[Surgery Start Date]=tbl_Case_mins[[#This Row],[Surgery Start Date]])*(tbl_Case_mins[Theatre]=tbl_Case_mins[[#This Row],[Theatre]])*(tbl_Case_mins[PmCase]=1)),1),1,0),0)</f>
        <v>0</v>
      </c>
      <c r="CU120">
        <f>IFERROR(#REF!,0)</f>
        <v>0</v>
      </c>
      <c r="CV120" s="9" t="e" cm="1">
        <f t="array" ref="CV12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0" s="9">
        <f>IFERROR(IF(ISBLANK(INDEX(Bay_AmClose,MATCH(1,INDEX((tbl_Case_mins[[#This Row],[Bay]]=BayNo)*(tbl_Case_mins[[#This Row],[Surgery Start Date]]=BDate),0,1),0))*1440),0,INDEX(Bay_AmClose,MATCH(1,INDEX((tbl_Case_mins[[#This Row],[Bay]]=BayNo)*(tbl_Case_mins[[#This Row],[Surgery Start Date]]=BDate),0,1),0))*1440),0)</f>
        <v>0</v>
      </c>
      <c r="CX120" s="9" cm="1">
        <f t="array" ref="CX120">IFERROR(IF(ISBLANK(INDEX(Bay_PmOpen,MATCH(1,INDEX((tbl_Case_mins[[#This Row],[Bay]]=BayNo)*(tbl_Case_mins[[#This Row],[Surgery Start Date]]=BDate),0,1),0))*1440),0,INDEX(Bay_PmOpen,MATCH(1,INDEX((tbl_Case_mins[[#This Row],[Bay]]=BayNo)*(tbl_Case_mins[[#This Row],[Surgery Start Date]]=BDate),0,1),0))*1440),0)</f>
        <v>0</v>
      </c>
      <c r="CY12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0" s="9"/>
    </row>
    <row r="121" spans="1:104" x14ac:dyDescent="0.2">
      <c r="A121">
        <v>120</v>
      </c>
      <c r="B121" t="e">
        <f>#REF!</f>
        <v>#REF!</v>
      </c>
      <c r="C121" t="e">
        <f>#REF!</f>
        <v>#REF!</v>
      </c>
      <c r="D121" t="e">
        <f>#REF!</f>
        <v>#REF!</v>
      </c>
      <c r="E121" t="e">
        <f>#REF!</f>
        <v>#REF!</v>
      </c>
      <c r="F121" t="e">
        <f>#REF!</f>
        <v>#REF!</v>
      </c>
      <c r="G121" t="e">
        <f>#REF!</f>
        <v>#REF!</v>
      </c>
      <c r="H121" t="e">
        <f>#REF!</f>
        <v>#REF!</v>
      </c>
      <c r="I121" t="e">
        <f>IF(#REF!="Case Cancelled",1,IF(#REF!="No Cases",2,0))</f>
        <v>#REF!</v>
      </c>
      <c r="J121" t="e">
        <f>#REF!</f>
        <v>#REF!</v>
      </c>
      <c r="K121" s="4" t="e">
        <f>#REF!</f>
        <v>#REF!</v>
      </c>
      <c r="L121" t="e">
        <f>"Wk "&amp;WEEKNUM(tbl_Case_mins[[#This Row],[Surgery Start Date]],21)</f>
        <v>#REF!</v>
      </c>
      <c r="M121" t="e">
        <f>TEXT(tbl_Case_mins[[#This Row],[Surgery Start Date]],"ddd")</f>
        <v>#REF!</v>
      </c>
      <c r="N121" s="9" t="e">
        <f>(#REF!-TIME(0,0,0))*1440</f>
        <v>#REF!</v>
      </c>
      <c r="O121" t="e">
        <f>IF(AND(ROUND((#REF!-TIME(0,0,0))*1440,0)&gt;0,ROUND((#REF!-TIME(0,0,0))*1440,0)&lt;tbl_Case_mins[[#This Row],[Patient Called]],tbl_Case_mins[[#This Row],[Surgery End Date]]&gt;tbl_Case_mins[[#This Row],[Surgery Start Date]]),ROUND((#REF!-TIME(0,0,0))*1440,0)+1440,ROUND((#REF!-TIME(0,0,0))*1440,0))</f>
        <v>#REF!</v>
      </c>
      <c r="P121" s="9" t="e">
        <f>IF(AND(ROUND((#REF!-TIME(0,0,0))*1440,0)&gt;0,ROUND((#REF!-TIME(0,0,0))*1440,0)&lt;tbl_Case_mins[[#This Row],[Arrival]],tbl_Case_mins[[#This Row],[Surgery End Date]]&gt;tbl_Case_mins[[#This Row],[Surgery Start Date]]),ROUND((#REF!-TIME(0,0,0))*1440,0)+1440,ROUND((#REF!-TIME(0,0,0))*1440,0))</f>
        <v>#REF!</v>
      </c>
      <c r="Q121" s="9" t="e">
        <f>IF(AND(ROUND((#REF!-TIME(0,0,0))*1440,0)&gt;0,ROUND((#REF!-TIME(0,0,0))*1440,0)&lt;tbl_Case_mins[[#This Row],[Into Th or AR]],tbl_Case_mins[[#This Row],[Surgery End Date]]&gt;tbl_Case_mins[[#This Row],[Surgery Start Date]]),ROUND((#REF!-TIME(0,0,0))*1440,0)+1440,ROUND((#REF!-TIME(0,0,0))*1440,0))</f>
        <v>#REF!</v>
      </c>
      <c r="R121" s="9" t="e">
        <f>IF(AND(ROUND((#REF!-TIME(0,0,0))*1440,0)&gt;0,ROUND((#REF!-TIME(0,0,0))*1440,0)&lt;tbl_Case_mins[[#This Row],[AnaesthStart]],tbl_Case_mins[[#This Row],[Surgery End Date]]&gt;tbl_Case_mins[[#This Row],[Surgery Start Date]]),ROUND((#REF!-TIME(0,0,0))*1440,0)+1440,ROUND((#REF!-TIME(0,0,0))*1440,0))</f>
        <v>#REF!</v>
      </c>
      <c r="S121" s="9" t="e">
        <f>IF(AND(ROUND((#REF!-TIME(0,0,0))*1440,0),ROUND((#REF!-TIME(0,0,0))*1440,0)&lt;tbl_Case_mins[[#This Row],[Surgery Start]],tbl_Case_mins[[#This Row],[Surgery End Date]]&gt;tbl_Case_mins[[#This Row],[Surgery Start Date]]),ROUND((#REF!-TIME(0,0,0))*1440,0)+1440,ROUND((#REF!-TIME(0,0,0))*1440,0))</f>
        <v>#REF!</v>
      </c>
      <c r="T121" s="9" t="e">
        <f>IF(AND(ROUND((#REF!-TIME(0,0,0))*1440,0)&gt;0,ROUND((#REF!-TIME(0,0,0))*1440,0)&lt;tbl_Case_mins[[#This Row],[Surgery Finish]],tbl_Case_mins[[#This Row],[Surgery End Date]]&gt;tbl_Case_mins[[#This Row],[Surgery Start Date]]),ROUND((#REF!-TIME(0,0,0))*1440,0)+1440,ROUND((#REF!-TIME(0,0,0))*1440,0))</f>
        <v>#REF!</v>
      </c>
      <c r="U121" s="9" t="e">
        <f>IF(AND(ROUND((#REF!-TIME(0,0,0))*1440,0)&gt;0,ROUND((#REF!-TIME(0,0,0))*1440,0)&lt;tbl_Case_mins[[#This Row],[Anaesth End]],tbl_Case_mins[[#This Row],[Surgery End Date]]&gt;tbl_Case_mins[[#This Row],[Surgery Start Date]]),ROUND((#REF!-TIME(0,0,0))*1440,0)+1440,ROUND((#REF!-TIME(0,0,0))*1440,0))</f>
        <v>#REF!</v>
      </c>
      <c r="V121" s="9" t="e">
        <f>IF(AND(ROUND((#REF!-TIME(0,0,0))*1440,0)&gt;0,ROUND((#REF!-TIME(0,0,0))*1440,0)&lt;tbl_Case_mins[[#This Row],[Into Recov]],tbl_Case_mins[[#This Row],[Surgery End Date]]&gt;tbl_Case_mins[[#This Row],[Surgery Start Date]]),ROUND((#REF!-TIME(0,0,0))*1440,0)+1440,ROUND((#REF!-TIME(0,0,0))*1440,0))</f>
        <v>#REF!</v>
      </c>
      <c r="W121" s="9" t="e">
        <f>IF(AND(ROUND((#REF!-TIME(0,0,0))*1440,0)&gt;0,ROUND((#REF!-TIME(0,0,0))*1440,0)&lt;tbl_Case_mins[[#This Row],[Ward Called]],tbl_Case_mins[[#This Row],[Surgery End Date]]&gt;tbl_Case_mins[[#This Row],[Surgery Start Date]]),ROUND((#REF!-TIME(0,0,0))*1440,0)+1440,ROUND((#REF!-TIME(0,0,0))*1440,0))</f>
        <v>#REF!</v>
      </c>
      <c r="X121" s="4" t="e">
        <f>IF(ISBLANK(#REF!),tbl_Case_mins[[#This Row],[Surgery Start Date]],#REF!)</f>
        <v>#REF!</v>
      </c>
      <c r="Y121">
        <f>IFERROR(IF(VLOOKUP(tbl_Case_mins[[#This Row],[Theatre]],'Mng Theatres'!$C$7:$G$12,3,FALSE)="Yes","Yes","No"),0)</f>
        <v>0</v>
      </c>
      <c r="Z121" s="9" t="e" cm="1">
        <f t="array" ref="Z12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1" s="9" t="e" cm="1">
        <f t="array" ref="AA12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1" s="9" t="e">
        <f>IF(tbl_Case_mins[[#This Row],[Case Type]]="Unsch",1,0)</f>
        <v>#REF!</v>
      </c>
      <c r="AD121" s="9" t="e">
        <f>IF(tbl_Case_mins[[#This Row],[Case Type]]="Sch",1,0)</f>
        <v>#REF!</v>
      </c>
      <c r="AE12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1" s="9">
        <f>IFERROR(IF(ISBLANK(INDEX(Am_Close,MATCH(1,INDEX((tbl_Case_mins[[#This Row],[Theatre]]=Theatre_No)*(tbl_Case_mins[[#This Row],[Surgery Start Date]]=Date),0,1),0))*1440),0,INDEX(Am_Close,MATCH(1,INDEX((tbl_Case_mins[[#This Row],[Theatre]]=Theatre_No)*(tbl_Case_mins[[#This Row],[Surgery Start Date]]=Date),0,1),0))*1440),0)</f>
        <v>0</v>
      </c>
      <c r="AG121" s="9">
        <f>IFERROR(IF(ISBLANK(INDEX(PM_Open,MATCH(1,INDEX((tbl_Case_mins[[#This Row],[Theatre]]=Theatre_No)*(tbl_Case_mins[[#This Row],[Surgery Start Date]]=Date),0,1),0))*1440),0,INDEX(PM_Open,MATCH(1,INDEX((tbl_Case_mins[[#This Row],[Theatre]]=Theatre_No)*(tbl_Case_mins[[#This Row],[Surgery Start Date]]=Date),0,1),0))*1440),0)</f>
        <v>0</v>
      </c>
      <c r="AH12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1" s="9" t="e">
        <f>IF(tbl_Case_mins[[#This Row],[ThOpenAm]]=0,tbl_Case_mins[[#This Row],[ThOpenPM]],tbl_Case_mins[[#This Row],[ThOpenAm]])</f>
        <v>#REF!</v>
      </c>
      <c r="AJ121" s="9" t="e">
        <f>IF(tbl_Case_mins[[#This Row],[ThCloseAm]]&gt;0,IF(tbl_Case_mins[[#This Row],[ThOpenPM]]&gt;0,tbl_Case_mins[[#This Row],[ThClosePm]],tbl_Case_mins[[#This Row],[ThCloseAm]]),tbl_Case_mins[[#This Row],[ThClosePm]])</f>
        <v>#REF!</v>
      </c>
      <c r="AK121" s="9" t="e">
        <f>IF(tbl_Case_mins[[#This Row],[TOT]]&gt;0,1,0)</f>
        <v>#REF!</v>
      </c>
      <c r="AL12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1" s="9" t="e">
        <f>IF(AND(tbl_Case_mins[[#This Row],[Surgery Status]]&lt;&gt;2,tbl_Case_mins[[#This Row],[InCoreCase]]=0,tbl_Case_mins[[#This Row],[CancelledCase]]=0),1,0)</f>
        <v>#REF!</v>
      </c>
      <c r="AN121" s="9" t="e">
        <f>IF(tbl_Case_mins[[#This Row],[Surgery Status]]=1,1,0)</f>
        <v>#REF!</v>
      </c>
      <c r="AO12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1" s="9" t="e">
        <f>IF(AND(tbl_Case_mins[[#This Row],[NonCoreCase]]=1,tbl_Case_mins[[#This Row],[NoInCoreTime]]=0),1,0)</f>
        <v>#REF!</v>
      </c>
      <c r="AQ121" s="9" t="e">
        <f>IF(tbl_Case_mins[[#This Row],[Rank_AnaEnd]]&lt;tbl_Case_mins[[#This Row],[Rank_AnaSt]],1,0)</f>
        <v>#REF!</v>
      </c>
      <c r="AR121" s="9" t="e">
        <f>IF(AND(tbl_Case_mins[[#This Row],[InCoreCase]]=1,tbl_Case_mins[[#This Row],[Sch]]=1),1,0)</f>
        <v>#REF!</v>
      </c>
      <c r="AS121" s="9" t="e">
        <f>IF(AND(tbl_Case_mins[[#This Row],[InCoreCase]]=1,tbl_Case_mins[[#This Row],[Unsch]]=1),1,0)</f>
        <v>#REF!</v>
      </c>
      <c r="AT12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1" s="9" t="e">
        <f>IF(tbl_Case_mins[[#This Row],[Surgery Status]]=0,(tbl_Case_mins[[#This Row],[Anaesth End]]-tbl_Case_mins[[#This Row],[AnaesthStart]]),0)</f>
        <v>#REF!</v>
      </c>
      <c r="AX121" s="9" t="e">
        <f>IF(tbl_Case_mins[[#This Row],[Surgery Status]]=0,(tbl_Case_mins[[#This Row],[Surgery Finish]]-tbl_Case_mins[[#This Row],[Surgery Start]]),0)</f>
        <v>#REF!</v>
      </c>
      <c r="AY121" s="9" t="e">
        <f>tbl_Case_mins[[#This Row],[Surgery Start]]-tbl_Case_mins[[#This Row],[AnaesthStart]]</f>
        <v>#REF!</v>
      </c>
      <c r="AZ121" s="9" t="e">
        <f>tbl_Case_mins[[#This Row],[Anaesth End]]-tbl_Case_mins[[#This Row],[Surgery Finish]]</f>
        <v>#REF!</v>
      </c>
      <c r="BA12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1" s="16" cm="1">
        <f t="array" ref="BC12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1" s="16" t="e">
        <f>IF(AND(tbl_Case_mins[[#This Row],[FirstAMCase]]=1,tbl_Case_mins[[#This Row],[CancelledCase]]=0,OR(tbl_Case_mins[[#This Row],[EarlyStartAM]]&gt;0,tbl_Case_mins[[#This Row],[AnaesthStart]]=tbl_Case_mins[[#This Row],[ThOpenAm]])),1,0)</f>
        <v>#REF!</v>
      </c>
      <c r="BE121" s="16" t="e">
        <f>IF(AND(tbl_Case_mins[[#This Row],[Rank_AnaSt]]=tbl_Case_mins[[#This Row],[Min_RankAnaSt]],tbl_Case_mins[[#This Row],[Anaesth End]]&gt;=tbl_Case_mins[[#This Row],[ThOpenAm]],tbl_Case_mins[[#This Row],[PmCase]]=0),1,0)</f>
        <v>#REF!</v>
      </c>
      <c r="BF12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1" s="9" t="e" cm="1">
        <f t="array" ref="BH12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1" s="9" t="e">
        <f>IF(AND(tbl_Case_mins[[#This Row],[ThOpenPM]]&gt;0,tbl_Case_mins[[#This Row],[AnaesthStart]]&gt;tbl_Case_mins[[#This Row],[ThOpenPM]],tbl_Case_mins[[#This Row],[First PM Case]]=1),tbl_Case_mins[[#This Row],[AnaesthStart]]-tbl_Case_mins[[#This Row],[ThOpenPM]],0)</f>
        <v>#REF!</v>
      </c>
      <c r="BL12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1" s="9" t="e" cm="1">
        <f t="array" ref="BN12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1" s="9" t="e">
        <f>IF(AND(tbl_Case_mins[[#This Row],[ThClosePm]]&gt;0,tbl_Case_mins[[#This Row],[Anaesth End]]&gt;tbl_Case_mins[[#This Row],[ThClosePm]],tbl_Case_mins[[#This Row],[AnaesthStart]]&gt;tbl_Case_mins[[#This Row],[ThClosePm]]),tbl_Case_mins[[#This Row],[Into Recov]]-tbl_Case_mins[[#This Row],[AnaesthStart]],0)</f>
        <v>#REF!</v>
      </c>
      <c r="BP121" s="9" t="e">
        <f>IF(AND(tbl_Case_mins[[#This Row],[AnaesthStart]]&lt;tbl_Case_mins[[#This Row],[ThClosePm]],tbl_Case_mins[[#This Row],[Anaesth End]]&gt;tbl_Case_mins[[#This Row],[ThClosePm]]),tbl_Case_mins[[#This Row],[Anaesth End]]-tbl_Case_mins[[#This Row],[ThClosePm]],0)</f>
        <v>#REF!</v>
      </c>
      <c r="BQ121" s="9" t="e" cm="1">
        <f t="array" ref="BQ12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1" s="9" t="e" cm="1">
        <f t="array" ref="BR121">IF(tbl_Case_mins[[#This Row],[Rank_Adjust]]=SUMPRODUCT(-(tbl_Case_mins[Surgery Start Date]=tbl_Case_mins[[#This Row],[Surgery Start Date]]),-(tbl_Case_mins[Theatre]=tbl_Case_mins[[#This Row],[Theatre]])),INDEX(Poss_Time,MATCH(TEXT(tbl_Case_mins[[#This Row],[Surgery Start Date]],"ddd"),Day,0)),0)</f>
        <v>#REF!</v>
      </c>
      <c r="BS121" s="9" t="e">
        <f>tbl_Case_mins[[#This Row],[Core_Time]]*Util_Goal</f>
        <v>#REF!</v>
      </c>
      <c r="BT121" s="9" t="e" cm="1">
        <f t="array" ref="BT1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1" s="9" t="e" cm="1">
        <f t="array" ref="BU1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1" s="9" t="e">
        <f>IF(tbl_Case_mins[[#This Row],[Surgery End Date]]&gt;tbl_Case_mins[[#This Row],[Surgery Start Date]],tbl_Case_mins[[#This Row],[Anaesth End]]-1440,0)</f>
        <v>#REF!</v>
      </c>
      <c r="BY121" s="9" t="e">
        <f>tbl_Case_mins[[#This Row],[Total_NonCore]]-tbl_Case_mins[[#This Row],[NextDay_NonCore]]</f>
        <v>#REF!</v>
      </c>
      <c r="BZ121" s="10" t="e">
        <f>tbl_Case_mins[[#This Row],[InCoreUse]]/60</f>
        <v>#REF!</v>
      </c>
      <c r="CA121" s="10" t="e">
        <f>tbl_Case_mins[[#This Row],[Total_NonCore]]/60</f>
        <v>#REF!</v>
      </c>
      <c r="CB121" t="e" cm="1">
        <f t="array" ref="CB1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1" s="9" t="e" cm="1">
        <f t="array" ref="CC12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1" s="9" t="e" cm="1">
        <f t="array" ref="CD1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1" s="9" t="e" cm="1">
        <f t="array" ref="CE12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1" s="9" cm="1">
        <f t="array" ref="CF121">IFERROR(_xlfn.AGGREGATE(14,6,(tbl_Case_mins[Rank_AnaEnd])/((tbl_Case_mins[Surgery Start Date]=tbl_Case_mins[[#This Row],[Surgery Start Date]])*(tbl_Case_mins[Theatre]=tbl_Case_mins[[#This Row],[Theatre]])*(tbl_Case_mins[NoInCoreTime]=0)),1),-1)</f>
        <v>-1</v>
      </c>
      <c r="CG121" s="9" cm="1">
        <f t="array" ref="CG121">IFERROR(_xlfn.AGGREGATE(15,6,(tbl_Case_mins[Rank_AnaSt])/((tbl_Case_mins[Surgery Start Date]=tbl_Case_mins[[#This Row],[Surgery Start Date]])*(tbl_Case_mins[Theatre]=tbl_Case_mins[[#This Row],[Theatre]])*(tbl_Case_mins[NoInCoreTime]=0)),1),-1)</f>
        <v>-1</v>
      </c>
      <c r="CH12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1" t="e" cm="1">
        <f t="array" ref="CJ12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1" s="9" cm="1">
        <f t="array" ref="CO1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1" s="9" cm="1">
        <f t="array" ref="CP1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1" s="9" cm="1">
        <f t="array" ref="CQ121">IFERROR(IF(AND(tbl_Case_mins[[#This Row],[FirstAMCase]]=0,tbl_Case_mins[[#This Row],[Rank]]=_xlfn.AGGREGATE(14,6,(tbl_Case_mins[Rank])/((tbl_Case_mins[Surgery Start Date]=tbl_Case_mins[[#This Row],[Surgery Start Date]])*(tbl_Case_mins[Theatre]=tbl_Case_mins[[#This Row],[Theatre]])*(tbl_Case_mins[AmCase]=1)),1)),1,0),0)</f>
        <v>0</v>
      </c>
      <c r="CR121" s="9" cm="1">
        <f t="array" ref="CR12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1" s="9" t="e" cm="1">
        <f t="array" ref="CS12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1" s="9" cm="1">
        <f t="array" ref="CT121">IFERROR(IF(tbl_Case_mins[[#This Row],[Rank]]=_xlfn.AGGREGATE(15,6,(tbl_Case_mins[Rank])/((tbl_Case_mins[Surgery Start Date]=tbl_Case_mins[[#This Row],[Surgery Start Date]])*(tbl_Case_mins[Theatre]=tbl_Case_mins[[#This Row],[Theatre]])*(tbl_Case_mins[PmCase]=1)),1),1,0),0)</f>
        <v>0</v>
      </c>
      <c r="CU121">
        <f>IFERROR(#REF!,0)</f>
        <v>0</v>
      </c>
      <c r="CV121" s="9" t="e" cm="1">
        <f t="array" ref="CV12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1" s="9">
        <f>IFERROR(IF(ISBLANK(INDEX(Bay_AmClose,MATCH(1,INDEX((tbl_Case_mins[[#This Row],[Bay]]=BayNo)*(tbl_Case_mins[[#This Row],[Surgery Start Date]]=BDate),0,1),0))*1440),0,INDEX(Bay_AmClose,MATCH(1,INDEX((tbl_Case_mins[[#This Row],[Bay]]=BayNo)*(tbl_Case_mins[[#This Row],[Surgery Start Date]]=BDate),0,1),0))*1440),0)</f>
        <v>0</v>
      </c>
      <c r="CX121" s="9" cm="1">
        <f t="array" ref="CX121">IFERROR(IF(ISBLANK(INDEX(Bay_PmOpen,MATCH(1,INDEX((tbl_Case_mins[[#This Row],[Bay]]=BayNo)*(tbl_Case_mins[[#This Row],[Surgery Start Date]]=BDate),0,1),0))*1440),0,INDEX(Bay_PmOpen,MATCH(1,INDEX((tbl_Case_mins[[#This Row],[Bay]]=BayNo)*(tbl_Case_mins[[#This Row],[Surgery Start Date]]=BDate),0,1),0))*1440),0)</f>
        <v>0</v>
      </c>
      <c r="CY12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1" s="9"/>
    </row>
    <row r="122" spans="1:104" x14ac:dyDescent="0.2">
      <c r="A122">
        <v>121</v>
      </c>
      <c r="B122" t="e">
        <f>#REF!</f>
        <v>#REF!</v>
      </c>
      <c r="C122" t="e">
        <f>#REF!</f>
        <v>#REF!</v>
      </c>
      <c r="D122" t="e">
        <f>#REF!</f>
        <v>#REF!</v>
      </c>
      <c r="E122" t="e">
        <f>#REF!</f>
        <v>#REF!</v>
      </c>
      <c r="F122" t="e">
        <f>#REF!</f>
        <v>#REF!</v>
      </c>
      <c r="G122" t="e">
        <f>#REF!</f>
        <v>#REF!</v>
      </c>
      <c r="H122" t="e">
        <f>#REF!</f>
        <v>#REF!</v>
      </c>
      <c r="I122" t="e">
        <f>IF(#REF!="Case Cancelled",1,IF(#REF!="No Cases",2,0))</f>
        <v>#REF!</v>
      </c>
      <c r="J122" t="e">
        <f>#REF!</f>
        <v>#REF!</v>
      </c>
      <c r="K122" s="4" t="e">
        <f>#REF!</f>
        <v>#REF!</v>
      </c>
      <c r="L122" t="e">
        <f>"Wk "&amp;WEEKNUM(tbl_Case_mins[[#This Row],[Surgery Start Date]],21)</f>
        <v>#REF!</v>
      </c>
      <c r="M122" t="e">
        <f>TEXT(tbl_Case_mins[[#This Row],[Surgery Start Date]],"ddd")</f>
        <v>#REF!</v>
      </c>
      <c r="N122" s="9" t="e">
        <f>(#REF!-TIME(0,0,0))*1440</f>
        <v>#REF!</v>
      </c>
      <c r="O122" t="e">
        <f>IF(AND(ROUND((#REF!-TIME(0,0,0))*1440,0)&gt;0,ROUND((#REF!-TIME(0,0,0))*1440,0)&lt;tbl_Case_mins[[#This Row],[Patient Called]],tbl_Case_mins[[#This Row],[Surgery End Date]]&gt;tbl_Case_mins[[#This Row],[Surgery Start Date]]),ROUND((#REF!-TIME(0,0,0))*1440,0)+1440,ROUND((#REF!-TIME(0,0,0))*1440,0))</f>
        <v>#REF!</v>
      </c>
      <c r="P122" s="9" t="e">
        <f>IF(AND(ROUND((#REF!-TIME(0,0,0))*1440,0)&gt;0,ROUND((#REF!-TIME(0,0,0))*1440,0)&lt;tbl_Case_mins[[#This Row],[Arrival]],tbl_Case_mins[[#This Row],[Surgery End Date]]&gt;tbl_Case_mins[[#This Row],[Surgery Start Date]]),ROUND((#REF!-TIME(0,0,0))*1440,0)+1440,ROUND((#REF!-TIME(0,0,0))*1440,0))</f>
        <v>#REF!</v>
      </c>
      <c r="Q122" s="9" t="e">
        <f>IF(AND(ROUND((#REF!-TIME(0,0,0))*1440,0)&gt;0,ROUND((#REF!-TIME(0,0,0))*1440,0)&lt;tbl_Case_mins[[#This Row],[Into Th or AR]],tbl_Case_mins[[#This Row],[Surgery End Date]]&gt;tbl_Case_mins[[#This Row],[Surgery Start Date]]),ROUND((#REF!-TIME(0,0,0))*1440,0)+1440,ROUND((#REF!-TIME(0,0,0))*1440,0))</f>
        <v>#REF!</v>
      </c>
      <c r="R122" s="9" t="e">
        <f>IF(AND(ROUND((#REF!-TIME(0,0,0))*1440,0)&gt;0,ROUND((#REF!-TIME(0,0,0))*1440,0)&lt;tbl_Case_mins[[#This Row],[AnaesthStart]],tbl_Case_mins[[#This Row],[Surgery End Date]]&gt;tbl_Case_mins[[#This Row],[Surgery Start Date]]),ROUND((#REF!-TIME(0,0,0))*1440,0)+1440,ROUND((#REF!-TIME(0,0,0))*1440,0))</f>
        <v>#REF!</v>
      </c>
      <c r="S122" s="9" t="e">
        <f>IF(AND(ROUND((#REF!-TIME(0,0,0))*1440,0),ROUND((#REF!-TIME(0,0,0))*1440,0)&lt;tbl_Case_mins[[#This Row],[Surgery Start]],tbl_Case_mins[[#This Row],[Surgery End Date]]&gt;tbl_Case_mins[[#This Row],[Surgery Start Date]]),ROUND((#REF!-TIME(0,0,0))*1440,0)+1440,ROUND((#REF!-TIME(0,0,0))*1440,0))</f>
        <v>#REF!</v>
      </c>
      <c r="T122" s="9" t="e">
        <f>IF(AND(ROUND((#REF!-TIME(0,0,0))*1440,0)&gt;0,ROUND((#REF!-TIME(0,0,0))*1440,0)&lt;tbl_Case_mins[[#This Row],[Surgery Finish]],tbl_Case_mins[[#This Row],[Surgery End Date]]&gt;tbl_Case_mins[[#This Row],[Surgery Start Date]]),ROUND((#REF!-TIME(0,0,0))*1440,0)+1440,ROUND((#REF!-TIME(0,0,0))*1440,0))</f>
        <v>#REF!</v>
      </c>
      <c r="U122" s="9" t="e">
        <f>IF(AND(ROUND((#REF!-TIME(0,0,0))*1440,0)&gt;0,ROUND((#REF!-TIME(0,0,0))*1440,0)&lt;tbl_Case_mins[[#This Row],[Anaesth End]],tbl_Case_mins[[#This Row],[Surgery End Date]]&gt;tbl_Case_mins[[#This Row],[Surgery Start Date]]),ROUND((#REF!-TIME(0,0,0))*1440,0)+1440,ROUND((#REF!-TIME(0,0,0))*1440,0))</f>
        <v>#REF!</v>
      </c>
      <c r="V122" s="9" t="e">
        <f>IF(AND(ROUND((#REF!-TIME(0,0,0))*1440,0)&gt;0,ROUND((#REF!-TIME(0,0,0))*1440,0)&lt;tbl_Case_mins[[#This Row],[Into Recov]],tbl_Case_mins[[#This Row],[Surgery End Date]]&gt;tbl_Case_mins[[#This Row],[Surgery Start Date]]),ROUND((#REF!-TIME(0,0,0))*1440,0)+1440,ROUND((#REF!-TIME(0,0,0))*1440,0))</f>
        <v>#REF!</v>
      </c>
      <c r="W122" s="9" t="e">
        <f>IF(AND(ROUND((#REF!-TIME(0,0,0))*1440,0)&gt;0,ROUND((#REF!-TIME(0,0,0))*1440,0)&lt;tbl_Case_mins[[#This Row],[Ward Called]],tbl_Case_mins[[#This Row],[Surgery End Date]]&gt;tbl_Case_mins[[#This Row],[Surgery Start Date]]),ROUND((#REF!-TIME(0,0,0))*1440,0)+1440,ROUND((#REF!-TIME(0,0,0))*1440,0))</f>
        <v>#REF!</v>
      </c>
      <c r="X122" s="4" t="e">
        <f>IF(ISBLANK(#REF!),tbl_Case_mins[[#This Row],[Surgery Start Date]],#REF!)</f>
        <v>#REF!</v>
      </c>
      <c r="Y122">
        <f>IFERROR(IF(VLOOKUP(tbl_Case_mins[[#This Row],[Theatre]],'Mng Theatres'!$C$7:$G$12,3,FALSE)="Yes","Yes","No"),0)</f>
        <v>0</v>
      </c>
      <c r="Z122" s="9" t="e" cm="1">
        <f t="array" ref="Z12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2" s="9" t="e" cm="1">
        <f t="array" ref="AA12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2" s="9" t="e">
        <f>IF(tbl_Case_mins[[#This Row],[Case Type]]="Unsch",1,0)</f>
        <v>#REF!</v>
      </c>
      <c r="AD122" s="9" t="e">
        <f>IF(tbl_Case_mins[[#This Row],[Case Type]]="Sch",1,0)</f>
        <v>#REF!</v>
      </c>
      <c r="AE12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2" s="9">
        <f>IFERROR(IF(ISBLANK(INDEX(Am_Close,MATCH(1,INDEX((tbl_Case_mins[[#This Row],[Theatre]]=Theatre_No)*(tbl_Case_mins[[#This Row],[Surgery Start Date]]=Date),0,1),0))*1440),0,INDEX(Am_Close,MATCH(1,INDEX((tbl_Case_mins[[#This Row],[Theatre]]=Theatre_No)*(tbl_Case_mins[[#This Row],[Surgery Start Date]]=Date),0,1),0))*1440),0)</f>
        <v>0</v>
      </c>
      <c r="AG122" s="9">
        <f>IFERROR(IF(ISBLANK(INDEX(PM_Open,MATCH(1,INDEX((tbl_Case_mins[[#This Row],[Theatre]]=Theatre_No)*(tbl_Case_mins[[#This Row],[Surgery Start Date]]=Date),0,1),0))*1440),0,INDEX(PM_Open,MATCH(1,INDEX((tbl_Case_mins[[#This Row],[Theatre]]=Theatre_No)*(tbl_Case_mins[[#This Row],[Surgery Start Date]]=Date),0,1),0))*1440),0)</f>
        <v>0</v>
      </c>
      <c r="AH12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2" s="9" t="e">
        <f>IF(tbl_Case_mins[[#This Row],[ThOpenAm]]=0,tbl_Case_mins[[#This Row],[ThOpenPM]],tbl_Case_mins[[#This Row],[ThOpenAm]])</f>
        <v>#REF!</v>
      </c>
      <c r="AJ122" s="9" t="e">
        <f>IF(tbl_Case_mins[[#This Row],[ThCloseAm]]&gt;0,IF(tbl_Case_mins[[#This Row],[ThOpenPM]]&gt;0,tbl_Case_mins[[#This Row],[ThClosePm]],tbl_Case_mins[[#This Row],[ThCloseAm]]),tbl_Case_mins[[#This Row],[ThClosePm]])</f>
        <v>#REF!</v>
      </c>
      <c r="AK122" s="9" t="e">
        <f>IF(tbl_Case_mins[[#This Row],[TOT]]&gt;0,1,0)</f>
        <v>#REF!</v>
      </c>
      <c r="AL12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2" s="9" t="e">
        <f>IF(AND(tbl_Case_mins[[#This Row],[Surgery Status]]&lt;&gt;2,tbl_Case_mins[[#This Row],[InCoreCase]]=0,tbl_Case_mins[[#This Row],[CancelledCase]]=0),1,0)</f>
        <v>#REF!</v>
      </c>
      <c r="AN122" s="9" t="e">
        <f>IF(tbl_Case_mins[[#This Row],[Surgery Status]]=1,1,0)</f>
        <v>#REF!</v>
      </c>
      <c r="AO12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2" s="9" t="e">
        <f>IF(AND(tbl_Case_mins[[#This Row],[NonCoreCase]]=1,tbl_Case_mins[[#This Row],[NoInCoreTime]]=0),1,0)</f>
        <v>#REF!</v>
      </c>
      <c r="AQ122" s="9" t="e">
        <f>IF(tbl_Case_mins[[#This Row],[Rank_AnaEnd]]&lt;tbl_Case_mins[[#This Row],[Rank_AnaSt]],1,0)</f>
        <v>#REF!</v>
      </c>
      <c r="AR122" s="9" t="e">
        <f>IF(AND(tbl_Case_mins[[#This Row],[InCoreCase]]=1,tbl_Case_mins[[#This Row],[Sch]]=1),1,0)</f>
        <v>#REF!</v>
      </c>
      <c r="AS122" s="9" t="e">
        <f>IF(AND(tbl_Case_mins[[#This Row],[InCoreCase]]=1,tbl_Case_mins[[#This Row],[Unsch]]=1),1,0)</f>
        <v>#REF!</v>
      </c>
      <c r="AT12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2" s="9" t="e">
        <f>IF(tbl_Case_mins[[#This Row],[Surgery Status]]=0,(tbl_Case_mins[[#This Row],[Anaesth End]]-tbl_Case_mins[[#This Row],[AnaesthStart]]),0)</f>
        <v>#REF!</v>
      </c>
      <c r="AX122" s="9" t="e">
        <f>IF(tbl_Case_mins[[#This Row],[Surgery Status]]=0,(tbl_Case_mins[[#This Row],[Surgery Finish]]-tbl_Case_mins[[#This Row],[Surgery Start]]),0)</f>
        <v>#REF!</v>
      </c>
      <c r="AY122" s="9" t="e">
        <f>tbl_Case_mins[[#This Row],[Surgery Start]]-tbl_Case_mins[[#This Row],[AnaesthStart]]</f>
        <v>#REF!</v>
      </c>
      <c r="AZ122" s="9" t="e">
        <f>tbl_Case_mins[[#This Row],[Anaesth End]]-tbl_Case_mins[[#This Row],[Surgery Finish]]</f>
        <v>#REF!</v>
      </c>
      <c r="BA12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2" s="16" cm="1">
        <f t="array" ref="BC12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2" s="16" t="e">
        <f>IF(AND(tbl_Case_mins[[#This Row],[FirstAMCase]]=1,tbl_Case_mins[[#This Row],[CancelledCase]]=0,OR(tbl_Case_mins[[#This Row],[EarlyStartAM]]&gt;0,tbl_Case_mins[[#This Row],[AnaesthStart]]=tbl_Case_mins[[#This Row],[ThOpenAm]])),1,0)</f>
        <v>#REF!</v>
      </c>
      <c r="BE122" s="16" t="e">
        <f>IF(AND(tbl_Case_mins[[#This Row],[Rank_AnaSt]]=tbl_Case_mins[[#This Row],[Min_RankAnaSt]],tbl_Case_mins[[#This Row],[Anaesth End]]&gt;=tbl_Case_mins[[#This Row],[ThOpenAm]],tbl_Case_mins[[#This Row],[PmCase]]=0),1,0)</f>
        <v>#REF!</v>
      </c>
      <c r="BF12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2" s="9" t="e" cm="1">
        <f t="array" ref="BH12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2" s="9" t="e">
        <f>IF(AND(tbl_Case_mins[[#This Row],[ThOpenPM]]&gt;0,tbl_Case_mins[[#This Row],[AnaesthStart]]&gt;tbl_Case_mins[[#This Row],[ThOpenPM]],tbl_Case_mins[[#This Row],[First PM Case]]=1),tbl_Case_mins[[#This Row],[AnaesthStart]]-tbl_Case_mins[[#This Row],[ThOpenPM]],0)</f>
        <v>#REF!</v>
      </c>
      <c r="BL12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2" s="9" t="e" cm="1">
        <f t="array" ref="BN12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2" s="9" t="e">
        <f>IF(AND(tbl_Case_mins[[#This Row],[ThClosePm]]&gt;0,tbl_Case_mins[[#This Row],[Anaesth End]]&gt;tbl_Case_mins[[#This Row],[ThClosePm]],tbl_Case_mins[[#This Row],[AnaesthStart]]&gt;tbl_Case_mins[[#This Row],[ThClosePm]]),tbl_Case_mins[[#This Row],[Into Recov]]-tbl_Case_mins[[#This Row],[AnaesthStart]],0)</f>
        <v>#REF!</v>
      </c>
      <c r="BP122" s="9" t="e">
        <f>IF(AND(tbl_Case_mins[[#This Row],[AnaesthStart]]&lt;tbl_Case_mins[[#This Row],[ThClosePm]],tbl_Case_mins[[#This Row],[Anaesth End]]&gt;tbl_Case_mins[[#This Row],[ThClosePm]]),tbl_Case_mins[[#This Row],[Anaesth End]]-tbl_Case_mins[[#This Row],[ThClosePm]],0)</f>
        <v>#REF!</v>
      </c>
      <c r="BQ122" s="9" t="e" cm="1">
        <f t="array" ref="BQ12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2" s="9" t="e" cm="1">
        <f t="array" ref="BR122">IF(tbl_Case_mins[[#This Row],[Rank_Adjust]]=SUMPRODUCT(-(tbl_Case_mins[Surgery Start Date]=tbl_Case_mins[[#This Row],[Surgery Start Date]]),-(tbl_Case_mins[Theatre]=tbl_Case_mins[[#This Row],[Theatre]])),INDEX(Poss_Time,MATCH(TEXT(tbl_Case_mins[[#This Row],[Surgery Start Date]],"ddd"),Day,0)),0)</f>
        <v>#REF!</v>
      </c>
      <c r="BS122" s="9" t="e">
        <f>tbl_Case_mins[[#This Row],[Core_Time]]*Util_Goal</f>
        <v>#REF!</v>
      </c>
      <c r="BT122" s="9" t="e" cm="1">
        <f t="array" ref="BT1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2" s="9" t="e" cm="1">
        <f t="array" ref="BU1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2" s="9" t="e">
        <f>IF(tbl_Case_mins[[#This Row],[Surgery End Date]]&gt;tbl_Case_mins[[#This Row],[Surgery Start Date]],tbl_Case_mins[[#This Row],[Anaesth End]]-1440,0)</f>
        <v>#REF!</v>
      </c>
      <c r="BY122" s="9" t="e">
        <f>tbl_Case_mins[[#This Row],[Total_NonCore]]-tbl_Case_mins[[#This Row],[NextDay_NonCore]]</f>
        <v>#REF!</v>
      </c>
      <c r="BZ122" s="10" t="e">
        <f>tbl_Case_mins[[#This Row],[InCoreUse]]/60</f>
        <v>#REF!</v>
      </c>
      <c r="CA122" s="10" t="e">
        <f>tbl_Case_mins[[#This Row],[Total_NonCore]]/60</f>
        <v>#REF!</v>
      </c>
      <c r="CB122" t="e" cm="1">
        <f t="array" ref="CB1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2" s="9" t="e" cm="1">
        <f t="array" ref="CC12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2" s="9" t="e" cm="1">
        <f t="array" ref="CD1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2" s="9" t="e" cm="1">
        <f t="array" ref="CE12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2" s="9" cm="1">
        <f t="array" ref="CF122">IFERROR(_xlfn.AGGREGATE(14,6,(tbl_Case_mins[Rank_AnaEnd])/((tbl_Case_mins[Surgery Start Date]=tbl_Case_mins[[#This Row],[Surgery Start Date]])*(tbl_Case_mins[Theatre]=tbl_Case_mins[[#This Row],[Theatre]])*(tbl_Case_mins[NoInCoreTime]=0)),1),-1)</f>
        <v>-1</v>
      </c>
      <c r="CG122" s="9" cm="1">
        <f t="array" ref="CG122">IFERROR(_xlfn.AGGREGATE(15,6,(tbl_Case_mins[Rank_AnaSt])/((tbl_Case_mins[Surgery Start Date]=tbl_Case_mins[[#This Row],[Surgery Start Date]])*(tbl_Case_mins[Theatre]=tbl_Case_mins[[#This Row],[Theatre]])*(tbl_Case_mins[NoInCoreTime]=0)),1),-1)</f>
        <v>-1</v>
      </c>
      <c r="CH12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2" t="e" cm="1">
        <f t="array" ref="CJ12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2" s="9" cm="1">
        <f t="array" ref="CO1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2" s="9" cm="1">
        <f t="array" ref="CP1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2" s="9" cm="1">
        <f t="array" ref="CQ122">IFERROR(IF(AND(tbl_Case_mins[[#This Row],[FirstAMCase]]=0,tbl_Case_mins[[#This Row],[Rank]]=_xlfn.AGGREGATE(14,6,(tbl_Case_mins[Rank])/((tbl_Case_mins[Surgery Start Date]=tbl_Case_mins[[#This Row],[Surgery Start Date]])*(tbl_Case_mins[Theatre]=tbl_Case_mins[[#This Row],[Theatre]])*(tbl_Case_mins[AmCase]=1)),1)),1,0),0)</f>
        <v>0</v>
      </c>
      <c r="CR122" s="9" cm="1">
        <f t="array" ref="CR12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2" s="9" t="e" cm="1">
        <f t="array" ref="CS12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2" s="9" cm="1">
        <f t="array" ref="CT122">IFERROR(IF(tbl_Case_mins[[#This Row],[Rank]]=_xlfn.AGGREGATE(15,6,(tbl_Case_mins[Rank])/((tbl_Case_mins[Surgery Start Date]=tbl_Case_mins[[#This Row],[Surgery Start Date]])*(tbl_Case_mins[Theatre]=tbl_Case_mins[[#This Row],[Theatre]])*(tbl_Case_mins[PmCase]=1)),1),1,0),0)</f>
        <v>0</v>
      </c>
      <c r="CU122">
        <f>IFERROR(#REF!,0)</f>
        <v>0</v>
      </c>
      <c r="CV122" s="9" t="e" cm="1">
        <f t="array" ref="CV12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2" s="9">
        <f>IFERROR(IF(ISBLANK(INDEX(Bay_AmClose,MATCH(1,INDEX((tbl_Case_mins[[#This Row],[Bay]]=BayNo)*(tbl_Case_mins[[#This Row],[Surgery Start Date]]=BDate),0,1),0))*1440),0,INDEX(Bay_AmClose,MATCH(1,INDEX((tbl_Case_mins[[#This Row],[Bay]]=BayNo)*(tbl_Case_mins[[#This Row],[Surgery Start Date]]=BDate),0,1),0))*1440),0)</f>
        <v>0</v>
      </c>
      <c r="CX122" s="9" cm="1">
        <f t="array" ref="CX122">IFERROR(IF(ISBLANK(INDEX(Bay_PmOpen,MATCH(1,INDEX((tbl_Case_mins[[#This Row],[Bay]]=BayNo)*(tbl_Case_mins[[#This Row],[Surgery Start Date]]=BDate),0,1),0))*1440),0,INDEX(Bay_PmOpen,MATCH(1,INDEX((tbl_Case_mins[[#This Row],[Bay]]=BayNo)*(tbl_Case_mins[[#This Row],[Surgery Start Date]]=BDate),0,1),0))*1440),0)</f>
        <v>0</v>
      </c>
      <c r="CY12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2" s="9"/>
    </row>
    <row r="123" spans="1:104" x14ac:dyDescent="0.2">
      <c r="A123">
        <v>122</v>
      </c>
      <c r="B123" t="e">
        <f>#REF!</f>
        <v>#REF!</v>
      </c>
      <c r="C123" t="e">
        <f>#REF!</f>
        <v>#REF!</v>
      </c>
      <c r="D123" t="e">
        <f>#REF!</f>
        <v>#REF!</v>
      </c>
      <c r="E123" t="e">
        <f>#REF!</f>
        <v>#REF!</v>
      </c>
      <c r="F123" t="e">
        <f>#REF!</f>
        <v>#REF!</v>
      </c>
      <c r="G123" t="e">
        <f>#REF!</f>
        <v>#REF!</v>
      </c>
      <c r="H123" t="e">
        <f>#REF!</f>
        <v>#REF!</v>
      </c>
      <c r="I123" t="e">
        <f>IF(#REF!="Case Cancelled",1,IF(#REF!="No Cases",2,0))</f>
        <v>#REF!</v>
      </c>
      <c r="J123" t="e">
        <f>#REF!</f>
        <v>#REF!</v>
      </c>
      <c r="K123" s="4" t="e">
        <f>#REF!</f>
        <v>#REF!</v>
      </c>
      <c r="L123" t="e">
        <f>"Wk "&amp;WEEKNUM(tbl_Case_mins[[#This Row],[Surgery Start Date]],21)</f>
        <v>#REF!</v>
      </c>
      <c r="M123" t="e">
        <f>TEXT(tbl_Case_mins[[#This Row],[Surgery Start Date]],"ddd")</f>
        <v>#REF!</v>
      </c>
      <c r="N123" s="9" t="e">
        <f>(#REF!-TIME(0,0,0))*1440</f>
        <v>#REF!</v>
      </c>
      <c r="O123" t="e">
        <f>IF(AND(ROUND((#REF!-TIME(0,0,0))*1440,0)&gt;0,ROUND((#REF!-TIME(0,0,0))*1440,0)&lt;tbl_Case_mins[[#This Row],[Patient Called]],tbl_Case_mins[[#This Row],[Surgery End Date]]&gt;tbl_Case_mins[[#This Row],[Surgery Start Date]]),ROUND((#REF!-TIME(0,0,0))*1440,0)+1440,ROUND((#REF!-TIME(0,0,0))*1440,0))</f>
        <v>#REF!</v>
      </c>
      <c r="P123" s="9" t="e">
        <f>IF(AND(ROUND((#REF!-TIME(0,0,0))*1440,0)&gt;0,ROUND((#REF!-TIME(0,0,0))*1440,0)&lt;tbl_Case_mins[[#This Row],[Arrival]],tbl_Case_mins[[#This Row],[Surgery End Date]]&gt;tbl_Case_mins[[#This Row],[Surgery Start Date]]),ROUND((#REF!-TIME(0,0,0))*1440,0)+1440,ROUND((#REF!-TIME(0,0,0))*1440,0))</f>
        <v>#REF!</v>
      </c>
      <c r="Q123" s="9" t="e">
        <f>IF(AND(ROUND((#REF!-TIME(0,0,0))*1440,0)&gt;0,ROUND((#REF!-TIME(0,0,0))*1440,0)&lt;tbl_Case_mins[[#This Row],[Into Th or AR]],tbl_Case_mins[[#This Row],[Surgery End Date]]&gt;tbl_Case_mins[[#This Row],[Surgery Start Date]]),ROUND((#REF!-TIME(0,0,0))*1440,0)+1440,ROUND((#REF!-TIME(0,0,0))*1440,0))</f>
        <v>#REF!</v>
      </c>
      <c r="R123" s="9" t="e">
        <f>IF(AND(ROUND((#REF!-TIME(0,0,0))*1440,0)&gt;0,ROUND((#REF!-TIME(0,0,0))*1440,0)&lt;tbl_Case_mins[[#This Row],[AnaesthStart]],tbl_Case_mins[[#This Row],[Surgery End Date]]&gt;tbl_Case_mins[[#This Row],[Surgery Start Date]]),ROUND((#REF!-TIME(0,0,0))*1440,0)+1440,ROUND((#REF!-TIME(0,0,0))*1440,0))</f>
        <v>#REF!</v>
      </c>
      <c r="S123" s="9" t="e">
        <f>IF(AND(ROUND((#REF!-TIME(0,0,0))*1440,0),ROUND((#REF!-TIME(0,0,0))*1440,0)&lt;tbl_Case_mins[[#This Row],[Surgery Start]],tbl_Case_mins[[#This Row],[Surgery End Date]]&gt;tbl_Case_mins[[#This Row],[Surgery Start Date]]),ROUND((#REF!-TIME(0,0,0))*1440,0)+1440,ROUND((#REF!-TIME(0,0,0))*1440,0))</f>
        <v>#REF!</v>
      </c>
      <c r="T123" s="9" t="e">
        <f>IF(AND(ROUND((#REF!-TIME(0,0,0))*1440,0)&gt;0,ROUND((#REF!-TIME(0,0,0))*1440,0)&lt;tbl_Case_mins[[#This Row],[Surgery Finish]],tbl_Case_mins[[#This Row],[Surgery End Date]]&gt;tbl_Case_mins[[#This Row],[Surgery Start Date]]),ROUND((#REF!-TIME(0,0,0))*1440,0)+1440,ROUND((#REF!-TIME(0,0,0))*1440,0))</f>
        <v>#REF!</v>
      </c>
      <c r="U123" s="9" t="e">
        <f>IF(AND(ROUND((#REF!-TIME(0,0,0))*1440,0)&gt;0,ROUND((#REF!-TIME(0,0,0))*1440,0)&lt;tbl_Case_mins[[#This Row],[Anaesth End]],tbl_Case_mins[[#This Row],[Surgery End Date]]&gt;tbl_Case_mins[[#This Row],[Surgery Start Date]]),ROUND((#REF!-TIME(0,0,0))*1440,0)+1440,ROUND((#REF!-TIME(0,0,0))*1440,0))</f>
        <v>#REF!</v>
      </c>
      <c r="V123" s="9" t="e">
        <f>IF(AND(ROUND((#REF!-TIME(0,0,0))*1440,0)&gt;0,ROUND((#REF!-TIME(0,0,0))*1440,0)&lt;tbl_Case_mins[[#This Row],[Into Recov]],tbl_Case_mins[[#This Row],[Surgery End Date]]&gt;tbl_Case_mins[[#This Row],[Surgery Start Date]]),ROUND((#REF!-TIME(0,0,0))*1440,0)+1440,ROUND((#REF!-TIME(0,0,0))*1440,0))</f>
        <v>#REF!</v>
      </c>
      <c r="W123" s="9" t="e">
        <f>IF(AND(ROUND((#REF!-TIME(0,0,0))*1440,0)&gt;0,ROUND((#REF!-TIME(0,0,0))*1440,0)&lt;tbl_Case_mins[[#This Row],[Ward Called]],tbl_Case_mins[[#This Row],[Surgery End Date]]&gt;tbl_Case_mins[[#This Row],[Surgery Start Date]]),ROUND((#REF!-TIME(0,0,0))*1440,0)+1440,ROUND((#REF!-TIME(0,0,0))*1440,0))</f>
        <v>#REF!</v>
      </c>
      <c r="X123" s="4" t="e">
        <f>IF(ISBLANK(#REF!),tbl_Case_mins[[#This Row],[Surgery Start Date]],#REF!)</f>
        <v>#REF!</v>
      </c>
      <c r="Y123">
        <f>IFERROR(IF(VLOOKUP(tbl_Case_mins[[#This Row],[Theatre]],'Mng Theatres'!$C$7:$G$12,3,FALSE)="Yes","Yes","No"),0)</f>
        <v>0</v>
      </c>
      <c r="Z123" s="9" t="e" cm="1">
        <f t="array" ref="Z12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3" s="9" t="e" cm="1">
        <f t="array" ref="AA12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3" s="9" t="e">
        <f>IF(tbl_Case_mins[[#This Row],[Case Type]]="Unsch",1,0)</f>
        <v>#REF!</v>
      </c>
      <c r="AD123" s="9" t="e">
        <f>IF(tbl_Case_mins[[#This Row],[Case Type]]="Sch",1,0)</f>
        <v>#REF!</v>
      </c>
      <c r="AE12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3" s="9">
        <f>IFERROR(IF(ISBLANK(INDEX(Am_Close,MATCH(1,INDEX((tbl_Case_mins[[#This Row],[Theatre]]=Theatre_No)*(tbl_Case_mins[[#This Row],[Surgery Start Date]]=Date),0,1),0))*1440),0,INDEX(Am_Close,MATCH(1,INDEX((tbl_Case_mins[[#This Row],[Theatre]]=Theatre_No)*(tbl_Case_mins[[#This Row],[Surgery Start Date]]=Date),0,1),0))*1440),0)</f>
        <v>0</v>
      </c>
      <c r="AG123" s="9">
        <f>IFERROR(IF(ISBLANK(INDEX(PM_Open,MATCH(1,INDEX((tbl_Case_mins[[#This Row],[Theatre]]=Theatre_No)*(tbl_Case_mins[[#This Row],[Surgery Start Date]]=Date),0,1),0))*1440),0,INDEX(PM_Open,MATCH(1,INDEX((tbl_Case_mins[[#This Row],[Theatre]]=Theatre_No)*(tbl_Case_mins[[#This Row],[Surgery Start Date]]=Date),0,1),0))*1440),0)</f>
        <v>0</v>
      </c>
      <c r="AH12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3" s="9" t="e">
        <f>IF(tbl_Case_mins[[#This Row],[ThOpenAm]]=0,tbl_Case_mins[[#This Row],[ThOpenPM]],tbl_Case_mins[[#This Row],[ThOpenAm]])</f>
        <v>#REF!</v>
      </c>
      <c r="AJ123" s="9" t="e">
        <f>IF(tbl_Case_mins[[#This Row],[ThCloseAm]]&gt;0,IF(tbl_Case_mins[[#This Row],[ThOpenPM]]&gt;0,tbl_Case_mins[[#This Row],[ThClosePm]],tbl_Case_mins[[#This Row],[ThCloseAm]]),tbl_Case_mins[[#This Row],[ThClosePm]])</f>
        <v>#REF!</v>
      </c>
      <c r="AK123" s="9" t="e">
        <f>IF(tbl_Case_mins[[#This Row],[TOT]]&gt;0,1,0)</f>
        <v>#REF!</v>
      </c>
      <c r="AL12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3" s="9" t="e">
        <f>IF(AND(tbl_Case_mins[[#This Row],[Surgery Status]]&lt;&gt;2,tbl_Case_mins[[#This Row],[InCoreCase]]=0,tbl_Case_mins[[#This Row],[CancelledCase]]=0),1,0)</f>
        <v>#REF!</v>
      </c>
      <c r="AN123" s="9" t="e">
        <f>IF(tbl_Case_mins[[#This Row],[Surgery Status]]=1,1,0)</f>
        <v>#REF!</v>
      </c>
      <c r="AO12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3" s="9" t="e">
        <f>IF(AND(tbl_Case_mins[[#This Row],[NonCoreCase]]=1,tbl_Case_mins[[#This Row],[NoInCoreTime]]=0),1,0)</f>
        <v>#REF!</v>
      </c>
      <c r="AQ123" s="9" t="e">
        <f>IF(tbl_Case_mins[[#This Row],[Rank_AnaEnd]]&lt;tbl_Case_mins[[#This Row],[Rank_AnaSt]],1,0)</f>
        <v>#REF!</v>
      </c>
      <c r="AR123" s="9" t="e">
        <f>IF(AND(tbl_Case_mins[[#This Row],[InCoreCase]]=1,tbl_Case_mins[[#This Row],[Sch]]=1),1,0)</f>
        <v>#REF!</v>
      </c>
      <c r="AS123" s="9" t="e">
        <f>IF(AND(tbl_Case_mins[[#This Row],[InCoreCase]]=1,tbl_Case_mins[[#This Row],[Unsch]]=1),1,0)</f>
        <v>#REF!</v>
      </c>
      <c r="AT12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3" s="9" t="e">
        <f>IF(tbl_Case_mins[[#This Row],[Surgery Status]]=0,(tbl_Case_mins[[#This Row],[Anaesth End]]-tbl_Case_mins[[#This Row],[AnaesthStart]]),0)</f>
        <v>#REF!</v>
      </c>
      <c r="AX123" s="9" t="e">
        <f>IF(tbl_Case_mins[[#This Row],[Surgery Status]]=0,(tbl_Case_mins[[#This Row],[Surgery Finish]]-tbl_Case_mins[[#This Row],[Surgery Start]]),0)</f>
        <v>#REF!</v>
      </c>
      <c r="AY123" s="9" t="e">
        <f>tbl_Case_mins[[#This Row],[Surgery Start]]-tbl_Case_mins[[#This Row],[AnaesthStart]]</f>
        <v>#REF!</v>
      </c>
      <c r="AZ123" s="9" t="e">
        <f>tbl_Case_mins[[#This Row],[Anaesth End]]-tbl_Case_mins[[#This Row],[Surgery Finish]]</f>
        <v>#REF!</v>
      </c>
      <c r="BA12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3" s="16" cm="1">
        <f t="array" ref="BC12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3" s="16" t="e">
        <f>IF(AND(tbl_Case_mins[[#This Row],[FirstAMCase]]=1,tbl_Case_mins[[#This Row],[CancelledCase]]=0,OR(tbl_Case_mins[[#This Row],[EarlyStartAM]]&gt;0,tbl_Case_mins[[#This Row],[AnaesthStart]]=tbl_Case_mins[[#This Row],[ThOpenAm]])),1,0)</f>
        <v>#REF!</v>
      </c>
      <c r="BE123" s="16" t="e">
        <f>IF(AND(tbl_Case_mins[[#This Row],[Rank_AnaSt]]=tbl_Case_mins[[#This Row],[Min_RankAnaSt]],tbl_Case_mins[[#This Row],[Anaesth End]]&gt;=tbl_Case_mins[[#This Row],[ThOpenAm]],tbl_Case_mins[[#This Row],[PmCase]]=0),1,0)</f>
        <v>#REF!</v>
      </c>
      <c r="BF12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3" s="9" t="e" cm="1">
        <f t="array" ref="BH12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3" s="9" t="e">
        <f>IF(AND(tbl_Case_mins[[#This Row],[ThOpenPM]]&gt;0,tbl_Case_mins[[#This Row],[AnaesthStart]]&gt;tbl_Case_mins[[#This Row],[ThOpenPM]],tbl_Case_mins[[#This Row],[First PM Case]]=1),tbl_Case_mins[[#This Row],[AnaesthStart]]-tbl_Case_mins[[#This Row],[ThOpenPM]],0)</f>
        <v>#REF!</v>
      </c>
      <c r="BL12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3" s="9" t="e" cm="1">
        <f t="array" ref="BN12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3" s="9" t="e">
        <f>IF(AND(tbl_Case_mins[[#This Row],[ThClosePm]]&gt;0,tbl_Case_mins[[#This Row],[Anaesth End]]&gt;tbl_Case_mins[[#This Row],[ThClosePm]],tbl_Case_mins[[#This Row],[AnaesthStart]]&gt;tbl_Case_mins[[#This Row],[ThClosePm]]),tbl_Case_mins[[#This Row],[Into Recov]]-tbl_Case_mins[[#This Row],[AnaesthStart]],0)</f>
        <v>#REF!</v>
      </c>
      <c r="BP123" s="9" t="e">
        <f>IF(AND(tbl_Case_mins[[#This Row],[AnaesthStart]]&lt;tbl_Case_mins[[#This Row],[ThClosePm]],tbl_Case_mins[[#This Row],[Anaesth End]]&gt;tbl_Case_mins[[#This Row],[ThClosePm]]),tbl_Case_mins[[#This Row],[Anaesth End]]-tbl_Case_mins[[#This Row],[ThClosePm]],0)</f>
        <v>#REF!</v>
      </c>
      <c r="BQ123" s="9" t="e" cm="1">
        <f t="array" ref="BQ12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3" s="9" t="e" cm="1">
        <f t="array" ref="BR123">IF(tbl_Case_mins[[#This Row],[Rank_Adjust]]=SUMPRODUCT(-(tbl_Case_mins[Surgery Start Date]=tbl_Case_mins[[#This Row],[Surgery Start Date]]),-(tbl_Case_mins[Theatre]=tbl_Case_mins[[#This Row],[Theatre]])),INDEX(Poss_Time,MATCH(TEXT(tbl_Case_mins[[#This Row],[Surgery Start Date]],"ddd"),Day,0)),0)</f>
        <v>#REF!</v>
      </c>
      <c r="BS123" s="9" t="e">
        <f>tbl_Case_mins[[#This Row],[Core_Time]]*Util_Goal</f>
        <v>#REF!</v>
      </c>
      <c r="BT123" s="9" t="e" cm="1">
        <f t="array" ref="BT1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3" s="9" t="e" cm="1">
        <f t="array" ref="BU1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3" s="9" t="e">
        <f>IF(tbl_Case_mins[[#This Row],[Surgery End Date]]&gt;tbl_Case_mins[[#This Row],[Surgery Start Date]],tbl_Case_mins[[#This Row],[Anaesth End]]-1440,0)</f>
        <v>#REF!</v>
      </c>
      <c r="BY123" s="9" t="e">
        <f>tbl_Case_mins[[#This Row],[Total_NonCore]]-tbl_Case_mins[[#This Row],[NextDay_NonCore]]</f>
        <v>#REF!</v>
      </c>
      <c r="BZ123" s="10" t="e">
        <f>tbl_Case_mins[[#This Row],[InCoreUse]]/60</f>
        <v>#REF!</v>
      </c>
      <c r="CA123" s="10" t="e">
        <f>tbl_Case_mins[[#This Row],[Total_NonCore]]/60</f>
        <v>#REF!</v>
      </c>
      <c r="CB123" t="e" cm="1">
        <f t="array" ref="CB1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3" s="9" t="e" cm="1">
        <f t="array" ref="CC12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3" s="9" t="e" cm="1">
        <f t="array" ref="CD1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3" s="9" t="e" cm="1">
        <f t="array" ref="CE12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3" s="9" cm="1">
        <f t="array" ref="CF123">IFERROR(_xlfn.AGGREGATE(14,6,(tbl_Case_mins[Rank_AnaEnd])/((tbl_Case_mins[Surgery Start Date]=tbl_Case_mins[[#This Row],[Surgery Start Date]])*(tbl_Case_mins[Theatre]=tbl_Case_mins[[#This Row],[Theatre]])*(tbl_Case_mins[NoInCoreTime]=0)),1),-1)</f>
        <v>-1</v>
      </c>
      <c r="CG123" s="9" cm="1">
        <f t="array" ref="CG123">IFERROR(_xlfn.AGGREGATE(15,6,(tbl_Case_mins[Rank_AnaSt])/((tbl_Case_mins[Surgery Start Date]=tbl_Case_mins[[#This Row],[Surgery Start Date]])*(tbl_Case_mins[Theatre]=tbl_Case_mins[[#This Row],[Theatre]])*(tbl_Case_mins[NoInCoreTime]=0)),1),-1)</f>
        <v>-1</v>
      </c>
      <c r="CH12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3" t="e" cm="1">
        <f t="array" ref="CJ12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3" s="9" cm="1">
        <f t="array" ref="CO1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3" s="9" cm="1">
        <f t="array" ref="CP1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3" s="9" cm="1">
        <f t="array" ref="CQ123">IFERROR(IF(AND(tbl_Case_mins[[#This Row],[FirstAMCase]]=0,tbl_Case_mins[[#This Row],[Rank]]=_xlfn.AGGREGATE(14,6,(tbl_Case_mins[Rank])/((tbl_Case_mins[Surgery Start Date]=tbl_Case_mins[[#This Row],[Surgery Start Date]])*(tbl_Case_mins[Theatre]=tbl_Case_mins[[#This Row],[Theatre]])*(tbl_Case_mins[AmCase]=1)),1)),1,0),0)</f>
        <v>0</v>
      </c>
      <c r="CR123" s="9" cm="1">
        <f t="array" ref="CR12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3" s="9" t="e" cm="1">
        <f t="array" ref="CS12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3" s="9" cm="1">
        <f t="array" ref="CT123">IFERROR(IF(tbl_Case_mins[[#This Row],[Rank]]=_xlfn.AGGREGATE(15,6,(tbl_Case_mins[Rank])/((tbl_Case_mins[Surgery Start Date]=tbl_Case_mins[[#This Row],[Surgery Start Date]])*(tbl_Case_mins[Theatre]=tbl_Case_mins[[#This Row],[Theatre]])*(tbl_Case_mins[PmCase]=1)),1),1,0),0)</f>
        <v>0</v>
      </c>
      <c r="CU123">
        <f>IFERROR(#REF!,0)</f>
        <v>0</v>
      </c>
      <c r="CV123" s="9" t="e" cm="1">
        <f t="array" ref="CV12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3" s="9">
        <f>IFERROR(IF(ISBLANK(INDEX(Bay_AmClose,MATCH(1,INDEX((tbl_Case_mins[[#This Row],[Bay]]=BayNo)*(tbl_Case_mins[[#This Row],[Surgery Start Date]]=BDate),0,1),0))*1440),0,INDEX(Bay_AmClose,MATCH(1,INDEX((tbl_Case_mins[[#This Row],[Bay]]=BayNo)*(tbl_Case_mins[[#This Row],[Surgery Start Date]]=BDate),0,1),0))*1440),0)</f>
        <v>0</v>
      </c>
      <c r="CX123" s="9" cm="1">
        <f t="array" ref="CX123">IFERROR(IF(ISBLANK(INDEX(Bay_PmOpen,MATCH(1,INDEX((tbl_Case_mins[[#This Row],[Bay]]=BayNo)*(tbl_Case_mins[[#This Row],[Surgery Start Date]]=BDate),0,1),0))*1440),0,INDEX(Bay_PmOpen,MATCH(1,INDEX((tbl_Case_mins[[#This Row],[Bay]]=BayNo)*(tbl_Case_mins[[#This Row],[Surgery Start Date]]=BDate),0,1),0))*1440),0)</f>
        <v>0</v>
      </c>
      <c r="CY12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3" s="9"/>
    </row>
    <row r="124" spans="1:104" x14ac:dyDescent="0.2">
      <c r="A124">
        <v>123</v>
      </c>
      <c r="B124" t="e">
        <f>#REF!</f>
        <v>#REF!</v>
      </c>
      <c r="C124" t="e">
        <f>#REF!</f>
        <v>#REF!</v>
      </c>
      <c r="D124" t="e">
        <f>#REF!</f>
        <v>#REF!</v>
      </c>
      <c r="E124" t="e">
        <f>#REF!</f>
        <v>#REF!</v>
      </c>
      <c r="F124" t="e">
        <f>#REF!</f>
        <v>#REF!</v>
      </c>
      <c r="G124" t="e">
        <f>#REF!</f>
        <v>#REF!</v>
      </c>
      <c r="H124" t="e">
        <f>#REF!</f>
        <v>#REF!</v>
      </c>
      <c r="I124" t="e">
        <f>IF(#REF!="Case Cancelled",1,IF(#REF!="No Cases",2,0))</f>
        <v>#REF!</v>
      </c>
      <c r="J124" t="e">
        <f>#REF!</f>
        <v>#REF!</v>
      </c>
      <c r="K124" s="4" t="e">
        <f>#REF!</f>
        <v>#REF!</v>
      </c>
      <c r="L124" t="e">
        <f>"Wk "&amp;WEEKNUM(tbl_Case_mins[[#This Row],[Surgery Start Date]],21)</f>
        <v>#REF!</v>
      </c>
      <c r="M124" t="e">
        <f>TEXT(tbl_Case_mins[[#This Row],[Surgery Start Date]],"ddd")</f>
        <v>#REF!</v>
      </c>
      <c r="N124" s="9" t="e">
        <f>(#REF!-TIME(0,0,0))*1440</f>
        <v>#REF!</v>
      </c>
      <c r="O124" t="e">
        <f>IF(AND(ROUND((#REF!-TIME(0,0,0))*1440,0)&gt;0,ROUND((#REF!-TIME(0,0,0))*1440,0)&lt;tbl_Case_mins[[#This Row],[Patient Called]],tbl_Case_mins[[#This Row],[Surgery End Date]]&gt;tbl_Case_mins[[#This Row],[Surgery Start Date]]),ROUND((#REF!-TIME(0,0,0))*1440,0)+1440,ROUND((#REF!-TIME(0,0,0))*1440,0))</f>
        <v>#REF!</v>
      </c>
      <c r="P124" s="9" t="e">
        <f>IF(AND(ROUND((#REF!-TIME(0,0,0))*1440,0)&gt;0,ROUND((#REF!-TIME(0,0,0))*1440,0)&lt;tbl_Case_mins[[#This Row],[Arrival]],tbl_Case_mins[[#This Row],[Surgery End Date]]&gt;tbl_Case_mins[[#This Row],[Surgery Start Date]]),ROUND((#REF!-TIME(0,0,0))*1440,0)+1440,ROUND((#REF!-TIME(0,0,0))*1440,0))</f>
        <v>#REF!</v>
      </c>
      <c r="Q124" s="9" t="e">
        <f>IF(AND(ROUND((#REF!-TIME(0,0,0))*1440,0)&gt;0,ROUND((#REF!-TIME(0,0,0))*1440,0)&lt;tbl_Case_mins[[#This Row],[Into Th or AR]],tbl_Case_mins[[#This Row],[Surgery End Date]]&gt;tbl_Case_mins[[#This Row],[Surgery Start Date]]),ROUND((#REF!-TIME(0,0,0))*1440,0)+1440,ROUND((#REF!-TIME(0,0,0))*1440,0))</f>
        <v>#REF!</v>
      </c>
      <c r="R124" s="9" t="e">
        <f>IF(AND(ROUND((#REF!-TIME(0,0,0))*1440,0)&gt;0,ROUND((#REF!-TIME(0,0,0))*1440,0)&lt;tbl_Case_mins[[#This Row],[AnaesthStart]],tbl_Case_mins[[#This Row],[Surgery End Date]]&gt;tbl_Case_mins[[#This Row],[Surgery Start Date]]),ROUND((#REF!-TIME(0,0,0))*1440,0)+1440,ROUND((#REF!-TIME(0,0,0))*1440,0))</f>
        <v>#REF!</v>
      </c>
      <c r="S124" s="9" t="e">
        <f>IF(AND(ROUND((#REF!-TIME(0,0,0))*1440,0),ROUND((#REF!-TIME(0,0,0))*1440,0)&lt;tbl_Case_mins[[#This Row],[Surgery Start]],tbl_Case_mins[[#This Row],[Surgery End Date]]&gt;tbl_Case_mins[[#This Row],[Surgery Start Date]]),ROUND((#REF!-TIME(0,0,0))*1440,0)+1440,ROUND((#REF!-TIME(0,0,0))*1440,0))</f>
        <v>#REF!</v>
      </c>
      <c r="T124" s="9" t="e">
        <f>IF(AND(ROUND((#REF!-TIME(0,0,0))*1440,0)&gt;0,ROUND((#REF!-TIME(0,0,0))*1440,0)&lt;tbl_Case_mins[[#This Row],[Surgery Finish]],tbl_Case_mins[[#This Row],[Surgery End Date]]&gt;tbl_Case_mins[[#This Row],[Surgery Start Date]]),ROUND((#REF!-TIME(0,0,0))*1440,0)+1440,ROUND((#REF!-TIME(0,0,0))*1440,0))</f>
        <v>#REF!</v>
      </c>
      <c r="U124" s="9" t="e">
        <f>IF(AND(ROUND((#REF!-TIME(0,0,0))*1440,0)&gt;0,ROUND((#REF!-TIME(0,0,0))*1440,0)&lt;tbl_Case_mins[[#This Row],[Anaesth End]],tbl_Case_mins[[#This Row],[Surgery End Date]]&gt;tbl_Case_mins[[#This Row],[Surgery Start Date]]),ROUND((#REF!-TIME(0,0,0))*1440,0)+1440,ROUND((#REF!-TIME(0,0,0))*1440,0))</f>
        <v>#REF!</v>
      </c>
      <c r="V124" s="9" t="e">
        <f>IF(AND(ROUND((#REF!-TIME(0,0,0))*1440,0)&gt;0,ROUND((#REF!-TIME(0,0,0))*1440,0)&lt;tbl_Case_mins[[#This Row],[Into Recov]],tbl_Case_mins[[#This Row],[Surgery End Date]]&gt;tbl_Case_mins[[#This Row],[Surgery Start Date]]),ROUND((#REF!-TIME(0,0,0))*1440,0)+1440,ROUND((#REF!-TIME(0,0,0))*1440,0))</f>
        <v>#REF!</v>
      </c>
      <c r="W124" s="9" t="e">
        <f>IF(AND(ROUND((#REF!-TIME(0,0,0))*1440,0)&gt;0,ROUND((#REF!-TIME(0,0,0))*1440,0)&lt;tbl_Case_mins[[#This Row],[Ward Called]],tbl_Case_mins[[#This Row],[Surgery End Date]]&gt;tbl_Case_mins[[#This Row],[Surgery Start Date]]),ROUND((#REF!-TIME(0,0,0))*1440,0)+1440,ROUND((#REF!-TIME(0,0,0))*1440,0))</f>
        <v>#REF!</v>
      </c>
      <c r="X124" s="4" t="e">
        <f>IF(ISBLANK(#REF!),tbl_Case_mins[[#This Row],[Surgery Start Date]],#REF!)</f>
        <v>#REF!</v>
      </c>
      <c r="Y124">
        <f>IFERROR(IF(VLOOKUP(tbl_Case_mins[[#This Row],[Theatre]],'Mng Theatres'!$C$7:$G$12,3,FALSE)="Yes","Yes","No"),0)</f>
        <v>0</v>
      </c>
      <c r="Z124" s="9" t="e" cm="1">
        <f t="array" ref="Z12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4" s="9" t="e" cm="1">
        <f t="array" ref="AA12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4" s="9" t="e">
        <f>IF(tbl_Case_mins[[#This Row],[Case Type]]="Unsch",1,0)</f>
        <v>#REF!</v>
      </c>
      <c r="AD124" s="9" t="e">
        <f>IF(tbl_Case_mins[[#This Row],[Case Type]]="Sch",1,0)</f>
        <v>#REF!</v>
      </c>
      <c r="AE12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4" s="9">
        <f>IFERROR(IF(ISBLANK(INDEX(Am_Close,MATCH(1,INDEX((tbl_Case_mins[[#This Row],[Theatre]]=Theatre_No)*(tbl_Case_mins[[#This Row],[Surgery Start Date]]=Date),0,1),0))*1440),0,INDEX(Am_Close,MATCH(1,INDEX((tbl_Case_mins[[#This Row],[Theatre]]=Theatre_No)*(tbl_Case_mins[[#This Row],[Surgery Start Date]]=Date),0,1),0))*1440),0)</f>
        <v>0</v>
      </c>
      <c r="AG124" s="9">
        <f>IFERROR(IF(ISBLANK(INDEX(PM_Open,MATCH(1,INDEX((tbl_Case_mins[[#This Row],[Theatre]]=Theatre_No)*(tbl_Case_mins[[#This Row],[Surgery Start Date]]=Date),0,1),0))*1440),0,INDEX(PM_Open,MATCH(1,INDEX((tbl_Case_mins[[#This Row],[Theatre]]=Theatre_No)*(tbl_Case_mins[[#This Row],[Surgery Start Date]]=Date),0,1),0))*1440),0)</f>
        <v>0</v>
      </c>
      <c r="AH12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4" s="9" t="e">
        <f>IF(tbl_Case_mins[[#This Row],[ThOpenAm]]=0,tbl_Case_mins[[#This Row],[ThOpenPM]],tbl_Case_mins[[#This Row],[ThOpenAm]])</f>
        <v>#REF!</v>
      </c>
      <c r="AJ124" s="9" t="e">
        <f>IF(tbl_Case_mins[[#This Row],[ThCloseAm]]&gt;0,IF(tbl_Case_mins[[#This Row],[ThOpenPM]]&gt;0,tbl_Case_mins[[#This Row],[ThClosePm]],tbl_Case_mins[[#This Row],[ThCloseAm]]),tbl_Case_mins[[#This Row],[ThClosePm]])</f>
        <v>#REF!</v>
      </c>
      <c r="AK124" s="9" t="e">
        <f>IF(tbl_Case_mins[[#This Row],[TOT]]&gt;0,1,0)</f>
        <v>#REF!</v>
      </c>
      <c r="AL12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4" s="9" t="e">
        <f>IF(AND(tbl_Case_mins[[#This Row],[Surgery Status]]&lt;&gt;2,tbl_Case_mins[[#This Row],[InCoreCase]]=0,tbl_Case_mins[[#This Row],[CancelledCase]]=0),1,0)</f>
        <v>#REF!</v>
      </c>
      <c r="AN124" s="9" t="e">
        <f>IF(tbl_Case_mins[[#This Row],[Surgery Status]]=1,1,0)</f>
        <v>#REF!</v>
      </c>
      <c r="AO12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4" s="9" t="e">
        <f>IF(AND(tbl_Case_mins[[#This Row],[NonCoreCase]]=1,tbl_Case_mins[[#This Row],[NoInCoreTime]]=0),1,0)</f>
        <v>#REF!</v>
      </c>
      <c r="AQ124" s="9" t="e">
        <f>IF(tbl_Case_mins[[#This Row],[Rank_AnaEnd]]&lt;tbl_Case_mins[[#This Row],[Rank_AnaSt]],1,0)</f>
        <v>#REF!</v>
      </c>
      <c r="AR124" s="9" t="e">
        <f>IF(AND(tbl_Case_mins[[#This Row],[InCoreCase]]=1,tbl_Case_mins[[#This Row],[Sch]]=1),1,0)</f>
        <v>#REF!</v>
      </c>
      <c r="AS124" s="9" t="e">
        <f>IF(AND(tbl_Case_mins[[#This Row],[InCoreCase]]=1,tbl_Case_mins[[#This Row],[Unsch]]=1),1,0)</f>
        <v>#REF!</v>
      </c>
      <c r="AT12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4" s="9" t="e">
        <f>IF(tbl_Case_mins[[#This Row],[Surgery Status]]=0,(tbl_Case_mins[[#This Row],[Anaesth End]]-tbl_Case_mins[[#This Row],[AnaesthStart]]),0)</f>
        <v>#REF!</v>
      </c>
      <c r="AX124" s="9" t="e">
        <f>IF(tbl_Case_mins[[#This Row],[Surgery Status]]=0,(tbl_Case_mins[[#This Row],[Surgery Finish]]-tbl_Case_mins[[#This Row],[Surgery Start]]),0)</f>
        <v>#REF!</v>
      </c>
      <c r="AY124" s="9" t="e">
        <f>tbl_Case_mins[[#This Row],[Surgery Start]]-tbl_Case_mins[[#This Row],[AnaesthStart]]</f>
        <v>#REF!</v>
      </c>
      <c r="AZ124" s="9" t="e">
        <f>tbl_Case_mins[[#This Row],[Anaesth End]]-tbl_Case_mins[[#This Row],[Surgery Finish]]</f>
        <v>#REF!</v>
      </c>
      <c r="BA12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4" s="16" cm="1">
        <f t="array" ref="BC12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4" s="16" t="e">
        <f>IF(AND(tbl_Case_mins[[#This Row],[FirstAMCase]]=1,tbl_Case_mins[[#This Row],[CancelledCase]]=0,OR(tbl_Case_mins[[#This Row],[EarlyStartAM]]&gt;0,tbl_Case_mins[[#This Row],[AnaesthStart]]=tbl_Case_mins[[#This Row],[ThOpenAm]])),1,0)</f>
        <v>#REF!</v>
      </c>
      <c r="BE124" s="16" t="e">
        <f>IF(AND(tbl_Case_mins[[#This Row],[Rank_AnaSt]]=tbl_Case_mins[[#This Row],[Min_RankAnaSt]],tbl_Case_mins[[#This Row],[Anaesth End]]&gt;=tbl_Case_mins[[#This Row],[ThOpenAm]],tbl_Case_mins[[#This Row],[PmCase]]=0),1,0)</f>
        <v>#REF!</v>
      </c>
      <c r="BF12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4" s="9" t="e" cm="1">
        <f t="array" ref="BH12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4" s="9" t="e">
        <f>IF(AND(tbl_Case_mins[[#This Row],[ThOpenPM]]&gt;0,tbl_Case_mins[[#This Row],[AnaesthStart]]&gt;tbl_Case_mins[[#This Row],[ThOpenPM]],tbl_Case_mins[[#This Row],[First PM Case]]=1),tbl_Case_mins[[#This Row],[AnaesthStart]]-tbl_Case_mins[[#This Row],[ThOpenPM]],0)</f>
        <v>#REF!</v>
      </c>
      <c r="BL12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4" s="9" t="e" cm="1">
        <f t="array" ref="BN12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4" s="9" t="e">
        <f>IF(AND(tbl_Case_mins[[#This Row],[ThClosePm]]&gt;0,tbl_Case_mins[[#This Row],[Anaesth End]]&gt;tbl_Case_mins[[#This Row],[ThClosePm]],tbl_Case_mins[[#This Row],[AnaesthStart]]&gt;tbl_Case_mins[[#This Row],[ThClosePm]]),tbl_Case_mins[[#This Row],[Into Recov]]-tbl_Case_mins[[#This Row],[AnaesthStart]],0)</f>
        <v>#REF!</v>
      </c>
      <c r="BP124" s="9" t="e">
        <f>IF(AND(tbl_Case_mins[[#This Row],[AnaesthStart]]&lt;tbl_Case_mins[[#This Row],[ThClosePm]],tbl_Case_mins[[#This Row],[Anaesth End]]&gt;tbl_Case_mins[[#This Row],[ThClosePm]]),tbl_Case_mins[[#This Row],[Anaesth End]]-tbl_Case_mins[[#This Row],[ThClosePm]],0)</f>
        <v>#REF!</v>
      </c>
      <c r="BQ124" s="9" t="e" cm="1">
        <f t="array" ref="BQ12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4" s="9" t="e" cm="1">
        <f t="array" ref="BR124">IF(tbl_Case_mins[[#This Row],[Rank_Adjust]]=SUMPRODUCT(-(tbl_Case_mins[Surgery Start Date]=tbl_Case_mins[[#This Row],[Surgery Start Date]]),-(tbl_Case_mins[Theatre]=tbl_Case_mins[[#This Row],[Theatre]])),INDEX(Poss_Time,MATCH(TEXT(tbl_Case_mins[[#This Row],[Surgery Start Date]],"ddd"),Day,0)),0)</f>
        <v>#REF!</v>
      </c>
      <c r="BS124" s="9" t="e">
        <f>tbl_Case_mins[[#This Row],[Core_Time]]*Util_Goal</f>
        <v>#REF!</v>
      </c>
      <c r="BT124" s="9" t="e" cm="1">
        <f t="array" ref="BT1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4" s="9" t="e" cm="1">
        <f t="array" ref="BU1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4" s="9" t="e">
        <f>IF(tbl_Case_mins[[#This Row],[Surgery End Date]]&gt;tbl_Case_mins[[#This Row],[Surgery Start Date]],tbl_Case_mins[[#This Row],[Anaesth End]]-1440,0)</f>
        <v>#REF!</v>
      </c>
      <c r="BY124" s="9" t="e">
        <f>tbl_Case_mins[[#This Row],[Total_NonCore]]-tbl_Case_mins[[#This Row],[NextDay_NonCore]]</f>
        <v>#REF!</v>
      </c>
      <c r="BZ124" s="10" t="e">
        <f>tbl_Case_mins[[#This Row],[InCoreUse]]/60</f>
        <v>#REF!</v>
      </c>
      <c r="CA124" s="10" t="e">
        <f>tbl_Case_mins[[#This Row],[Total_NonCore]]/60</f>
        <v>#REF!</v>
      </c>
      <c r="CB124" t="e" cm="1">
        <f t="array" ref="CB1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4" s="9" t="e" cm="1">
        <f t="array" ref="CC12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4" s="9" t="e" cm="1">
        <f t="array" ref="CD1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4" s="9" t="e" cm="1">
        <f t="array" ref="CE12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4" s="9" cm="1">
        <f t="array" ref="CF124">IFERROR(_xlfn.AGGREGATE(14,6,(tbl_Case_mins[Rank_AnaEnd])/((tbl_Case_mins[Surgery Start Date]=tbl_Case_mins[[#This Row],[Surgery Start Date]])*(tbl_Case_mins[Theatre]=tbl_Case_mins[[#This Row],[Theatre]])*(tbl_Case_mins[NoInCoreTime]=0)),1),-1)</f>
        <v>-1</v>
      </c>
      <c r="CG124" s="9" cm="1">
        <f t="array" ref="CG124">IFERROR(_xlfn.AGGREGATE(15,6,(tbl_Case_mins[Rank_AnaSt])/((tbl_Case_mins[Surgery Start Date]=tbl_Case_mins[[#This Row],[Surgery Start Date]])*(tbl_Case_mins[Theatre]=tbl_Case_mins[[#This Row],[Theatre]])*(tbl_Case_mins[NoInCoreTime]=0)),1),-1)</f>
        <v>-1</v>
      </c>
      <c r="CH12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4" t="e" cm="1">
        <f t="array" ref="CJ12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4" s="9" cm="1">
        <f t="array" ref="CO1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4" s="9" cm="1">
        <f t="array" ref="CP1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4" s="9" cm="1">
        <f t="array" ref="CQ124">IFERROR(IF(AND(tbl_Case_mins[[#This Row],[FirstAMCase]]=0,tbl_Case_mins[[#This Row],[Rank]]=_xlfn.AGGREGATE(14,6,(tbl_Case_mins[Rank])/((tbl_Case_mins[Surgery Start Date]=tbl_Case_mins[[#This Row],[Surgery Start Date]])*(tbl_Case_mins[Theatre]=tbl_Case_mins[[#This Row],[Theatre]])*(tbl_Case_mins[AmCase]=1)),1)),1,0),0)</f>
        <v>0</v>
      </c>
      <c r="CR124" s="9" cm="1">
        <f t="array" ref="CR12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4" s="9" t="e" cm="1">
        <f t="array" ref="CS12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4" s="9" cm="1">
        <f t="array" ref="CT124">IFERROR(IF(tbl_Case_mins[[#This Row],[Rank]]=_xlfn.AGGREGATE(15,6,(tbl_Case_mins[Rank])/((tbl_Case_mins[Surgery Start Date]=tbl_Case_mins[[#This Row],[Surgery Start Date]])*(tbl_Case_mins[Theatre]=tbl_Case_mins[[#This Row],[Theatre]])*(tbl_Case_mins[PmCase]=1)),1),1,0),0)</f>
        <v>0</v>
      </c>
      <c r="CU124">
        <f>IFERROR(#REF!,0)</f>
        <v>0</v>
      </c>
      <c r="CV124" s="9" t="e" cm="1">
        <f t="array" ref="CV12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4" s="9">
        <f>IFERROR(IF(ISBLANK(INDEX(Bay_AmClose,MATCH(1,INDEX((tbl_Case_mins[[#This Row],[Bay]]=BayNo)*(tbl_Case_mins[[#This Row],[Surgery Start Date]]=BDate),0,1),0))*1440),0,INDEX(Bay_AmClose,MATCH(1,INDEX((tbl_Case_mins[[#This Row],[Bay]]=BayNo)*(tbl_Case_mins[[#This Row],[Surgery Start Date]]=BDate),0,1),0))*1440),0)</f>
        <v>0</v>
      </c>
      <c r="CX124" s="9" cm="1">
        <f t="array" ref="CX124">IFERROR(IF(ISBLANK(INDEX(Bay_PmOpen,MATCH(1,INDEX((tbl_Case_mins[[#This Row],[Bay]]=BayNo)*(tbl_Case_mins[[#This Row],[Surgery Start Date]]=BDate),0,1),0))*1440),0,INDEX(Bay_PmOpen,MATCH(1,INDEX((tbl_Case_mins[[#This Row],[Bay]]=BayNo)*(tbl_Case_mins[[#This Row],[Surgery Start Date]]=BDate),0,1),0))*1440),0)</f>
        <v>0</v>
      </c>
      <c r="CY12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4" s="9"/>
    </row>
    <row r="125" spans="1:104" x14ac:dyDescent="0.2">
      <c r="A125">
        <v>124</v>
      </c>
      <c r="B125" t="e">
        <f>#REF!</f>
        <v>#REF!</v>
      </c>
      <c r="C125" t="e">
        <f>#REF!</f>
        <v>#REF!</v>
      </c>
      <c r="D125" t="e">
        <f>#REF!</f>
        <v>#REF!</v>
      </c>
      <c r="E125" t="e">
        <f>#REF!</f>
        <v>#REF!</v>
      </c>
      <c r="F125" t="e">
        <f>#REF!</f>
        <v>#REF!</v>
      </c>
      <c r="G125" t="e">
        <f>#REF!</f>
        <v>#REF!</v>
      </c>
      <c r="H125" t="e">
        <f>#REF!</f>
        <v>#REF!</v>
      </c>
      <c r="I125" t="e">
        <f>IF(#REF!="Case Cancelled",1,IF(#REF!="No Cases",2,0))</f>
        <v>#REF!</v>
      </c>
      <c r="J125" t="e">
        <f>#REF!</f>
        <v>#REF!</v>
      </c>
      <c r="K125" s="4" t="e">
        <f>#REF!</f>
        <v>#REF!</v>
      </c>
      <c r="L125" t="e">
        <f>"Wk "&amp;WEEKNUM(tbl_Case_mins[[#This Row],[Surgery Start Date]],21)</f>
        <v>#REF!</v>
      </c>
      <c r="M125" t="e">
        <f>TEXT(tbl_Case_mins[[#This Row],[Surgery Start Date]],"ddd")</f>
        <v>#REF!</v>
      </c>
      <c r="N125" s="9" t="e">
        <f>(#REF!-TIME(0,0,0))*1440</f>
        <v>#REF!</v>
      </c>
      <c r="O125" t="e">
        <f>IF(AND(ROUND((#REF!-TIME(0,0,0))*1440,0)&gt;0,ROUND((#REF!-TIME(0,0,0))*1440,0)&lt;tbl_Case_mins[[#This Row],[Patient Called]],tbl_Case_mins[[#This Row],[Surgery End Date]]&gt;tbl_Case_mins[[#This Row],[Surgery Start Date]]),ROUND((#REF!-TIME(0,0,0))*1440,0)+1440,ROUND((#REF!-TIME(0,0,0))*1440,0))</f>
        <v>#REF!</v>
      </c>
      <c r="P125" s="9" t="e">
        <f>IF(AND(ROUND((#REF!-TIME(0,0,0))*1440,0)&gt;0,ROUND((#REF!-TIME(0,0,0))*1440,0)&lt;tbl_Case_mins[[#This Row],[Arrival]],tbl_Case_mins[[#This Row],[Surgery End Date]]&gt;tbl_Case_mins[[#This Row],[Surgery Start Date]]),ROUND((#REF!-TIME(0,0,0))*1440,0)+1440,ROUND((#REF!-TIME(0,0,0))*1440,0))</f>
        <v>#REF!</v>
      </c>
      <c r="Q125" s="9" t="e">
        <f>IF(AND(ROUND((#REF!-TIME(0,0,0))*1440,0)&gt;0,ROUND((#REF!-TIME(0,0,0))*1440,0)&lt;tbl_Case_mins[[#This Row],[Into Th or AR]],tbl_Case_mins[[#This Row],[Surgery End Date]]&gt;tbl_Case_mins[[#This Row],[Surgery Start Date]]),ROUND((#REF!-TIME(0,0,0))*1440,0)+1440,ROUND((#REF!-TIME(0,0,0))*1440,0))</f>
        <v>#REF!</v>
      </c>
      <c r="R125" s="9" t="e">
        <f>IF(AND(ROUND((#REF!-TIME(0,0,0))*1440,0)&gt;0,ROUND((#REF!-TIME(0,0,0))*1440,0)&lt;tbl_Case_mins[[#This Row],[AnaesthStart]],tbl_Case_mins[[#This Row],[Surgery End Date]]&gt;tbl_Case_mins[[#This Row],[Surgery Start Date]]),ROUND((#REF!-TIME(0,0,0))*1440,0)+1440,ROUND((#REF!-TIME(0,0,0))*1440,0))</f>
        <v>#REF!</v>
      </c>
      <c r="S125" s="9" t="e">
        <f>IF(AND(ROUND((#REF!-TIME(0,0,0))*1440,0),ROUND((#REF!-TIME(0,0,0))*1440,0)&lt;tbl_Case_mins[[#This Row],[Surgery Start]],tbl_Case_mins[[#This Row],[Surgery End Date]]&gt;tbl_Case_mins[[#This Row],[Surgery Start Date]]),ROUND((#REF!-TIME(0,0,0))*1440,0)+1440,ROUND((#REF!-TIME(0,0,0))*1440,0))</f>
        <v>#REF!</v>
      </c>
      <c r="T125" s="9" t="e">
        <f>IF(AND(ROUND((#REF!-TIME(0,0,0))*1440,0)&gt;0,ROUND((#REF!-TIME(0,0,0))*1440,0)&lt;tbl_Case_mins[[#This Row],[Surgery Finish]],tbl_Case_mins[[#This Row],[Surgery End Date]]&gt;tbl_Case_mins[[#This Row],[Surgery Start Date]]),ROUND((#REF!-TIME(0,0,0))*1440,0)+1440,ROUND((#REF!-TIME(0,0,0))*1440,0))</f>
        <v>#REF!</v>
      </c>
      <c r="U125" s="9" t="e">
        <f>IF(AND(ROUND((#REF!-TIME(0,0,0))*1440,0)&gt;0,ROUND((#REF!-TIME(0,0,0))*1440,0)&lt;tbl_Case_mins[[#This Row],[Anaesth End]],tbl_Case_mins[[#This Row],[Surgery End Date]]&gt;tbl_Case_mins[[#This Row],[Surgery Start Date]]),ROUND((#REF!-TIME(0,0,0))*1440,0)+1440,ROUND((#REF!-TIME(0,0,0))*1440,0))</f>
        <v>#REF!</v>
      </c>
      <c r="V125" s="9" t="e">
        <f>IF(AND(ROUND((#REF!-TIME(0,0,0))*1440,0)&gt;0,ROUND((#REF!-TIME(0,0,0))*1440,0)&lt;tbl_Case_mins[[#This Row],[Into Recov]],tbl_Case_mins[[#This Row],[Surgery End Date]]&gt;tbl_Case_mins[[#This Row],[Surgery Start Date]]),ROUND((#REF!-TIME(0,0,0))*1440,0)+1440,ROUND((#REF!-TIME(0,0,0))*1440,0))</f>
        <v>#REF!</v>
      </c>
      <c r="W125" s="9" t="e">
        <f>IF(AND(ROUND((#REF!-TIME(0,0,0))*1440,0)&gt;0,ROUND((#REF!-TIME(0,0,0))*1440,0)&lt;tbl_Case_mins[[#This Row],[Ward Called]],tbl_Case_mins[[#This Row],[Surgery End Date]]&gt;tbl_Case_mins[[#This Row],[Surgery Start Date]]),ROUND((#REF!-TIME(0,0,0))*1440,0)+1440,ROUND((#REF!-TIME(0,0,0))*1440,0))</f>
        <v>#REF!</v>
      </c>
      <c r="X125" s="4" t="e">
        <f>IF(ISBLANK(#REF!),tbl_Case_mins[[#This Row],[Surgery Start Date]],#REF!)</f>
        <v>#REF!</v>
      </c>
      <c r="Y125">
        <f>IFERROR(IF(VLOOKUP(tbl_Case_mins[[#This Row],[Theatre]],'Mng Theatres'!$C$7:$G$12,3,FALSE)="Yes","Yes","No"),0)</f>
        <v>0</v>
      </c>
      <c r="Z125" s="9" t="e" cm="1">
        <f t="array" ref="Z12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5" s="9" t="e" cm="1">
        <f t="array" ref="AA12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5" s="9" t="e">
        <f>IF(tbl_Case_mins[[#This Row],[Case Type]]="Unsch",1,0)</f>
        <v>#REF!</v>
      </c>
      <c r="AD125" s="9" t="e">
        <f>IF(tbl_Case_mins[[#This Row],[Case Type]]="Sch",1,0)</f>
        <v>#REF!</v>
      </c>
      <c r="AE12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5" s="9">
        <f>IFERROR(IF(ISBLANK(INDEX(Am_Close,MATCH(1,INDEX((tbl_Case_mins[[#This Row],[Theatre]]=Theatre_No)*(tbl_Case_mins[[#This Row],[Surgery Start Date]]=Date),0,1),0))*1440),0,INDEX(Am_Close,MATCH(1,INDEX((tbl_Case_mins[[#This Row],[Theatre]]=Theatre_No)*(tbl_Case_mins[[#This Row],[Surgery Start Date]]=Date),0,1),0))*1440),0)</f>
        <v>0</v>
      </c>
      <c r="AG125" s="9">
        <f>IFERROR(IF(ISBLANK(INDEX(PM_Open,MATCH(1,INDEX((tbl_Case_mins[[#This Row],[Theatre]]=Theatre_No)*(tbl_Case_mins[[#This Row],[Surgery Start Date]]=Date),0,1),0))*1440),0,INDEX(PM_Open,MATCH(1,INDEX((tbl_Case_mins[[#This Row],[Theatre]]=Theatre_No)*(tbl_Case_mins[[#This Row],[Surgery Start Date]]=Date),0,1),0))*1440),0)</f>
        <v>0</v>
      </c>
      <c r="AH12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5" s="9" t="e">
        <f>IF(tbl_Case_mins[[#This Row],[ThOpenAm]]=0,tbl_Case_mins[[#This Row],[ThOpenPM]],tbl_Case_mins[[#This Row],[ThOpenAm]])</f>
        <v>#REF!</v>
      </c>
      <c r="AJ125" s="9" t="e">
        <f>IF(tbl_Case_mins[[#This Row],[ThCloseAm]]&gt;0,IF(tbl_Case_mins[[#This Row],[ThOpenPM]]&gt;0,tbl_Case_mins[[#This Row],[ThClosePm]],tbl_Case_mins[[#This Row],[ThCloseAm]]),tbl_Case_mins[[#This Row],[ThClosePm]])</f>
        <v>#REF!</v>
      </c>
      <c r="AK125" s="9" t="e">
        <f>IF(tbl_Case_mins[[#This Row],[TOT]]&gt;0,1,0)</f>
        <v>#REF!</v>
      </c>
      <c r="AL12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5" s="9" t="e">
        <f>IF(AND(tbl_Case_mins[[#This Row],[Surgery Status]]&lt;&gt;2,tbl_Case_mins[[#This Row],[InCoreCase]]=0,tbl_Case_mins[[#This Row],[CancelledCase]]=0),1,0)</f>
        <v>#REF!</v>
      </c>
      <c r="AN125" s="9" t="e">
        <f>IF(tbl_Case_mins[[#This Row],[Surgery Status]]=1,1,0)</f>
        <v>#REF!</v>
      </c>
      <c r="AO12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5" s="9" t="e">
        <f>IF(AND(tbl_Case_mins[[#This Row],[NonCoreCase]]=1,tbl_Case_mins[[#This Row],[NoInCoreTime]]=0),1,0)</f>
        <v>#REF!</v>
      </c>
      <c r="AQ125" s="9" t="e">
        <f>IF(tbl_Case_mins[[#This Row],[Rank_AnaEnd]]&lt;tbl_Case_mins[[#This Row],[Rank_AnaSt]],1,0)</f>
        <v>#REF!</v>
      </c>
      <c r="AR125" s="9" t="e">
        <f>IF(AND(tbl_Case_mins[[#This Row],[InCoreCase]]=1,tbl_Case_mins[[#This Row],[Sch]]=1),1,0)</f>
        <v>#REF!</v>
      </c>
      <c r="AS125" s="9" t="e">
        <f>IF(AND(tbl_Case_mins[[#This Row],[InCoreCase]]=1,tbl_Case_mins[[#This Row],[Unsch]]=1),1,0)</f>
        <v>#REF!</v>
      </c>
      <c r="AT12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5" s="9" t="e">
        <f>IF(tbl_Case_mins[[#This Row],[Surgery Status]]=0,(tbl_Case_mins[[#This Row],[Anaesth End]]-tbl_Case_mins[[#This Row],[AnaesthStart]]),0)</f>
        <v>#REF!</v>
      </c>
      <c r="AX125" s="9" t="e">
        <f>IF(tbl_Case_mins[[#This Row],[Surgery Status]]=0,(tbl_Case_mins[[#This Row],[Surgery Finish]]-tbl_Case_mins[[#This Row],[Surgery Start]]),0)</f>
        <v>#REF!</v>
      </c>
      <c r="AY125" s="9" t="e">
        <f>tbl_Case_mins[[#This Row],[Surgery Start]]-tbl_Case_mins[[#This Row],[AnaesthStart]]</f>
        <v>#REF!</v>
      </c>
      <c r="AZ125" s="9" t="e">
        <f>tbl_Case_mins[[#This Row],[Anaesth End]]-tbl_Case_mins[[#This Row],[Surgery Finish]]</f>
        <v>#REF!</v>
      </c>
      <c r="BA12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5" s="16" cm="1">
        <f t="array" ref="BC12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5" s="16" t="e">
        <f>IF(AND(tbl_Case_mins[[#This Row],[FirstAMCase]]=1,tbl_Case_mins[[#This Row],[CancelledCase]]=0,OR(tbl_Case_mins[[#This Row],[EarlyStartAM]]&gt;0,tbl_Case_mins[[#This Row],[AnaesthStart]]=tbl_Case_mins[[#This Row],[ThOpenAm]])),1,0)</f>
        <v>#REF!</v>
      </c>
      <c r="BE125" s="16" t="e">
        <f>IF(AND(tbl_Case_mins[[#This Row],[Rank_AnaSt]]=tbl_Case_mins[[#This Row],[Min_RankAnaSt]],tbl_Case_mins[[#This Row],[Anaesth End]]&gt;=tbl_Case_mins[[#This Row],[ThOpenAm]],tbl_Case_mins[[#This Row],[PmCase]]=0),1,0)</f>
        <v>#REF!</v>
      </c>
      <c r="BF12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5" s="9" t="e" cm="1">
        <f t="array" ref="BH12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5" s="9" t="e">
        <f>IF(AND(tbl_Case_mins[[#This Row],[ThOpenPM]]&gt;0,tbl_Case_mins[[#This Row],[AnaesthStart]]&gt;tbl_Case_mins[[#This Row],[ThOpenPM]],tbl_Case_mins[[#This Row],[First PM Case]]=1),tbl_Case_mins[[#This Row],[AnaesthStart]]-tbl_Case_mins[[#This Row],[ThOpenPM]],0)</f>
        <v>#REF!</v>
      </c>
      <c r="BL12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5" s="9" t="e" cm="1">
        <f t="array" ref="BN12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5" s="9" t="e">
        <f>IF(AND(tbl_Case_mins[[#This Row],[ThClosePm]]&gt;0,tbl_Case_mins[[#This Row],[Anaesth End]]&gt;tbl_Case_mins[[#This Row],[ThClosePm]],tbl_Case_mins[[#This Row],[AnaesthStart]]&gt;tbl_Case_mins[[#This Row],[ThClosePm]]),tbl_Case_mins[[#This Row],[Into Recov]]-tbl_Case_mins[[#This Row],[AnaesthStart]],0)</f>
        <v>#REF!</v>
      </c>
      <c r="BP125" s="9" t="e">
        <f>IF(AND(tbl_Case_mins[[#This Row],[AnaesthStart]]&lt;tbl_Case_mins[[#This Row],[ThClosePm]],tbl_Case_mins[[#This Row],[Anaesth End]]&gt;tbl_Case_mins[[#This Row],[ThClosePm]]),tbl_Case_mins[[#This Row],[Anaesth End]]-tbl_Case_mins[[#This Row],[ThClosePm]],0)</f>
        <v>#REF!</v>
      </c>
      <c r="BQ125" s="9" t="e" cm="1">
        <f t="array" ref="BQ12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5" s="9" t="e" cm="1">
        <f t="array" ref="BR125">IF(tbl_Case_mins[[#This Row],[Rank_Adjust]]=SUMPRODUCT(-(tbl_Case_mins[Surgery Start Date]=tbl_Case_mins[[#This Row],[Surgery Start Date]]),-(tbl_Case_mins[Theatre]=tbl_Case_mins[[#This Row],[Theatre]])),INDEX(Poss_Time,MATCH(TEXT(tbl_Case_mins[[#This Row],[Surgery Start Date]],"ddd"),Day,0)),0)</f>
        <v>#REF!</v>
      </c>
      <c r="BS125" s="9" t="e">
        <f>tbl_Case_mins[[#This Row],[Core_Time]]*Util_Goal</f>
        <v>#REF!</v>
      </c>
      <c r="BT125" s="9" t="e" cm="1">
        <f t="array" ref="BT1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5" s="9" t="e" cm="1">
        <f t="array" ref="BU1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5" s="9" t="e">
        <f>IF(tbl_Case_mins[[#This Row],[Surgery End Date]]&gt;tbl_Case_mins[[#This Row],[Surgery Start Date]],tbl_Case_mins[[#This Row],[Anaesth End]]-1440,0)</f>
        <v>#REF!</v>
      </c>
      <c r="BY125" s="9" t="e">
        <f>tbl_Case_mins[[#This Row],[Total_NonCore]]-tbl_Case_mins[[#This Row],[NextDay_NonCore]]</f>
        <v>#REF!</v>
      </c>
      <c r="BZ125" s="10" t="e">
        <f>tbl_Case_mins[[#This Row],[InCoreUse]]/60</f>
        <v>#REF!</v>
      </c>
      <c r="CA125" s="10" t="e">
        <f>tbl_Case_mins[[#This Row],[Total_NonCore]]/60</f>
        <v>#REF!</v>
      </c>
      <c r="CB125" t="e" cm="1">
        <f t="array" ref="CB1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5" s="9" t="e" cm="1">
        <f t="array" ref="CC12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5" s="9" t="e" cm="1">
        <f t="array" ref="CD1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5" s="9" t="e" cm="1">
        <f t="array" ref="CE12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5" s="9" cm="1">
        <f t="array" ref="CF125">IFERROR(_xlfn.AGGREGATE(14,6,(tbl_Case_mins[Rank_AnaEnd])/((tbl_Case_mins[Surgery Start Date]=tbl_Case_mins[[#This Row],[Surgery Start Date]])*(tbl_Case_mins[Theatre]=tbl_Case_mins[[#This Row],[Theatre]])*(tbl_Case_mins[NoInCoreTime]=0)),1),-1)</f>
        <v>-1</v>
      </c>
      <c r="CG125" s="9" cm="1">
        <f t="array" ref="CG125">IFERROR(_xlfn.AGGREGATE(15,6,(tbl_Case_mins[Rank_AnaSt])/((tbl_Case_mins[Surgery Start Date]=tbl_Case_mins[[#This Row],[Surgery Start Date]])*(tbl_Case_mins[Theatre]=tbl_Case_mins[[#This Row],[Theatre]])*(tbl_Case_mins[NoInCoreTime]=0)),1),-1)</f>
        <v>-1</v>
      </c>
      <c r="CH12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5" t="e" cm="1">
        <f t="array" ref="CJ12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5" s="9" cm="1">
        <f t="array" ref="CO1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5" s="9" cm="1">
        <f t="array" ref="CP1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5" s="9" cm="1">
        <f t="array" ref="CQ125">IFERROR(IF(AND(tbl_Case_mins[[#This Row],[FirstAMCase]]=0,tbl_Case_mins[[#This Row],[Rank]]=_xlfn.AGGREGATE(14,6,(tbl_Case_mins[Rank])/((tbl_Case_mins[Surgery Start Date]=tbl_Case_mins[[#This Row],[Surgery Start Date]])*(tbl_Case_mins[Theatre]=tbl_Case_mins[[#This Row],[Theatre]])*(tbl_Case_mins[AmCase]=1)),1)),1,0),0)</f>
        <v>0</v>
      </c>
      <c r="CR125" s="9" cm="1">
        <f t="array" ref="CR12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5" s="9" t="e" cm="1">
        <f t="array" ref="CS12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5" s="9" cm="1">
        <f t="array" ref="CT125">IFERROR(IF(tbl_Case_mins[[#This Row],[Rank]]=_xlfn.AGGREGATE(15,6,(tbl_Case_mins[Rank])/((tbl_Case_mins[Surgery Start Date]=tbl_Case_mins[[#This Row],[Surgery Start Date]])*(tbl_Case_mins[Theatre]=tbl_Case_mins[[#This Row],[Theatre]])*(tbl_Case_mins[PmCase]=1)),1),1,0),0)</f>
        <v>0</v>
      </c>
      <c r="CU125">
        <f>IFERROR(#REF!,0)</f>
        <v>0</v>
      </c>
      <c r="CV125" s="9" t="e" cm="1">
        <f t="array" ref="CV12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5" s="9">
        <f>IFERROR(IF(ISBLANK(INDEX(Bay_AmClose,MATCH(1,INDEX((tbl_Case_mins[[#This Row],[Bay]]=BayNo)*(tbl_Case_mins[[#This Row],[Surgery Start Date]]=BDate),0,1),0))*1440),0,INDEX(Bay_AmClose,MATCH(1,INDEX((tbl_Case_mins[[#This Row],[Bay]]=BayNo)*(tbl_Case_mins[[#This Row],[Surgery Start Date]]=BDate),0,1),0))*1440),0)</f>
        <v>0</v>
      </c>
      <c r="CX125" s="9" cm="1">
        <f t="array" ref="CX125">IFERROR(IF(ISBLANK(INDEX(Bay_PmOpen,MATCH(1,INDEX((tbl_Case_mins[[#This Row],[Bay]]=BayNo)*(tbl_Case_mins[[#This Row],[Surgery Start Date]]=BDate),0,1),0))*1440),0,INDEX(Bay_PmOpen,MATCH(1,INDEX((tbl_Case_mins[[#This Row],[Bay]]=BayNo)*(tbl_Case_mins[[#This Row],[Surgery Start Date]]=BDate),0,1),0))*1440),0)</f>
        <v>0</v>
      </c>
      <c r="CY12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5" s="9"/>
    </row>
    <row r="126" spans="1:104" x14ac:dyDescent="0.2">
      <c r="A126">
        <v>125</v>
      </c>
      <c r="B126" t="e">
        <f>#REF!</f>
        <v>#REF!</v>
      </c>
      <c r="C126" t="e">
        <f>#REF!</f>
        <v>#REF!</v>
      </c>
      <c r="D126" t="e">
        <f>#REF!</f>
        <v>#REF!</v>
      </c>
      <c r="E126" t="e">
        <f>#REF!</f>
        <v>#REF!</v>
      </c>
      <c r="F126" t="e">
        <f>#REF!</f>
        <v>#REF!</v>
      </c>
      <c r="G126" t="e">
        <f>#REF!</f>
        <v>#REF!</v>
      </c>
      <c r="H126" t="e">
        <f>#REF!</f>
        <v>#REF!</v>
      </c>
      <c r="I126" t="e">
        <f>IF(#REF!="Case Cancelled",1,IF(#REF!="No Cases",2,0))</f>
        <v>#REF!</v>
      </c>
      <c r="J126" t="e">
        <f>#REF!</f>
        <v>#REF!</v>
      </c>
      <c r="K126" s="4" t="e">
        <f>#REF!</f>
        <v>#REF!</v>
      </c>
      <c r="L126" t="e">
        <f>"Wk "&amp;WEEKNUM(tbl_Case_mins[[#This Row],[Surgery Start Date]],21)</f>
        <v>#REF!</v>
      </c>
      <c r="M126" t="e">
        <f>TEXT(tbl_Case_mins[[#This Row],[Surgery Start Date]],"ddd")</f>
        <v>#REF!</v>
      </c>
      <c r="N126" s="9" t="e">
        <f>(#REF!-TIME(0,0,0))*1440</f>
        <v>#REF!</v>
      </c>
      <c r="O126" t="e">
        <f>IF(AND(ROUND((#REF!-TIME(0,0,0))*1440,0)&gt;0,ROUND((#REF!-TIME(0,0,0))*1440,0)&lt;tbl_Case_mins[[#This Row],[Patient Called]],tbl_Case_mins[[#This Row],[Surgery End Date]]&gt;tbl_Case_mins[[#This Row],[Surgery Start Date]]),ROUND((#REF!-TIME(0,0,0))*1440,0)+1440,ROUND((#REF!-TIME(0,0,0))*1440,0))</f>
        <v>#REF!</v>
      </c>
      <c r="P126" s="9" t="e">
        <f>IF(AND(ROUND((#REF!-TIME(0,0,0))*1440,0)&gt;0,ROUND((#REF!-TIME(0,0,0))*1440,0)&lt;tbl_Case_mins[[#This Row],[Arrival]],tbl_Case_mins[[#This Row],[Surgery End Date]]&gt;tbl_Case_mins[[#This Row],[Surgery Start Date]]),ROUND((#REF!-TIME(0,0,0))*1440,0)+1440,ROUND((#REF!-TIME(0,0,0))*1440,0))</f>
        <v>#REF!</v>
      </c>
      <c r="Q126" s="9" t="e">
        <f>IF(AND(ROUND((#REF!-TIME(0,0,0))*1440,0)&gt;0,ROUND((#REF!-TIME(0,0,0))*1440,0)&lt;tbl_Case_mins[[#This Row],[Into Th or AR]],tbl_Case_mins[[#This Row],[Surgery End Date]]&gt;tbl_Case_mins[[#This Row],[Surgery Start Date]]),ROUND((#REF!-TIME(0,0,0))*1440,0)+1440,ROUND((#REF!-TIME(0,0,0))*1440,0))</f>
        <v>#REF!</v>
      </c>
      <c r="R126" s="9" t="e">
        <f>IF(AND(ROUND((#REF!-TIME(0,0,0))*1440,0)&gt;0,ROUND((#REF!-TIME(0,0,0))*1440,0)&lt;tbl_Case_mins[[#This Row],[AnaesthStart]],tbl_Case_mins[[#This Row],[Surgery End Date]]&gt;tbl_Case_mins[[#This Row],[Surgery Start Date]]),ROUND((#REF!-TIME(0,0,0))*1440,0)+1440,ROUND((#REF!-TIME(0,0,0))*1440,0))</f>
        <v>#REF!</v>
      </c>
      <c r="S126" s="9" t="e">
        <f>IF(AND(ROUND((#REF!-TIME(0,0,0))*1440,0),ROUND((#REF!-TIME(0,0,0))*1440,0)&lt;tbl_Case_mins[[#This Row],[Surgery Start]],tbl_Case_mins[[#This Row],[Surgery End Date]]&gt;tbl_Case_mins[[#This Row],[Surgery Start Date]]),ROUND((#REF!-TIME(0,0,0))*1440,0)+1440,ROUND((#REF!-TIME(0,0,0))*1440,0))</f>
        <v>#REF!</v>
      </c>
      <c r="T126" s="9" t="e">
        <f>IF(AND(ROUND((#REF!-TIME(0,0,0))*1440,0)&gt;0,ROUND((#REF!-TIME(0,0,0))*1440,0)&lt;tbl_Case_mins[[#This Row],[Surgery Finish]],tbl_Case_mins[[#This Row],[Surgery End Date]]&gt;tbl_Case_mins[[#This Row],[Surgery Start Date]]),ROUND((#REF!-TIME(0,0,0))*1440,0)+1440,ROUND((#REF!-TIME(0,0,0))*1440,0))</f>
        <v>#REF!</v>
      </c>
      <c r="U126" s="9" t="e">
        <f>IF(AND(ROUND((#REF!-TIME(0,0,0))*1440,0)&gt;0,ROUND((#REF!-TIME(0,0,0))*1440,0)&lt;tbl_Case_mins[[#This Row],[Anaesth End]],tbl_Case_mins[[#This Row],[Surgery End Date]]&gt;tbl_Case_mins[[#This Row],[Surgery Start Date]]),ROUND((#REF!-TIME(0,0,0))*1440,0)+1440,ROUND((#REF!-TIME(0,0,0))*1440,0))</f>
        <v>#REF!</v>
      </c>
      <c r="V126" s="9" t="e">
        <f>IF(AND(ROUND((#REF!-TIME(0,0,0))*1440,0)&gt;0,ROUND((#REF!-TIME(0,0,0))*1440,0)&lt;tbl_Case_mins[[#This Row],[Into Recov]],tbl_Case_mins[[#This Row],[Surgery End Date]]&gt;tbl_Case_mins[[#This Row],[Surgery Start Date]]),ROUND((#REF!-TIME(0,0,0))*1440,0)+1440,ROUND((#REF!-TIME(0,0,0))*1440,0))</f>
        <v>#REF!</v>
      </c>
      <c r="W126" s="9" t="e">
        <f>IF(AND(ROUND((#REF!-TIME(0,0,0))*1440,0)&gt;0,ROUND((#REF!-TIME(0,0,0))*1440,0)&lt;tbl_Case_mins[[#This Row],[Ward Called]],tbl_Case_mins[[#This Row],[Surgery End Date]]&gt;tbl_Case_mins[[#This Row],[Surgery Start Date]]),ROUND((#REF!-TIME(0,0,0))*1440,0)+1440,ROUND((#REF!-TIME(0,0,0))*1440,0))</f>
        <v>#REF!</v>
      </c>
      <c r="X126" s="4" t="e">
        <f>IF(ISBLANK(#REF!),tbl_Case_mins[[#This Row],[Surgery Start Date]],#REF!)</f>
        <v>#REF!</v>
      </c>
      <c r="Y126">
        <f>IFERROR(IF(VLOOKUP(tbl_Case_mins[[#This Row],[Theatre]],'Mng Theatres'!$C$7:$G$12,3,FALSE)="Yes","Yes","No"),0)</f>
        <v>0</v>
      </c>
      <c r="Z126" s="9" t="e" cm="1">
        <f t="array" ref="Z12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6" s="9" t="e" cm="1">
        <f t="array" ref="AA12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6" s="9" t="e">
        <f>IF(tbl_Case_mins[[#This Row],[Case Type]]="Unsch",1,0)</f>
        <v>#REF!</v>
      </c>
      <c r="AD126" s="9" t="e">
        <f>IF(tbl_Case_mins[[#This Row],[Case Type]]="Sch",1,0)</f>
        <v>#REF!</v>
      </c>
      <c r="AE12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6" s="9">
        <f>IFERROR(IF(ISBLANK(INDEX(Am_Close,MATCH(1,INDEX((tbl_Case_mins[[#This Row],[Theatre]]=Theatre_No)*(tbl_Case_mins[[#This Row],[Surgery Start Date]]=Date),0,1),0))*1440),0,INDEX(Am_Close,MATCH(1,INDEX((tbl_Case_mins[[#This Row],[Theatre]]=Theatre_No)*(tbl_Case_mins[[#This Row],[Surgery Start Date]]=Date),0,1),0))*1440),0)</f>
        <v>0</v>
      </c>
      <c r="AG126" s="9">
        <f>IFERROR(IF(ISBLANK(INDEX(PM_Open,MATCH(1,INDEX((tbl_Case_mins[[#This Row],[Theatre]]=Theatre_No)*(tbl_Case_mins[[#This Row],[Surgery Start Date]]=Date),0,1),0))*1440),0,INDEX(PM_Open,MATCH(1,INDEX((tbl_Case_mins[[#This Row],[Theatre]]=Theatre_No)*(tbl_Case_mins[[#This Row],[Surgery Start Date]]=Date),0,1),0))*1440),0)</f>
        <v>0</v>
      </c>
      <c r="AH12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6" s="9" t="e">
        <f>IF(tbl_Case_mins[[#This Row],[ThOpenAm]]=0,tbl_Case_mins[[#This Row],[ThOpenPM]],tbl_Case_mins[[#This Row],[ThOpenAm]])</f>
        <v>#REF!</v>
      </c>
      <c r="AJ126" s="9" t="e">
        <f>IF(tbl_Case_mins[[#This Row],[ThCloseAm]]&gt;0,IF(tbl_Case_mins[[#This Row],[ThOpenPM]]&gt;0,tbl_Case_mins[[#This Row],[ThClosePm]],tbl_Case_mins[[#This Row],[ThCloseAm]]),tbl_Case_mins[[#This Row],[ThClosePm]])</f>
        <v>#REF!</v>
      </c>
      <c r="AK126" s="9" t="e">
        <f>IF(tbl_Case_mins[[#This Row],[TOT]]&gt;0,1,0)</f>
        <v>#REF!</v>
      </c>
      <c r="AL12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6" s="9" t="e">
        <f>IF(AND(tbl_Case_mins[[#This Row],[Surgery Status]]&lt;&gt;2,tbl_Case_mins[[#This Row],[InCoreCase]]=0,tbl_Case_mins[[#This Row],[CancelledCase]]=0),1,0)</f>
        <v>#REF!</v>
      </c>
      <c r="AN126" s="9" t="e">
        <f>IF(tbl_Case_mins[[#This Row],[Surgery Status]]=1,1,0)</f>
        <v>#REF!</v>
      </c>
      <c r="AO12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6" s="9" t="e">
        <f>IF(AND(tbl_Case_mins[[#This Row],[NonCoreCase]]=1,tbl_Case_mins[[#This Row],[NoInCoreTime]]=0),1,0)</f>
        <v>#REF!</v>
      </c>
      <c r="AQ126" s="9" t="e">
        <f>IF(tbl_Case_mins[[#This Row],[Rank_AnaEnd]]&lt;tbl_Case_mins[[#This Row],[Rank_AnaSt]],1,0)</f>
        <v>#REF!</v>
      </c>
      <c r="AR126" s="9" t="e">
        <f>IF(AND(tbl_Case_mins[[#This Row],[InCoreCase]]=1,tbl_Case_mins[[#This Row],[Sch]]=1),1,0)</f>
        <v>#REF!</v>
      </c>
      <c r="AS126" s="9" t="e">
        <f>IF(AND(tbl_Case_mins[[#This Row],[InCoreCase]]=1,tbl_Case_mins[[#This Row],[Unsch]]=1),1,0)</f>
        <v>#REF!</v>
      </c>
      <c r="AT12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6" s="9" t="e">
        <f>IF(tbl_Case_mins[[#This Row],[Surgery Status]]=0,(tbl_Case_mins[[#This Row],[Anaesth End]]-tbl_Case_mins[[#This Row],[AnaesthStart]]),0)</f>
        <v>#REF!</v>
      </c>
      <c r="AX126" s="9" t="e">
        <f>IF(tbl_Case_mins[[#This Row],[Surgery Status]]=0,(tbl_Case_mins[[#This Row],[Surgery Finish]]-tbl_Case_mins[[#This Row],[Surgery Start]]),0)</f>
        <v>#REF!</v>
      </c>
      <c r="AY126" s="9" t="e">
        <f>tbl_Case_mins[[#This Row],[Surgery Start]]-tbl_Case_mins[[#This Row],[AnaesthStart]]</f>
        <v>#REF!</v>
      </c>
      <c r="AZ126" s="9" t="e">
        <f>tbl_Case_mins[[#This Row],[Anaesth End]]-tbl_Case_mins[[#This Row],[Surgery Finish]]</f>
        <v>#REF!</v>
      </c>
      <c r="BA12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6" s="16" cm="1">
        <f t="array" ref="BC12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6" s="16" t="e">
        <f>IF(AND(tbl_Case_mins[[#This Row],[FirstAMCase]]=1,tbl_Case_mins[[#This Row],[CancelledCase]]=0,OR(tbl_Case_mins[[#This Row],[EarlyStartAM]]&gt;0,tbl_Case_mins[[#This Row],[AnaesthStart]]=tbl_Case_mins[[#This Row],[ThOpenAm]])),1,0)</f>
        <v>#REF!</v>
      </c>
      <c r="BE126" s="16" t="e">
        <f>IF(AND(tbl_Case_mins[[#This Row],[Rank_AnaSt]]=tbl_Case_mins[[#This Row],[Min_RankAnaSt]],tbl_Case_mins[[#This Row],[Anaesth End]]&gt;=tbl_Case_mins[[#This Row],[ThOpenAm]],tbl_Case_mins[[#This Row],[PmCase]]=0),1,0)</f>
        <v>#REF!</v>
      </c>
      <c r="BF12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6" s="9" t="e" cm="1">
        <f t="array" ref="BH12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6" s="9" t="e">
        <f>IF(AND(tbl_Case_mins[[#This Row],[ThOpenPM]]&gt;0,tbl_Case_mins[[#This Row],[AnaesthStart]]&gt;tbl_Case_mins[[#This Row],[ThOpenPM]],tbl_Case_mins[[#This Row],[First PM Case]]=1),tbl_Case_mins[[#This Row],[AnaesthStart]]-tbl_Case_mins[[#This Row],[ThOpenPM]],0)</f>
        <v>#REF!</v>
      </c>
      <c r="BL12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6" s="9" t="e" cm="1">
        <f t="array" ref="BN12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6" s="9" t="e">
        <f>IF(AND(tbl_Case_mins[[#This Row],[ThClosePm]]&gt;0,tbl_Case_mins[[#This Row],[Anaesth End]]&gt;tbl_Case_mins[[#This Row],[ThClosePm]],tbl_Case_mins[[#This Row],[AnaesthStart]]&gt;tbl_Case_mins[[#This Row],[ThClosePm]]),tbl_Case_mins[[#This Row],[Into Recov]]-tbl_Case_mins[[#This Row],[AnaesthStart]],0)</f>
        <v>#REF!</v>
      </c>
      <c r="BP126" s="9" t="e">
        <f>IF(AND(tbl_Case_mins[[#This Row],[AnaesthStart]]&lt;tbl_Case_mins[[#This Row],[ThClosePm]],tbl_Case_mins[[#This Row],[Anaesth End]]&gt;tbl_Case_mins[[#This Row],[ThClosePm]]),tbl_Case_mins[[#This Row],[Anaesth End]]-tbl_Case_mins[[#This Row],[ThClosePm]],0)</f>
        <v>#REF!</v>
      </c>
      <c r="BQ126" s="9" t="e" cm="1">
        <f t="array" ref="BQ12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6" s="9" t="e" cm="1">
        <f t="array" ref="BR126">IF(tbl_Case_mins[[#This Row],[Rank_Adjust]]=SUMPRODUCT(-(tbl_Case_mins[Surgery Start Date]=tbl_Case_mins[[#This Row],[Surgery Start Date]]),-(tbl_Case_mins[Theatre]=tbl_Case_mins[[#This Row],[Theatre]])),INDEX(Poss_Time,MATCH(TEXT(tbl_Case_mins[[#This Row],[Surgery Start Date]],"ddd"),Day,0)),0)</f>
        <v>#REF!</v>
      </c>
      <c r="BS126" s="9" t="e">
        <f>tbl_Case_mins[[#This Row],[Core_Time]]*Util_Goal</f>
        <v>#REF!</v>
      </c>
      <c r="BT126" s="9" t="e" cm="1">
        <f t="array" ref="BT1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6" s="9" t="e" cm="1">
        <f t="array" ref="BU1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6" s="9" t="e">
        <f>IF(tbl_Case_mins[[#This Row],[Surgery End Date]]&gt;tbl_Case_mins[[#This Row],[Surgery Start Date]],tbl_Case_mins[[#This Row],[Anaesth End]]-1440,0)</f>
        <v>#REF!</v>
      </c>
      <c r="BY126" s="9" t="e">
        <f>tbl_Case_mins[[#This Row],[Total_NonCore]]-tbl_Case_mins[[#This Row],[NextDay_NonCore]]</f>
        <v>#REF!</v>
      </c>
      <c r="BZ126" s="10" t="e">
        <f>tbl_Case_mins[[#This Row],[InCoreUse]]/60</f>
        <v>#REF!</v>
      </c>
      <c r="CA126" s="10" t="e">
        <f>tbl_Case_mins[[#This Row],[Total_NonCore]]/60</f>
        <v>#REF!</v>
      </c>
      <c r="CB126" t="e" cm="1">
        <f t="array" ref="CB1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6" s="9" t="e" cm="1">
        <f t="array" ref="CC12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6" s="9" t="e" cm="1">
        <f t="array" ref="CD1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6" s="9" t="e" cm="1">
        <f t="array" ref="CE12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6" s="9" cm="1">
        <f t="array" ref="CF126">IFERROR(_xlfn.AGGREGATE(14,6,(tbl_Case_mins[Rank_AnaEnd])/((tbl_Case_mins[Surgery Start Date]=tbl_Case_mins[[#This Row],[Surgery Start Date]])*(tbl_Case_mins[Theatre]=tbl_Case_mins[[#This Row],[Theatre]])*(tbl_Case_mins[NoInCoreTime]=0)),1),-1)</f>
        <v>-1</v>
      </c>
      <c r="CG126" s="9" cm="1">
        <f t="array" ref="CG126">IFERROR(_xlfn.AGGREGATE(15,6,(tbl_Case_mins[Rank_AnaSt])/((tbl_Case_mins[Surgery Start Date]=tbl_Case_mins[[#This Row],[Surgery Start Date]])*(tbl_Case_mins[Theatre]=tbl_Case_mins[[#This Row],[Theatre]])*(tbl_Case_mins[NoInCoreTime]=0)),1),-1)</f>
        <v>-1</v>
      </c>
      <c r="CH12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6" t="e" cm="1">
        <f t="array" ref="CJ12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6" s="9" cm="1">
        <f t="array" ref="CO1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6" s="9" cm="1">
        <f t="array" ref="CP1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6" s="9" cm="1">
        <f t="array" ref="CQ126">IFERROR(IF(AND(tbl_Case_mins[[#This Row],[FirstAMCase]]=0,tbl_Case_mins[[#This Row],[Rank]]=_xlfn.AGGREGATE(14,6,(tbl_Case_mins[Rank])/((tbl_Case_mins[Surgery Start Date]=tbl_Case_mins[[#This Row],[Surgery Start Date]])*(tbl_Case_mins[Theatre]=tbl_Case_mins[[#This Row],[Theatre]])*(tbl_Case_mins[AmCase]=1)),1)),1,0),0)</f>
        <v>0</v>
      </c>
      <c r="CR126" s="9" cm="1">
        <f t="array" ref="CR12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6" s="9" t="e" cm="1">
        <f t="array" ref="CS12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6" s="9" cm="1">
        <f t="array" ref="CT126">IFERROR(IF(tbl_Case_mins[[#This Row],[Rank]]=_xlfn.AGGREGATE(15,6,(tbl_Case_mins[Rank])/((tbl_Case_mins[Surgery Start Date]=tbl_Case_mins[[#This Row],[Surgery Start Date]])*(tbl_Case_mins[Theatre]=tbl_Case_mins[[#This Row],[Theatre]])*(tbl_Case_mins[PmCase]=1)),1),1,0),0)</f>
        <v>0</v>
      </c>
      <c r="CU126">
        <f>IFERROR(#REF!,0)</f>
        <v>0</v>
      </c>
      <c r="CV126" s="9" t="e" cm="1">
        <f t="array" ref="CV12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6" s="9">
        <f>IFERROR(IF(ISBLANK(INDEX(Bay_AmClose,MATCH(1,INDEX((tbl_Case_mins[[#This Row],[Bay]]=BayNo)*(tbl_Case_mins[[#This Row],[Surgery Start Date]]=BDate),0,1),0))*1440),0,INDEX(Bay_AmClose,MATCH(1,INDEX((tbl_Case_mins[[#This Row],[Bay]]=BayNo)*(tbl_Case_mins[[#This Row],[Surgery Start Date]]=BDate),0,1),0))*1440),0)</f>
        <v>0</v>
      </c>
      <c r="CX126" s="9" cm="1">
        <f t="array" ref="CX126">IFERROR(IF(ISBLANK(INDEX(Bay_PmOpen,MATCH(1,INDEX((tbl_Case_mins[[#This Row],[Bay]]=BayNo)*(tbl_Case_mins[[#This Row],[Surgery Start Date]]=BDate),0,1),0))*1440),0,INDEX(Bay_PmOpen,MATCH(1,INDEX((tbl_Case_mins[[#This Row],[Bay]]=BayNo)*(tbl_Case_mins[[#This Row],[Surgery Start Date]]=BDate),0,1),0))*1440),0)</f>
        <v>0</v>
      </c>
      <c r="CY12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6" s="9"/>
    </row>
    <row r="127" spans="1:104" x14ac:dyDescent="0.2">
      <c r="A127">
        <v>126</v>
      </c>
      <c r="B127" t="e">
        <f>#REF!</f>
        <v>#REF!</v>
      </c>
      <c r="C127" t="e">
        <f>#REF!</f>
        <v>#REF!</v>
      </c>
      <c r="D127" t="e">
        <f>#REF!</f>
        <v>#REF!</v>
      </c>
      <c r="E127" t="e">
        <f>#REF!</f>
        <v>#REF!</v>
      </c>
      <c r="F127" t="e">
        <f>#REF!</f>
        <v>#REF!</v>
      </c>
      <c r="G127" t="e">
        <f>#REF!</f>
        <v>#REF!</v>
      </c>
      <c r="H127" t="e">
        <f>#REF!</f>
        <v>#REF!</v>
      </c>
      <c r="I127" t="e">
        <f>IF(#REF!="Case Cancelled",1,IF(#REF!="No Cases",2,0))</f>
        <v>#REF!</v>
      </c>
      <c r="J127" t="e">
        <f>#REF!</f>
        <v>#REF!</v>
      </c>
      <c r="K127" s="4" t="e">
        <f>#REF!</f>
        <v>#REF!</v>
      </c>
      <c r="L127" t="e">
        <f>"Wk "&amp;WEEKNUM(tbl_Case_mins[[#This Row],[Surgery Start Date]],21)</f>
        <v>#REF!</v>
      </c>
      <c r="M127" t="e">
        <f>TEXT(tbl_Case_mins[[#This Row],[Surgery Start Date]],"ddd")</f>
        <v>#REF!</v>
      </c>
      <c r="N127" s="9" t="e">
        <f>(#REF!-TIME(0,0,0))*1440</f>
        <v>#REF!</v>
      </c>
      <c r="O127" t="e">
        <f>IF(AND(ROUND((#REF!-TIME(0,0,0))*1440,0)&gt;0,ROUND((#REF!-TIME(0,0,0))*1440,0)&lt;tbl_Case_mins[[#This Row],[Patient Called]],tbl_Case_mins[[#This Row],[Surgery End Date]]&gt;tbl_Case_mins[[#This Row],[Surgery Start Date]]),ROUND((#REF!-TIME(0,0,0))*1440,0)+1440,ROUND((#REF!-TIME(0,0,0))*1440,0))</f>
        <v>#REF!</v>
      </c>
      <c r="P127" s="9" t="e">
        <f>IF(AND(ROUND((#REF!-TIME(0,0,0))*1440,0)&gt;0,ROUND((#REF!-TIME(0,0,0))*1440,0)&lt;tbl_Case_mins[[#This Row],[Arrival]],tbl_Case_mins[[#This Row],[Surgery End Date]]&gt;tbl_Case_mins[[#This Row],[Surgery Start Date]]),ROUND((#REF!-TIME(0,0,0))*1440,0)+1440,ROUND((#REF!-TIME(0,0,0))*1440,0))</f>
        <v>#REF!</v>
      </c>
      <c r="Q127" s="9" t="e">
        <f>IF(AND(ROUND((#REF!-TIME(0,0,0))*1440,0)&gt;0,ROUND((#REF!-TIME(0,0,0))*1440,0)&lt;tbl_Case_mins[[#This Row],[Into Th or AR]],tbl_Case_mins[[#This Row],[Surgery End Date]]&gt;tbl_Case_mins[[#This Row],[Surgery Start Date]]),ROUND((#REF!-TIME(0,0,0))*1440,0)+1440,ROUND((#REF!-TIME(0,0,0))*1440,0))</f>
        <v>#REF!</v>
      </c>
      <c r="R127" s="9" t="e">
        <f>IF(AND(ROUND((#REF!-TIME(0,0,0))*1440,0)&gt;0,ROUND((#REF!-TIME(0,0,0))*1440,0)&lt;tbl_Case_mins[[#This Row],[AnaesthStart]],tbl_Case_mins[[#This Row],[Surgery End Date]]&gt;tbl_Case_mins[[#This Row],[Surgery Start Date]]),ROUND((#REF!-TIME(0,0,0))*1440,0)+1440,ROUND((#REF!-TIME(0,0,0))*1440,0))</f>
        <v>#REF!</v>
      </c>
      <c r="S127" s="9" t="e">
        <f>IF(AND(ROUND((#REF!-TIME(0,0,0))*1440,0),ROUND((#REF!-TIME(0,0,0))*1440,0)&lt;tbl_Case_mins[[#This Row],[Surgery Start]],tbl_Case_mins[[#This Row],[Surgery End Date]]&gt;tbl_Case_mins[[#This Row],[Surgery Start Date]]),ROUND((#REF!-TIME(0,0,0))*1440,0)+1440,ROUND((#REF!-TIME(0,0,0))*1440,0))</f>
        <v>#REF!</v>
      </c>
      <c r="T127" s="9" t="e">
        <f>IF(AND(ROUND((#REF!-TIME(0,0,0))*1440,0)&gt;0,ROUND((#REF!-TIME(0,0,0))*1440,0)&lt;tbl_Case_mins[[#This Row],[Surgery Finish]],tbl_Case_mins[[#This Row],[Surgery End Date]]&gt;tbl_Case_mins[[#This Row],[Surgery Start Date]]),ROUND((#REF!-TIME(0,0,0))*1440,0)+1440,ROUND((#REF!-TIME(0,0,0))*1440,0))</f>
        <v>#REF!</v>
      </c>
      <c r="U127" s="9" t="e">
        <f>IF(AND(ROUND((#REF!-TIME(0,0,0))*1440,0)&gt;0,ROUND((#REF!-TIME(0,0,0))*1440,0)&lt;tbl_Case_mins[[#This Row],[Anaesth End]],tbl_Case_mins[[#This Row],[Surgery End Date]]&gt;tbl_Case_mins[[#This Row],[Surgery Start Date]]),ROUND((#REF!-TIME(0,0,0))*1440,0)+1440,ROUND((#REF!-TIME(0,0,0))*1440,0))</f>
        <v>#REF!</v>
      </c>
      <c r="V127" s="9" t="e">
        <f>IF(AND(ROUND((#REF!-TIME(0,0,0))*1440,0)&gt;0,ROUND((#REF!-TIME(0,0,0))*1440,0)&lt;tbl_Case_mins[[#This Row],[Into Recov]],tbl_Case_mins[[#This Row],[Surgery End Date]]&gt;tbl_Case_mins[[#This Row],[Surgery Start Date]]),ROUND((#REF!-TIME(0,0,0))*1440,0)+1440,ROUND((#REF!-TIME(0,0,0))*1440,0))</f>
        <v>#REF!</v>
      </c>
      <c r="W127" s="9" t="e">
        <f>IF(AND(ROUND((#REF!-TIME(0,0,0))*1440,0)&gt;0,ROUND((#REF!-TIME(0,0,0))*1440,0)&lt;tbl_Case_mins[[#This Row],[Ward Called]],tbl_Case_mins[[#This Row],[Surgery End Date]]&gt;tbl_Case_mins[[#This Row],[Surgery Start Date]]),ROUND((#REF!-TIME(0,0,0))*1440,0)+1440,ROUND((#REF!-TIME(0,0,0))*1440,0))</f>
        <v>#REF!</v>
      </c>
      <c r="X127" s="4" t="e">
        <f>IF(ISBLANK(#REF!),tbl_Case_mins[[#This Row],[Surgery Start Date]],#REF!)</f>
        <v>#REF!</v>
      </c>
      <c r="Y127">
        <f>IFERROR(IF(VLOOKUP(tbl_Case_mins[[#This Row],[Theatre]],'Mng Theatres'!$C$7:$G$12,3,FALSE)="Yes","Yes","No"),0)</f>
        <v>0</v>
      </c>
      <c r="Z127" s="9" t="e" cm="1">
        <f t="array" ref="Z12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7" s="9" t="e" cm="1">
        <f t="array" ref="AA12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7" s="9" t="e">
        <f>IF(tbl_Case_mins[[#This Row],[Case Type]]="Unsch",1,0)</f>
        <v>#REF!</v>
      </c>
      <c r="AD127" s="9" t="e">
        <f>IF(tbl_Case_mins[[#This Row],[Case Type]]="Sch",1,0)</f>
        <v>#REF!</v>
      </c>
      <c r="AE12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7" s="9">
        <f>IFERROR(IF(ISBLANK(INDEX(Am_Close,MATCH(1,INDEX((tbl_Case_mins[[#This Row],[Theatre]]=Theatre_No)*(tbl_Case_mins[[#This Row],[Surgery Start Date]]=Date),0,1),0))*1440),0,INDEX(Am_Close,MATCH(1,INDEX((tbl_Case_mins[[#This Row],[Theatre]]=Theatre_No)*(tbl_Case_mins[[#This Row],[Surgery Start Date]]=Date),0,1),0))*1440),0)</f>
        <v>0</v>
      </c>
      <c r="AG127" s="9">
        <f>IFERROR(IF(ISBLANK(INDEX(PM_Open,MATCH(1,INDEX((tbl_Case_mins[[#This Row],[Theatre]]=Theatre_No)*(tbl_Case_mins[[#This Row],[Surgery Start Date]]=Date),0,1),0))*1440),0,INDEX(PM_Open,MATCH(1,INDEX((tbl_Case_mins[[#This Row],[Theatre]]=Theatre_No)*(tbl_Case_mins[[#This Row],[Surgery Start Date]]=Date),0,1),0))*1440),0)</f>
        <v>0</v>
      </c>
      <c r="AH12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7" s="9" t="e">
        <f>IF(tbl_Case_mins[[#This Row],[ThOpenAm]]=0,tbl_Case_mins[[#This Row],[ThOpenPM]],tbl_Case_mins[[#This Row],[ThOpenAm]])</f>
        <v>#REF!</v>
      </c>
      <c r="AJ127" s="9" t="e">
        <f>IF(tbl_Case_mins[[#This Row],[ThCloseAm]]&gt;0,IF(tbl_Case_mins[[#This Row],[ThOpenPM]]&gt;0,tbl_Case_mins[[#This Row],[ThClosePm]],tbl_Case_mins[[#This Row],[ThCloseAm]]),tbl_Case_mins[[#This Row],[ThClosePm]])</f>
        <v>#REF!</v>
      </c>
      <c r="AK127" s="9" t="e">
        <f>IF(tbl_Case_mins[[#This Row],[TOT]]&gt;0,1,0)</f>
        <v>#REF!</v>
      </c>
      <c r="AL12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7" s="9" t="e">
        <f>IF(AND(tbl_Case_mins[[#This Row],[Surgery Status]]&lt;&gt;2,tbl_Case_mins[[#This Row],[InCoreCase]]=0,tbl_Case_mins[[#This Row],[CancelledCase]]=0),1,0)</f>
        <v>#REF!</v>
      </c>
      <c r="AN127" s="9" t="e">
        <f>IF(tbl_Case_mins[[#This Row],[Surgery Status]]=1,1,0)</f>
        <v>#REF!</v>
      </c>
      <c r="AO12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7" s="9" t="e">
        <f>IF(AND(tbl_Case_mins[[#This Row],[NonCoreCase]]=1,tbl_Case_mins[[#This Row],[NoInCoreTime]]=0),1,0)</f>
        <v>#REF!</v>
      </c>
      <c r="AQ127" s="9" t="e">
        <f>IF(tbl_Case_mins[[#This Row],[Rank_AnaEnd]]&lt;tbl_Case_mins[[#This Row],[Rank_AnaSt]],1,0)</f>
        <v>#REF!</v>
      </c>
      <c r="AR127" s="9" t="e">
        <f>IF(AND(tbl_Case_mins[[#This Row],[InCoreCase]]=1,tbl_Case_mins[[#This Row],[Sch]]=1),1,0)</f>
        <v>#REF!</v>
      </c>
      <c r="AS127" s="9" t="e">
        <f>IF(AND(tbl_Case_mins[[#This Row],[InCoreCase]]=1,tbl_Case_mins[[#This Row],[Unsch]]=1),1,0)</f>
        <v>#REF!</v>
      </c>
      <c r="AT12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7" s="9" t="e">
        <f>IF(tbl_Case_mins[[#This Row],[Surgery Status]]=0,(tbl_Case_mins[[#This Row],[Anaesth End]]-tbl_Case_mins[[#This Row],[AnaesthStart]]),0)</f>
        <v>#REF!</v>
      </c>
      <c r="AX127" s="9" t="e">
        <f>IF(tbl_Case_mins[[#This Row],[Surgery Status]]=0,(tbl_Case_mins[[#This Row],[Surgery Finish]]-tbl_Case_mins[[#This Row],[Surgery Start]]),0)</f>
        <v>#REF!</v>
      </c>
      <c r="AY127" s="9" t="e">
        <f>tbl_Case_mins[[#This Row],[Surgery Start]]-tbl_Case_mins[[#This Row],[AnaesthStart]]</f>
        <v>#REF!</v>
      </c>
      <c r="AZ127" s="9" t="e">
        <f>tbl_Case_mins[[#This Row],[Anaesth End]]-tbl_Case_mins[[#This Row],[Surgery Finish]]</f>
        <v>#REF!</v>
      </c>
      <c r="BA12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7" s="16" cm="1">
        <f t="array" ref="BC12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7" s="16" t="e">
        <f>IF(AND(tbl_Case_mins[[#This Row],[FirstAMCase]]=1,tbl_Case_mins[[#This Row],[CancelledCase]]=0,OR(tbl_Case_mins[[#This Row],[EarlyStartAM]]&gt;0,tbl_Case_mins[[#This Row],[AnaesthStart]]=tbl_Case_mins[[#This Row],[ThOpenAm]])),1,0)</f>
        <v>#REF!</v>
      </c>
      <c r="BE127" s="16" t="e">
        <f>IF(AND(tbl_Case_mins[[#This Row],[Rank_AnaSt]]=tbl_Case_mins[[#This Row],[Min_RankAnaSt]],tbl_Case_mins[[#This Row],[Anaesth End]]&gt;=tbl_Case_mins[[#This Row],[ThOpenAm]],tbl_Case_mins[[#This Row],[PmCase]]=0),1,0)</f>
        <v>#REF!</v>
      </c>
      <c r="BF12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7" s="9" t="e" cm="1">
        <f t="array" ref="BH12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7" s="9" t="e">
        <f>IF(AND(tbl_Case_mins[[#This Row],[ThOpenPM]]&gt;0,tbl_Case_mins[[#This Row],[AnaesthStart]]&gt;tbl_Case_mins[[#This Row],[ThOpenPM]],tbl_Case_mins[[#This Row],[First PM Case]]=1),tbl_Case_mins[[#This Row],[AnaesthStart]]-tbl_Case_mins[[#This Row],[ThOpenPM]],0)</f>
        <v>#REF!</v>
      </c>
      <c r="BL12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7" s="9" t="e" cm="1">
        <f t="array" ref="BN12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7" s="9" t="e">
        <f>IF(AND(tbl_Case_mins[[#This Row],[ThClosePm]]&gt;0,tbl_Case_mins[[#This Row],[Anaesth End]]&gt;tbl_Case_mins[[#This Row],[ThClosePm]],tbl_Case_mins[[#This Row],[AnaesthStart]]&gt;tbl_Case_mins[[#This Row],[ThClosePm]]),tbl_Case_mins[[#This Row],[Into Recov]]-tbl_Case_mins[[#This Row],[AnaesthStart]],0)</f>
        <v>#REF!</v>
      </c>
      <c r="BP127" s="9" t="e">
        <f>IF(AND(tbl_Case_mins[[#This Row],[AnaesthStart]]&lt;tbl_Case_mins[[#This Row],[ThClosePm]],tbl_Case_mins[[#This Row],[Anaesth End]]&gt;tbl_Case_mins[[#This Row],[ThClosePm]]),tbl_Case_mins[[#This Row],[Anaesth End]]-tbl_Case_mins[[#This Row],[ThClosePm]],0)</f>
        <v>#REF!</v>
      </c>
      <c r="BQ127" s="9" t="e" cm="1">
        <f t="array" ref="BQ12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7" s="9" t="e" cm="1">
        <f t="array" ref="BR127">IF(tbl_Case_mins[[#This Row],[Rank_Adjust]]=SUMPRODUCT(-(tbl_Case_mins[Surgery Start Date]=tbl_Case_mins[[#This Row],[Surgery Start Date]]),-(tbl_Case_mins[Theatre]=tbl_Case_mins[[#This Row],[Theatre]])),INDEX(Poss_Time,MATCH(TEXT(tbl_Case_mins[[#This Row],[Surgery Start Date]],"ddd"),Day,0)),0)</f>
        <v>#REF!</v>
      </c>
      <c r="BS127" s="9" t="e">
        <f>tbl_Case_mins[[#This Row],[Core_Time]]*Util_Goal</f>
        <v>#REF!</v>
      </c>
      <c r="BT127" s="9" t="e" cm="1">
        <f t="array" ref="BT1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7" s="9" t="e" cm="1">
        <f t="array" ref="BU1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7" s="9" t="e">
        <f>IF(tbl_Case_mins[[#This Row],[Surgery End Date]]&gt;tbl_Case_mins[[#This Row],[Surgery Start Date]],tbl_Case_mins[[#This Row],[Anaesth End]]-1440,0)</f>
        <v>#REF!</v>
      </c>
      <c r="BY127" s="9" t="e">
        <f>tbl_Case_mins[[#This Row],[Total_NonCore]]-tbl_Case_mins[[#This Row],[NextDay_NonCore]]</f>
        <v>#REF!</v>
      </c>
      <c r="BZ127" s="10" t="e">
        <f>tbl_Case_mins[[#This Row],[InCoreUse]]/60</f>
        <v>#REF!</v>
      </c>
      <c r="CA127" s="10" t="e">
        <f>tbl_Case_mins[[#This Row],[Total_NonCore]]/60</f>
        <v>#REF!</v>
      </c>
      <c r="CB127" t="e" cm="1">
        <f t="array" ref="CB1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7" s="9" t="e" cm="1">
        <f t="array" ref="CC12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7" s="9" t="e" cm="1">
        <f t="array" ref="CD1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7" s="9" t="e" cm="1">
        <f t="array" ref="CE12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7" s="9" cm="1">
        <f t="array" ref="CF127">IFERROR(_xlfn.AGGREGATE(14,6,(tbl_Case_mins[Rank_AnaEnd])/((tbl_Case_mins[Surgery Start Date]=tbl_Case_mins[[#This Row],[Surgery Start Date]])*(tbl_Case_mins[Theatre]=tbl_Case_mins[[#This Row],[Theatre]])*(tbl_Case_mins[NoInCoreTime]=0)),1),-1)</f>
        <v>-1</v>
      </c>
      <c r="CG127" s="9" cm="1">
        <f t="array" ref="CG127">IFERROR(_xlfn.AGGREGATE(15,6,(tbl_Case_mins[Rank_AnaSt])/((tbl_Case_mins[Surgery Start Date]=tbl_Case_mins[[#This Row],[Surgery Start Date]])*(tbl_Case_mins[Theatre]=tbl_Case_mins[[#This Row],[Theatre]])*(tbl_Case_mins[NoInCoreTime]=0)),1),-1)</f>
        <v>-1</v>
      </c>
      <c r="CH12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7" t="e" cm="1">
        <f t="array" ref="CJ12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7" s="9" cm="1">
        <f t="array" ref="CO1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7" s="9" cm="1">
        <f t="array" ref="CP1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7" s="9" cm="1">
        <f t="array" ref="CQ127">IFERROR(IF(AND(tbl_Case_mins[[#This Row],[FirstAMCase]]=0,tbl_Case_mins[[#This Row],[Rank]]=_xlfn.AGGREGATE(14,6,(tbl_Case_mins[Rank])/((tbl_Case_mins[Surgery Start Date]=tbl_Case_mins[[#This Row],[Surgery Start Date]])*(tbl_Case_mins[Theatre]=tbl_Case_mins[[#This Row],[Theatre]])*(tbl_Case_mins[AmCase]=1)),1)),1,0),0)</f>
        <v>0</v>
      </c>
      <c r="CR127" s="9" cm="1">
        <f t="array" ref="CR12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7" s="9" t="e" cm="1">
        <f t="array" ref="CS12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7" s="9" cm="1">
        <f t="array" ref="CT127">IFERROR(IF(tbl_Case_mins[[#This Row],[Rank]]=_xlfn.AGGREGATE(15,6,(tbl_Case_mins[Rank])/((tbl_Case_mins[Surgery Start Date]=tbl_Case_mins[[#This Row],[Surgery Start Date]])*(tbl_Case_mins[Theatre]=tbl_Case_mins[[#This Row],[Theatre]])*(tbl_Case_mins[PmCase]=1)),1),1,0),0)</f>
        <v>0</v>
      </c>
      <c r="CU127">
        <f>IFERROR(#REF!,0)</f>
        <v>0</v>
      </c>
      <c r="CV127" s="9" t="e" cm="1">
        <f t="array" ref="CV12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7" s="9">
        <f>IFERROR(IF(ISBLANK(INDEX(Bay_AmClose,MATCH(1,INDEX((tbl_Case_mins[[#This Row],[Bay]]=BayNo)*(tbl_Case_mins[[#This Row],[Surgery Start Date]]=BDate),0,1),0))*1440),0,INDEX(Bay_AmClose,MATCH(1,INDEX((tbl_Case_mins[[#This Row],[Bay]]=BayNo)*(tbl_Case_mins[[#This Row],[Surgery Start Date]]=BDate),0,1),0))*1440),0)</f>
        <v>0</v>
      </c>
      <c r="CX127" s="9" cm="1">
        <f t="array" ref="CX127">IFERROR(IF(ISBLANK(INDEX(Bay_PmOpen,MATCH(1,INDEX((tbl_Case_mins[[#This Row],[Bay]]=BayNo)*(tbl_Case_mins[[#This Row],[Surgery Start Date]]=BDate),0,1),0))*1440),0,INDEX(Bay_PmOpen,MATCH(1,INDEX((tbl_Case_mins[[#This Row],[Bay]]=BayNo)*(tbl_Case_mins[[#This Row],[Surgery Start Date]]=BDate),0,1),0))*1440),0)</f>
        <v>0</v>
      </c>
      <c r="CY12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7" s="9"/>
    </row>
    <row r="128" spans="1:104" x14ac:dyDescent="0.2">
      <c r="A128">
        <v>127</v>
      </c>
      <c r="B128" t="e">
        <f>#REF!</f>
        <v>#REF!</v>
      </c>
      <c r="C128" t="e">
        <f>#REF!</f>
        <v>#REF!</v>
      </c>
      <c r="D128" t="e">
        <f>#REF!</f>
        <v>#REF!</v>
      </c>
      <c r="E128" t="e">
        <f>#REF!</f>
        <v>#REF!</v>
      </c>
      <c r="F128" t="e">
        <f>#REF!</f>
        <v>#REF!</v>
      </c>
      <c r="G128" t="e">
        <f>#REF!</f>
        <v>#REF!</v>
      </c>
      <c r="H128" t="e">
        <f>#REF!</f>
        <v>#REF!</v>
      </c>
      <c r="I128" t="e">
        <f>IF(#REF!="Case Cancelled",1,IF(#REF!="No Cases",2,0))</f>
        <v>#REF!</v>
      </c>
      <c r="J128" t="e">
        <f>#REF!</f>
        <v>#REF!</v>
      </c>
      <c r="K128" s="4" t="e">
        <f>#REF!</f>
        <v>#REF!</v>
      </c>
      <c r="L128" t="e">
        <f>"Wk "&amp;WEEKNUM(tbl_Case_mins[[#This Row],[Surgery Start Date]],21)</f>
        <v>#REF!</v>
      </c>
      <c r="M128" t="e">
        <f>TEXT(tbl_Case_mins[[#This Row],[Surgery Start Date]],"ddd")</f>
        <v>#REF!</v>
      </c>
      <c r="N128" s="9" t="e">
        <f>(#REF!-TIME(0,0,0))*1440</f>
        <v>#REF!</v>
      </c>
      <c r="O128" t="e">
        <f>IF(AND(ROUND((#REF!-TIME(0,0,0))*1440,0)&gt;0,ROUND((#REF!-TIME(0,0,0))*1440,0)&lt;tbl_Case_mins[[#This Row],[Patient Called]],tbl_Case_mins[[#This Row],[Surgery End Date]]&gt;tbl_Case_mins[[#This Row],[Surgery Start Date]]),ROUND((#REF!-TIME(0,0,0))*1440,0)+1440,ROUND((#REF!-TIME(0,0,0))*1440,0))</f>
        <v>#REF!</v>
      </c>
      <c r="P128" s="9" t="e">
        <f>IF(AND(ROUND((#REF!-TIME(0,0,0))*1440,0)&gt;0,ROUND((#REF!-TIME(0,0,0))*1440,0)&lt;tbl_Case_mins[[#This Row],[Arrival]],tbl_Case_mins[[#This Row],[Surgery End Date]]&gt;tbl_Case_mins[[#This Row],[Surgery Start Date]]),ROUND((#REF!-TIME(0,0,0))*1440,0)+1440,ROUND((#REF!-TIME(0,0,0))*1440,0))</f>
        <v>#REF!</v>
      </c>
      <c r="Q128" s="9" t="e">
        <f>IF(AND(ROUND((#REF!-TIME(0,0,0))*1440,0)&gt;0,ROUND((#REF!-TIME(0,0,0))*1440,0)&lt;tbl_Case_mins[[#This Row],[Into Th or AR]],tbl_Case_mins[[#This Row],[Surgery End Date]]&gt;tbl_Case_mins[[#This Row],[Surgery Start Date]]),ROUND((#REF!-TIME(0,0,0))*1440,0)+1440,ROUND((#REF!-TIME(0,0,0))*1440,0))</f>
        <v>#REF!</v>
      </c>
      <c r="R128" s="9" t="e">
        <f>IF(AND(ROUND((#REF!-TIME(0,0,0))*1440,0)&gt;0,ROUND((#REF!-TIME(0,0,0))*1440,0)&lt;tbl_Case_mins[[#This Row],[AnaesthStart]],tbl_Case_mins[[#This Row],[Surgery End Date]]&gt;tbl_Case_mins[[#This Row],[Surgery Start Date]]),ROUND((#REF!-TIME(0,0,0))*1440,0)+1440,ROUND((#REF!-TIME(0,0,0))*1440,0))</f>
        <v>#REF!</v>
      </c>
      <c r="S128" s="9" t="e">
        <f>IF(AND(ROUND((#REF!-TIME(0,0,0))*1440,0),ROUND((#REF!-TIME(0,0,0))*1440,0)&lt;tbl_Case_mins[[#This Row],[Surgery Start]],tbl_Case_mins[[#This Row],[Surgery End Date]]&gt;tbl_Case_mins[[#This Row],[Surgery Start Date]]),ROUND((#REF!-TIME(0,0,0))*1440,0)+1440,ROUND((#REF!-TIME(0,0,0))*1440,0))</f>
        <v>#REF!</v>
      </c>
      <c r="T128" s="9" t="e">
        <f>IF(AND(ROUND((#REF!-TIME(0,0,0))*1440,0)&gt;0,ROUND((#REF!-TIME(0,0,0))*1440,0)&lt;tbl_Case_mins[[#This Row],[Surgery Finish]],tbl_Case_mins[[#This Row],[Surgery End Date]]&gt;tbl_Case_mins[[#This Row],[Surgery Start Date]]),ROUND((#REF!-TIME(0,0,0))*1440,0)+1440,ROUND((#REF!-TIME(0,0,0))*1440,0))</f>
        <v>#REF!</v>
      </c>
      <c r="U128" s="9" t="e">
        <f>IF(AND(ROUND((#REF!-TIME(0,0,0))*1440,0)&gt;0,ROUND((#REF!-TIME(0,0,0))*1440,0)&lt;tbl_Case_mins[[#This Row],[Anaesth End]],tbl_Case_mins[[#This Row],[Surgery End Date]]&gt;tbl_Case_mins[[#This Row],[Surgery Start Date]]),ROUND((#REF!-TIME(0,0,0))*1440,0)+1440,ROUND((#REF!-TIME(0,0,0))*1440,0))</f>
        <v>#REF!</v>
      </c>
      <c r="V128" s="9" t="e">
        <f>IF(AND(ROUND((#REF!-TIME(0,0,0))*1440,0)&gt;0,ROUND((#REF!-TIME(0,0,0))*1440,0)&lt;tbl_Case_mins[[#This Row],[Into Recov]],tbl_Case_mins[[#This Row],[Surgery End Date]]&gt;tbl_Case_mins[[#This Row],[Surgery Start Date]]),ROUND((#REF!-TIME(0,0,0))*1440,0)+1440,ROUND((#REF!-TIME(0,0,0))*1440,0))</f>
        <v>#REF!</v>
      </c>
      <c r="W128" s="9" t="e">
        <f>IF(AND(ROUND((#REF!-TIME(0,0,0))*1440,0)&gt;0,ROUND((#REF!-TIME(0,0,0))*1440,0)&lt;tbl_Case_mins[[#This Row],[Ward Called]],tbl_Case_mins[[#This Row],[Surgery End Date]]&gt;tbl_Case_mins[[#This Row],[Surgery Start Date]]),ROUND((#REF!-TIME(0,0,0))*1440,0)+1440,ROUND((#REF!-TIME(0,0,0))*1440,0))</f>
        <v>#REF!</v>
      </c>
      <c r="X128" s="4" t="e">
        <f>IF(ISBLANK(#REF!),tbl_Case_mins[[#This Row],[Surgery Start Date]],#REF!)</f>
        <v>#REF!</v>
      </c>
      <c r="Y128">
        <f>IFERROR(IF(VLOOKUP(tbl_Case_mins[[#This Row],[Theatre]],'Mng Theatres'!$C$7:$G$12,3,FALSE)="Yes","Yes","No"),0)</f>
        <v>0</v>
      </c>
      <c r="Z128" s="9" t="e" cm="1">
        <f t="array" ref="Z12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8" s="9" t="e" cm="1">
        <f t="array" ref="AA12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8" s="9" t="e">
        <f>IF(tbl_Case_mins[[#This Row],[Case Type]]="Unsch",1,0)</f>
        <v>#REF!</v>
      </c>
      <c r="AD128" s="9" t="e">
        <f>IF(tbl_Case_mins[[#This Row],[Case Type]]="Sch",1,0)</f>
        <v>#REF!</v>
      </c>
      <c r="AE12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8" s="9">
        <f>IFERROR(IF(ISBLANK(INDEX(Am_Close,MATCH(1,INDEX((tbl_Case_mins[[#This Row],[Theatre]]=Theatre_No)*(tbl_Case_mins[[#This Row],[Surgery Start Date]]=Date),0,1),0))*1440),0,INDEX(Am_Close,MATCH(1,INDEX((tbl_Case_mins[[#This Row],[Theatre]]=Theatre_No)*(tbl_Case_mins[[#This Row],[Surgery Start Date]]=Date),0,1),0))*1440),0)</f>
        <v>0</v>
      </c>
      <c r="AG128" s="9">
        <f>IFERROR(IF(ISBLANK(INDEX(PM_Open,MATCH(1,INDEX((tbl_Case_mins[[#This Row],[Theatre]]=Theatre_No)*(tbl_Case_mins[[#This Row],[Surgery Start Date]]=Date),0,1),0))*1440),0,INDEX(PM_Open,MATCH(1,INDEX((tbl_Case_mins[[#This Row],[Theatre]]=Theatre_No)*(tbl_Case_mins[[#This Row],[Surgery Start Date]]=Date),0,1),0))*1440),0)</f>
        <v>0</v>
      </c>
      <c r="AH12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8" s="9" t="e">
        <f>IF(tbl_Case_mins[[#This Row],[ThOpenAm]]=0,tbl_Case_mins[[#This Row],[ThOpenPM]],tbl_Case_mins[[#This Row],[ThOpenAm]])</f>
        <v>#REF!</v>
      </c>
      <c r="AJ128" s="9" t="e">
        <f>IF(tbl_Case_mins[[#This Row],[ThCloseAm]]&gt;0,IF(tbl_Case_mins[[#This Row],[ThOpenPM]]&gt;0,tbl_Case_mins[[#This Row],[ThClosePm]],tbl_Case_mins[[#This Row],[ThCloseAm]]),tbl_Case_mins[[#This Row],[ThClosePm]])</f>
        <v>#REF!</v>
      </c>
      <c r="AK128" s="9" t="e">
        <f>IF(tbl_Case_mins[[#This Row],[TOT]]&gt;0,1,0)</f>
        <v>#REF!</v>
      </c>
      <c r="AL12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8" s="9" t="e">
        <f>IF(AND(tbl_Case_mins[[#This Row],[Surgery Status]]&lt;&gt;2,tbl_Case_mins[[#This Row],[InCoreCase]]=0,tbl_Case_mins[[#This Row],[CancelledCase]]=0),1,0)</f>
        <v>#REF!</v>
      </c>
      <c r="AN128" s="9" t="e">
        <f>IF(tbl_Case_mins[[#This Row],[Surgery Status]]=1,1,0)</f>
        <v>#REF!</v>
      </c>
      <c r="AO12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8" s="9" t="e">
        <f>IF(AND(tbl_Case_mins[[#This Row],[NonCoreCase]]=1,tbl_Case_mins[[#This Row],[NoInCoreTime]]=0),1,0)</f>
        <v>#REF!</v>
      </c>
      <c r="AQ128" s="9" t="e">
        <f>IF(tbl_Case_mins[[#This Row],[Rank_AnaEnd]]&lt;tbl_Case_mins[[#This Row],[Rank_AnaSt]],1,0)</f>
        <v>#REF!</v>
      </c>
      <c r="AR128" s="9" t="e">
        <f>IF(AND(tbl_Case_mins[[#This Row],[InCoreCase]]=1,tbl_Case_mins[[#This Row],[Sch]]=1),1,0)</f>
        <v>#REF!</v>
      </c>
      <c r="AS128" s="9" t="e">
        <f>IF(AND(tbl_Case_mins[[#This Row],[InCoreCase]]=1,tbl_Case_mins[[#This Row],[Unsch]]=1),1,0)</f>
        <v>#REF!</v>
      </c>
      <c r="AT12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8" s="9" t="e">
        <f>IF(tbl_Case_mins[[#This Row],[Surgery Status]]=0,(tbl_Case_mins[[#This Row],[Anaesth End]]-tbl_Case_mins[[#This Row],[AnaesthStart]]),0)</f>
        <v>#REF!</v>
      </c>
      <c r="AX128" s="9" t="e">
        <f>IF(tbl_Case_mins[[#This Row],[Surgery Status]]=0,(tbl_Case_mins[[#This Row],[Surgery Finish]]-tbl_Case_mins[[#This Row],[Surgery Start]]),0)</f>
        <v>#REF!</v>
      </c>
      <c r="AY128" s="9" t="e">
        <f>tbl_Case_mins[[#This Row],[Surgery Start]]-tbl_Case_mins[[#This Row],[AnaesthStart]]</f>
        <v>#REF!</v>
      </c>
      <c r="AZ128" s="9" t="e">
        <f>tbl_Case_mins[[#This Row],[Anaesth End]]-tbl_Case_mins[[#This Row],[Surgery Finish]]</f>
        <v>#REF!</v>
      </c>
      <c r="BA12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8" s="16" cm="1">
        <f t="array" ref="BC12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8" s="16" t="e">
        <f>IF(AND(tbl_Case_mins[[#This Row],[FirstAMCase]]=1,tbl_Case_mins[[#This Row],[CancelledCase]]=0,OR(tbl_Case_mins[[#This Row],[EarlyStartAM]]&gt;0,tbl_Case_mins[[#This Row],[AnaesthStart]]=tbl_Case_mins[[#This Row],[ThOpenAm]])),1,0)</f>
        <v>#REF!</v>
      </c>
      <c r="BE128" s="16" t="e">
        <f>IF(AND(tbl_Case_mins[[#This Row],[Rank_AnaSt]]=tbl_Case_mins[[#This Row],[Min_RankAnaSt]],tbl_Case_mins[[#This Row],[Anaesth End]]&gt;=tbl_Case_mins[[#This Row],[ThOpenAm]],tbl_Case_mins[[#This Row],[PmCase]]=0),1,0)</f>
        <v>#REF!</v>
      </c>
      <c r="BF12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8" s="9" t="e" cm="1">
        <f t="array" ref="BH12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8" s="9" t="e">
        <f>IF(AND(tbl_Case_mins[[#This Row],[ThOpenPM]]&gt;0,tbl_Case_mins[[#This Row],[AnaesthStart]]&gt;tbl_Case_mins[[#This Row],[ThOpenPM]],tbl_Case_mins[[#This Row],[First PM Case]]=1),tbl_Case_mins[[#This Row],[AnaesthStart]]-tbl_Case_mins[[#This Row],[ThOpenPM]],0)</f>
        <v>#REF!</v>
      </c>
      <c r="BL12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8" s="9" t="e" cm="1">
        <f t="array" ref="BN12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8" s="9" t="e">
        <f>IF(AND(tbl_Case_mins[[#This Row],[ThClosePm]]&gt;0,tbl_Case_mins[[#This Row],[Anaesth End]]&gt;tbl_Case_mins[[#This Row],[ThClosePm]],tbl_Case_mins[[#This Row],[AnaesthStart]]&gt;tbl_Case_mins[[#This Row],[ThClosePm]]),tbl_Case_mins[[#This Row],[Into Recov]]-tbl_Case_mins[[#This Row],[AnaesthStart]],0)</f>
        <v>#REF!</v>
      </c>
      <c r="BP128" s="9" t="e">
        <f>IF(AND(tbl_Case_mins[[#This Row],[AnaesthStart]]&lt;tbl_Case_mins[[#This Row],[ThClosePm]],tbl_Case_mins[[#This Row],[Anaesth End]]&gt;tbl_Case_mins[[#This Row],[ThClosePm]]),tbl_Case_mins[[#This Row],[Anaesth End]]-tbl_Case_mins[[#This Row],[ThClosePm]],0)</f>
        <v>#REF!</v>
      </c>
      <c r="BQ128" s="9" t="e" cm="1">
        <f t="array" ref="BQ12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8" s="9" t="e" cm="1">
        <f t="array" ref="BR128">IF(tbl_Case_mins[[#This Row],[Rank_Adjust]]=SUMPRODUCT(-(tbl_Case_mins[Surgery Start Date]=tbl_Case_mins[[#This Row],[Surgery Start Date]]),-(tbl_Case_mins[Theatre]=tbl_Case_mins[[#This Row],[Theatre]])),INDEX(Poss_Time,MATCH(TEXT(tbl_Case_mins[[#This Row],[Surgery Start Date]],"ddd"),Day,0)),0)</f>
        <v>#REF!</v>
      </c>
      <c r="BS128" s="9" t="e">
        <f>tbl_Case_mins[[#This Row],[Core_Time]]*Util_Goal</f>
        <v>#REF!</v>
      </c>
      <c r="BT128" s="9" t="e" cm="1">
        <f t="array" ref="BT1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8" s="9" t="e" cm="1">
        <f t="array" ref="BU1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8" s="9" t="e">
        <f>IF(tbl_Case_mins[[#This Row],[Surgery End Date]]&gt;tbl_Case_mins[[#This Row],[Surgery Start Date]],tbl_Case_mins[[#This Row],[Anaesth End]]-1440,0)</f>
        <v>#REF!</v>
      </c>
      <c r="BY128" s="9" t="e">
        <f>tbl_Case_mins[[#This Row],[Total_NonCore]]-tbl_Case_mins[[#This Row],[NextDay_NonCore]]</f>
        <v>#REF!</v>
      </c>
      <c r="BZ128" s="10" t="e">
        <f>tbl_Case_mins[[#This Row],[InCoreUse]]/60</f>
        <v>#REF!</v>
      </c>
      <c r="CA128" s="10" t="e">
        <f>tbl_Case_mins[[#This Row],[Total_NonCore]]/60</f>
        <v>#REF!</v>
      </c>
      <c r="CB128" t="e" cm="1">
        <f t="array" ref="CB1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8" s="9" t="e" cm="1">
        <f t="array" ref="CC12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8" s="9" t="e" cm="1">
        <f t="array" ref="CD1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8" s="9" t="e" cm="1">
        <f t="array" ref="CE12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8" s="9" cm="1">
        <f t="array" ref="CF128">IFERROR(_xlfn.AGGREGATE(14,6,(tbl_Case_mins[Rank_AnaEnd])/((tbl_Case_mins[Surgery Start Date]=tbl_Case_mins[[#This Row],[Surgery Start Date]])*(tbl_Case_mins[Theatre]=tbl_Case_mins[[#This Row],[Theatre]])*(tbl_Case_mins[NoInCoreTime]=0)),1),-1)</f>
        <v>-1</v>
      </c>
      <c r="CG128" s="9" cm="1">
        <f t="array" ref="CG128">IFERROR(_xlfn.AGGREGATE(15,6,(tbl_Case_mins[Rank_AnaSt])/((tbl_Case_mins[Surgery Start Date]=tbl_Case_mins[[#This Row],[Surgery Start Date]])*(tbl_Case_mins[Theatre]=tbl_Case_mins[[#This Row],[Theatre]])*(tbl_Case_mins[NoInCoreTime]=0)),1),-1)</f>
        <v>-1</v>
      </c>
      <c r="CH12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8" t="e" cm="1">
        <f t="array" ref="CJ12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8" s="9" cm="1">
        <f t="array" ref="CO1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8" s="9" cm="1">
        <f t="array" ref="CP1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8" s="9" cm="1">
        <f t="array" ref="CQ128">IFERROR(IF(AND(tbl_Case_mins[[#This Row],[FirstAMCase]]=0,tbl_Case_mins[[#This Row],[Rank]]=_xlfn.AGGREGATE(14,6,(tbl_Case_mins[Rank])/((tbl_Case_mins[Surgery Start Date]=tbl_Case_mins[[#This Row],[Surgery Start Date]])*(tbl_Case_mins[Theatre]=tbl_Case_mins[[#This Row],[Theatre]])*(tbl_Case_mins[AmCase]=1)),1)),1,0),0)</f>
        <v>0</v>
      </c>
      <c r="CR128" s="9" cm="1">
        <f t="array" ref="CR12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8" s="9" t="e" cm="1">
        <f t="array" ref="CS12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8" s="9" cm="1">
        <f t="array" ref="CT128">IFERROR(IF(tbl_Case_mins[[#This Row],[Rank]]=_xlfn.AGGREGATE(15,6,(tbl_Case_mins[Rank])/((tbl_Case_mins[Surgery Start Date]=tbl_Case_mins[[#This Row],[Surgery Start Date]])*(tbl_Case_mins[Theatre]=tbl_Case_mins[[#This Row],[Theatre]])*(tbl_Case_mins[PmCase]=1)),1),1,0),0)</f>
        <v>0</v>
      </c>
      <c r="CU128">
        <f>IFERROR(#REF!,0)</f>
        <v>0</v>
      </c>
      <c r="CV128" s="9" t="e" cm="1">
        <f t="array" ref="CV12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8" s="9">
        <f>IFERROR(IF(ISBLANK(INDEX(Bay_AmClose,MATCH(1,INDEX((tbl_Case_mins[[#This Row],[Bay]]=BayNo)*(tbl_Case_mins[[#This Row],[Surgery Start Date]]=BDate),0,1),0))*1440),0,INDEX(Bay_AmClose,MATCH(1,INDEX((tbl_Case_mins[[#This Row],[Bay]]=BayNo)*(tbl_Case_mins[[#This Row],[Surgery Start Date]]=BDate),0,1),0))*1440),0)</f>
        <v>0</v>
      </c>
      <c r="CX128" s="9" cm="1">
        <f t="array" ref="CX128">IFERROR(IF(ISBLANK(INDEX(Bay_PmOpen,MATCH(1,INDEX((tbl_Case_mins[[#This Row],[Bay]]=BayNo)*(tbl_Case_mins[[#This Row],[Surgery Start Date]]=BDate),0,1),0))*1440),0,INDEX(Bay_PmOpen,MATCH(1,INDEX((tbl_Case_mins[[#This Row],[Bay]]=BayNo)*(tbl_Case_mins[[#This Row],[Surgery Start Date]]=BDate),0,1),0))*1440),0)</f>
        <v>0</v>
      </c>
      <c r="CY12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8" s="9"/>
    </row>
    <row r="129" spans="1:104" x14ac:dyDescent="0.2">
      <c r="A129">
        <v>128</v>
      </c>
      <c r="B129" t="e">
        <f>#REF!</f>
        <v>#REF!</v>
      </c>
      <c r="C129" t="e">
        <f>#REF!</f>
        <v>#REF!</v>
      </c>
      <c r="D129" t="e">
        <f>#REF!</f>
        <v>#REF!</v>
      </c>
      <c r="E129" t="e">
        <f>#REF!</f>
        <v>#REF!</v>
      </c>
      <c r="F129" t="e">
        <f>#REF!</f>
        <v>#REF!</v>
      </c>
      <c r="G129" t="e">
        <f>#REF!</f>
        <v>#REF!</v>
      </c>
      <c r="H129" t="e">
        <f>#REF!</f>
        <v>#REF!</v>
      </c>
      <c r="I129" t="e">
        <f>IF(#REF!="Case Cancelled",1,IF(#REF!="No Cases",2,0))</f>
        <v>#REF!</v>
      </c>
      <c r="J129" t="e">
        <f>#REF!</f>
        <v>#REF!</v>
      </c>
      <c r="K129" s="4" t="e">
        <f>#REF!</f>
        <v>#REF!</v>
      </c>
      <c r="L129" t="e">
        <f>"Wk "&amp;WEEKNUM(tbl_Case_mins[[#This Row],[Surgery Start Date]],21)</f>
        <v>#REF!</v>
      </c>
      <c r="M129" t="e">
        <f>TEXT(tbl_Case_mins[[#This Row],[Surgery Start Date]],"ddd")</f>
        <v>#REF!</v>
      </c>
      <c r="N129" s="9" t="e">
        <f>(#REF!-TIME(0,0,0))*1440</f>
        <v>#REF!</v>
      </c>
      <c r="O129" t="e">
        <f>IF(AND(ROUND((#REF!-TIME(0,0,0))*1440,0)&gt;0,ROUND((#REF!-TIME(0,0,0))*1440,0)&lt;tbl_Case_mins[[#This Row],[Patient Called]],tbl_Case_mins[[#This Row],[Surgery End Date]]&gt;tbl_Case_mins[[#This Row],[Surgery Start Date]]),ROUND((#REF!-TIME(0,0,0))*1440,0)+1440,ROUND((#REF!-TIME(0,0,0))*1440,0))</f>
        <v>#REF!</v>
      </c>
      <c r="P129" s="9" t="e">
        <f>IF(AND(ROUND((#REF!-TIME(0,0,0))*1440,0)&gt;0,ROUND((#REF!-TIME(0,0,0))*1440,0)&lt;tbl_Case_mins[[#This Row],[Arrival]],tbl_Case_mins[[#This Row],[Surgery End Date]]&gt;tbl_Case_mins[[#This Row],[Surgery Start Date]]),ROUND((#REF!-TIME(0,0,0))*1440,0)+1440,ROUND((#REF!-TIME(0,0,0))*1440,0))</f>
        <v>#REF!</v>
      </c>
      <c r="Q129" s="9" t="e">
        <f>IF(AND(ROUND((#REF!-TIME(0,0,0))*1440,0)&gt;0,ROUND((#REF!-TIME(0,0,0))*1440,0)&lt;tbl_Case_mins[[#This Row],[Into Th or AR]],tbl_Case_mins[[#This Row],[Surgery End Date]]&gt;tbl_Case_mins[[#This Row],[Surgery Start Date]]),ROUND((#REF!-TIME(0,0,0))*1440,0)+1440,ROUND((#REF!-TIME(0,0,0))*1440,0))</f>
        <v>#REF!</v>
      </c>
      <c r="R129" s="9" t="e">
        <f>IF(AND(ROUND((#REF!-TIME(0,0,0))*1440,0)&gt;0,ROUND((#REF!-TIME(0,0,0))*1440,0)&lt;tbl_Case_mins[[#This Row],[AnaesthStart]],tbl_Case_mins[[#This Row],[Surgery End Date]]&gt;tbl_Case_mins[[#This Row],[Surgery Start Date]]),ROUND((#REF!-TIME(0,0,0))*1440,0)+1440,ROUND((#REF!-TIME(0,0,0))*1440,0))</f>
        <v>#REF!</v>
      </c>
      <c r="S129" s="9" t="e">
        <f>IF(AND(ROUND((#REF!-TIME(0,0,0))*1440,0),ROUND((#REF!-TIME(0,0,0))*1440,0)&lt;tbl_Case_mins[[#This Row],[Surgery Start]],tbl_Case_mins[[#This Row],[Surgery End Date]]&gt;tbl_Case_mins[[#This Row],[Surgery Start Date]]),ROUND((#REF!-TIME(0,0,0))*1440,0)+1440,ROUND((#REF!-TIME(0,0,0))*1440,0))</f>
        <v>#REF!</v>
      </c>
      <c r="T129" s="9" t="e">
        <f>IF(AND(ROUND((#REF!-TIME(0,0,0))*1440,0)&gt;0,ROUND((#REF!-TIME(0,0,0))*1440,0)&lt;tbl_Case_mins[[#This Row],[Surgery Finish]],tbl_Case_mins[[#This Row],[Surgery End Date]]&gt;tbl_Case_mins[[#This Row],[Surgery Start Date]]),ROUND((#REF!-TIME(0,0,0))*1440,0)+1440,ROUND((#REF!-TIME(0,0,0))*1440,0))</f>
        <v>#REF!</v>
      </c>
      <c r="U129" s="9" t="e">
        <f>IF(AND(ROUND((#REF!-TIME(0,0,0))*1440,0)&gt;0,ROUND((#REF!-TIME(0,0,0))*1440,0)&lt;tbl_Case_mins[[#This Row],[Anaesth End]],tbl_Case_mins[[#This Row],[Surgery End Date]]&gt;tbl_Case_mins[[#This Row],[Surgery Start Date]]),ROUND((#REF!-TIME(0,0,0))*1440,0)+1440,ROUND((#REF!-TIME(0,0,0))*1440,0))</f>
        <v>#REF!</v>
      </c>
      <c r="V129" s="9" t="e">
        <f>IF(AND(ROUND((#REF!-TIME(0,0,0))*1440,0)&gt;0,ROUND((#REF!-TIME(0,0,0))*1440,0)&lt;tbl_Case_mins[[#This Row],[Into Recov]],tbl_Case_mins[[#This Row],[Surgery End Date]]&gt;tbl_Case_mins[[#This Row],[Surgery Start Date]]),ROUND((#REF!-TIME(0,0,0))*1440,0)+1440,ROUND((#REF!-TIME(0,0,0))*1440,0))</f>
        <v>#REF!</v>
      </c>
      <c r="W129" s="9" t="e">
        <f>IF(AND(ROUND((#REF!-TIME(0,0,0))*1440,0)&gt;0,ROUND((#REF!-TIME(0,0,0))*1440,0)&lt;tbl_Case_mins[[#This Row],[Ward Called]],tbl_Case_mins[[#This Row],[Surgery End Date]]&gt;tbl_Case_mins[[#This Row],[Surgery Start Date]]),ROUND((#REF!-TIME(0,0,0))*1440,0)+1440,ROUND((#REF!-TIME(0,0,0))*1440,0))</f>
        <v>#REF!</v>
      </c>
      <c r="X129" s="4" t="e">
        <f>IF(ISBLANK(#REF!),tbl_Case_mins[[#This Row],[Surgery Start Date]],#REF!)</f>
        <v>#REF!</v>
      </c>
      <c r="Y129">
        <f>IFERROR(IF(VLOOKUP(tbl_Case_mins[[#This Row],[Theatre]],'Mng Theatres'!$C$7:$G$12,3,FALSE)="Yes","Yes","No"),0)</f>
        <v>0</v>
      </c>
      <c r="Z129" s="9" t="e" cm="1">
        <f t="array" ref="Z12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29" s="9" t="e" cm="1">
        <f t="array" ref="AA12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2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29" s="9" t="e">
        <f>IF(tbl_Case_mins[[#This Row],[Case Type]]="Unsch",1,0)</f>
        <v>#REF!</v>
      </c>
      <c r="AD129" s="9" t="e">
        <f>IF(tbl_Case_mins[[#This Row],[Case Type]]="Sch",1,0)</f>
        <v>#REF!</v>
      </c>
      <c r="AE12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29" s="9">
        <f>IFERROR(IF(ISBLANK(INDEX(Am_Close,MATCH(1,INDEX((tbl_Case_mins[[#This Row],[Theatre]]=Theatre_No)*(tbl_Case_mins[[#This Row],[Surgery Start Date]]=Date),0,1),0))*1440),0,INDEX(Am_Close,MATCH(1,INDEX((tbl_Case_mins[[#This Row],[Theatre]]=Theatre_No)*(tbl_Case_mins[[#This Row],[Surgery Start Date]]=Date),0,1),0))*1440),0)</f>
        <v>0</v>
      </c>
      <c r="AG129" s="9">
        <f>IFERROR(IF(ISBLANK(INDEX(PM_Open,MATCH(1,INDEX((tbl_Case_mins[[#This Row],[Theatre]]=Theatre_No)*(tbl_Case_mins[[#This Row],[Surgery Start Date]]=Date),0,1),0))*1440),0,INDEX(PM_Open,MATCH(1,INDEX((tbl_Case_mins[[#This Row],[Theatre]]=Theatre_No)*(tbl_Case_mins[[#This Row],[Surgery Start Date]]=Date),0,1),0))*1440),0)</f>
        <v>0</v>
      </c>
      <c r="AH12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29" s="9" t="e">
        <f>IF(tbl_Case_mins[[#This Row],[ThOpenAm]]=0,tbl_Case_mins[[#This Row],[ThOpenPM]],tbl_Case_mins[[#This Row],[ThOpenAm]])</f>
        <v>#REF!</v>
      </c>
      <c r="AJ129" s="9" t="e">
        <f>IF(tbl_Case_mins[[#This Row],[ThCloseAm]]&gt;0,IF(tbl_Case_mins[[#This Row],[ThOpenPM]]&gt;0,tbl_Case_mins[[#This Row],[ThClosePm]],tbl_Case_mins[[#This Row],[ThCloseAm]]),tbl_Case_mins[[#This Row],[ThClosePm]])</f>
        <v>#REF!</v>
      </c>
      <c r="AK129" s="9" t="e">
        <f>IF(tbl_Case_mins[[#This Row],[TOT]]&gt;0,1,0)</f>
        <v>#REF!</v>
      </c>
      <c r="AL12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29" s="9" t="e">
        <f>IF(AND(tbl_Case_mins[[#This Row],[Surgery Status]]&lt;&gt;2,tbl_Case_mins[[#This Row],[InCoreCase]]=0,tbl_Case_mins[[#This Row],[CancelledCase]]=0),1,0)</f>
        <v>#REF!</v>
      </c>
      <c r="AN129" s="9" t="e">
        <f>IF(tbl_Case_mins[[#This Row],[Surgery Status]]=1,1,0)</f>
        <v>#REF!</v>
      </c>
      <c r="AO12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29" s="9" t="e">
        <f>IF(AND(tbl_Case_mins[[#This Row],[NonCoreCase]]=1,tbl_Case_mins[[#This Row],[NoInCoreTime]]=0),1,0)</f>
        <v>#REF!</v>
      </c>
      <c r="AQ129" s="9" t="e">
        <f>IF(tbl_Case_mins[[#This Row],[Rank_AnaEnd]]&lt;tbl_Case_mins[[#This Row],[Rank_AnaSt]],1,0)</f>
        <v>#REF!</v>
      </c>
      <c r="AR129" s="9" t="e">
        <f>IF(AND(tbl_Case_mins[[#This Row],[InCoreCase]]=1,tbl_Case_mins[[#This Row],[Sch]]=1),1,0)</f>
        <v>#REF!</v>
      </c>
      <c r="AS129" s="9" t="e">
        <f>IF(AND(tbl_Case_mins[[#This Row],[InCoreCase]]=1,tbl_Case_mins[[#This Row],[Unsch]]=1),1,0)</f>
        <v>#REF!</v>
      </c>
      <c r="AT12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2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2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29" s="9" t="e">
        <f>IF(tbl_Case_mins[[#This Row],[Surgery Status]]=0,(tbl_Case_mins[[#This Row],[Anaesth End]]-tbl_Case_mins[[#This Row],[AnaesthStart]]),0)</f>
        <v>#REF!</v>
      </c>
      <c r="AX129" s="9" t="e">
        <f>IF(tbl_Case_mins[[#This Row],[Surgery Status]]=0,(tbl_Case_mins[[#This Row],[Surgery Finish]]-tbl_Case_mins[[#This Row],[Surgery Start]]),0)</f>
        <v>#REF!</v>
      </c>
      <c r="AY129" s="9" t="e">
        <f>tbl_Case_mins[[#This Row],[Surgery Start]]-tbl_Case_mins[[#This Row],[AnaesthStart]]</f>
        <v>#REF!</v>
      </c>
      <c r="AZ129" s="9" t="e">
        <f>tbl_Case_mins[[#This Row],[Anaesth End]]-tbl_Case_mins[[#This Row],[Surgery Finish]]</f>
        <v>#REF!</v>
      </c>
      <c r="BA12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2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29" s="16" cm="1">
        <f t="array" ref="BC12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29" s="16" t="e">
        <f>IF(AND(tbl_Case_mins[[#This Row],[FirstAMCase]]=1,tbl_Case_mins[[#This Row],[CancelledCase]]=0,OR(tbl_Case_mins[[#This Row],[EarlyStartAM]]&gt;0,tbl_Case_mins[[#This Row],[AnaesthStart]]=tbl_Case_mins[[#This Row],[ThOpenAm]])),1,0)</f>
        <v>#REF!</v>
      </c>
      <c r="BE129" s="16" t="e">
        <f>IF(AND(tbl_Case_mins[[#This Row],[Rank_AnaSt]]=tbl_Case_mins[[#This Row],[Min_RankAnaSt]],tbl_Case_mins[[#This Row],[Anaesth End]]&gt;=tbl_Case_mins[[#This Row],[ThOpenAm]],tbl_Case_mins[[#This Row],[PmCase]]=0),1,0)</f>
        <v>#REF!</v>
      </c>
      <c r="BF12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2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29" s="9" t="e" cm="1">
        <f t="array" ref="BH12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2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2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29" s="9" t="e">
        <f>IF(AND(tbl_Case_mins[[#This Row],[ThOpenPM]]&gt;0,tbl_Case_mins[[#This Row],[AnaesthStart]]&gt;tbl_Case_mins[[#This Row],[ThOpenPM]],tbl_Case_mins[[#This Row],[First PM Case]]=1),tbl_Case_mins[[#This Row],[AnaesthStart]]-tbl_Case_mins[[#This Row],[ThOpenPM]],0)</f>
        <v>#REF!</v>
      </c>
      <c r="BL12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2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29" s="9" t="e" cm="1">
        <f t="array" ref="BN12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29" s="9" t="e">
        <f>IF(AND(tbl_Case_mins[[#This Row],[ThClosePm]]&gt;0,tbl_Case_mins[[#This Row],[Anaesth End]]&gt;tbl_Case_mins[[#This Row],[ThClosePm]],tbl_Case_mins[[#This Row],[AnaesthStart]]&gt;tbl_Case_mins[[#This Row],[ThClosePm]]),tbl_Case_mins[[#This Row],[Into Recov]]-tbl_Case_mins[[#This Row],[AnaesthStart]],0)</f>
        <v>#REF!</v>
      </c>
      <c r="BP129" s="9" t="e">
        <f>IF(AND(tbl_Case_mins[[#This Row],[AnaesthStart]]&lt;tbl_Case_mins[[#This Row],[ThClosePm]],tbl_Case_mins[[#This Row],[Anaesth End]]&gt;tbl_Case_mins[[#This Row],[ThClosePm]]),tbl_Case_mins[[#This Row],[Anaesth End]]-tbl_Case_mins[[#This Row],[ThClosePm]],0)</f>
        <v>#REF!</v>
      </c>
      <c r="BQ129" s="9" t="e" cm="1">
        <f t="array" ref="BQ12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29" s="9" t="e" cm="1">
        <f t="array" ref="BR129">IF(tbl_Case_mins[[#This Row],[Rank_Adjust]]=SUMPRODUCT(-(tbl_Case_mins[Surgery Start Date]=tbl_Case_mins[[#This Row],[Surgery Start Date]]),-(tbl_Case_mins[Theatre]=tbl_Case_mins[[#This Row],[Theatre]])),INDEX(Poss_Time,MATCH(TEXT(tbl_Case_mins[[#This Row],[Surgery Start Date]],"ddd"),Day,0)),0)</f>
        <v>#REF!</v>
      </c>
      <c r="BS129" s="9" t="e">
        <f>tbl_Case_mins[[#This Row],[Core_Time]]*Util_Goal</f>
        <v>#REF!</v>
      </c>
      <c r="BT129" s="9" t="e" cm="1">
        <f t="array" ref="BT1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29" s="9" t="e" cm="1">
        <f t="array" ref="BU1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2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2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29" s="9" t="e">
        <f>IF(tbl_Case_mins[[#This Row],[Surgery End Date]]&gt;tbl_Case_mins[[#This Row],[Surgery Start Date]],tbl_Case_mins[[#This Row],[Anaesth End]]-1440,0)</f>
        <v>#REF!</v>
      </c>
      <c r="BY129" s="9" t="e">
        <f>tbl_Case_mins[[#This Row],[Total_NonCore]]-tbl_Case_mins[[#This Row],[NextDay_NonCore]]</f>
        <v>#REF!</v>
      </c>
      <c r="BZ129" s="10" t="e">
        <f>tbl_Case_mins[[#This Row],[InCoreUse]]/60</f>
        <v>#REF!</v>
      </c>
      <c r="CA129" s="10" t="e">
        <f>tbl_Case_mins[[#This Row],[Total_NonCore]]/60</f>
        <v>#REF!</v>
      </c>
      <c r="CB129" t="e" cm="1">
        <f t="array" ref="CB1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29" s="9" t="e" cm="1">
        <f t="array" ref="CC12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29" s="9" t="e" cm="1">
        <f t="array" ref="CD1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29" s="9" t="e" cm="1">
        <f t="array" ref="CE12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29" s="9" cm="1">
        <f t="array" ref="CF129">IFERROR(_xlfn.AGGREGATE(14,6,(tbl_Case_mins[Rank_AnaEnd])/((tbl_Case_mins[Surgery Start Date]=tbl_Case_mins[[#This Row],[Surgery Start Date]])*(tbl_Case_mins[Theatre]=tbl_Case_mins[[#This Row],[Theatre]])*(tbl_Case_mins[NoInCoreTime]=0)),1),-1)</f>
        <v>-1</v>
      </c>
      <c r="CG129" s="9" cm="1">
        <f t="array" ref="CG129">IFERROR(_xlfn.AGGREGATE(15,6,(tbl_Case_mins[Rank_AnaSt])/((tbl_Case_mins[Surgery Start Date]=tbl_Case_mins[[#This Row],[Surgery Start Date]])*(tbl_Case_mins[Theatre]=tbl_Case_mins[[#This Row],[Theatre]])*(tbl_Case_mins[NoInCoreTime]=0)),1),-1)</f>
        <v>-1</v>
      </c>
      <c r="CH12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2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29" t="e" cm="1">
        <f t="array" ref="CJ12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2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2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29" s="9" cm="1">
        <f t="array" ref="CO1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29" s="9" cm="1">
        <f t="array" ref="CP1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29" s="9" cm="1">
        <f t="array" ref="CQ129">IFERROR(IF(AND(tbl_Case_mins[[#This Row],[FirstAMCase]]=0,tbl_Case_mins[[#This Row],[Rank]]=_xlfn.AGGREGATE(14,6,(tbl_Case_mins[Rank])/((tbl_Case_mins[Surgery Start Date]=tbl_Case_mins[[#This Row],[Surgery Start Date]])*(tbl_Case_mins[Theatre]=tbl_Case_mins[[#This Row],[Theatre]])*(tbl_Case_mins[AmCase]=1)),1)),1,0),0)</f>
        <v>0</v>
      </c>
      <c r="CR129" s="9" cm="1">
        <f t="array" ref="CR12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29" s="9" t="e" cm="1">
        <f t="array" ref="CS12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29" s="9" cm="1">
        <f t="array" ref="CT129">IFERROR(IF(tbl_Case_mins[[#This Row],[Rank]]=_xlfn.AGGREGATE(15,6,(tbl_Case_mins[Rank])/((tbl_Case_mins[Surgery Start Date]=tbl_Case_mins[[#This Row],[Surgery Start Date]])*(tbl_Case_mins[Theatre]=tbl_Case_mins[[#This Row],[Theatre]])*(tbl_Case_mins[PmCase]=1)),1),1,0),0)</f>
        <v>0</v>
      </c>
      <c r="CU129">
        <f>IFERROR(#REF!,0)</f>
        <v>0</v>
      </c>
      <c r="CV129" s="9" t="e" cm="1">
        <f t="array" ref="CV12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29" s="9">
        <f>IFERROR(IF(ISBLANK(INDEX(Bay_AmClose,MATCH(1,INDEX((tbl_Case_mins[[#This Row],[Bay]]=BayNo)*(tbl_Case_mins[[#This Row],[Surgery Start Date]]=BDate),0,1),0))*1440),0,INDEX(Bay_AmClose,MATCH(1,INDEX((tbl_Case_mins[[#This Row],[Bay]]=BayNo)*(tbl_Case_mins[[#This Row],[Surgery Start Date]]=BDate),0,1),0))*1440),0)</f>
        <v>0</v>
      </c>
      <c r="CX129" s="9" cm="1">
        <f t="array" ref="CX129">IFERROR(IF(ISBLANK(INDEX(Bay_PmOpen,MATCH(1,INDEX((tbl_Case_mins[[#This Row],[Bay]]=BayNo)*(tbl_Case_mins[[#This Row],[Surgery Start Date]]=BDate),0,1),0))*1440),0,INDEX(Bay_PmOpen,MATCH(1,INDEX((tbl_Case_mins[[#This Row],[Bay]]=BayNo)*(tbl_Case_mins[[#This Row],[Surgery Start Date]]=BDate),0,1),0))*1440),0)</f>
        <v>0</v>
      </c>
      <c r="CY12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29" s="9"/>
    </row>
    <row r="130" spans="1:104" x14ac:dyDescent="0.2">
      <c r="A130">
        <v>129</v>
      </c>
      <c r="B130" t="e">
        <f>#REF!</f>
        <v>#REF!</v>
      </c>
      <c r="C130" t="e">
        <f>#REF!</f>
        <v>#REF!</v>
      </c>
      <c r="D130" t="e">
        <f>#REF!</f>
        <v>#REF!</v>
      </c>
      <c r="E130" t="e">
        <f>#REF!</f>
        <v>#REF!</v>
      </c>
      <c r="F130" t="e">
        <f>#REF!</f>
        <v>#REF!</v>
      </c>
      <c r="G130" t="e">
        <f>#REF!</f>
        <v>#REF!</v>
      </c>
      <c r="H130" t="e">
        <f>#REF!</f>
        <v>#REF!</v>
      </c>
      <c r="I130" t="e">
        <f>IF(#REF!="Case Cancelled",1,IF(#REF!="No Cases",2,0))</f>
        <v>#REF!</v>
      </c>
      <c r="J130" t="e">
        <f>#REF!</f>
        <v>#REF!</v>
      </c>
      <c r="K130" s="4" t="e">
        <f>#REF!</f>
        <v>#REF!</v>
      </c>
      <c r="L130" t="e">
        <f>"Wk "&amp;WEEKNUM(tbl_Case_mins[[#This Row],[Surgery Start Date]],21)</f>
        <v>#REF!</v>
      </c>
      <c r="M130" t="e">
        <f>TEXT(tbl_Case_mins[[#This Row],[Surgery Start Date]],"ddd")</f>
        <v>#REF!</v>
      </c>
      <c r="N130" s="9" t="e">
        <f>(#REF!-TIME(0,0,0))*1440</f>
        <v>#REF!</v>
      </c>
      <c r="O130" t="e">
        <f>IF(AND(ROUND((#REF!-TIME(0,0,0))*1440,0)&gt;0,ROUND((#REF!-TIME(0,0,0))*1440,0)&lt;tbl_Case_mins[[#This Row],[Patient Called]],tbl_Case_mins[[#This Row],[Surgery End Date]]&gt;tbl_Case_mins[[#This Row],[Surgery Start Date]]),ROUND((#REF!-TIME(0,0,0))*1440,0)+1440,ROUND((#REF!-TIME(0,0,0))*1440,0))</f>
        <v>#REF!</v>
      </c>
      <c r="P130" s="9" t="e">
        <f>IF(AND(ROUND((#REF!-TIME(0,0,0))*1440,0)&gt;0,ROUND((#REF!-TIME(0,0,0))*1440,0)&lt;tbl_Case_mins[[#This Row],[Arrival]],tbl_Case_mins[[#This Row],[Surgery End Date]]&gt;tbl_Case_mins[[#This Row],[Surgery Start Date]]),ROUND((#REF!-TIME(0,0,0))*1440,0)+1440,ROUND((#REF!-TIME(0,0,0))*1440,0))</f>
        <v>#REF!</v>
      </c>
      <c r="Q130" s="9" t="e">
        <f>IF(AND(ROUND((#REF!-TIME(0,0,0))*1440,0)&gt;0,ROUND((#REF!-TIME(0,0,0))*1440,0)&lt;tbl_Case_mins[[#This Row],[Into Th or AR]],tbl_Case_mins[[#This Row],[Surgery End Date]]&gt;tbl_Case_mins[[#This Row],[Surgery Start Date]]),ROUND((#REF!-TIME(0,0,0))*1440,0)+1440,ROUND((#REF!-TIME(0,0,0))*1440,0))</f>
        <v>#REF!</v>
      </c>
      <c r="R130" s="9" t="e">
        <f>IF(AND(ROUND((#REF!-TIME(0,0,0))*1440,0)&gt;0,ROUND((#REF!-TIME(0,0,0))*1440,0)&lt;tbl_Case_mins[[#This Row],[AnaesthStart]],tbl_Case_mins[[#This Row],[Surgery End Date]]&gt;tbl_Case_mins[[#This Row],[Surgery Start Date]]),ROUND((#REF!-TIME(0,0,0))*1440,0)+1440,ROUND((#REF!-TIME(0,0,0))*1440,0))</f>
        <v>#REF!</v>
      </c>
      <c r="S130" s="9" t="e">
        <f>IF(AND(ROUND((#REF!-TIME(0,0,0))*1440,0),ROUND((#REF!-TIME(0,0,0))*1440,0)&lt;tbl_Case_mins[[#This Row],[Surgery Start]],tbl_Case_mins[[#This Row],[Surgery End Date]]&gt;tbl_Case_mins[[#This Row],[Surgery Start Date]]),ROUND((#REF!-TIME(0,0,0))*1440,0)+1440,ROUND((#REF!-TIME(0,0,0))*1440,0))</f>
        <v>#REF!</v>
      </c>
      <c r="T130" s="9" t="e">
        <f>IF(AND(ROUND((#REF!-TIME(0,0,0))*1440,0)&gt;0,ROUND((#REF!-TIME(0,0,0))*1440,0)&lt;tbl_Case_mins[[#This Row],[Surgery Finish]],tbl_Case_mins[[#This Row],[Surgery End Date]]&gt;tbl_Case_mins[[#This Row],[Surgery Start Date]]),ROUND((#REF!-TIME(0,0,0))*1440,0)+1440,ROUND((#REF!-TIME(0,0,0))*1440,0))</f>
        <v>#REF!</v>
      </c>
      <c r="U130" s="9" t="e">
        <f>IF(AND(ROUND((#REF!-TIME(0,0,0))*1440,0)&gt;0,ROUND((#REF!-TIME(0,0,0))*1440,0)&lt;tbl_Case_mins[[#This Row],[Anaesth End]],tbl_Case_mins[[#This Row],[Surgery End Date]]&gt;tbl_Case_mins[[#This Row],[Surgery Start Date]]),ROUND((#REF!-TIME(0,0,0))*1440,0)+1440,ROUND((#REF!-TIME(0,0,0))*1440,0))</f>
        <v>#REF!</v>
      </c>
      <c r="V130" s="9" t="e">
        <f>IF(AND(ROUND((#REF!-TIME(0,0,0))*1440,0)&gt;0,ROUND((#REF!-TIME(0,0,0))*1440,0)&lt;tbl_Case_mins[[#This Row],[Into Recov]],tbl_Case_mins[[#This Row],[Surgery End Date]]&gt;tbl_Case_mins[[#This Row],[Surgery Start Date]]),ROUND((#REF!-TIME(0,0,0))*1440,0)+1440,ROUND((#REF!-TIME(0,0,0))*1440,0))</f>
        <v>#REF!</v>
      </c>
      <c r="W130" s="9" t="e">
        <f>IF(AND(ROUND((#REF!-TIME(0,0,0))*1440,0)&gt;0,ROUND((#REF!-TIME(0,0,0))*1440,0)&lt;tbl_Case_mins[[#This Row],[Ward Called]],tbl_Case_mins[[#This Row],[Surgery End Date]]&gt;tbl_Case_mins[[#This Row],[Surgery Start Date]]),ROUND((#REF!-TIME(0,0,0))*1440,0)+1440,ROUND((#REF!-TIME(0,0,0))*1440,0))</f>
        <v>#REF!</v>
      </c>
      <c r="X130" s="4" t="e">
        <f>IF(ISBLANK(#REF!),tbl_Case_mins[[#This Row],[Surgery Start Date]],#REF!)</f>
        <v>#REF!</v>
      </c>
      <c r="Y130">
        <f>IFERROR(IF(VLOOKUP(tbl_Case_mins[[#This Row],[Theatre]],'Mng Theatres'!$C$7:$G$12,3,FALSE)="Yes","Yes","No"),0)</f>
        <v>0</v>
      </c>
      <c r="Z130" s="9" t="e" cm="1">
        <f t="array" ref="Z13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0" s="9" t="e" cm="1">
        <f t="array" ref="AA13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0" s="9" t="e">
        <f>IF(tbl_Case_mins[[#This Row],[Case Type]]="Unsch",1,0)</f>
        <v>#REF!</v>
      </c>
      <c r="AD130" s="9" t="e">
        <f>IF(tbl_Case_mins[[#This Row],[Case Type]]="Sch",1,0)</f>
        <v>#REF!</v>
      </c>
      <c r="AE13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0" s="9">
        <f>IFERROR(IF(ISBLANK(INDEX(Am_Close,MATCH(1,INDEX((tbl_Case_mins[[#This Row],[Theatre]]=Theatre_No)*(tbl_Case_mins[[#This Row],[Surgery Start Date]]=Date),0,1),0))*1440),0,INDEX(Am_Close,MATCH(1,INDEX((tbl_Case_mins[[#This Row],[Theatre]]=Theatre_No)*(tbl_Case_mins[[#This Row],[Surgery Start Date]]=Date),0,1),0))*1440),0)</f>
        <v>0</v>
      </c>
      <c r="AG130" s="9">
        <f>IFERROR(IF(ISBLANK(INDEX(PM_Open,MATCH(1,INDEX((tbl_Case_mins[[#This Row],[Theatre]]=Theatre_No)*(tbl_Case_mins[[#This Row],[Surgery Start Date]]=Date),0,1),0))*1440),0,INDEX(PM_Open,MATCH(1,INDEX((tbl_Case_mins[[#This Row],[Theatre]]=Theatre_No)*(tbl_Case_mins[[#This Row],[Surgery Start Date]]=Date),0,1),0))*1440),0)</f>
        <v>0</v>
      </c>
      <c r="AH13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0" s="9" t="e">
        <f>IF(tbl_Case_mins[[#This Row],[ThOpenAm]]=0,tbl_Case_mins[[#This Row],[ThOpenPM]],tbl_Case_mins[[#This Row],[ThOpenAm]])</f>
        <v>#REF!</v>
      </c>
      <c r="AJ130" s="9" t="e">
        <f>IF(tbl_Case_mins[[#This Row],[ThCloseAm]]&gt;0,IF(tbl_Case_mins[[#This Row],[ThOpenPM]]&gt;0,tbl_Case_mins[[#This Row],[ThClosePm]],tbl_Case_mins[[#This Row],[ThCloseAm]]),tbl_Case_mins[[#This Row],[ThClosePm]])</f>
        <v>#REF!</v>
      </c>
      <c r="AK130" s="9" t="e">
        <f>IF(tbl_Case_mins[[#This Row],[TOT]]&gt;0,1,0)</f>
        <v>#REF!</v>
      </c>
      <c r="AL13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0" s="9" t="e">
        <f>IF(AND(tbl_Case_mins[[#This Row],[Surgery Status]]&lt;&gt;2,tbl_Case_mins[[#This Row],[InCoreCase]]=0,tbl_Case_mins[[#This Row],[CancelledCase]]=0),1,0)</f>
        <v>#REF!</v>
      </c>
      <c r="AN130" s="9" t="e">
        <f>IF(tbl_Case_mins[[#This Row],[Surgery Status]]=1,1,0)</f>
        <v>#REF!</v>
      </c>
      <c r="AO13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0" s="9" t="e">
        <f>IF(AND(tbl_Case_mins[[#This Row],[NonCoreCase]]=1,tbl_Case_mins[[#This Row],[NoInCoreTime]]=0),1,0)</f>
        <v>#REF!</v>
      </c>
      <c r="AQ130" s="9" t="e">
        <f>IF(tbl_Case_mins[[#This Row],[Rank_AnaEnd]]&lt;tbl_Case_mins[[#This Row],[Rank_AnaSt]],1,0)</f>
        <v>#REF!</v>
      </c>
      <c r="AR130" s="9" t="e">
        <f>IF(AND(tbl_Case_mins[[#This Row],[InCoreCase]]=1,tbl_Case_mins[[#This Row],[Sch]]=1),1,0)</f>
        <v>#REF!</v>
      </c>
      <c r="AS130" s="9" t="e">
        <f>IF(AND(tbl_Case_mins[[#This Row],[InCoreCase]]=1,tbl_Case_mins[[#This Row],[Unsch]]=1),1,0)</f>
        <v>#REF!</v>
      </c>
      <c r="AT13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0" s="9" t="e">
        <f>IF(tbl_Case_mins[[#This Row],[Surgery Status]]=0,(tbl_Case_mins[[#This Row],[Anaesth End]]-tbl_Case_mins[[#This Row],[AnaesthStart]]),0)</f>
        <v>#REF!</v>
      </c>
      <c r="AX130" s="9" t="e">
        <f>IF(tbl_Case_mins[[#This Row],[Surgery Status]]=0,(tbl_Case_mins[[#This Row],[Surgery Finish]]-tbl_Case_mins[[#This Row],[Surgery Start]]),0)</f>
        <v>#REF!</v>
      </c>
      <c r="AY130" s="9" t="e">
        <f>tbl_Case_mins[[#This Row],[Surgery Start]]-tbl_Case_mins[[#This Row],[AnaesthStart]]</f>
        <v>#REF!</v>
      </c>
      <c r="AZ130" s="9" t="e">
        <f>tbl_Case_mins[[#This Row],[Anaesth End]]-tbl_Case_mins[[#This Row],[Surgery Finish]]</f>
        <v>#REF!</v>
      </c>
      <c r="BA13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0" s="16" cm="1">
        <f t="array" ref="BC13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0" s="16" t="e">
        <f>IF(AND(tbl_Case_mins[[#This Row],[FirstAMCase]]=1,tbl_Case_mins[[#This Row],[CancelledCase]]=0,OR(tbl_Case_mins[[#This Row],[EarlyStartAM]]&gt;0,tbl_Case_mins[[#This Row],[AnaesthStart]]=tbl_Case_mins[[#This Row],[ThOpenAm]])),1,0)</f>
        <v>#REF!</v>
      </c>
      <c r="BE130" s="16" t="e">
        <f>IF(AND(tbl_Case_mins[[#This Row],[Rank_AnaSt]]=tbl_Case_mins[[#This Row],[Min_RankAnaSt]],tbl_Case_mins[[#This Row],[Anaesth End]]&gt;=tbl_Case_mins[[#This Row],[ThOpenAm]],tbl_Case_mins[[#This Row],[PmCase]]=0),1,0)</f>
        <v>#REF!</v>
      </c>
      <c r="BF13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0" s="9" t="e" cm="1">
        <f t="array" ref="BH13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0" s="9" t="e">
        <f>IF(AND(tbl_Case_mins[[#This Row],[ThOpenPM]]&gt;0,tbl_Case_mins[[#This Row],[AnaesthStart]]&gt;tbl_Case_mins[[#This Row],[ThOpenPM]],tbl_Case_mins[[#This Row],[First PM Case]]=1),tbl_Case_mins[[#This Row],[AnaesthStart]]-tbl_Case_mins[[#This Row],[ThOpenPM]],0)</f>
        <v>#REF!</v>
      </c>
      <c r="BL13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0" s="9" t="e" cm="1">
        <f t="array" ref="BN13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0" s="9" t="e">
        <f>IF(AND(tbl_Case_mins[[#This Row],[ThClosePm]]&gt;0,tbl_Case_mins[[#This Row],[Anaesth End]]&gt;tbl_Case_mins[[#This Row],[ThClosePm]],tbl_Case_mins[[#This Row],[AnaesthStart]]&gt;tbl_Case_mins[[#This Row],[ThClosePm]]),tbl_Case_mins[[#This Row],[Into Recov]]-tbl_Case_mins[[#This Row],[AnaesthStart]],0)</f>
        <v>#REF!</v>
      </c>
      <c r="BP130" s="9" t="e">
        <f>IF(AND(tbl_Case_mins[[#This Row],[AnaesthStart]]&lt;tbl_Case_mins[[#This Row],[ThClosePm]],tbl_Case_mins[[#This Row],[Anaesth End]]&gt;tbl_Case_mins[[#This Row],[ThClosePm]]),tbl_Case_mins[[#This Row],[Anaesth End]]-tbl_Case_mins[[#This Row],[ThClosePm]],0)</f>
        <v>#REF!</v>
      </c>
      <c r="BQ130" s="9" t="e" cm="1">
        <f t="array" ref="BQ13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0" s="9" t="e" cm="1">
        <f t="array" ref="BR130">IF(tbl_Case_mins[[#This Row],[Rank_Adjust]]=SUMPRODUCT(-(tbl_Case_mins[Surgery Start Date]=tbl_Case_mins[[#This Row],[Surgery Start Date]]),-(tbl_Case_mins[Theatre]=tbl_Case_mins[[#This Row],[Theatre]])),INDEX(Poss_Time,MATCH(TEXT(tbl_Case_mins[[#This Row],[Surgery Start Date]],"ddd"),Day,0)),0)</f>
        <v>#REF!</v>
      </c>
      <c r="BS130" s="9" t="e">
        <f>tbl_Case_mins[[#This Row],[Core_Time]]*Util_Goal</f>
        <v>#REF!</v>
      </c>
      <c r="BT130" s="9" t="e" cm="1">
        <f t="array" ref="BT1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0" s="9" t="e" cm="1">
        <f t="array" ref="BU1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0" s="9" t="e">
        <f>IF(tbl_Case_mins[[#This Row],[Surgery End Date]]&gt;tbl_Case_mins[[#This Row],[Surgery Start Date]],tbl_Case_mins[[#This Row],[Anaesth End]]-1440,0)</f>
        <v>#REF!</v>
      </c>
      <c r="BY130" s="9" t="e">
        <f>tbl_Case_mins[[#This Row],[Total_NonCore]]-tbl_Case_mins[[#This Row],[NextDay_NonCore]]</f>
        <v>#REF!</v>
      </c>
      <c r="BZ130" s="10" t="e">
        <f>tbl_Case_mins[[#This Row],[InCoreUse]]/60</f>
        <v>#REF!</v>
      </c>
      <c r="CA130" s="10" t="e">
        <f>tbl_Case_mins[[#This Row],[Total_NonCore]]/60</f>
        <v>#REF!</v>
      </c>
      <c r="CB130" t="e" cm="1">
        <f t="array" ref="CB1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0" s="9" t="e" cm="1">
        <f t="array" ref="CC13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0" s="9" t="e" cm="1">
        <f t="array" ref="CD1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0" s="9" t="e" cm="1">
        <f t="array" ref="CE13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0" s="9" cm="1">
        <f t="array" ref="CF130">IFERROR(_xlfn.AGGREGATE(14,6,(tbl_Case_mins[Rank_AnaEnd])/((tbl_Case_mins[Surgery Start Date]=tbl_Case_mins[[#This Row],[Surgery Start Date]])*(tbl_Case_mins[Theatre]=tbl_Case_mins[[#This Row],[Theatre]])*(tbl_Case_mins[NoInCoreTime]=0)),1),-1)</f>
        <v>-1</v>
      </c>
      <c r="CG130" s="9" cm="1">
        <f t="array" ref="CG130">IFERROR(_xlfn.AGGREGATE(15,6,(tbl_Case_mins[Rank_AnaSt])/((tbl_Case_mins[Surgery Start Date]=tbl_Case_mins[[#This Row],[Surgery Start Date]])*(tbl_Case_mins[Theatre]=tbl_Case_mins[[#This Row],[Theatre]])*(tbl_Case_mins[NoInCoreTime]=0)),1),-1)</f>
        <v>-1</v>
      </c>
      <c r="CH13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0" t="e" cm="1">
        <f t="array" ref="CJ13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0" s="9" cm="1">
        <f t="array" ref="CO1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0" s="9" cm="1">
        <f t="array" ref="CP1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0" s="9" cm="1">
        <f t="array" ref="CQ130">IFERROR(IF(AND(tbl_Case_mins[[#This Row],[FirstAMCase]]=0,tbl_Case_mins[[#This Row],[Rank]]=_xlfn.AGGREGATE(14,6,(tbl_Case_mins[Rank])/((tbl_Case_mins[Surgery Start Date]=tbl_Case_mins[[#This Row],[Surgery Start Date]])*(tbl_Case_mins[Theatre]=tbl_Case_mins[[#This Row],[Theatre]])*(tbl_Case_mins[AmCase]=1)),1)),1,0),0)</f>
        <v>0</v>
      </c>
      <c r="CR130" s="9" cm="1">
        <f t="array" ref="CR13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0" s="9" t="e" cm="1">
        <f t="array" ref="CS13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0" s="9" cm="1">
        <f t="array" ref="CT130">IFERROR(IF(tbl_Case_mins[[#This Row],[Rank]]=_xlfn.AGGREGATE(15,6,(tbl_Case_mins[Rank])/((tbl_Case_mins[Surgery Start Date]=tbl_Case_mins[[#This Row],[Surgery Start Date]])*(tbl_Case_mins[Theatre]=tbl_Case_mins[[#This Row],[Theatre]])*(tbl_Case_mins[PmCase]=1)),1),1,0),0)</f>
        <v>0</v>
      </c>
      <c r="CU130">
        <f>IFERROR(#REF!,0)</f>
        <v>0</v>
      </c>
      <c r="CV130" s="9" t="e" cm="1">
        <f t="array" ref="CV13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0" s="9">
        <f>IFERROR(IF(ISBLANK(INDEX(Bay_AmClose,MATCH(1,INDEX((tbl_Case_mins[[#This Row],[Bay]]=BayNo)*(tbl_Case_mins[[#This Row],[Surgery Start Date]]=BDate),0,1),0))*1440),0,INDEX(Bay_AmClose,MATCH(1,INDEX((tbl_Case_mins[[#This Row],[Bay]]=BayNo)*(tbl_Case_mins[[#This Row],[Surgery Start Date]]=BDate),0,1),0))*1440),0)</f>
        <v>0</v>
      </c>
      <c r="CX130" s="9" cm="1">
        <f t="array" ref="CX130">IFERROR(IF(ISBLANK(INDEX(Bay_PmOpen,MATCH(1,INDEX((tbl_Case_mins[[#This Row],[Bay]]=BayNo)*(tbl_Case_mins[[#This Row],[Surgery Start Date]]=BDate),0,1),0))*1440),0,INDEX(Bay_PmOpen,MATCH(1,INDEX((tbl_Case_mins[[#This Row],[Bay]]=BayNo)*(tbl_Case_mins[[#This Row],[Surgery Start Date]]=BDate),0,1),0))*1440),0)</f>
        <v>0</v>
      </c>
      <c r="CY13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0" s="9"/>
    </row>
    <row r="131" spans="1:104" x14ac:dyDescent="0.2">
      <c r="A131">
        <v>130</v>
      </c>
      <c r="B131" t="e">
        <f>#REF!</f>
        <v>#REF!</v>
      </c>
      <c r="C131" t="e">
        <f>#REF!</f>
        <v>#REF!</v>
      </c>
      <c r="D131" t="e">
        <f>#REF!</f>
        <v>#REF!</v>
      </c>
      <c r="E131" t="e">
        <f>#REF!</f>
        <v>#REF!</v>
      </c>
      <c r="F131" t="e">
        <f>#REF!</f>
        <v>#REF!</v>
      </c>
      <c r="G131" t="e">
        <f>#REF!</f>
        <v>#REF!</v>
      </c>
      <c r="H131" t="e">
        <f>#REF!</f>
        <v>#REF!</v>
      </c>
      <c r="I131" t="e">
        <f>IF(#REF!="Case Cancelled",1,IF(#REF!="No Cases",2,0))</f>
        <v>#REF!</v>
      </c>
      <c r="J131" t="e">
        <f>#REF!</f>
        <v>#REF!</v>
      </c>
      <c r="K131" s="4" t="e">
        <f>#REF!</f>
        <v>#REF!</v>
      </c>
      <c r="L131" t="e">
        <f>"Wk "&amp;WEEKNUM(tbl_Case_mins[[#This Row],[Surgery Start Date]],21)</f>
        <v>#REF!</v>
      </c>
      <c r="M131" t="e">
        <f>TEXT(tbl_Case_mins[[#This Row],[Surgery Start Date]],"ddd")</f>
        <v>#REF!</v>
      </c>
      <c r="N131" s="9" t="e">
        <f>(#REF!-TIME(0,0,0))*1440</f>
        <v>#REF!</v>
      </c>
      <c r="O131" t="e">
        <f>IF(AND(ROUND((#REF!-TIME(0,0,0))*1440,0)&gt;0,ROUND((#REF!-TIME(0,0,0))*1440,0)&lt;tbl_Case_mins[[#This Row],[Patient Called]],tbl_Case_mins[[#This Row],[Surgery End Date]]&gt;tbl_Case_mins[[#This Row],[Surgery Start Date]]),ROUND((#REF!-TIME(0,0,0))*1440,0)+1440,ROUND((#REF!-TIME(0,0,0))*1440,0))</f>
        <v>#REF!</v>
      </c>
      <c r="P131" s="9" t="e">
        <f>IF(AND(ROUND((#REF!-TIME(0,0,0))*1440,0)&gt;0,ROUND((#REF!-TIME(0,0,0))*1440,0)&lt;tbl_Case_mins[[#This Row],[Arrival]],tbl_Case_mins[[#This Row],[Surgery End Date]]&gt;tbl_Case_mins[[#This Row],[Surgery Start Date]]),ROUND((#REF!-TIME(0,0,0))*1440,0)+1440,ROUND((#REF!-TIME(0,0,0))*1440,0))</f>
        <v>#REF!</v>
      </c>
      <c r="Q131" s="9" t="e">
        <f>IF(AND(ROUND((#REF!-TIME(0,0,0))*1440,0)&gt;0,ROUND((#REF!-TIME(0,0,0))*1440,0)&lt;tbl_Case_mins[[#This Row],[Into Th or AR]],tbl_Case_mins[[#This Row],[Surgery End Date]]&gt;tbl_Case_mins[[#This Row],[Surgery Start Date]]),ROUND((#REF!-TIME(0,0,0))*1440,0)+1440,ROUND((#REF!-TIME(0,0,0))*1440,0))</f>
        <v>#REF!</v>
      </c>
      <c r="R131" s="9" t="e">
        <f>IF(AND(ROUND((#REF!-TIME(0,0,0))*1440,0)&gt;0,ROUND((#REF!-TIME(0,0,0))*1440,0)&lt;tbl_Case_mins[[#This Row],[AnaesthStart]],tbl_Case_mins[[#This Row],[Surgery End Date]]&gt;tbl_Case_mins[[#This Row],[Surgery Start Date]]),ROUND((#REF!-TIME(0,0,0))*1440,0)+1440,ROUND((#REF!-TIME(0,0,0))*1440,0))</f>
        <v>#REF!</v>
      </c>
      <c r="S131" s="9" t="e">
        <f>IF(AND(ROUND((#REF!-TIME(0,0,0))*1440,0),ROUND((#REF!-TIME(0,0,0))*1440,0)&lt;tbl_Case_mins[[#This Row],[Surgery Start]],tbl_Case_mins[[#This Row],[Surgery End Date]]&gt;tbl_Case_mins[[#This Row],[Surgery Start Date]]),ROUND((#REF!-TIME(0,0,0))*1440,0)+1440,ROUND((#REF!-TIME(0,0,0))*1440,0))</f>
        <v>#REF!</v>
      </c>
      <c r="T131" s="9" t="e">
        <f>IF(AND(ROUND((#REF!-TIME(0,0,0))*1440,0)&gt;0,ROUND((#REF!-TIME(0,0,0))*1440,0)&lt;tbl_Case_mins[[#This Row],[Surgery Finish]],tbl_Case_mins[[#This Row],[Surgery End Date]]&gt;tbl_Case_mins[[#This Row],[Surgery Start Date]]),ROUND((#REF!-TIME(0,0,0))*1440,0)+1440,ROUND((#REF!-TIME(0,0,0))*1440,0))</f>
        <v>#REF!</v>
      </c>
      <c r="U131" s="9" t="e">
        <f>IF(AND(ROUND((#REF!-TIME(0,0,0))*1440,0)&gt;0,ROUND((#REF!-TIME(0,0,0))*1440,0)&lt;tbl_Case_mins[[#This Row],[Anaesth End]],tbl_Case_mins[[#This Row],[Surgery End Date]]&gt;tbl_Case_mins[[#This Row],[Surgery Start Date]]),ROUND((#REF!-TIME(0,0,0))*1440,0)+1440,ROUND((#REF!-TIME(0,0,0))*1440,0))</f>
        <v>#REF!</v>
      </c>
      <c r="V131" s="9" t="e">
        <f>IF(AND(ROUND((#REF!-TIME(0,0,0))*1440,0)&gt;0,ROUND((#REF!-TIME(0,0,0))*1440,0)&lt;tbl_Case_mins[[#This Row],[Into Recov]],tbl_Case_mins[[#This Row],[Surgery End Date]]&gt;tbl_Case_mins[[#This Row],[Surgery Start Date]]),ROUND((#REF!-TIME(0,0,0))*1440,0)+1440,ROUND((#REF!-TIME(0,0,0))*1440,0))</f>
        <v>#REF!</v>
      </c>
      <c r="W131" s="9" t="e">
        <f>IF(AND(ROUND((#REF!-TIME(0,0,0))*1440,0)&gt;0,ROUND((#REF!-TIME(0,0,0))*1440,0)&lt;tbl_Case_mins[[#This Row],[Ward Called]],tbl_Case_mins[[#This Row],[Surgery End Date]]&gt;tbl_Case_mins[[#This Row],[Surgery Start Date]]),ROUND((#REF!-TIME(0,0,0))*1440,0)+1440,ROUND((#REF!-TIME(0,0,0))*1440,0))</f>
        <v>#REF!</v>
      </c>
      <c r="X131" s="4" t="e">
        <f>IF(ISBLANK(#REF!),tbl_Case_mins[[#This Row],[Surgery Start Date]],#REF!)</f>
        <v>#REF!</v>
      </c>
      <c r="Y131">
        <f>IFERROR(IF(VLOOKUP(tbl_Case_mins[[#This Row],[Theatre]],'Mng Theatres'!$C$7:$G$12,3,FALSE)="Yes","Yes","No"),0)</f>
        <v>0</v>
      </c>
      <c r="Z131" s="9" t="e" cm="1">
        <f t="array" ref="Z13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1" s="9" t="e" cm="1">
        <f t="array" ref="AA13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1" s="9" t="e">
        <f>IF(tbl_Case_mins[[#This Row],[Case Type]]="Unsch",1,0)</f>
        <v>#REF!</v>
      </c>
      <c r="AD131" s="9" t="e">
        <f>IF(tbl_Case_mins[[#This Row],[Case Type]]="Sch",1,0)</f>
        <v>#REF!</v>
      </c>
      <c r="AE13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1" s="9">
        <f>IFERROR(IF(ISBLANK(INDEX(Am_Close,MATCH(1,INDEX((tbl_Case_mins[[#This Row],[Theatre]]=Theatre_No)*(tbl_Case_mins[[#This Row],[Surgery Start Date]]=Date),0,1),0))*1440),0,INDEX(Am_Close,MATCH(1,INDEX((tbl_Case_mins[[#This Row],[Theatre]]=Theatre_No)*(tbl_Case_mins[[#This Row],[Surgery Start Date]]=Date),0,1),0))*1440),0)</f>
        <v>0</v>
      </c>
      <c r="AG131" s="9">
        <f>IFERROR(IF(ISBLANK(INDEX(PM_Open,MATCH(1,INDEX((tbl_Case_mins[[#This Row],[Theatre]]=Theatre_No)*(tbl_Case_mins[[#This Row],[Surgery Start Date]]=Date),0,1),0))*1440),0,INDEX(PM_Open,MATCH(1,INDEX((tbl_Case_mins[[#This Row],[Theatre]]=Theatre_No)*(tbl_Case_mins[[#This Row],[Surgery Start Date]]=Date),0,1),0))*1440),0)</f>
        <v>0</v>
      </c>
      <c r="AH13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1" s="9" t="e">
        <f>IF(tbl_Case_mins[[#This Row],[ThOpenAm]]=0,tbl_Case_mins[[#This Row],[ThOpenPM]],tbl_Case_mins[[#This Row],[ThOpenAm]])</f>
        <v>#REF!</v>
      </c>
      <c r="AJ131" s="9" t="e">
        <f>IF(tbl_Case_mins[[#This Row],[ThCloseAm]]&gt;0,IF(tbl_Case_mins[[#This Row],[ThOpenPM]]&gt;0,tbl_Case_mins[[#This Row],[ThClosePm]],tbl_Case_mins[[#This Row],[ThCloseAm]]),tbl_Case_mins[[#This Row],[ThClosePm]])</f>
        <v>#REF!</v>
      </c>
      <c r="AK131" s="9" t="e">
        <f>IF(tbl_Case_mins[[#This Row],[TOT]]&gt;0,1,0)</f>
        <v>#REF!</v>
      </c>
      <c r="AL13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1" s="9" t="e">
        <f>IF(AND(tbl_Case_mins[[#This Row],[Surgery Status]]&lt;&gt;2,tbl_Case_mins[[#This Row],[InCoreCase]]=0,tbl_Case_mins[[#This Row],[CancelledCase]]=0),1,0)</f>
        <v>#REF!</v>
      </c>
      <c r="AN131" s="9" t="e">
        <f>IF(tbl_Case_mins[[#This Row],[Surgery Status]]=1,1,0)</f>
        <v>#REF!</v>
      </c>
      <c r="AO13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1" s="9" t="e">
        <f>IF(AND(tbl_Case_mins[[#This Row],[NonCoreCase]]=1,tbl_Case_mins[[#This Row],[NoInCoreTime]]=0),1,0)</f>
        <v>#REF!</v>
      </c>
      <c r="AQ131" s="9" t="e">
        <f>IF(tbl_Case_mins[[#This Row],[Rank_AnaEnd]]&lt;tbl_Case_mins[[#This Row],[Rank_AnaSt]],1,0)</f>
        <v>#REF!</v>
      </c>
      <c r="AR131" s="9" t="e">
        <f>IF(AND(tbl_Case_mins[[#This Row],[InCoreCase]]=1,tbl_Case_mins[[#This Row],[Sch]]=1),1,0)</f>
        <v>#REF!</v>
      </c>
      <c r="AS131" s="9" t="e">
        <f>IF(AND(tbl_Case_mins[[#This Row],[InCoreCase]]=1,tbl_Case_mins[[#This Row],[Unsch]]=1),1,0)</f>
        <v>#REF!</v>
      </c>
      <c r="AT13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1" s="9" t="e">
        <f>IF(tbl_Case_mins[[#This Row],[Surgery Status]]=0,(tbl_Case_mins[[#This Row],[Anaesth End]]-tbl_Case_mins[[#This Row],[AnaesthStart]]),0)</f>
        <v>#REF!</v>
      </c>
      <c r="AX131" s="9" t="e">
        <f>IF(tbl_Case_mins[[#This Row],[Surgery Status]]=0,(tbl_Case_mins[[#This Row],[Surgery Finish]]-tbl_Case_mins[[#This Row],[Surgery Start]]),0)</f>
        <v>#REF!</v>
      </c>
      <c r="AY131" s="9" t="e">
        <f>tbl_Case_mins[[#This Row],[Surgery Start]]-tbl_Case_mins[[#This Row],[AnaesthStart]]</f>
        <v>#REF!</v>
      </c>
      <c r="AZ131" s="9" t="e">
        <f>tbl_Case_mins[[#This Row],[Anaesth End]]-tbl_Case_mins[[#This Row],[Surgery Finish]]</f>
        <v>#REF!</v>
      </c>
      <c r="BA13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1" s="16" cm="1">
        <f t="array" ref="BC13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1" s="16" t="e">
        <f>IF(AND(tbl_Case_mins[[#This Row],[FirstAMCase]]=1,tbl_Case_mins[[#This Row],[CancelledCase]]=0,OR(tbl_Case_mins[[#This Row],[EarlyStartAM]]&gt;0,tbl_Case_mins[[#This Row],[AnaesthStart]]=tbl_Case_mins[[#This Row],[ThOpenAm]])),1,0)</f>
        <v>#REF!</v>
      </c>
      <c r="BE131" s="16" t="e">
        <f>IF(AND(tbl_Case_mins[[#This Row],[Rank_AnaSt]]=tbl_Case_mins[[#This Row],[Min_RankAnaSt]],tbl_Case_mins[[#This Row],[Anaesth End]]&gt;=tbl_Case_mins[[#This Row],[ThOpenAm]],tbl_Case_mins[[#This Row],[PmCase]]=0),1,0)</f>
        <v>#REF!</v>
      </c>
      <c r="BF13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1" s="9" t="e" cm="1">
        <f t="array" ref="BH13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1" s="9" t="e">
        <f>IF(AND(tbl_Case_mins[[#This Row],[ThOpenPM]]&gt;0,tbl_Case_mins[[#This Row],[AnaesthStart]]&gt;tbl_Case_mins[[#This Row],[ThOpenPM]],tbl_Case_mins[[#This Row],[First PM Case]]=1),tbl_Case_mins[[#This Row],[AnaesthStart]]-tbl_Case_mins[[#This Row],[ThOpenPM]],0)</f>
        <v>#REF!</v>
      </c>
      <c r="BL13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1" s="9" t="e" cm="1">
        <f t="array" ref="BN13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1" s="9" t="e">
        <f>IF(AND(tbl_Case_mins[[#This Row],[ThClosePm]]&gt;0,tbl_Case_mins[[#This Row],[Anaesth End]]&gt;tbl_Case_mins[[#This Row],[ThClosePm]],tbl_Case_mins[[#This Row],[AnaesthStart]]&gt;tbl_Case_mins[[#This Row],[ThClosePm]]),tbl_Case_mins[[#This Row],[Into Recov]]-tbl_Case_mins[[#This Row],[AnaesthStart]],0)</f>
        <v>#REF!</v>
      </c>
      <c r="BP131" s="9" t="e">
        <f>IF(AND(tbl_Case_mins[[#This Row],[AnaesthStart]]&lt;tbl_Case_mins[[#This Row],[ThClosePm]],tbl_Case_mins[[#This Row],[Anaesth End]]&gt;tbl_Case_mins[[#This Row],[ThClosePm]]),tbl_Case_mins[[#This Row],[Anaesth End]]-tbl_Case_mins[[#This Row],[ThClosePm]],0)</f>
        <v>#REF!</v>
      </c>
      <c r="BQ131" s="9" t="e" cm="1">
        <f t="array" ref="BQ13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1" s="9" t="e" cm="1">
        <f t="array" ref="BR131">IF(tbl_Case_mins[[#This Row],[Rank_Adjust]]=SUMPRODUCT(-(tbl_Case_mins[Surgery Start Date]=tbl_Case_mins[[#This Row],[Surgery Start Date]]),-(tbl_Case_mins[Theatre]=tbl_Case_mins[[#This Row],[Theatre]])),INDEX(Poss_Time,MATCH(TEXT(tbl_Case_mins[[#This Row],[Surgery Start Date]],"ddd"),Day,0)),0)</f>
        <v>#REF!</v>
      </c>
      <c r="BS131" s="9" t="e">
        <f>tbl_Case_mins[[#This Row],[Core_Time]]*Util_Goal</f>
        <v>#REF!</v>
      </c>
      <c r="BT131" s="9" t="e" cm="1">
        <f t="array" ref="BT1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1" s="9" t="e" cm="1">
        <f t="array" ref="BU1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1" s="9" t="e">
        <f>IF(tbl_Case_mins[[#This Row],[Surgery End Date]]&gt;tbl_Case_mins[[#This Row],[Surgery Start Date]],tbl_Case_mins[[#This Row],[Anaesth End]]-1440,0)</f>
        <v>#REF!</v>
      </c>
      <c r="BY131" s="9" t="e">
        <f>tbl_Case_mins[[#This Row],[Total_NonCore]]-tbl_Case_mins[[#This Row],[NextDay_NonCore]]</f>
        <v>#REF!</v>
      </c>
      <c r="BZ131" s="10" t="e">
        <f>tbl_Case_mins[[#This Row],[InCoreUse]]/60</f>
        <v>#REF!</v>
      </c>
      <c r="CA131" s="10" t="e">
        <f>tbl_Case_mins[[#This Row],[Total_NonCore]]/60</f>
        <v>#REF!</v>
      </c>
      <c r="CB131" t="e" cm="1">
        <f t="array" ref="CB1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1" s="9" t="e" cm="1">
        <f t="array" ref="CC13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1" s="9" t="e" cm="1">
        <f t="array" ref="CD1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1" s="9" t="e" cm="1">
        <f t="array" ref="CE13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1" s="9" cm="1">
        <f t="array" ref="CF131">IFERROR(_xlfn.AGGREGATE(14,6,(tbl_Case_mins[Rank_AnaEnd])/((tbl_Case_mins[Surgery Start Date]=tbl_Case_mins[[#This Row],[Surgery Start Date]])*(tbl_Case_mins[Theatre]=tbl_Case_mins[[#This Row],[Theatre]])*(tbl_Case_mins[NoInCoreTime]=0)),1),-1)</f>
        <v>-1</v>
      </c>
      <c r="CG131" s="9" cm="1">
        <f t="array" ref="CG131">IFERROR(_xlfn.AGGREGATE(15,6,(tbl_Case_mins[Rank_AnaSt])/((tbl_Case_mins[Surgery Start Date]=tbl_Case_mins[[#This Row],[Surgery Start Date]])*(tbl_Case_mins[Theatre]=tbl_Case_mins[[#This Row],[Theatre]])*(tbl_Case_mins[NoInCoreTime]=0)),1),-1)</f>
        <v>-1</v>
      </c>
      <c r="CH13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1" t="e" cm="1">
        <f t="array" ref="CJ13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1" s="9" cm="1">
        <f t="array" ref="CO1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1" s="9" cm="1">
        <f t="array" ref="CP1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1" s="9" cm="1">
        <f t="array" ref="CQ131">IFERROR(IF(AND(tbl_Case_mins[[#This Row],[FirstAMCase]]=0,tbl_Case_mins[[#This Row],[Rank]]=_xlfn.AGGREGATE(14,6,(tbl_Case_mins[Rank])/((tbl_Case_mins[Surgery Start Date]=tbl_Case_mins[[#This Row],[Surgery Start Date]])*(tbl_Case_mins[Theatre]=tbl_Case_mins[[#This Row],[Theatre]])*(tbl_Case_mins[AmCase]=1)),1)),1,0),0)</f>
        <v>0</v>
      </c>
      <c r="CR131" s="9" cm="1">
        <f t="array" ref="CR13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1" s="9" t="e" cm="1">
        <f t="array" ref="CS13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1" s="9" cm="1">
        <f t="array" ref="CT131">IFERROR(IF(tbl_Case_mins[[#This Row],[Rank]]=_xlfn.AGGREGATE(15,6,(tbl_Case_mins[Rank])/((tbl_Case_mins[Surgery Start Date]=tbl_Case_mins[[#This Row],[Surgery Start Date]])*(tbl_Case_mins[Theatre]=tbl_Case_mins[[#This Row],[Theatre]])*(tbl_Case_mins[PmCase]=1)),1),1,0),0)</f>
        <v>0</v>
      </c>
      <c r="CU131">
        <f>IFERROR(#REF!,0)</f>
        <v>0</v>
      </c>
      <c r="CV131" s="9" t="e" cm="1">
        <f t="array" ref="CV13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1" s="9">
        <f>IFERROR(IF(ISBLANK(INDEX(Bay_AmClose,MATCH(1,INDEX((tbl_Case_mins[[#This Row],[Bay]]=BayNo)*(tbl_Case_mins[[#This Row],[Surgery Start Date]]=BDate),0,1),0))*1440),0,INDEX(Bay_AmClose,MATCH(1,INDEX((tbl_Case_mins[[#This Row],[Bay]]=BayNo)*(tbl_Case_mins[[#This Row],[Surgery Start Date]]=BDate),0,1),0))*1440),0)</f>
        <v>0</v>
      </c>
      <c r="CX131" s="9" cm="1">
        <f t="array" ref="CX131">IFERROR(IF(ISBLANK(INDEX(Bay_PmOpen,MATCH(1,INDEX((tbl_Case_mins[[#This Row],[Bay]]=BayNo)*(tbl_Case_mins[[#This Row],[Surgery Start Date]]=BDate),0,1),0))*1440),0,INDEX(Bay_PmOpen,MATCH(1,INDEX((tbl_Case_mins[[#This Row],[Bay]]=BayNo)*(tbl_Case_mins[[#This Row],[Surgery Start Date]]=BDate),0,1),0))*1440),0)</f>
        <v>0</v>
      </c>
      <c r="CY13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1" s="9"/>
    </row>
    <row r="132" spans="1:104" x14ac:dyDescent="0.2">
      <c r="A132">
        <v>131</v>
      </c>
      <c r="B132" t="e">
        <f>#REF!</f>
        <v>#REF!</v>
      </c>
      <c r="C132" t="e">
        <f>#REF!</f>
        <v>#REF!</v>
      </c>
      <c r="D132" t="e">
        <f>#REF!</f>
        <v>#REF!</v>
      </c>
      <c r="E132" t="e">
        <f>#REF!</f>
        <v>#REF!</v>
      </c>
      <c r="F132" t="e">
        <f>#REF!</f>
        <v>#REF!</v>
      </c>
      <c r="G132" t="e">
        <f>#REF!</f>
        <v>#REF!</v>
      </c>
      <c r="H132" t="e">
        <f>#REF!</f>
        <v>#REF!</v>
      </c>
      <c r="I132" t="e">
        <f>IF(#REF!="Case Cancelled",1,IF(#REF!="No Cases",2,0))</f>
        <v>#REF!</v>
      </c>
      <c r="J132" t="e">
        <f>#REF!</f>
        <v>#REF!</v>
      </c>
      <c r="K132" s="4" t="e">
        <f>#REF!</f>
        <v>#REF!</v>
      </c>
      <c r="L132" t="e">
        <f>"Wk "&amp;WEEKNUM(tbl_Case_mins[[#This Row],[Surgery Start Date]],21)</f>
        <v>#REF!</v>
      </c>
      <c r="M132" t="e">
        <f>TEXT(tbl_Case_mins[[#This Row],[Surgery Start Date]],"ddd")</f>
        <v>#REF!</v>
      </c>
      <c r="N132" s="9" t="e">
        <f>(#REF!-TIME(0,0,0))*1440</f>
        <v>#REF!</v>
      </c>
      <c r="O132" t="e">
        <f>IF(AND(ROUND((#REF!-TIME(0,0,0))*1440,0)&gt;0,ROUND((#REF!-TIME(0,0,0))*1440,0)&lt;tbl_Case_mins[[#This Row],[Patient Called]],tbl_Case_mins[[#This Row],[Surgery End Date]]&gt;tbl_Case_mins[[#This Row],[Surgery Start Date]]),ROUND((#REF!-TIME(0,0,0))*1440,0)+1440,ROUND((#REF!-TIME(0,0,0))*1440,0))</f>
        <v>#REF!</v>
      </c>
      <c r="P132" s="9" t="e">
        <f>IF(AND(ROUND((#REF!-TIME(0,0,0))*1440,0)&gt;0,ROUND((#REF!-TIME(0,0,0))*1440,0)&lt;tbl_Case_mins[[#This Row],[Arrival]],tbl_Case_mins[[#This Row],[Surgery End Date]]&gt;tbl_Case_mins[[#This Row],[Surgery Start Date]]),ROUND((#REF!-TIME(0,0,0))*1440,0)+1440,ROUND((#REF!-TIME(0,0,0))*1440,0))</f>
        <v>#REF!</v>
      </c>
      <c r="Q132" s="9" t="e">
        <f>IF(AND(ROUND((#REF!-TIME(0,0,0))*1440,0)&gt;0,ROUND((#REF!-TIME(0,0,0))*1440,0)&lt;tbl_Case_mins[[#This Row],[Into Th or AR]],tbl_Case_mins[[#This Row],[Surgery End Date]]&gt;tbl_Case_mins[[#This Row],[Surgery Start Date]]),ROUND((#REF!-TIME(0,0,0))*1440,0)+1440,ROUND((#REF!-TIME(0,0,0))*1440,0))</f>
        <v>#REF!</v>
      </c>
      <c r="R132" s="9" t="e">
        <f>IF(AND(ROUND((#REF!-TIME(0,0,0))*1440,0)&gt;0,ROUND((#REF!-TIME(0,0,0))*1440,0)&lt;tbl_Case_mins[[#This Row],[AnaesthStart]],tbl_Case_mins[[#This Row],[Surgery End Date]]&gt;tbl_Case_mins[[#This Row],[Surgery Start Date]]),ROUND((#REF!-TIME(0,0,0))*1440,0)+1440,ROUND((#REF!-TIME(0,0,0))*1440,0))</f>
        <v>#REF!</v>
      </c>
      <c r="S132" s="9" t="e">
        <f>IF(AND(ROUND((#REF!-TIME(0,0,0))*1440,0),ROUND((#REF!-TIME(0,0,0))*1440,0)&lt;tbl_Case_mins[[#This Row],[Surgery Start]],tbl_Case_mins[[#This Row],[Surgery End Date]]&gt;tbl_Case_mins[[#This Row],[Surgery Start Date]]),ROUND((#REF!-TIME(0,0,0))*1440,0)+1440,ROUND((#REF!-TIME(0,0,0))*1440,0))</f>
        <v>#REF!</v>
      </c>
      <c r="T132" s="9" t="e">
        <f>IF(AND(ROUND((#REF!-TIME(0,0,0))*1440,0)&gt;0,ROUND((#REF!-TIME(0,0,0))*1440,0)&lt;tbl_Case_mins[[#This Row],[Surgery Finish]],tbl_Case_mins[[#This Row],[Surgery End Date]]&gt;tbl_Case_mins[[#This Row],[Surgery Start Date]]),ROUND((#REF!-TIME(0,0,0))*1440,0)+1440,ROUND((#REF!-TIME(0,0,0))*1440,0))</f>
        <v>#REF!</v>
      </c>
      <c r="U132" s="9" t="e">
        <f>IF(AND(ROUND((#REF!-TIME(0,0,0))*1440,0)&gt;0,ROUND((#REF!-TIME(0,0,0))*1440,0)&lt;tbl_Case_mins[[#This Row],[Anaesth End]],tbl_Case_mins[[#This Row],[Surgery End Date]]&gt;tbl_Case_mins[[#This Row],[Surgery Start Date]]),ROUND((#REF!-TIME(0,0,0))*1440,0)+1440,ROUND((#REF!-TIME(0,0,0))*1440,0))</f>
        <v>#REF!</v>
      </c>
      <c r="V132" s="9" t="e">
        <f>IF(AND(ROUND((#REF!-TIME(0,0,0))*1440,0)&gt;0,ROUND((#REF!-TIME(0,0,0))*1440,0)&lt;tbl_Case_mins[[#This Row],[Into Recov]],tbl_Case_mins[[#This Row],[Surgery End Date]]&gt;tbl_Case_mins[[#This Row],[Surgery Start Date]]),ROUND((#REF!-TIME(0,0,0))*1440,0)+1440,ROUND((#REF!-TIME(0,0,0))*1440,0))</f>
        <v>#REF!</v>
      </c>
      <c r="W132" s="9" t="e">
        <f>IF(AND(ROUND((#REF!-TIME(0,0,0))*1440,0)&gt;0,ROUND((#REF!-TIME(0,0,0))*1440,0)&lt;tbl_Case_mins[[#This Row],[Ward Called]],tbl_Case_mins[[#This Row],[Surgery End Date]]&gt;tbl_Case_mins[[#This Row],[Surgery Start Date]]),ROUND((#REF!-TIME(0,0,0))*1440,0)+1440,ROUND((#REF!-TIME(0,0,0))*1440,0))</f>
        <v>#REF!</v>
      </c>
      <c r="X132" s="4" t="e">
        <f>IF(ISBLANK(#REF!),tbl_Case_mins[[#This Row],[Surgery Start Date]],#REF!)</f>
        <v>#REF!</v>
      </c>
      <c r="Y132">
        <f>IFERROR(IF(VLOOKUP(tbl_Case_mins[[#This Row],[Theatre]],'Mng Theatres'!$C$7:$G$12,3,FALSE)="Yes","Yes","No"),0)</f>
        <v>0</v>
      </c>
      <c r="Z132" s="9" t="e" cm="1">
        <f t="array" ref="Z13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2" s="9" t="e" cm="1">
        <f t="array" ref="AA13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2" s="9" t="e">
        <f>IF(tbl_Case_mins[[#This Row],[Case Type]]="Unsch",1,0)</f>
        <v>#REF!</v>
      </c>
      <c r="AD132" s="9" t="e">
        <f>IF(tbl_Case_mins[[#This Row],[Case Type]]="Sch",1,0)</f>
        <v>#REF!</v>
      </c>
      <c r="AE13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2" s="9">
        <f>IFERROR(IF(ISBLANK(INDEX(Am_Close,MATCH(1,INDEX((tbl_Case_mins[[#This Row],[Theatre]]=Theatre_No)*(tbl_Case_mins[[#This Row],[Surgery Start Date]]=Date),0,1),0))*1440),0,INDEX(Am_Close,MATCH(1,INDEX((tbl_Case_mins[[#This Row],[Theatre]]=Theatre_No)*(tbl_Case_mins[[#This Row],[Surgery Start Date]]=Date),0,1),0))*1440),0)</f>
        <v>0</v>
      </c>
      <c r="AG132" s="9">
        <f>IFERROR(IF(ISBLANK(INDEX(PM_Open,MATCH(1,INDEX((tbl_Case_mins[[#This Row],[Theatre]]=Theatre_No)*(tbl_Case_mins[[#This Row],[Surgery Start Date]]=Date),0,1),0))*1440),0,INDEX(PM_Open,MATCH(1,INDEX((tbl_Case_mins[[#This Row],[Theatre]]=Theatre_No)*(tbl_Case_mins[[#This Row],[Surgery Start Date]]=Date),0,1),0))*1440),0)</f>
        <v>0</v>
      </c>
      <c r="AH13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2" s="9" t="e">
        <f>IF(tbl_Case_mins[[#This Row],[ThOpenAm]]=0,tbl_Case_mins[[#This Row],[ThOpenPM]],tbl_Case_mins[[#This Row],[ThOpenAm]])</f>
        <v>#REF!</v>
      </c>
      <c r="AJ132" s="9" t="e">
        <f>IF(tbl_Case_mins[[#This Row],[ThCloseAm]]&gt;0,IF(tbl_Case_mins[[#This Row],[ThOpenPM]]&gt;0,tbl_Case_mins[[#This Row],[ThClosePm]],tbl_Case_mins[[#This Row],[ThCloseAm]]),tbl_Case_mins[[#This Row],[ThClosePm]])</f>
        <v>#REF!</v>
      </c>
      <c r="AK132" s="9" t="e">
        <f>IF(tbl_Case_mins[[#This Row],[TOT]]&gt;0,1,0)</f>
        <v>#REF!</v>
      </c>
      <c r="AL13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2" s="9" t="e">
        <f>IF(AND(tbl_Case_mins[[#This Row],[Surgery Status]]&lt;&gt;2,tbl_Case_mins[[#This Row],[InCoreCase]]=0,tbl_Case_mins[[#This Row],[CancelledCase]]=0),1,0)</f>
        <v>#REF!</v>
      </c>
      <c r="AN132" s="9" t="e">
        <f>IF(tbl_Case_mins[[#This Row],[Surgery Status]]=1,1,0)</f>
        <v>#REF!</v>
      </c>
      <c r="AO13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2" s="9" t="e">
        <f>IF(AND(tbl_Case_mins[[#This Row],[NonCoreCase]]=1,tbl_Case_mins[[#This Row],[NoInCoreTime]]=0),1,0)</f>
        <v>#REF!</v>
      </c>
      <c r="AQ132" s="9" t="e">
        <f>IF(tbl_Case_mins[[#This Row],[Rank_AnaEnd]]&lt;tbl_Case_mins[[#This Row],[Rank_AnaSt]],1,0)</f>
        <v>#REF!</v>
      </c>
      <c r="AR132" s="9" t="e">
        <f>IF(AND(tbl_Case_mins[[#This Row],[InCoreCase]]=1,tbl_Case_mins[[#This Row],[Sch]]=1),1,0)</f>
        <v>#REF!</v>
      </c>
      <c r="AS132" s="9" t="e">
        <f>IF(AND(tbl_Case_mins[[#This Row],[InCoreCase]]=1,tbl_Case_mins[[#This Row],[Unsch]]=1),1,0)</f>
        <v>#REF!</v>
      </c>
      <c r="AT13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2" s="9" t="e">
        <f>IF(tbl_Case_mins[[#This Row],[Surgery Status]]=0,(tbl_Case_mins[[#This Row],[Anaesth End]]-tbl_Case_mins[[#This Row],[AnaesthStart]]),0)</f>
        <v>#REF!</v>
      </c>
      <c r="AX132" s="9" t="e">
        <f>IF(tbl_Case_mins[[#This Row],[Surgery Status]]=0,(tbl_Case_mins[[#This Row],[Surgery Finish]]-tbl_Case_mins[[#This Row],[Surgery Start]]),0)</f>
        <v>#REF!</v>
      </c>
      <c r="AY132" s="9" t="e">
        <f>tbl_Case_mins[[#This Row],[Surgery Start]]-tbl_Case_mins[[#This Row],[AnaesthStart]]</f>
        <v>#REF!</v>
      </c>
      <c r="AZ132" s="9" t="e">
        <f>tbl_Case_mins[[#This Row],[Anaesth End]]-tbl_Case_mins[[#This Row],[Surgery Finish]]</f>
        <v>#REF!</v>
      </c>
      <c r="BA13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2" s="16" cm="1">
        <f t="array" ref="BC13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2" s="16" t="e">
        <f>IF(AND(tbl_Case_mins[[#This Row],[FirstAMCase]]=1,tbl_Case_mins[[#This Row],[CancelledCase]]=0,OR(tbl_Case_mins[[#This Row],[EarlyStartAM]]&gt;0,tbl_Case_mins[[#This Row],[AnaesthStart]]=tbl_Case_mins[[#This Row],[ThOpenAm]])),1,0)</f>
        <v>#REF!</v>
      </c>
      <c r="BE132" s="16" t="e">
        <f>IF(AND(tbl_Case_mins[[#This Row],[Rank_AnaSt]]=tbl_Case_mins[[#This Row],[Min_RankAnaSt]],tbl_Case_mins[[#This Row],[Anaesth End]]&gt;=tbl_Case_mins[[#This Row],[ThOpenAm]],tbl_Case_mins[[#This Row],[PmCase]]=0),1,0)</f>
        <v>#REF!</v>
      </c>
      <c r="BF13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2" s="9" t="e" cm="1">
        <f t="array" ref="BH13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2" s="9" t="e">
        <f>IF(AND(tbl_Case_mins[[#This Row],[ThOpenPM]]&gt;0,tbl_Case_mins[[#This Row],[AnaesthStart]]&gt;tbl_Case_mins[[#This Row],[ThOpenPM]],tbl_Case_mins[[#This Row],[First PM Case]]=1),tbl_Case_mins[[#This Row],[AnaesthStart]]-tbl_Case_mins[[#This Row],[ThOpenPM]],0)</f>
        <v>#REF!</v>
      </c>
      <c r="BL13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2" s="9" t="e" cm="1">
        <f t="array" ref="BN13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2" s="9" t="e">
        <f>IF(AND(tbl_Case_mins[[#This Row],[ThClosePm]]&gt;0,tbl_Case_mins[[#This Row],[Anaesth End]]&gt;tbl_Case_mins[[#This Row],[ThClosePm]],tbl_Case_mins[[#This Row],[AnaesthStart]]&gt;tbl_Case_mins[[#This Row],[ThClosePm]]),tbl_Case_mins[[#This Row],[Into Recov]]-tbl_Case_mins[[#This Row],[AnaesthStart]],0)</f>
        <v>#REF!</v>
      </c>
      <c r="BP132" s="9" t="e">
        <f>IF(AND(tbl_Case_mins[[#This Row],[AnaesthStart]]&lt;tbl_Case_mins[[#This Row],[ThClosePm]],tbl_Case_mins[[#This Row],[Anaesth End]]&gt;tbl_Case_mins[[#This Row],[ThClosePm]]),tbl_Case_mins[[#This Row],[Anaesth End]]-tbl_Case_mins[[#This Row],[ThClosePm]],0)</f>
        <v>#REF!</v>
      </c>
      <c r="BQ132" s="9" t="e" cm="1">
        <f t="array" ref="BQ13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2" s="9" t="e" cm="1">
        <f t="array" ref="BR132">IF(tbl_Case_mins[[#This Row],[Rank_Adjust]]=SUMPRODUCT(-(tbl_Case_mins[Surgery Start Date]=tbl_Case_mins[[#This Row],[Surgery Start Date]]),-(tbl_Case_mins[Theatre]=tbl_Case_mins[[#This Row],[Theatre]])),INDEX(Poss_Time,MATCH(TEXT(tbl_Case_mins[[#This Row],[Surgery Start Date]],"ddd"),Day,0)),0)</f>
        <v>#REF!</v>
      </c>
      <c r="BS132" s="9" t="e">
        <f>tbl_Case_mins[[#This Row],[Core_Time]]*Util_Goal</f>
        <v>#REF!</v>
      </c>
      <c r="BT132" s="9" t="e" cm="1">
        <f t="array" ref="BT1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2" s="9" t="e" cm="1">
        <f t="array" ref="BU1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2" s="9" t="e">
        <f>IF(tbl_Case_mins[[#This Row],[Surgery End Date]]&gt;tbl_Case_mins[[#This Row],[Surgery Start Date]],tbl_Case_mins[[#This Row],[Anaesth End]]-1440,0)</f>
        <v>#REF!</v>
      </c>
      <c r="BY132" s="9" t="e">
        <f>tbl_Case_mins[[#This Row],[Total_NonCore]]-tbl_Case_mins[[#This Row],[NextDay_NonCore]]</f>
        <v>#REF!</v>
      </c>
      <c r="BZ132" s="10" t="e">
        <f>tbl_Case_mins[[#This Row],[InCoreUse]]/60</f>
        <v>#REF!</v>
      </c>
      <c r="CA132" s="10" t="e">
        <f>tbl_Case_mins[[#This Row],[Total_NonCore]]/60</f>
        <v>#REF!</v>
      </c>
      <c r="CB132" t="e" cm="1">
        <f t="array" ref="CB1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2" s="9" t="e" cm="1">
        <f t="array" ref="CC13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2" s="9" t="e" cm="1">
        <f t="array" ref="CD1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2" s="9" t="e" cm="1">
        <f t="array" ref="CE13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2" s="9" cm="1">
        <f t="array" ref="CF132">IFERROR(_xlfn.AGGREGATE(14,6,(tbl_Case_mins[Rank_AnaEnd])/((tbl_Case_mins[Surgery Start Date]=tbl_Case_mins[[#This Row],[Surgery Start Date]])*(tbl_Case_mins[Theatre]=tbl_Case_mins[[#This Row],[Theatre]])*(tbl_Case_mins[NoInCoreTime]=0)),1),-1)</f>
        <v>-1</v>
      </c>
      <c r="CG132" s="9" cm="1">
        <f t="array" ref="CG132">IFERROR(_xlfn.AGGREGATE(15,6,(tbl_Case_mins[Rank_AnaSt])/((tbl_Case_mins[Surgery Start Date]=tbl_Case_mins[[#This Row],[Surgery Start Date]])*(tbl_Case_mins[Theatre]=tbl_Case_mins[[#This Row],[Theatre]])*(tbl_Case_mins[NoInCoreTime]=0)),1),-1)</f>
        <v>-1</v>
      </c>
      <c r="CH13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2" t="e" cm="1">
        <f t="array" ref="CJ13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2" s="9" cm="1">
        <f t="array" ref="CO1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2" s="9" cm="1">
        <f t="array" ref="CP1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2" s="9" cm="1">
        <f t="array" ref="CQ132">IFERROR(IF(AND(tbl_Case_mins[[#This Row],[FirstAMCase]]=0,tbl_Case_mins[[#This Row],[Rank]]=_xlfn.AGGREGATE(14,6,(tbl_Case_mins[Rank])/((tbl_Case_mins[Surgery Start Date]=tbl_Case_mins[[#This Row],[Surgery Start Date]])*(tbl_Case_mins[Theatre]=tbl_Case_mins[[#This Row],[Theatre]])*(tbl_Case_mins[AmCase]=1)),1)),1,0),0)</f>
        <v>0</v>
      </c>
      <c r="CR132" s="9" cm="1">
        <f t="array" ref="CR13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2" s="9" t="e" cm="1">
        <f t="array" ref="CS13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2" s="9" cm="1">
        <f t="array" ref="CT132">IFERROR(IF(tbl_Case_mins[[#This Row],[Rank]]=_xlfn.AGGREGATE(15,6,(tbl_Case_mins[Rank])/((tbl_Case_mins[Surgery Start Date]=tbl_Case_mins[[#This Row],[Surgery Start Date]])*(tbl_Case_mins[Theatre]=tbl_Case_mins[[#This Row],[Theatre]])*(tbl_Case_mins[PmCase]=1)),1),1,0),0)</f>
        <v>0</v>
      </c>
      <c r="CU132">
        <f>IFERROR(#REF!,0)</f>
        <v>0</v>
      </c>
      <c r="CV132" s="9" t="e" cm="1">
        <f t="array" ref="CV13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2" s="9">
        <f>IFERROR(IF(ISBLANK(INDEX(Bay_AmClose,MATCH(1,INDEX((tbl_Case_mins[[#This Row],[Bay]]=BayNo)*(tbl_Case_mins[[#This Row],[Surgery Start Date]]=BDate),0,1),0))*1440),0,INDEX(Bay_AmClose,MATCH(1,INDEX((tbl_Case_mins[[#This Row],[Bay]]=BayNo)*(tbl_Case_mins[[#This Row],[Surgery Start Date]]=BDate),0,1),0))*1440),0)</f>
        <v>0</v>
      </c>
      <c r="CX132" s="9" cm="1">
        <f t="array" ref="CX132">IFERROR(IF(ISBLANK(INDEX(Bay_PmOpen,MATCH(1,INDEX((tbl_Case_mins[[#This Row],[Bay]]=BayNo)*(tbl_Case_mins[[#This Row],[Surgery Start Date]]=BDate),0,1),0))*1440),0,INDEX(Bay_PmOpen,MATCH(1,INDEX((tbl_Case_mins[[#This Row],[Bay]]=BayNo)*(tbl_Case_mins[[#This Row],[Surgery Start Date]]=BDate),0,1),0))*1440),0)</f>
        <v>0</v>
      </c>
      <c r="CY13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2" s="9"/>
    </row>
    <row r="133" spans="1:104" x14ac:dyDescent="0.2">
      <c r="A133">
        <v>132</v>
      </c>
      <c r="B133" t="e">
        <f>#REF!</f>
        <v>#REF!</v>
      </c>
      <c r="C133" t="e">
        <f>#REF!</f>
        <v>#REF!</v>
      </c>
      <c r="D133" t="e">
        <f>#REF!</f>
        <v>#REF!</v>
      </c>
      <c r="E133" t="e">
        <f>#REF!</f>
        <v>#REF!</v>
      </c>
      <c r="F133" t="e">
        <f>#REF!</f>
        <v>#REF!</v>
      </c>
      <c r="G133" t="e">
        <f>#REF!</f>
        <v>#REF!</v>
      </c>
      <c r="H133" t="e">
        <f>#REF!</f>
        <v>#REF!</v>
      </c>
      <c r="I133" t="e">
        <f>IF(#REF!="Case Cancelled",1,IF(#REF!="No Cases",2,0))</f>
        <v>#REF!</v>
      </c>
      <c r="J133" t="e">
        <f>#REF!</f>
        <v>#REF!</v>
      </c>
      <c r="K133" s="4" t="e">
        <f>#REF!</f>
        <v>#REF!</v>
      </c>
      <c r="L133" t="e">
        <f>"Wk "&amp;WEEKNUM(tbl_Case_mins[[#This Row],[Surgery Start Date]],21)</f>
        <v>#REF!</v>
      </c>
      <c r="M133" t="e">
        <f>TEXT(tbl_Case_mins[[#This Row],[Surgery Start Date]],"ddd")</f>
        <v>#REF!</v>
      </c>
      <c r="N133" s="9" t="e">
        <f>(#REF!-TIME(0,0,0))*1440</f>
        <v>#REF!</v>
      </c>
      <c r="O133" t="e">
        <f>IF(AND(ROUND((#REF!-TIME(0,0,0))*1440,0)&gt;0,ROUND((#REF!-TIME(0,0,0))*1440,0)&lt;tbl_Case_mins[[#This Row],[Patient Called]],tbl_Case_mins[[#This Row],[Surgery End Date]]&gt;tbl_Case_mins[[#This Row],[Surgery Start Date]]),ROUND((#REF!-TIME(0,0,0))*1440,0)+1440,ROUND((#REF!-TIME(0,0,0))*1440,0))</f>
        <v>#REF!</v>
      </c>
      <c r="P133" s="9" t="e">
        <f>IF(AND(ROUND((#REF!-TIME(0,0,0))*1440,0)&gt;0,ROUND((#REF!-TIME(0,0,0))*1440,0)&lt;tbl_Case_mins[[#This Row],[Arrival]],tbl_Case_mins[[#This Row],[Surgery End Date]]&gt;tbl_Case_mins[[#This Row],[Surgery Start Date]]),ROUND((#REF!-TIME(0,0,0))*1440,0)+1440,ROUND((#REF!-TIME(0,0,0))*1440,0))</f>
        <v>#REF!</v>
      </c>
      <c r="Q133" s="9" t="e">
        <f>IF(AND(ROUND((#REF!-TIME(0,0,0))*1440,0)&gt;0,ROUND((#REF!-TIME(0,0,0))*1440,0)&lt;tbl_Case_mins[[#This Row],[Into Th or AR]],tbl_Case_mins[[#This Row],[Surgery End Date]]&gt;tbl_Case_mins[[#This Row],[Surgery Start Date]]),ROUND((#REF!-TIME(0,0,0))*1440,0)+1440,ROUND((#REF!-TIME(0,0,0))*1440,0))</f>
        <v>#REF!</v>
      </c>
      <c r="R133" s="9" t="e">
        <f>IF(AND(ROUND((#REF!-TIME(0,0,0))*1440,0)&gt;0,ROUND((#REF!-TIME(0,0,0))*1440,0)&lt;tbl_Case_mins[[#This Row],[AnaesthStart]],tbl_Case_mins[[#This Row],[Surgery End Date]]&gt;tbl_Case_mins[[#This Row],[Surgery Start Date]]),ROUND((#REF!-TIME(0,0,0))*1440,0)+1440,ROUND((#REF!-TIME(0,0,0))*1440,0))</f>
        <v>#REF!</v>
      </c>
      <c r="S133" s="9" t="e">
        <f>IF(AND(ROUND((#REF!-TIME(0,0,0))*1440,0),ROUND((#REF!-TIME(0,0,0))*1440,0)&lt;tbl_Case_mins[[#This Row],[Surgery Start]],tbl_Case_mins[[#This Row],[Surgery End Date]]&gt;tbl_Case_mins[[#This Row],[Surgery Start Date]]),ROUND((#REF!-TIME(0,0,0))*1440,0)+1440,ROUND((#REF!-TIME(0,0,0))*1440,0))</f>
        <v>#REF!</v>
      </c>
      <c r="T133" s="9" t="e">
        <f>IF(AND(ROUND((#REF!-TIME(0,0,0))*1440,0)&gt;0,ROUND((#REF!-TIME(0,0,0))*1440,0)&lt;tbl_Case_mins[[#This Row],[Surgery Finish]],tbl_Case_mins[[#This Row],[Surgery End Date]]&gt;tbl_Case_mins[[#This Row],[Surgery Start Date]]),ROUND((#REF!-TIME(0,0,0))*1440,0)+1440,ROUND((#REF!-TIME(0,0,0))*1440,0))</f>
        <v>#REF!</v>
      </c>
      <c r="U133" s="9" t="e">
        <f>IF(AND(ROUND((#REF!-TIME(0,0,0))*1440,0)&gt;0,ROUND((#REF!-TIME(0,0,0))*1440,0)&lt;tbl_Case_mins[[#This Row],[Anaesth End]],tbl_Case_mins[[#This Row],[Surgery End Date]]&gt;tbl_Case_mins[[#This Row],[Surgery Start Date]]),ROUND((#REF!-TIME(0,0,0))*1440,0)+1440,ROUND((#REF!-TIME(0,0,0))*1440,0))</f>
        <v>#REF!</v>
      </c>
      <c r="V133" s="9" t="e">
        <f>IF(AND(ROUND((#REF!-TIME(0,0,0))*1440,0)&gt;0,ROUND((#REF!-TIME(0,0,0))*1440,0)&lt;tbl_Case_mins[[#This Row],[Into Recov]],tbl_Case_mins[[#This Row],[Surgery End Date]]&gt;tbl_Case_mins[[#This Row],[Surgery Start Date]]),ROUND((#REF!-TIME(0,0,0))*1440,0)+1440,ROUND((#REF!-TIME(0,0,0))*1440,0))</f>
        <v>#REF!</v>
      </c>
      <c r="W133" s="9" t="e">
        <f>IF(AND(ROUND((#REF!-TIME(0,0,0))*1440,0)&gt;0,ROUND((#REF!-TIME(0,0,0))*1440,0)&lt;tbl_Case_mins[[#This Row],[Ward Called]],tbl_Case_mins[[#This Row],[Surgery End Date]]&gt;tbl_Case_mins[[#This Row],[Surgery Start Date]]),ROUND((#REF!-TIME(0,0,0))*1440,0)+1440,ROUND((#REF!-TIME(0,0,0))*1440,0))</f>
        <v>#REF!</v>
      </c>
      <c r="X133" s="4" t="e">
        <f>IF(ISBLANK(#REF!),tbl_Case_mins[[#This Row],[Surgery Start Date]],#REF!)</f>
        <v>#REF!</v>
      </c>
      <c r="Y133">
        <f>IFERROR(IF(VLOOKUP(tbl_Case_mins[[#This Row],[Theatre]],'Mng Theatres'!$C$7:$G$12,3,FALSE)="Yes","Yes","No"),0)</f>
        <v>0</v>
      </c>
      <c r="Z133" s="9" t="e" cm="1">
        <f t="array" ref="Z13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3" s="9" t="e" cm="1">
        <f t="array" ref="AA13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3" s="9" t="e">
        <f>IF(tbl_Case_mins[[#This Row],[Case Type]]="Unsch",1,0)</f>
        <v>#REF!</v>
      </c>
      <c r="AD133" s="9" t="e">
        <f>IF(tbl_Case_mins[[#This Row],[Case Type]]="Sch",1,0)</f>
        <v>#REF!</v>
      </c>
      <c r="AE13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3" s="9">
        <f>IFERROR(IF(ISBLANK(INDEX(Am_Close,MATCH(1,INDEX((tbl_Case_mins[[#This Row],[Theatre]]=Theatre_No)*(tbl_Case_mins[[#This Row],[Surgery Start Date]]=Date),0,1),0))*1440),0,INDEX(Am_Close,MATCH(1,INDEX((tbl_Case_mins[[#This Row],[Theatre]]=Theatre_No)*(tbl_Case_mins[[#This Row],[Surgery Start Date]]=Date),0,1),0))*1440),0)</f>
        <v>0</v>
      </c>
      <c r="AG133" s="9">
        <f>IFERROR(IF(ISBLANK(INDEX(PM_Open,MATCH(1,INDEX((tbl_Case_mins[[#This Row],[Theatre]]=Theatre_No)*(tbl_Case_mins[[#This Row],[Surgery Start Date]]=Date),0,1),0))*1440),0,INDEX(PM_Open,MATCH(1,INDEX((tbl_Case_mins[[#This Row],[Theatre]]=Theatre_No)*(tbl_Case_mins[[#This Row],[Surgery Start Date]]=Date),0,1),0))*1440),0)</f>
        <v>0</v>
      </c>
      <c r="AH13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3" s="9" t="e">
        <f>IF(tbl_Case_mins[[#This Row],[ThOpenAm]]=0,tbl_Case_mins[[#This Row],[ThOpenPM]],tbl_Case_mins[[#This Row],[ThOpenAm]])</f>
        <v>#REF!</v>
      </c>
      <c r="AJ133" s="9" t="e">
        <f>IF(tbl_Case_mins[[#This Row],[ThCloseAm]]&gt;0,IF(tbl_Case_mins[[#This Row],[ThOpenPM]]&gt;0,tbl_Case_mins[[#This Row],[ThClosePm]],tbl_Case_mins[[#This Row],[ThCloseAm]]),tbl_Case_mins[[#This Row],[ThClosePm]])</f>
        <v>#REF!</v>
      </c>
      <c r="AK133" s="9" t="e">
        <f>IF(tbl_Case_mins[[#This Row],[TOT]]&gt;0,1,0)</f>
        <v>#REF!</v>
      </c>
      <c r="AL13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3" s="9" t="e">
        <f>IF(AND(tbl_Case_mins[[#This Row],[Surgery Status]]&lt;&gt;2,tbl_Case_mins[[#This Row],[InCoreCase]]=0,tbl_Case_mins[[#This Row],[CancelledCase]]=0),1,0)</f>
        <v>#REF!</v>
      </c>
      <c r="AN133" s="9" t="e">
        <f>IF(tbl_Case_mins[[#This Row],[Surgery Status]]=1,1,0)</f>
        <v>#REF!</v>
      </c>
      <c r="AO13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3" s="9" t="e">
        <f>IF(AND(tbl_Case_mins[[#This Row],[NonCoreCase]]=1,tbl_Case_mins[[#This Row],[NoInCoreTime]]=0),1,0)</f>
        <v>#REF!</v>
      </c>
      <c r="AQ133" s="9" t="e">
        <f>IF(tbl_Case_mins[[#This Row],[Rank_AnaEnd]]&lt;tbl_Case_mins[[#This Row],[Rank_AnaSt]],1,0)</f>
        <v>#REF!</v>
      </c>
      <c r="AR133" s="9" t="e">
        <f>IF(AND(tbl_Case_mins[[#This Row],[InCoreCase]]=1,tbl_Case_mins[[#This Row],[Sch]]=1),1,0)</f>
        <v>#REF!</v>
      </c>
      <c r="AS133" s="9" t="e">
        <f>IF(AND(tbl_Case_mins[[#This Row],[InCoreCase]]=1,tbl_Case_mins[[#This Row],[Unsch]]=1),1,0)</f>
        <v>#REF!</v>
      </c>
      <c r="AT13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3" s="9" t="e">
        <f>IF(tbl_Case_mins[[#This Row],[Surgery Status]]=0,(tbl_Case_mins[[#This Row],[Anaesth End]]-tbl_Case_mins[[#This Row],[AnaesthStart]]),0)</f>
        <v>#REF!</v>
      </c>
      <c r="AX133" s="9" t="e">
        <f>IF(tbl_Case_mins[[#This Row],[Surgery Status]]=0,(tbl_Case_mins[[#This Row],[Surgery Finish]]-tbl_Case_mins[[#This Row],[Surgery Start]]),0)</f>
        <v>#REF!</v>
      </c>
      <c r="AY133" s="9" t="e">
        <f>tbl_Case_mins[[#This Row],[Surgery Start]]-tbl_Case_mins[[#This Row],[AnaesthStart]]</f>
        <v>#REF!</v>
      </c>
      <c r="AZ133" s="9" t="e">
        <f>tbl_Case_mins[[#This Row],[Anaesth End]]-tbl_Case_mins[[#This Row],[Surgery Finish]]</f>
        <v>#REF!</v>
      </c>
      <c r="BA13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3" s="16" cm="1">
        <f t="array" ref="BC13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3" s="16" t="e">
        <f>IF(AND(tbl_Case_mins[[#This Row],[FirstAMCase]]=1,tbl_Case_mins[[#This Row],[CancelledCase]]=0,OR(tbl_Case_mins[[#This Row],[EarlyStartAM]]&gt;0,tbl_Case_mins[[#This Row],[AnaesthStart]]=tbl_Case_mins[[#This Row],[ThOpenAm]])),1,0)</f>
        <v>#REF!</v>
      </c>
      <c r="BE133" s="16" t="e">
        <f>IF(AND(tbl_Case_mins[[#This Row],[Rank_AnaSt]]=tbl_Case_mins[[#This Row],[Min_RankAnaSt]],tbl_Case_mins[[#This Row],[Anaesth End]]&gt;=tbl_Case_mins[[#This Row],[ThOpenAm]],tbl_Case_mins[[#This Row],[PmCase]]=0),1,0)</f>
        <v>#REF!</v>
      </c>
      <c r="BF13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3" s="9" t="e" cm="1">
        <f t="array" ref="BH13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3" s="9" t="e">
        <f>IF(AND(tbl_Case_mins[[#This Row],[ThOpenPM]]&gt;0,tbl_Case_mins[[#This Row],[AnaesthStart]]&gt;tbl_Case_mins[[#This Row],[ThOpenPM]],tbl_Case_mins[[#This Row],[First PM Case]]=1),tbl_Case_mins[[#This Row],[AnaesthStart]]-tbl_Case_mins[[#This Row],[ThOpenPM]],0)</f>
        <v>#REF!</v>
      </c>
      <c r="BL13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3" s="9" t="e" cm="1">
        <f t="array" ref="BN13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3" s="9" t="e">
        <f>IF(AND(tbl_Case_mins[[#This Row],[ThClosePm]]&gt;0,tbl_Case_mins[[#This Row],[Anaesth End]]&gt;tbl_Case_mins[[#This Row],[ThClosePm]],tbl_Case_mins[[#This Row],[AnaesthStart]]&gt;tbl_Case_mins[[#This Row],[ThClosePm]]),tbl_Case_mins[[#This Row],[Into Recov]]-tbl_Case_mins[[#This Row],[AnaesthStart]],0)</f>
        <v>#REF!</v>
      </c>
      <c r="BP133" s="9" t="e">
        <f>IF(AND(tbl_Case_mins[[#This Row],[AnaesthStart]]&lt;tbl_Case_mins[[#This Row],[ThClosePm]],tbl_Case_mins[[#This Row],[Anaesth End]]&gt;tbl_Case_mins[[#This Row],[ThClosePm]]),tbl_Case_mins[[#This Row],[Anaesth End]]-tbl_Case_mins[[#This Row],[ThClosePm]],0)</f>
        <v>#REF!</v>
      </c>
      <c r="BQ133" s="9" t="e" cm="1">
        <f t="array" ref="BQ13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3" s="9" t="e" cm="1">
        <f t="array" ref="BR133">IF(tbl_Case_mins[[#This Row],[Rank_Adjust]]=SUMPRODUCT(-(tbl_Case_mins[Surgery Start Date]=tbl_Case_mins[[#This Row],[Surgery Start Date]]),-(tbl_Case_mins[Theatre]=tbl_Case_mins[[#This Row],[Theatre]])),INDEX(Poss_Time,MATCH(TEXT(tbl_Case_mins[[#This Row],[Surgery Start Date]],"ddd"),Day,0)),0)</f>
        <v>#REF!</v>
      </c>
      <c r="BS133" s="9" t="e">
        <f>tbl_Case_mins[[#This Row],[Core_Time]]*Util_Goal</f>
        <v>#REF!</v>
      </c>
      <c r="BT133" s="9" t="e" cm="1">
        <f t="array" ref="BT1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3" s="9" t="e" cm="1">
        <f t="array" ref="BU1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3" s="9" t="e">
        <f>IF(tbl_Case_mins[[#This Row],[Surgery End Date]]&gt;tbl_Case_mins[[#This Row],[Surgery Start Date]],tbl_Case_mins[[#This Row],[Anaesth End]]-1440,0)</f>
        <v>#REF!</v>
      </c>
      <c r="BY133" s="9" t="e">
        <f>tbl_Case_mins[[#This Row],[Total_NonCore]]-tbl_Case_mins[[#This Row],[NextDay_NonCore]]</f>
        <v>#REF!</v>
      </c>
      <c r="BZ133" s="10" t="e">
        <f>tbl_Case_mins[[#This Row],[InCoreUse]]/60</f>
        <v>#REF!</v>
      </c>
      <c r="CA133" s="10" t="e">
        <f>tbl_Case_mins[[#This Row],[Total_NonCore]]/60</f>
        <v>#REF!</v>
      </c>
      <c r="CB133" t="e" cm="1">
        <f t="array" ref="CB1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3" s="9" t="e" cm="1">
        <f t="array" ref="CC13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3" s="9" t="e" cm="1">
        <f t="array" ref="CD1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3" s="9" t="e" cm="1">
        <f t="array" ref="CE13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3" s="9" cm="1">
        <f t="array" ref="CF133">IFERROR(_xlfn.AGGREGATE(14,6,(tbl_Case_mins[Rank_AnaEnd])/((tbl_Case_mins[Surgery Start Date]=tbl_Case_mins[[#This Row],[Surgery Start Date]])*(tbl_Case_mins[Theatre]=tbl_Case_mins[[#This Row],[Theatre]])*(tbl_Case_mins[NoInCoreTime]=0)),1),-1)</f>
        <v>-1</v>
      </c>
      <c r="CG133" s="9" cm="1">
        <f t="array" ref="CG133">IFERROR(_xlfn.AGGREGATE(15,6,(tbl_Case_mins[Rank_AnaSt])/((tbl_Case_mins[Surgery Start Date]=tbl_Case_mins[[#This Row],[Surgery Start Date]])*(tbl_Case_mins[Theatre]=tbl_Case_mins[[#This Row],[Theatre]])*(tbl_Case_mins[NoInCoreTime]=0)),1),-1)</f>
        <v>-1</v>
      </c>
      <c r="CH13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3" t="e" cm="1">
        <f t="array" ref="CJ13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3" s="9" cm="1">
        <f t="array" ref="CO1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3" s="9" cm="1">
        <f t="array" ref="CP1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3" s="9" cm="1">
        <f t="array" ref="CQ133">IFERROR(IF(AND(tbl_Case_mins[[#This Row],[FirstAMCase]]=0,tbl_Case_mins[[#This Row],[Rank]]=_xlfn.AGGREGATE(14,6,(tbl_Case_mins[Rank])/((tbl_Case_mins[Surgery Start Date]=tbl_Case_mins[[#This Row],[Surgery Start Date]])*(tbl_Case_mins[Theatre]=tbl_Case_mins[[#This Row],[Theatre]])*(tbl_Case_mins[AmCase]=1)),1)),1,0),0)</f>
        <v>0</v>
      </c>
      <c r="CR133" s="9" cm="1">
        <f t="array" ref="CR13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3" s="9" t="e" cm="1">
        <f t="array" ref="CS13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3" s="9" cm="1">
        <f t="array" ref="CT133">IFERROR(IF(tbl_Case_mins[[#This Row],[Rank]]=_xlfn.AGGREGATE(15,6,(tbl_Case_mins[Rank])/((tbl_Case_mins[Surgery Start Date]=tbl_Case_mins[[#This Row],[Surgery Start Date]])*(tbl_Case_mins[Theatre]=tbl_Case_mins[[#This Row],[Theatre]])*(tbl_Case_mins[PmCase]=1)),1),1,0),0)</f>
        <v>0</v>
      </c>
      <c r="CU133">
        <f>IFERROR(#REF!,0)</f>
        <v>0</v>
      </c>
      <c r="CV133" s="9" t="e" cm="1">
        <f t="array" ref="CV13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3" s="9">
        <f>IFERROR(IF(ISBLANK(INDEX(Bay_AmClose,MATCH(1,INDEX((tbl_Case_mins[[#This Row],[Bay]]=BayNo)*(tbl_Case_mins[[#This Row],[Surgery Start Date]]=BDate),0,1),0))*1440),0,INDEX(Bay_AmClose,MATCH(1,INDEX((tbl_Case_mins[[#This Row],[Bay]]=BayNo)*(tbl_Case_mins[[#This Row],[Surgery Start Date]]=BDate),0,1),0))*1440),0)</f>
        <v>0</v>
      </c>
      <c r="CX133" s="9" cm="1">
        <f t="array" ref="CX133">IFERROR(IF(ISBLANK(INDEX(Bay_PmOpen,MATCH(1,INDEX((tbl_Case_mins[[#This Row],[Bay]]=BayNo)*(tbl_Case_mins[[#This Row],[Surgery Start Date]]=BDate),0,1),0))*1440),0,INDEX(Bay_PmOpen,MATCH(1,INDEX((tbl_Case_mins[[#This Row],[Bay]]=BayNo)*(tbl_Case_mins[[#This Row],[Surgery Start Date]]=BDate),0,1),0))*1440),0)</f>
        <v>0</v>
      </c>
      <c r="CY13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3" s="9"/>
    </row>
    <row r="134" spans="1:104" x14ac:dyDescent="0.2">
      <c r="A134">
        <v>133</v>
      </c>
      <c r="B134" t="e">
        <f>#REF!</f>
        <v>#REF!</v>
      </c>
      <c r="C134" t="e">
        <f>#REF!</f>
        <v>#REF!</v>
      </c>
      <c r="D134" t="e">
        <f>#REF!</f>
        <v>#REF!</v>
      </c>
      <c r="E134" t="e">
        <f>#REF!</f>
        <v>#REF!</v>
      </c>
      <c r="F134" t="e">
        <f>#REF!</f>
        <v>#REF!</v>
      </c>
      <c r="G134" t="e">
        <f>#REF!</f>
        <v>#REF!</v>
      </c>
      <c r="H134" t="e">
        <f>#REF!</f>
        <v>#REF!</v>
      </c>
      <c r="I134" t="e">
        <f>IF(#REF!="Case Cancelled",1,IF(#REF!="No Cases",2,0))</f>
        <v>#REF!</v>
      </c>
      <c r="J134" t="e">
        <f>#REF!</f>
        <v>#REF!</v>
      </c>
      <c r="K134" s="4" t="e">
        <f>#REF!</f>
        <v>#REF!</v>
      </c>
      <c r="L134" t="e">
        <f>"Wk "&amp;WEEKNUM(tbl_Case_mins[[#This Row],[Surgery Start Date]],21)</f>
        <v>#REF!</v>
      </c>
      <c r="M134" t="e">
        <f>TEXT(tbl_Case_mins[[#This Row],[Surgery Start Date]],"ddd")</f>
        <v>#REF!</v>
      </c>
      <c r="N134" s="9" t="e">
        <f>(#REF!-TIME(0,0,0))*1440</f>
        <v>#REF!</v>
      </c>
      <c r="O134" t="e">
        <f>IF(AND(ROUND((#REF!-TIME(0,0,0))*1440,0)&gt;0,ROUND((#REF!-TIME(0,0,0))*1440,0)&lt;tbl_Case_mins[[#This Row],[Patient Called]],tbl_Case_mins[[#This Row],[Surgery End Date]]&gt;tbl_Case_mins[[#This Row],[Surgery Start Date]]),ROUND((#REF!-TIME(0,0,0))*1440,0)+1440,ROUND((#REF!-TIME(0,0,0))*1440,0))</f>
        <v>#REF!</v>
      </c>
      <c r="P134" s="9" t="e">
        <f>IF(AND(ROUND((#REF!-TIME(0,0,0))*1440,0)&gt;0,ROUND((#REF!-TIME(0,0,0))*1440,0)&lt;tbl_Case_mins[[#This Row],[Arrival]],tbl_Case_mins[[#This Row],[Surgery End Date]]&gt;tbl_Case_mins[[#This Row],[Surgery Start Date]]),ROUND((#REF!-TIME(0,0,0))*1440,0)+1440,ROUND((#REF!-TIME(0,0,0))*1440,0))</f>
        <v>#REF!</v>
      </c>
      <c r="Q134" s="9" t="e">
        <f>IF(AND(ROUND((#REF!-TIME(0,0,0))*1440,0)&gt;0,ROUND((#REF!-TIME(0,0,0))*1440,0)&lt;tbl_Case_mins[[#This Row],[Into Th or AR]],tbl_Case_mins[[#This Row],[Surgery End Date]]&gt;tbl_Case_mins[[#This Row],[Surgery Start Date]]),ROUND((#REF!-TIME(0,0,0))*1440,0)+1440,ROUND((#REF!-TIME(0,0,0))*1440,0))</f>
        <v>#REF!</v>
      </c>
      <c r="R134" s="9" t="e">
        <f>IF(AND(ROUND((#REF!-TIME(0,0,0))*1440,0)&gt;0,ROUND((#REF!-TIME(0,0,0))*1440,0)&lt;tbl_Case_mins[[#This Row],[AnaesthStart]],tbl_Case_mins[[#This Row],[Surgery End Date]]&gt;tbl_Case_mins[[#This Row],[Surgery Start Date]]),ROUND((#REF!-TIME(0,0,0))*1440,0)+1440,ROUND((#REF!-TIME(0,0,0))*1440,0))</f>
        <v>#REF!</v>
      </c>
      <c r="S134" s="9" t="e">
        <f>IF(AND(ROUND((#REF!-TIME(0,0,0))*1440,0),ROUND((#REF!-TIME(0,0,0))*1440,0)&lt;tbl_Case_mins[[#This Row],[Surgery Start]],tbl_Case_mins[[#This Row],[Surgery End Date]]&gt;tbl_Case_mins[[#This Row],[Surgery Start Date]]),ROUND((#REF!-TIME(0,0,0))*1440,0)+1440,ROUND((#REF!-TIME(0,0,0))*1440,0))</f>
        <v>#REF!</v>
      </c>
      <c r="T134" s="9" t="e">
        <f>IF(AND(ROUND((#REF!-TIME(0,0,0))*1440,0)&gt;0,ROUND((#REF!-TIME(0,0,0))*1440,0)&lt;tbl_Case_mins[[#This Row],[Surgery Finish]],tbl_Case_mins[[#This Row],[Surgery End Date]]&gt;tbl_Case_mins[[#This Row],[Surgery Start Date]]),ROUND((#REF!-TIME(0,0,0))*1440,0)+1440,ROUND((#REF!-TIME(0,0,0))*1440,0))</f>
        <v>#REF!</v>
      </c>
      <c r="U134" s="9" t="e">
        <f>IF(AND(ROUND((#REF!-TIME(0,0,0))*1440,0)&gt;0,ROUND((#REF!-TIME(0,0,0))*1440,0)&lt;tbl_Case_mins[[#This Row],[Anaesth End]],tbl_Case_mins[[#This Row],[Surgery End Date]]&gt;tbl_Case_mins[[#This Row],[Surgery Start Date]]),ROUND((#REF!-TIME(0,0,0))*1440,0)+1440,ROUND((#REF!-TIME(0,0,0))*1440,0))</f>
        <v>#REF!</v>
      </c>
      <c r="V134" s="9" t="e">
        <f>IF(AND(ROUND((#REF!-TIME(0,0,0))*1440,0)&gt;0,ROUND((#REF!-TIME(0,0,0))*1440,0)&lt;tbl_Case_mins[[#This Row],[Into Recov]],tbl_Case_mins[[#This Row],[Surgery End Date]]&gt;tbl_Case_mins[[#This Row],[Surgery Start Date]]),ROUND((#REF!-TIME(0,0,0))*1440,0)+1440,ROUND((#REF!-TIME(0,0,0))*1440,0))</f>
        <v>#REF!</v>
      </c>
      <c r="W134" s="9" t="e">
        <f>IF(AND(ROUND((#REF!-TIME(0,0,0))*1440,0)&gt;0,ROUND((#REF!-TIME(0,0,0))*1440,0)&lt;tbl_Case_mins[[#This Row],[Ward Called]],tbl_Case_mins[[#This Row],[Surgery End Date]]&gt;tbl_Case_mins[[#This Row],[Surgery Start Date]]),ROUND((#REF!-TIME(0,0,0))*1440,0)+1440,ROUND((#REF!-TIME(0,0,0))*1440,0))</f>
        <v>#REF!</v>
      </c>
      <c r="X134" s="4" t="e">
        <f>IF(ISBLANK(#REF!),tbl_Case_mins[[#This Row],[Surgery Start Date]],#REF!)</f>
        <v>#REF!</v>
      </c>
      <c r="Y134">
        <f>IFERROR(IF(VLOOKUP(tbl_Case_mins[[#This Row],[Theatre]],'Mng Theatres'!$C$7:$G$12,3,FALSE)="Yes","Yes","No"),0)</f>
        <v>0</v>
      </c>
      <c r="Z134" s="9" t="e" cm="1">
        <f t="array" ref="Z13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4" s="9" t="e" cm="1">
        <f t="array" ref="AA13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4" s="9" t="e">
        <f>IF(tbl_Case_mins[[#This Row],[Case Type]]="Unsch",1,0)</f>
        <v>#REF!</v>
      </c>
      <c r="AD134" s="9" t="e">
        <f>IF(tbl_Case_mins[[#This Row],[Case Type]]="Sch",1,0)</f>
        <v>#REF!</v>
      </c>
      <c r="AE13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4" s="9">
        <f>IFERROR(IF(ISBLANK(INDEX(Am_Close,MATCH(1,INDEX((tbl_Case_mins[[#This Row],[Theatre]]=Theatre_No)*(tbl_Case_mins[[#This Row],[Surgery Start Date]]=Date),0,1),0))*1440),0,INDEX(Am_Close,MATCH(1,INDEX((tbl_Case_mins[[#This Row],[Theatre]]=Theatre_No)*(tbl_Case_mins[[#This Row],[Surgery Start Date]]=Date),0,1),0))*1440),0)</f>
        <v>0</v>
      </c>
      <c r="AG134" s="9">
        <f>IFERROR(IF(ISBLANK(INDEX(PM_Open,MATCH(1,INDEX((tbl_Case_mins[[#This Row],[Theatre]]=Theatre_No)*(tbl_Case_mins[[#This Row],[Surgery Start Date]]=Date),0,1),0))*1440),0,INDEX(PM_Open,MATCH(1,INDEX((tbl_Case_mins[[#This Row],[Theatre]]=Theatre_No)*(tbl_Case_mins[[#This Row],[Surgery Start Date]]=Date),0,1),0))*1440),0)</f>
        <v>0</v>
      </c>
      <c r="AH13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4" s="9" t="e">
        <f>IF(tbl_Case_mins[[#This Row],[ThOpenAm]]=0,tbl_Case_mins[[#This Row],[ThOpenPM]],tbl_Case_mins[[#This Row],[ThOpenAm]])</f>
        <v>#REF!</v>
      </c>
      <c r="AJ134" s="9" t="e">
        <f>IF(tbl_Case_mins[[#This Row],[ThCloseAm]]&gt;0,IF(tbl_Case_mins[[#This Row],[ThOpenPM]]&gt;0,tbl_Case_mins[[#This Row],[ThClosePm]],tbl_Case_mins[[#This Row],[ThCloseAm]]),tbl_Case_mins[[#This Row],[ThClosePm]])</f>
        <v>#REF!</v>
      </c>
      <c r="AK134" s="9" t="e">
        <f>IF(tbl_Case_mins[[#This Row],[TOT]]&gt;0,1,0)</f>
        <v>#REF!</v>
      </c>
      <c r="AL13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4" s="9" t="e">
        <f>IF(AND(tbl_Case_mins[[#This Row],[Surgery Status]]&lt;&gt;2,tbl_Case_mins[[#This Row],[InCoreCase]]=0,tbl_Case_mins[[#This Row],[CancelledCase]]=0),1,0)</f>
        <v>#REF!</v>
      </c>
      <c r="AN134" s="9" t="e">
        <f>IF(tbl_Case_mins[[#This Row],[Surgery Status]]=1,1,0)</f>
        <v>#REF!</v>
      </c>
      <c r="AO13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4" s="9" t="e">
        <f>IF(AND(tbl_Case_mins[[#This Row],[NonCoreCase]]=1,tbl_Case_mins[[#This Row],[NoInCoreTime]]=0),1,0)</f>
        <v>#REF!</v>
      </c>
      <c r="AQ134" s="9" t="e">
        <f>IF(tbl_Case_mins[[#This Row],[Rank_AnaEnd]]&lt;tbl_Case_mins[[#This Row],[Rank_AnaSt]],1,0)</f>
        <v>#REF!</v>
      </c>
      <c r="AR134" s="9" t="e">
        <f>IF(AND(tbl_Case_mins[[#This Row],[InCoreCase]]=1,tbl_Case_mins[[#This Row],[Sch]]=1),1,0)</f>
        <v>#REF!</v>
      </c>
      <c r="AS134" s="9" t="e">
        <f>IF(AND(tbl_Case_mins[[#This Row],[InCoreCase]]=1,tbl_Case_mins[[#This Row],[Unsch]]=1),1,0)</f>
        <v>#REF!</v>
      </c>
      <c r="AT13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4" s="9" t="e">
        <f>IF(tbl_Case_mins[[#This Row],[Surgery Status]]=0,(tbl_Case_mins[[#This Row],[Anaesth End]]-tbl_Case_mins[[#This Row],[AnaesthStart]]),0)</f>
        <v>#REF!</v>
      </c>
      <c r="AX134" s="9" t="e">
        <f>IF(tbl_Case_mins[[#This Row],[Surgery Status]]=0,(tbl_Case_mins[[#This Row],[Surgery Finish]]-tbl_Case_mins[[#This Row],[Surgery Start]]),0)</f>
        <v>#REF!</v>
      </c>
      <c r="AY134" s="9" t="e">
        <f>tbl_Case_mins[[#This Row],[Surgery Start]]-tbl_Case_mins[[#This Row],[AnaesthStart]]</f>
        <v>#REF!</v>
      </c>
      <c r="AZ134" s="9" t="e">
        <f>tbl_Case_mins[[#This Row],[Anaesth End]]-tbl_Case_mins[[#This Row],[Surgery Finish]]</f>
        <v>#REF!</v>
      </c>
      <c r="BA13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4" s="16" cm="1">
        <f t="array" ref="BC13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4" s="16" t="e">
        <f>IF(AND(tbl_Case_mins[[#This Row],[FirstAMCase]]=1,tbl_Case_mins[[#This Row],[CancelledCase]]=0,OR(tbl_Case_mins[[#This Row],[EarlyStartAM]]&gt;0,tbl_Case_mins[[#This Row],[AnaesthStart]]=tbl_Case_mins[[#This Row],[ThOpenAm]])),1,0)</f>
        <v>#REF!</v>
      </c>
      <c r="BE134" s="16" t="e">
        <f>IF(AND(tbl_Case_mins[[#This Row],[Rank_AnaSt]]=tbl_Case_mins[[#This Row],[Min_RankAnaSt]],tbl_Case_mins[[#This Row],[Anaesth End]]&gt;=tbl_Case_mins[[#This Row],[ThOpenAm]],tbl_Case_mins[[#This Row],[PmCase]]=0),1,0)</f>
        <v>#REF!</v>
      </c>
      <c r="BF13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4" s="9" t="e" cm="1">
        <f t="array" ref="BH13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4" s="9" t="e">
        <f>IF(AND(tbl_Case_mins[[#This Row],[ThOpenPM]]&gt;0,tbl_Case_mins[[#This Row],[AnaesthStart]]&gt;tbl_Case_mins[[#This Row],[ThOpenPM]],tbl_Case_mins[[#This Row],[First PM Case]]=1),tbl_Case_mins[[#This Row],[AnaesthStart]]-tbl_Case_mins[[#This Row],[ThOpenPM]],0)</f>
        <v>#REF!</v>
      </c>
      <c r="BL13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4" s="9" t="e" cm="1">
        <f t="array" ref="BN13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4" s="9" t="e">
        <f>IF(AND(tbl_Case_mins[[#This Row],[ThClosePm]]&gt;0,tbl_Case_mins[[#This Row],[Anaesth End]]&gt;tbl_Case_mins[[#This Row],[ThClosePm]],tbl_Case_mins[[#This Row],[AnaesthStart]]&gt;tbl_Case_mins[[#This Row],[ThClosePm]]),tbl_Case_mins[[#This Row],[Into Recov]]-tbl_Case_mins[[#This Row],[AnaesthStart]],0)</f>
        <v>#REF!</v>
      </c>
      <c r="BP134" s="9" t="e">
        <f>IF(AND(tbl_Case_mins[[#This Row],[AnaesthStart]]&lt;tbl_Case_mins[[#This Row],[ThClosePm]],tbl_Case_mins[[#This Row],[Anaesth End]]&gt;tbl_Case_mins[[#This Row],[ThClosePm]]),tbl_Case_mins[[#This Row],[Anaesth End]]-tbl_Case_mins[[#This Row],[ThClosePm]],0)</f>
        <v>#REF!</v>
      </c>
      <c r="BQ134" s="9" t="e" cm="1">
        <f t="array" ref="BQ13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4" s="9" t="e" cm="1">
        <f t="array" ref="BR134">IF(tbl_Case_mins[[#This Row],[Rank_Adjust]]=SUMPRODUCT(-(tbl_Case_mins[Surgery Start Date]=tbl_Case_mins[[#This Row],[Surgery Start Date]]),-(tbl_Case_mins[Theatre]=tbl_Case_mins[[#This Row],[Theatre]])),INDEX(Poss_Time,MATCH(TEXT(tbl_Case_mins[[#This Row],[Surgery Start Date]],"ddd"),Day,0)),0)</f>
        <v>#REF!</v>
      </c>
      <c r="BS134" s="9" t="e">
        <f>tbl_Case_mins[[#This Row],[Core_Time]]*Util_Goal</f>
        <v>#REF!</v>
      </c>
      <c r="BT134" s="9" t="e" cm="1">
        <f t="array" ref="BT1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4" s="9" t="e" cm="1">
        <f t="array" ref="BU1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4" s="9" t="e">
        <f>IF(tbl_Case_mins[[#This Row],[Surgery End Date]]&gt;tbl_Case_mins[[#This Row],[Surgery Start Date]],tbl_Case_mins[[#This Row],[Anaesth End]]-1440,0)</f>
        <v>#REF!</v>
      </c>
      <c r="BY134" s="9" t="e">
        <f>tbl_Case_mins[[#This Row],[Total_NonCore]]-tbl_Case_mins[[#This Row],[NextDay_NonCore]]</f>
        <v>#REF!</v>
      </c>
      <c r="BZ134" s="10" t="e">
        <f>tbl_Case_mins[[#This Row],[InCoreUse]]/60</f>
        <v>#REF!</v>
      </c>
      <c r="CA134" s="10" t="e">
        <f>tbl_Case_mins[[#This Row],[Total_NonCore]]/60</f>
        <v>#REF!</v>
      </c>
      <c r="CB134" t="e" cm="1">
        <f t="array" ref="CB1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4" s="9" t="e" cm="1">
        <f t="array" ref="CC13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4" s="9" t="e" cm="1">
        <f t="array" ref="CD1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4" s="9" t="e" cm="1">
        <f t="array" ref="CE13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4" s="9" cm="1">
        <f t="array" ref="CF134">IFERROR(_xlfn.AGGREGATE(14,6,(tbl_Case_mins[Rank_AnaEnd])/((tbl_Case_mins[Surgery Start Date]=tbl_Case_mins[[#This Row],[Surgery Start Date]])*(tbl_Case_mins[Theatre]=tbl_Case_mins[[#This Row],[Theatre]])*(tbl_Case_mins[NoInCoreTime]=0)),1),-1)</f>
        <v>-1</v>
      </c>
      <c r="CG134" s="9" cm="1">
        <f t="array" ref="CG134">IFERROR(_xlfn.AGGREGATE(15,6,(tbl_Case_mins[Rank_AnaSt])/((tbl_Case_mins[Surgery Start Date]=tbl_Case_mins[[#This Row],[Surgery Start Date]])*(tbl_Case_mins[Theatre]=tbl_Case_mins[[#This Row],[Theatre]])*(tbl_Case_mins[NoInCoreTime]=0)),1),-1)</f>
        <v>-1</v>
      </c>
      <c r="CH13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4" t="e" cm="1">
        <f t="array" ref="CJ13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4" s="9" cm="1">
        <f t="array" ref="CO1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4" s="9" cm="1">
        <f t="array" ref="CP1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4" s="9" cm="1">
        <f t="array" ref="CQ134">IFERROR(IF(AND(tbl_Case_mins[[#This Row],[FirstAMCase]]=0,tbl_Case_mins[[#This Row],[Rank]]=_xlfn.AGGREGATE(14,6,(tbl_Case_mins[Rank])/((tbl_Case_mins[Surgery Start Date]=tbl_Case_mins[[#This Row],[Surgery Start Date]])*(tbl_Case_mins[Theatre]=tbl_Case_mins[[#This Row],[Theatre]])*(tbl_Case_mins[AmCase]=1)),1)),1,0),0)</f>
        <v>0</v>
      </c>
      <c r="CR134" s="9" cm="1">
        <f t="array" ref="CR13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4" s="9" t="e" cm="1">
        <f t="array" ref="CS13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4" s="9" cm="1">
        <f t="array" ref="CT134">IFERROR(IF(tbl_Case_mins[[#This Row],[Rank]]=_xlfn.AGGREGATE(15,6,(tbl_Case_mins[Rank])/((tbl_Case_mins[Surgery Start Date]=tbl_Case_mins[[#This Row],[Surgery Start Date]])*(tbl_Case_mins[Theatre]=tbl_Case_mins[[#This Row],[Theatre]])*(tbl_Case_mins[PmCase]=1)),1),1,0),0)</f>
        <v>0</v>
      </c>
      <c r="CU134">
        <f>IFERROR(#REF!,0)</f>
        <v>0</v>
      </c>
      <c r="CV134" s="9" t="e" cm="1">
        <f t="array" ref="CV13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4" s="9">
        <f>IFERROR(IF(ISBLANK(INDEX(Bay_AmClose,MATCH(1,INDEX((tbl_Case_mins[[#This Row],[Bay]]=BayNo)*(tbl_Case_mins[[#This Row],[Surgery Start Date]]=BDate),0,1),0))*1440),0,INDEX(Bay_AmClose,MATCH(1,INDEX((tbl_Case_mins[[#This Row],[Bay]]=BayNo)*(tbl_Case_mins[[#This Row],[Surgery Start Date]]=BDate),0,1),0))*1440),0)</f>
        <v>0</v>
      </c>
      <c r="CX134" s="9" cm="1">
        <f t="array" ref="CX134">IFERROR(IF(ISBLANK(INDEX(Bay_PmOpen,MATCH(1,INDEX((tbl_Case_mins[[#This Row],[Bay]]=BayNo)*(tbl_Case_mins[[#This Row],[Surgery Start Date]]=BDate),0,1),0))*1440),0,INDEX(Bay_PmOpen,MATCH(1,INDEX((tbl_Case_mins[[#This Row],[Bay]]=BayNo)*(tbl_Case_mins[[#This Row],[Surgery Start Date]]=BDate),0,1),0))*1440),0)</f>
        <v>0</v>
      </c>
      <c r="CY13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4" s="9"/>
    </row>
    <row r="135" spans="1:104" x14ac:dyDescent="0.2">
      <c r="A135">
        <v>134</v>
      </c>
      <c r="B135" t="e">
        <f>#REF!</f>
        <v>#REF!</v>
      </c>
      <c r="C135" t="e">
        <f>#REF!</f>
        <v>#REF!</v>
      </c>
      <c r="D135" t="e">
        <f>#REF!</f>
        <v>#REF!</v>
      </c>
      <c r="E135" t="e">
        <f>#REF!</f>
        <v>#REF!</v>
      </c>
      <c r="F135" t="e">
        <f>#REF!</f>
        <v>#REF!</v>
      </c>
      <c r="G135" t="e">
        <f>#REF!</f>
        <v>#REF!</v>
      </c>
      <c r="H135" t="e">
        <f>#REF!</f>
        <v>#REF!</v>
      </c>
      <c r="I135" t="e">
        <f>IF(#REF!="Case Cancelled",1,IF(#REF!="No Cases",2,0))</f>
        <v>#REF!</v>
      </c>
      <c r="J135" t="e">
        <f>#REF!</f>
        <v>#REF!</v>
      </c>
      <c r="K135" s="4" t="e">
        <f>#REF!</f>
        <v>#REF!</v>
      </c>
      <c r="L135" t="e">
        <f>"Wk "&amp;WEEKNUM(tbl_Case_mins[[#This Row],[Surgery Start Date]],21)</f>
        <v>#REF!</v>
      </c>
      <c r="M135" t="e">
        <f>TEXT(tbl_Case_mins[[#This Row],[Surgery Start Date]],"ddd")</f>
        <v>#REF!</v>
      </c>
      <c r="N135" s="9" t="e">
        <f>(#REF!-TIME(0,0,0))*1440</f>
        <v>#REF!</v>
      </c>
      <c r="O135" t="e">
        <f>IF(AND(ROUND((#REF!-TIME(0,0,0))*1440,0)&gt;0,ROUND((#REF!-TIME(0,0,0))*1440,0)&lt;tbl_Case_mins[[#This Row],[Patient Called]],tbl_Case_mins[[#This Row],[Surgery End Date]]&gt;tbl_Case_mins[[#This Row],[Surgery Start Date]]),ROUND((#REF!-TIME(0,0,0))*1440,0)+1440,ROUND((#REF!-TIME(0,0,0))*1440,0))</f>
        <v>#REF!</v>
      </c>
      <c r="P135" s="9" t="e">
        <f>IF(AND(ROUND((#REF!-TIME(0,0,0))*1440,0)&gt;0,ROUND((#REF!-TIME(0,0,0))*1440,0)&lt;tbl_Case_mins[[#This Row],[Arrival]],tbl_Case_mins[[#This Row],[Surgery End Date]]&gt;tbl_Case_mins[[#This Row],[Surgery Start Date]]),ROUND((#REF!-TIME(0,0,0))*1440,0)+1440,ROUND((#REF!-TIME(0,0,0))*1440,0))</f>
        <v>#REF!</v>
      </c>
      <c r="Q135" s="9" t="e">
        <f>IF(AND(ROUND((#REF!-TIME(0,0,0))*1440,0)&gt;0,ROUND((#REF!-TIME(0,0,0))*1440,0)&lt;tbl_Case_mins[[#This Row],[Into Th or AR]],tbl_Case_mins[[#This Row],[Surgery End Date]]&gt;tbl_Case_mins[[#This Row],[Surgery Start Date]]),ROUND((#REF!-TIME(0,0,0))*1440,0)+1440,ROUND((#REF!-TIME(0,0,0))*1440,0))</f>
        <v>#REF!</v>
      </c>
      <c r="R135" s="9" t="e">
        <f>IF(AND(ROUND((#REF!-TIME(0,0,0))*1440,0)&gt;0,ROUND((#REF!-TIME(0,0,0))*1440,0)&lt;tbl_Case_mins[[#This Row],[AnaesthStart]],tbl_Case_mins[[#This Row],[Surgery End Date]]&gt;tbl_Case_mins[[#This Row],[Surgery Start Date]]),ROUND((#REF!-TIME(0,0,0))*1440,0)+1440,ROUND((#REF!-TIME(0,0,0))*1440,0))</f>
        <v>#REF!</v>
      </c>
      <c r="S135" s="9" t="e">
        <f>IF(AND(ROUND((#REF!-TIME(0,0,0))*1440,0),ROUND((#REF!-TIME(0,0,0))*1440,0)&lt;tbl_Case_mins[[#This Row],[Surgery Start]],tbl_Case_mins[[#This Row],[Surgery End Date]]&gt;tbl_Case_mins[[#This Row],[Surgery Start Date]]),ROUND((#REF!-TIME(0,0,0))*1440,0)+1440,ROUND((#REF!-TIME(0,0,0))*1440,0))</f>
        <v>#REF!</v>
      </c>
      <c r="T135" s="9" t="e">
        <f>IF(AND(ROUND((#REF!-TIME(0,0,0))*1440,0)&gt;0,ROUND((#REF!-TIME(0,0,0))*1440,0)&lt;tbl_Case_mins[[#This Row],[Surgery Finish]],tbl_Case_mins[[#This Row],[Surgery End Date]]&gt;tbl_Case_mins[[#This Row],[Surgery Start Date]]),ROUND((#REF!-TIME(0,0,0))*1440,0)+1440,ROUND((#REF!-TIME(0,0,0))*1440,0))</f>
        <v>#REF!</v>
      </c>
      <c r="U135" s="9" t="e">
        <f>IF(AND(ROUND((#REF!-TIME(0,0,0))*1440,0)&gt;0,ROUND((#REF!-TIME(0,0,0))*1440,0)&lt;tbl_Case_mins[[#This Row],[Anaesth End]],tbl_Case_mins[[#This Row],[Surgery End Date]]&gt;tbl_Case_mins[[#This Row],[Surgery Start Date]]),ROUND((#REF!-TIME(0,0,0))*1440,0)+1440,ROUND((#REF!-TIME(0,0,0))*1440,0))</f>
        <v>#REF!</v>
      </c>
      <c r="V135" s="9" t="e">
        <f>IF(AND(ROUND((#REF!-TIME(0,0,0))*1440,0)&gt;0,ROUND((#REF!-TIME(0,0,0))*1440,0)&lt;tbl_Case_mins[[#This Row],[Into Recov]],tbl_Case_mins[[#This Row],[Surgery End Date]]&gt;tbl_Case_mins[[#This Row],[Surgery Start Date]]),ROUND((#REF!-TIME(0,0,0))*1440,0)+1440,ROUND((#REF!-TIME(0,0,0))*1440,0))</f>
        <v>#REF!</v>
      </c>
      <c r="W135" s="9" t="e">
        <f>IF(AND(ROUND((#REF!-TIME(0,0,0))*1440,0)&gt;0,ROUND((#REF!-TIME(0,0,0))*1440,0)&lt;tbl_Case_mins[[#This Row],[Ward Called]],tbl_Case_mins[[#This Row],[Surgery End Date]]&gt;tbl_Case_mins[[#This Row],[Surgery Start Date]]),ROUND((#REF!-TIME(0,0,0))*1440,0)+1440,ROUND((#REF!-TIME(0,0,0))*1440,0))</f>
        <v>#REF!</v>
      </c>
      <c r="X135" s="4" t="e">
        <f>IF(ISBLANK(#REF!),tbl_Case_mins[[#This Row],[Surgery Start Date]],#REF!)</f>
        <v>#REF!</v>
      </c>
      <c r="Y135">
        <f>IFERROR(IF(VLOOKUP(tbl_Case_mins[[#This Row],[Theatre]],'Mng Theatres'!$C$7:$G$12,3,FALSE)="Yes","Yes","No"),0)</f>
        <v>0</v>
      </c>
      <c r="Z135" s="9" t="e" cm="1">
        <f t="array" ref="Z13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5" s="9" t="e" cm="1">
        <f t="array" ref="AA13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5" s="9" t="e">
        <f>IF(tbl_Case_mins[[#This Row],[Case Type]]="Unsch",1,0)</f>
        <v>#REF!</v>
      </c>
      <c r="AD135" s="9" t="e">
        <f>IF(tbl_Case_mins[[#This Row],[Case Type]]="Sch",1,0)</f>
        <v>#REF!</v>
      </c>
      <c r="AE13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5" s="9">
        <f>IFERROR(IF(ISBLANK(INDEX(Am_Close,MATCH(1,INDEX((tbl_Case_mins[[#This Row],[Theatre]]=Theatre_No)*(tbl_Case_mins[[#This Row],[Surgery Start Date]]=Date),0,1),0))*1440),0,INDEX(Am_Close,MATCH(1,INDEX((tbl_Case_mins[[#This Row],[Theatre]]=Theatre_No)*(tbl_Case_mins[[#This Row],[Surgery Start Date]]=Date),0,1),0))*1440),0)</f>
        <v>0</v>
      </c>
      <c r="AG135" s="9">
        <f>IFERROR(IF(ISBLANK(INDEX(PM_Open,MATCH(1,INDEX((tbl_Case_mins[[#This Row],[Theatre]]=Theatre_No)*(tbl_Case_mins[[#This Row],[Surgery Start Date]]=Date),0,1),0))*1440),0,INDEX(PM_Open,MATCH(1,INDEX((tbl_Case_mins[[#This Row],[Theatre]]=Theatre_No)*(tbl_Case_mins[[#This Row],[Surgery Start Date]]=Date),0,1),0))*1440),0)</f>
        <v>0</v>
      </c>
      <c r="AH13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5" s="9" t="e">
        <f>IF(tbl_Case_mins[[#This Row],[ThOpenAm]]=0,tbl_Case_mins[[#This Row],[ThOpenPM]],tbl_Case_mins[[#This Row],[ThOpenAm]])</f>
        <v>#REF!</v>
      </c>
      <c r="AJ135" s="9" t="e">
        <f>IF(tbl_Case_mins[[#This Row],[ThCloseAm]]&gt;0,IF(tbl_Case_mins[[#This Row],[ThOpenPM]]&gt;0,tbl_Case_mins[[#This Row],[ThClosePm]],tbl_Case_mins[[#This Row],[ThCloseAm]]),tbl_Case_mins[[#This Row],[ThClosePm]])</f>
        <v>#REF!</v>
      </c>
      <c r="AK135" s="9" t="e">
        <f>IF(tbl_Case_mins[[#This Row],[TOT]]&gt;0,1,0)</f>
        <v>#REF!</v>
      </c>
      <c r="AL13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5" s="9" t="e">
        <f>IF(AND(tbl_Case_mins[[#This Row],[Surgery Status]]&lt;&gt;2,tbl_Case_mins[[#This Row],[InCoreCase]]=0,tbl_Case_mins[[#This Row],[CancelledCase]]=0),1,0)</f>
        <v>#REF!</v>
      </c>
      <c r="AN135" s="9" t="e">
        <f>IF(tbl_Case_mins[[#This Row],[Surgery Status]]=1,1,0)</f>
        <v>#REF!</v>
      </c>
      <c r="AO13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5" s="9" t="e">
        <f>IF(AND(tbl_Case_mins[[#This Row],[NonCoreCase]]=1,tbl_Case_mins[[#This Row],[NoInCoreTime]]=0),1,0)</f>
        <v>#REF!</v>
      </c>
      <c r="AQ135" s="9" t="e">
        <f>IF(tbl_Case_mins[[#This Row],[Rank_AnaEnd]]&lt;tbl_Case_mins[[#This Row],[Rank_AnaSt]],1,0)</f>
        <v>#REF!</v>
      </c>
      <c r="AR135" s="9" t="e">
        <f>IF(AND(tbl_Case_mins[[#This Row],[InCoreCase]]=1,tbl_Case_mins[[#This Row],[Sch]]=1),1,0)</f>
        <v>#REF!</v>
      </c>
      <c r="AS135" s="9" t="e">
        <f>IF(AND(tbl_Case_mins[[#This Row],[InCoreCase]]=1,tbl_Case_mins[[#This Row],[Unsch]]=1),1,0)</f>
        <v>#REF!</v>
      </c>
      <c r="AT13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5" s="9" t="e">
        <f>IF(tbl_Case_mins[[#This Row],[Surgery Status]]=0,(tbl_Case_mins[[#This Row],[Anaesth End]]-tbl_Case_mins[[#This Row],[AnaesthStart]]),0)</f>
        <v>#REF!</v>
      </c>
      <c r="AX135" s="9" t="e">
        <f>IF(tbl_Case_mins[[#This Row],[Surgery Status]]=0,(tbl_Case_mins[[#This Row],[Surgery Finish]]-tbl_Case_mins[[#This Row],[Surgery Start]]),0)</f>
        <v>#REF!</v>
      </c>
      <c r="AY135" s="9" t="e">
        <f>tbl_Case_mins[[#This Row],[Surgery Start]]-tbl_Case_mins[[#This Row],[AnaesthStart]]</f>
        <v>#REF!</v>
      </c>
      <c r="AZ135" s="9" t="e">
        <f>tbl_Case_mins[[#This Row],[Anaesth End]]-tbl_Case_mins[[#This Row],[Surgery Finish]]</f>
        <v>#REF!</v>
      </c>
      <c r="BA13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5" s="16" cm="1">
        <f t="array" ref="BC13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5" s="16" t="e">
        <f>IF(AND(tbl_Case_mins[[#This Row],[FirstAMCase]]=1,tbl_Case_mins[[#This Row],[CancelledCase]]=0,OR(tbl_Case_mins[[#This Row],[EarlyStartAM]]&gt;0,tbl_Case_mins[[#This Row],[AnaesthStart]]=tbl_Case_mins[[#This Row],[ThOpenAm]])),1,0)</f>
        <v>#REF!</v>
      </c>
      <c r="BE135" s="16" t="e">
        <f>IF(AND(tbl_Case_mins[[#This Row],[Rank_AnaSt]]=tbl_Case_mins[[#This Row],[Min_RankAnaSt]],tbl_Case_mins[[#This Row],[Anaesth End]]&gt;=tbl_Case_mins[[#This Row],[ThOpenAm]],tbl_Case_mins[[#This Row],[PmCase]]=0),1,0)</f>
        <v>#REF!</v>
      </c>
      <c r="BF13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5" s="9" t="e" cm="1">
        <f t="array" ref="BH13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5" s="9" t="e">
        <f>IF(AND(tbl_Case_mins[[#This Row],[ThOpenPM]]&gt;0,tbl_Case_mins[[#This Row],[AnaesthStart]]&gt;tbl_Case_mins[[#This Row],[ThOpenPM]],tbl_Case_mins[[#This Row],[First PM Case]]=1),tbl_Case_mins[[#This Row],[AnaesthStart]]-tbl_Case_mins[[#This Row],[ThOpenPM]],0)</f>
        <v>#REF!</v>
      </c>
      <c r="BL13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5" s="9" t="e" cm="1">
        <f t="array" ref="BN13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5" s="9" t="e">
        <f>IF(AND(tbl_Case_mins[[#This Row],[ThClosePm]]&gt;0,tbl_Case_mins[[#This Row],[Anaesth End]]&gt;tbl_Case_mins[[#This Row],[ThClosePm]],tbl_Case_mins[[#This Row],[AnaesthStart]]&gt;tbl_Case_mins[[#This Row],[ThClosePm]]),tbl_Case_mins[[#This Row],[Into Recov]]-tbl_Case_mins[[#This Row],[AnaesthStart]],0)</f>
        <v>#REF!</v>
      </c>
      <c r="BP135" s="9" t="e">
        <f>IF(AND(tbl_Case_mins[[#This Row],[AnaesthStart]]&lt;tbl_Case_mins[[#This Row],[ThClosePm]],tbl_Case_mins[[#This Row],[Anaesth End]]&gt;tbl_Case_mins[[#This Row],[ThClosePm]]),tbl_Case_mins[[#This Row],[Anaesth End]]-tbl_Case_mins[[#This Row],[ThClosePm]],0)</f>
        <v>#REF!</v>
      </c>
      <c r="BQ135" s="9" t="e" cm="1">
        <f t="array" ref="BQ13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5" s="9" t="e" cm="1">
        <f t="array" ref="BR135">IF(tbl_Case_mins[[#This Row],[Rank_Adjust]]=SUMPRODUCT(-(tbl_Case_mins[Surgery Start Date]=tbl_Case_mins[[#This Row],[Surgery Start Date]]),-(tbl_Case_mins[Theatre]=tbl_Case_mins[[#This Row],[Theatre]])),INDEX(Poss_Time,MATCH(TEXT(tbl_Case_mins[[#This Row],[Surgery Start Date]],"ddd"),Day,0)),0)</f>
        <v>#REF!</v>
      </c>
      <c r="BS135" s="9" t="e">
        <f>tbl_Case_mins[[#This Row],[Core_Time]]*Util_Goal</f>
        <v>#REF!</v>
      </c>
      <c r="BT135" s="9" t="e" cm="1">
        <f t="array" ref="BT1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5" s="9" t="e" cm="1">
        <f t="array" ref="BU1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5" s="9" t="e">
        <f>IF(tbl_Case_mins[[#This Row],[Surgery End Date]]&gt;tbl_Case_mins[[#This Row],[Surgery Start Date]],tbl_Case_mins[[#This Row],[Anaesth End]]-1440,0)</f>
        <v>#REF!</v>
      </c>
      <c r="BY135" s="9" t="e">
        <f>tbl_Case_mins[[#This Row],[Total_NonCore]]-tbl_Case_mins[[#This Row],[NextDay_NonCore]]</f>
        <v>#REF!</v>
      </c>
      <c r="BZ135" s="10" t="e">
        <f>tbl_Case_mins[[#This Row],[InCoreUse]]/60</f>
        <v>#REF!</v>
      </c>
      <c r="CA135" s="10" t="e">
        <f>tbl_Case_mins[[#This Row],[Total_NonCore]]/60</f>
        <v>#REF!</v>
      </c>
      <c r="CB135" t="e" cm="1">
        <f t="array" ref="CB1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5" s="9" t="e" cm="1">
        <f t="array" ref="CC13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5" s="9" t="e" cm="1">
        <f t="array" ref="CD1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5" s="9" t="e" cm="1">
        <f t="array" ref="CE13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5" s="9" cm="1">
        <f t="array" ref="CF135">IFERROR(_xlfn.AGGREGATE(14,6,(tbl_Case_mins[Rank_AnaEnd])/((tbl_Case_mins[Surgery Start Date]=tbl_Case_mins[[#This Row],[Surgery Start Date]])*(tbl_Case_mins[Theatre]=tbl_Case_mins[[#This Row],[Theatre]])*(tbl_Case_mins[NoInCoreTime]=0)),1),-1)</f>
        <v>-1</v>
      </c>
      <c r="CG135" s="9" cm="1">
        <f t="array" ref="CG135">IFERROR(_xlfn.AGGREGATE(15,6,(tbl_Case_mins[Rank_AnaSt])/((tbl_Case_mins[Surgery Start Date]=tbl_Case_mins[[#This Row],[Surgery Start Date]])*(tbl_Case_mins[Theatre]=tbl_Case_mins[[#This Row],[Theatre]])*(tbl_Case_mins[NoInCoreTime]=0)),1),-1)</f>
        <v>-1</v>
      </c>
      <c r="CH13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5" t="e" cm="1">
        <f t="array" ref="CJ13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5" s="9" cm="1">
        <f t="array" ref="CO1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5" s="9" cm="1">
        <f t="array" ref="CP1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5" s="9" cm="1">
        <f t="array" ref="CQ135">IFERROR(IF(AND(tbl_Case_mins[[#This Row],[FirstAMCase]]=0,tbl_Case_mins[[#This Row],[Rank]]=_xlfn.AGGREGATE(14,6,(tbl_Case_mins[Rank])/((tbl_Case_mins[Surgery Start Date]=tbl_Case_mins[[#This Row],[Surgery Start Date]])*(tbl_Case_mins[Theatre]=tbl_Case_mins[[#This Row],[Theatre]])*(tbl_Case_mins[AmCase]=1)),1)),1,0),0)</f>
        <v>0</v>
      </c>
      <c r="CR135" s="9" cm="1">
        <f t="array" ref="CR13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5" s="9" t="e" cm="1">
        <f t="array" ref="CS13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5" s="9" cm="1">
        <f t="array" ref="CT135">IFERROR(IF(tbl_Case_mins[[#This Row],[Rank]]=_xlfn.AGGREGATE(15,6,(tbl_Case_mins[Rank])/((tbl_Case_mins[Surgery Start Date]=tbl_Case_mins[[#This Row],[Surgery Start Date]])*(tbl_Case_mins[Theatre]=tbl_Case_mins[[#This Row],[Theatre]])*(tbl_Case_mins[PmCase]=1)),1),1,0),0)</f>
        <v>0</v>
      </c>
      <c r="CU135">
        <f>IFERROR(#REF!,0)</f>
        <v>0</v>
      </c>
      <c r="CV135" s="9" t="e" cm="1">
        <f t="array" ref="CV13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5" s="9">
        <f>IFERROR(IF(ISBLANK(INDEX(Bay_AmClose,MATCH(1,INDEX((tbl_Case_mins[[#This Row],[Bay]]=BayNo)*(tbl_Case_mins[[#This Row],[Surgery Start Date]]=BDate),0,1),0))*1440),0,INDEX(Bay_AmClose,MATCH(1,INDEX((tbl_Case_mins[[#This Row],[Bay]]=BayNo)*(tbl_Case_mins[[#This Row],[Surgery Start Date]]=BDate),0,1),0))*1440),0)</f>
        <v>0</v>
      </c>
      <c r="CX135" s="9" cm="1">
        <f t="array" ref="CX135">IFERROR(IF(ISBLANK(INDEX(Bay_PmOpen,MATCH(1,INDEX((tbl_Case_mins[[#This Row],[Bay]]=BayNo)*(tbl_Case_mins[[#This Row],[Surgery Start Date]]=BDate),0,1),0))*1440),0,INDEX(Bay_PmOpen,MATCH(1,INDEX((tbl_Case_mins[[#This Row],[Bay]]=BayNo)*(tbl_Case_mins[[#This Row],[Surgery Start Date]]=BDate),0,1),0))*1440),0)</f>
        <v>0</v>
      </c>
      <c r="CY13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5" s="9"/>
    </row>
    <row r="136" spans="1:104" x14ac:dyDescent="0.2">
      <c r="A136">
        <v>135</v>
      </c>
      <c r="B136" t="e">
        <f>#REF!</f>
        <v>#REF!</v>
      </c>
      <c r="C136" t="e">
        <f>#REF!</f>
        <v>#REF!</v>
      </c>
      <c r="D136" t="e">
        <f>#REF!</f>
        <v>#REF!</v>
      </c>
      <c r="E136" t="e">
        <f>#REF!</f>
        <v>#REF!</v>
      </c>
      <c r="F136" t="e">
        <f>#REF!</f>
        <v>#REF!</v>
      </c>
      <c r="G136" t="e">
        <f>#REF!</f>
        <v>#REF!</v>
      </c>
      <c r="H136" t="e">
        <f>#REF!</f>
        <v>#REF!</v>
      </c>
      <c r="I136" t="e">
        <f>IF(#REF!="Case Cancelled",1,IF(#REF!="No Cases",2,0))</f>
        <v>#REF!</v>
      </c>
      <c r="J136" t="e">
        <f>#REF!</f>
        <v>#REF!</v>
      </c>
      <c r="K136" s="4" t="e">
        <f>#REF!</f>
        <v>#REF!</v>
      </c>
      <c r="L136" t="e">
        <f>"Wk "&amp;WEEKNUM(tbl_Case_mins[[#This Row],[Surgery Start Date]],21)</f>
        <v>#REF!</v>
      </c>
      <c r="M136" t="e">
        <f>TEXT(tbl_Case_mins[[#This Row],[Surgery Start Date]],"ddd")</f>
        <v>#REF!</v>
      </c>
      <c r="N136" s="9" t="e">
        <f>(#REF!-TIME(0,0,0))*1440</f>
        <v>#REF!</v>
      </c>
      <c r="O136" t="e">
        <f>IF(AND(ROUND((#REF!-TIME(0,0,0))*1440,0)&gt;0,ROUND((#REF!-TIME(0,0,0))*1440,0)&lt;tbl_Case_mins[[#This Row],[Patient Called]],tbl_Case_mins[[#This Row],[Surgery End Date]]&gt;tbl_Case_mins[[#This Row],[Surgery Start Date]]),ROUND((#REF!-TIME(0,0,0))*1440,0)+1440,ROUND((#REF!-TIME(0,0,0))*1440,0))</f>
        <v>#REF!</v>
      </c>
      <c r="P136" s="9" t="e">
        <f>IF(AND(ROUND((#REF!-TIME(0,0,0))*1440,0)&gt;0,ROUND((#REF!-TIME(0,0,0))*1440,0)&lt;tbl_Case_mins[[#This Row],[Arrival]],tbl_Case_mins[[#This Row],[Surgery End Date]]&gt;tbl_Case_mins[[#This Row],[Surgery Start Date]]),ROUND((#REF!-TIME(0,0,0))*1440,0)+1440,ROUND((#REF!-TIME(0,0,0))*1440,0))</f>
        <v>#REF!</v>
      </c>
      <c r="Q136" s="9" t="e">
        <f>IF(AND(ROUND((#REF!-TIME(0,0,0))*1440,0)&gt;0,ROUND((#REF!-TIME(0,0,0))*1440,0)&lt;tbl_Case_mins[[#This Row],[Into Th or AR]],tbl_Case_mins[[#This Row],[Surgery End Date]]&gt;tbl_Case_mins[[#This Row],[Surgery Start Date]]),ROUND((#REF!-TIME(0,0,0))*1440,0)+1440,ROUND((#REF!-TIME(0,0,0))*1440,0))</f>
        <v>#REF!</v>
      </c>
      <c r="R136" s="9" t="e">
        <f>IF(AND(ROUND((#REF!-TIME(0,0,0))*1440,0)&gt;0,ROUND((#REF!-TIME(0,0,0))*1440,0)&lt;tbl_Case_mins[[#This Row],[AnaesthStart]],tbl_Case_mins[[#This Row],[Surgery End Date]]&gt;tbl_Case_mins[[#This Row],[Surgery Start Date]]),ROUND((#REF!-TIME(0,0,0))*1440,0)+1440,ROUND((#REF!-TIME(0,0,0))*1440,0))</f>
        <v>#REF!</v>
      </c>
      <c r="S136" s="9" t="e">
        <f>IF(AND(ROUND((#REF!-TIME(0,0,0))*1440,0),ROUND((#REF!-TIME(0,0,0))*1440,0)&lt;tbl_Case_mins[[#This Row],[Surgery Start]],tbl_Case_mins[[#This Row],[Surgery End Date]]&gt;tbl_Case_mins[[#This Row],[Surgery Start Date]]),ROUND((#REF!-TIME(0,0,0))*1440,0)+1440,ROUND((#REF!-TIME(0,0,0))*1440,0))</f>
        <v>#REF!</v>
      </c>
      <c r="T136" s="9" t="e">
        <f>IF(AND(ROUND((#REF!-TIME(0,0,0))*1440,0)&gt;0,ROUND((#REF!-TIME(0,0,0))*1440,0)&lt;tbl_Case_mins[[#This Row],[Surgery Finish]],tbl_Case_mins[[#This Row],[Surgery End Date]]&gt;tbl_Case_mins[[#This Row],[Surgery Start Date]]),ROUND((#REF!-TIME(0,0,0))*1440,0)+1440,ROUND((#REF!-TIME(0,0,0))*1440,0))</f>
        <v>#REF!</v>
      </c>
      <c r="U136" s="9" t="e">
        <f>IF(AND(ROUND((#REF!-TIME(0,0,0))*1440,0)&gt;0,ROUND((#REF!-TIME(0,0,0))*1440,0)&lt;tbl_Case_mins[[#This Row],[Anaesth End]],tbl_Case_mins[[#This Row],[Surgery End Date]]&gt;tbl_Case_mins[[#This Row],[Surgery Start Date]]),ROUND((#REF!-TIME(0,0,0))*1440,0)+1440,ROUND((#REF!-TIME(0,0,0))*1440,0))</f>
        <v>#REF!</v>
      </c>
      <c r="V136" s="9" t="e">
        <f>IF(AND(ROUND((#REF!-TIME(0,0,0))*1440,0)&gt;0,ROUND((#REF!-TIME(0,0,0))*1440,0)&lt;tbl_Case_mins[[#This Row],[Into Recov]],tbl_Case_mins[[#This Row],[Surgery End Date]]&gt;tbl_Case_mins[[#This Row],[Surgery Start Date]]),ROUND((#REF!-TIME(0,0,0))*1440,0)+1440,ROUND((#REF!-TIME(0,0,0))*1440,0))</f>
        <v>#REF!</v>
      </c>
      <c r="W136" s="9" t="e">
        <f>IF(AND(ROUND((#REF!-TIME(0,0,0))*1440,0)&gt;0,ROUND((#REF!-TIME(0,0,0))*1440,0)&lt;tbl_Case_mins[[#This Row],[Ward Called]],tbl_Case_mins[[#This Row],[Surgery End Date]]&gt;tbl_Case_mins[[#This Row],[Surgery Start Date]]),ROUND((#REF!-TIME(0,0,0))*1440,0)+1440,ROUND((#REF!-TIME(0,0,0))*1440,0))</f>
        <v>#REF!</v>
      </c>
      <c r="X136" s="4" t="e">
        <f>IF(ISBLANK(#REF!),tbl_Case_mins[[#This Row],[Surgery Start Date]],#REF!)</f>
        <v>#REF!</v>
      </c>
      <c r="Y136">
        <f>IFERROR(IF(VLOOKUP(tbl_Case_mins[[#This Row],[Theatre]],'Mng Theatres'!$C$7:$G$12,3,FALSE)="Yes","Yes","No"),0)</f>
        <v>0</v>
      </c>
      <c r="Z136" s="9" t="e" cm="1">
        <f t="array" ref="Z13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6" s="9" t="e" cm="1">
        <f t="array" ref="AA13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6" s="9" t="e">
        <f>IF(tbl_Case_mins[[#This Row],[Case Type]]="Unsch",1,0)</f>
        <v>#REF!</v>
      </c>
      <c r="AD136" s="9" t="e">
        <f>IF(tbl_Case_mins[[#This Row],[Case Type]]="Sch",1,0)</f>
        <v>#REF!</v>
      </c>
      <c r="AE13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6" s="9">
        <f>IFERROR(IF(ISBLANK(INDEX(Am_Close,MATCH(1,INDEX((tbl_Case_mins[[#This Row],[Theatre]]=Theatre_No)*(tbl_Case_mins[[#This Row],[Surgery Start Date]]=Date),0,1),0))*1440),0,INDEX(Am_Close,MATCH(1,INDEX((tbl_Case_mins[[#This Row],[Theatre]]=Theatre_No)*(tbl_Case_mins[[#This Row],[Surgery Start Date]]=Date),0,1),0))*1440),0)</f>
        <v>0</v>
      </c>
      <c r="AG136" s="9">
        <f>IFERROR(IF(ISBLANK(INDEX(PM_Open,MATCH(1,INDEX((tbl_Case_mins[[#This Row],[Theatre]]=Theatre_No)*(tbl_Case_mins[[#This Row],[Surgery Start Date]]=Date),0,1),0))*1440),0,INDEX(PM_Open,MATCH(1,INDEX((tbl_Case_mins[[#This Row],[Theatre]]=Theatre_No)*(tbl_Case_mins[[#This Row],[Surgery Start Date]]=Date),0,1),0))*1440),0)</f>
        <v>0</v>
      </c>
      <c r="AH13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6" s="9" t="e">
        <f>IF(tbl_Case_mins[[#This Row],[ThOpenAm]]=0,tbl_Case_mins[[#This Row],[ThOpenPM]],tbl_Case_mins[[#This Row],[ThOpenAm]])</f>
        <v>#REF!</v>
      </c>
      <c r="AJ136" s="9" t="e">
        <f>IF(tbl_Case_mins[[#This Row],[ThCloseAm]]&gt;0,IF(tbl_Case_mins[[#This Row],[ThOpenPM]]&gt;0,tbl_Case_mins[[#This Row],[ThClosePm]],tbl_Case_mins[[#This Row],[ThCloseAm]]),tbl_Case_mins[[#This Row],[ThClosePm]])</f>
        <v>#REF!</v>
      </c>
      <c r="AK136" s="9" t="e">
        <f>IF(tbl_Case_mins[[#This Row],[TOT]]&gt;0,1,0)</f>
        <v>#REF!</v>
      </c>
      <c r="AL13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6" s="9" t="e">
        <f>IF(AND(tbl_Case_mins[[#This Row],[Surgery Status]]&lt;&gt;2,tbl_Case_mins[[#This Row],[InCoreCase]]=0,tbl_Case_mins[[#This Row],[CancelledCase]]=0),1,0)</f>
        <v>#REF!</v>
      </c>
      <c r="AN136" s="9" t="e">
        <f>IF(tbl_Case_mins[[#This Row],[Surgery Status]]=1,1,0)</f>
        <v>#REF!</v>
      </c>
      <c r="AO13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6" s="9" t="e">
        <f>IF(AND(tbl_Case_mins[[#This Row],[NonCoreCase]]=1,tbl_Case_mins[[#This Row],[NoInCoreTime]]=0),1,0)</f>
        <v>#REF!</v>
      </c>
      <c r="AQ136" s="9" t="e">
        <f>IF(tbl_Case_mins[[#This Row],[Rank_AnaEnd]]&lt;tbl_Case_mins[[#This Row],[Rank_AnaSt]],1,0)</f>
        <v>#REF!</v>
      </c>
      <c r="AR136" s="9" t="e">
        <f>IF(AND(tbl_Case_mins[[#This Row],[InCoreCase]]=1,tbl_Case_mins[[#This Row],[Sch]]=1),1,0)</f>
        <v>#REF!</v>
      </c>
      <c r="AS136" s="9" t="e">
        <f>IF(AND(tbl_Case_mins[[#This Row],[InCoreCase]]=1,tbl_Case_mins[[#This Row],[Unsch]]=1),1,0)</f>
        <v>#REF!</v>
      </c>
      <c r="AT13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6" s="9" t="e">
        <f>IF(tbl_Case_mins[[#This Row],[Surgery Status]]=0,(tbl_Case_mins[[#This Row],[Anaesth End]]-tbl_Case_mins[[#This Row],[AnaesthStart]]),0)</f>
        <v>#REF!</v>
      </c>
      <c r="AX136" s="9" t="e">
        <f>IF(tbl_Case_mins[[#This Row],[Surgery Status]]=0,(tbl_Case_mins[[#This Row],[Surgery Finish]]-tbl_Case_mins[[#This Row],[Surgery Start]]),0)</f>
        <v>#REF!</v>
      </c>
      <c r="AY136" s="9" t="e">
        <f>tbl_Case_mins[[#This Row],[Surgery Start]]-tbl_Case_mins[[#This Row],[AnaesthStart]]</f>
        <v>#REF!</v>
      </c>
      <c r="AZ136" s="9" t="e">
        <f>tbl_Case_mins[[#This Row],[Anaesth End]]-tbl_Case_mins[[#This Row],[Surgery Finish]]</f>
        <v>#REF!</v>
      </c>
      <c r="BA13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6" s="16" cm="1">
        <f t="array" ref="BC13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6" s="16" t="e">
        <f>IF(AND(tbl_Case_mins[[#This Row],[FirstAMCase]]=1,tbl_Case_mins[[#This Row],[CancelledCase]]=0,OR(tbl_Case_mins[[#This Row],[EarlyStartAM]]&gt;0,tbl_Case_mins[[#This Row],[AnaesthStart]]=tbl_Case_mins[[#This Row],[ThOpenAm]])),1,0)</f>
        <v>#REF!</v>
      </c>
      <c r="BE136" s="16" t="e">
        <f>IF(AND(tbl_Case_mins[[#This Row],[Rank_AnaSt]]=tbl_Case_mins[[#This Row],[Min_RankAnaSt]],tbl_Case_mins[[#This Row],[Anaesth End]]&gt;=tbl_Case_mins[[#This Row],[ThOpenAm]],tbl_Case_mins[[#This Row],[PmCase]]=0),1,0)</f>
        <v>#REF!</v>
      </c>
      <c r="BF13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6" s="9" t="e" cm="1">
        <f t="array" ref="BH13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6" s="9" t="e">
        <f>IF(AND(tbl_Case_mins[[#This Row],[ThOpenPM]]&gt;0,tbl_Case_mins[[#This Row],[AnaesthStart]]&gt;tbl_Case_mins[[#This Row],[ThOpenPM]],tbl_Case_mins[[#This Row],[First PM Case]]=1),tbl_Case_mins[[#This Row],[AnaesthStart]]-tbl_Case_mins[[#This Row],[ThOpenPM]],0)</f>
        <v>#REF!</v>
      </c>
      <c r="BL13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6" s="9" t="e" cm="1">
        <f t="array" ref="BN13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6" s="9" t="e">
        <f>IF(AND(tbl_Case_mins[[#This Row],[ThClosePm]]&gt;0,tbl_Case_mins[[#This Row],[Anaesth End]]&gt;tbl_Case_mins[[#This Row],[ThClosePm]],tbl_Case_mins[[#This Row],[AnaesthStart]]&gt;tbl_Case_mins[[#This Row],[ThClosePm]]),tbl_Case_mins[[#This Row],[Into Recov]]-tbl_Case_mins[[#This Row],[AnaesthStart]],0)</f>
        <v>#REF!</v>
      </c>
      <c r="BP136" s="9" t="e">
        <f>IF(AND(tbl_Case_mins[[#This Row],[AnaesthStart]]&lt;tbl_Case_mins[[#This Row],[ThClosePm]],tbl_Case_mins[[#This Row],[Anaesth End]]&gt;tbl_Case_mins[[#This Row],[ThClosePm]]),tbl_Case_mins[[#This Row],[Anaesth End]]-tbl_Case_mins[[#This Row],[ThClosePm]],0)</f>
        <v>#REF!</v>
      </c>
      <c r="BQ136" s="9" t="e" cm="1">
        <f t="array" ref="BQ13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6" s="9" t="e" cm="1">
        <f t="array" ref="BR136">IF(tbl_Case_mins[[#This Row],[Rank_Adjust]]=SUMPRODUCT(-(tbl_Case_mins[Surgery Start Date]=tbl_Case_mins[[#This Row],[Surgery Start Date]]),-(tbl_Case_mins[Theatre]=tbl_Case_mins[[#This Row],[Theatre]])),INDEX(Poss_Time,MATCH(TEXT(tbl_Case_mins[[#This Row],[Surgery Start Date]],"ddd"),Day,0)),0)</f>
        <v>#REF!</v>
      </c>
      <c r="BS136" s="9" t="e">
        <f>tbl_Case_mins[[#This Row],[Core_Time]]*Util_Goal</f>
        <v>#REF!</v>
      </c>
      <c r="BT136" s="9" t="e" cm="1">
        <f t="array" ref="BT1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6" s="9" t="e" cm="1">
        <f t="array" ref="BU1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6" s="9" t="e">
        <f>IF(tbl_Case_mins[[#This Row],[Surgery End Date]]&gt;tbl_Case_mins[[#This Row],[Surgery Start Date]],tbl_Case_mins[[#This Row],[Anaesth End]]-1440,0)</f>
        <v>#REF!</v>
      </c>
      <c r="BY136" s="9" t="e">
        <f>tbl_Case_mins[[#This Row],[Total_NonCore]]-tbl_Case_mins[[#This Row],[NextDay_NonCore]]</f>
        <v>#REF!</v>
      </c>
      <c r="BZ136" s="10" t="e">
        <f>tbl_Case_mins[[#This Row],[InCoreUse]]/60</f>
        <v>#REF!</v>
      </c>
      <c r="CA136" s="10" t="e">
        <f>tbl_Case_mins[[#This Row],[Total_NonCore]]/60</f>
        <v>#REF!</v>
      </c>
      <c r="CB136" t="e" cm="1">
        <f t="array" ref="CB1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6" s="9" t="e" cm="1">
        <f t="array" ref="CC13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6" s="9" t="e" cm="1">
        <f t="array" ref="CD1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6" s="9" t="e" cm="1">
        <f t="array" ref="CE13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6" s="9" cm="1">
        <f t="array" ref="CF136">IFERROR(_xlfn.AGGREGATE(14,6,(tbl_Case_mins[Rank_AnaEnd])/((tbl_Case_mins[Surgery Start Date]=tbl_Case_mins[[#This Row],[Surgery Start Date]])*(tbl_Case_mins[Theatre]=tbl_Case_mins[[#This Row],[Theatre]])*(tbl_Case_mins[NoInCoreTime]=0)),1),-1)</f>
        <v>-1</v>
      </c>
      <c r="CG136" s="9" cm="1">
        <f t="array" ref="CG136">IFERROR(_xlfn.AGGREGATE(15,6,(tbl_Case_mins[Rank_AnaSt])/((tbl_Case_mins[Surgery Start Date]=tbl_Case_mins[[#This Row],[Surgery Start Date]])*(tbl_Case_mins[Theatre]=tbl_Case_mins[[#This Row],[Theatre]])*(tbl_Case_mins[NoInCoreTime]=0)),1),-1)</f>
        <v>-1</v>
      </c>
      <c r="CH13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6" t="e" cm="1">
        <f t="array" ref="CJ13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6" s="9" cm="1">
        <f t="array" ref="CO1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6" s="9" cm="1">
        <f t="array" ref="CP1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6" s="9" cm="1">
        <f t="array" ref="CQ136">IFERROR(IF(AND(tbl_Case_mins[[#This Row],[FirstAMCase]]=0,tbl_Case_mins[[#This Row],[Rank]]=_xlfn.AGGREGATE(14,6,(tbl_Case_mins[Rank])/((tbl_Case_mins[Surgery Start Date]=tbl_Case_mins[[#This Row],[Surgery Start Date]])*(tbl_Case_mins[Theatre]=tbl_Case_mins[[#This Row],[Theatre]])*(tbl_Case_mins[AmCase]=1)),1)),1,0),0)</f>
        <v>0</v>
      </c>
      <c r="CR136" s="9" cm="1">
        <f t="array" ref="CR13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6" s="9" t="e" cm="1">
        <f t="array" ref="CS13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6" s="9" cm="1">
        <f t="array" ref="CT136">IFERROR(IF(tbl_Case_mins[[#This Row],[Rank]]=_xlfn.AGGREGATE(15,6,(tbl_Case_mins[Rank])/((tbl_Case_mins[Surgery Start Date]=tbl_Case_mins[[#This Row],[Surgery Start Date]])*(tbl_Case_mins[Theatre]=tbl_Case_mins[[#This Row],[Theatre]])*(tbl_Case_mins[PmCase]=1)),1),1,0),0)</f>
        <v>0</v>
      </c>
      <c r="CU136">
        <f>IFERROR(#REF!,0)</f>
        <v>0</v>
      </c>
      <c r="CV136" s="9" t="e" cm="1">
        <f t="array" ref="CV13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6" s="9">
        <f>IFERROR(IF(ISBLANK(INDEX(Bay_AmClose,MATCH(1,INDEX((tbl_Case_mins[[#This Row],[Bay]]=BayNo)*(tbl_Case_mins[[#This Row],[Surgery Start Date]]=BDate),0,1),0))*1440),0,INDEX(Bay_AmClose,MATCH(1,INDEX((tbl_Case_mins[[#This Row],[Bay]]=BayNo)*(tbl_Case_mins[[#This Row],[Surgery Start Date]]=BDate),0,1),0))*1440),0)</f>
        <v>0</v>
      </c>
      <c r="CX136" s="9" cm="1">
        <f t="array" ref="CX136">IFERROR(IF(ISBLANK(INDEX(Bay_PmOpen,MATCH(1,INDEX((tbl_Case_mins[[#This Row],[Bay]]=BayNo)*(tbl_Case_mins[[#This Row],[Surgery Start Date]]=BDate),0,1),0))*1440),0,INDEX(Bay_PmOpen,MATCH(1,INDEX((tbl_Case_mins[[#This Row],[Bay]]=BayNo)*(tbl_Case_mins[[#This Row],[Surgery Start Date]]=BDate),0,1),0))*1440),0)</f>
        <v>0</v>
      </c>
      <c r="CY13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6" s="9"/>
    </row>
    <row r="137" spans="1:104" x14ac:dyDescent="0.2">
      <c r="A137">
        <v>136</v>
      </c>
      <c r="B137" t="e">
        <f>#REF!</f>
        <v>#REF!</v>
      </c>
      <c r="C137" t="e">
        <f>#REF!</f>
        <v>#REF!</v>
      </c>
      <c r="D137" t="e">
        <f>#REF!</f>
        <v>#REF!</v>
      </c>
      <c r="E137" t="e">
        <f>#REF!</f>
        <v>#REF!</v>
      </c>
      <c r="F137" t="e">
        <f>#REF!</f>
        <v>#REF!</v>
      </c>
      <c r="G137" t="e">
        <f>#REF!</f>
        <v>#REF!</v>
      </c>
      <c r="H137" t="e">
        <f>#REF!</f>
        <v>#REF!</v>
      </c>
      <c r="I137" t="e">
        <f>IF(#REF!="Case Cancelled",1,IF(#REF!="No Cases",2,0))</f>
        <v>#REF!</v>
      </c>
      <c r="J137" t="e">
        <f>#REF!</f>
        <v>#REF!</v>
      </c>
      <c r="K137" s="4" t="e">
        <f>#REF!</f>
        <v>#REF!</v>
      </c>
      <c r="L137" t="e">
        <f>"Wk "&amp;WEEKNUM(tbl_Case_mins[[#This Row],[Surgery Start Date]],21)</f>
        <v>#REF!</v>
      </c>
      <c r="M137" t="e">
        <f>TEXT(tbl_Case_mins[[#This Row],[Surgery Start Date]],"ddd")</f>
        <v>#REF!</v>
      </c>
      <c r="N137" s="9" t="e">
        <f>(#REF!-TIME(0,0,0))*1440</f>
        <v>#REF!</v>
      </c>
      <c r="O137" t="e">
        <f>IF(AND(ROUND((#REF!-TIME(0,0,0))*1440,0)&gt;0,ROUND((#REF!-TIME(0,0,0))*1440,0)&lt;tbl_Case_mins[[#This Row],[Patient Called]],tbl_Case_mins[[#This Row],[Surgery End Date]]&gt;tbl_Case_mins[[#This Row],[Surgery Start Date]]),ROUND((#REF!-TIME(0,0,0))*1440,0)+1440,ROUND((#REF!-TIME(0,0,0))*1440,0))</f>
        <v>#REF!</v>
      </c>
      <c r="P137" s="9" t="e">
        <f>IF(AND(ROUND((#REF!-TIME(0,0,0))*1440,0)&gt;0,ROUND((#REF!-TIME(0,0,0))*1440,0)&lt;tbl_Case_mins[[#This Row],[Arrival]],tbl_Case_mins[[#This Row],[Surgery End Date]]&gt;tbl_Case_mins[[#This Row],[Surgery Start Date]]),ROUND((#REF!-TIME(0,0,0))*1440,0)+1440,ROUND((#REF!-TIME(0,0,0))*1440,0))</f>
        <v>#REF!</v>
      </c>
      <c r="Q137" s="9" t="e">
        <f>IF(AND(ROUND((#REF!-TIME(0,0,0))*1440,0)&gt;0,ROUND((#REF!-TIME(0,0,0))*1440,0)&lt;tbl_Case_mins[[#This Row],[Into Th or AR]],tbl_Case_mins[[#This Row],[Surgery End Date]]&gt;tbl_Case_mins[[#This Row],[Surgery Start Date]]),ROUND((#REF!-TIME(0,0,0))*1440,0)+1440,ROUND((#REF!-TIME(0,0,0))*1440,0))</f>
        <v>#REF!</v>
      </c>
      <c r="R137" s="9" t="e">
        <f>IF(AND(ROUND((#REF!-TIME(0,0,0))*1440,0)&gt;0,ROUND((#REF!-TIME(0,0,0))*1440,0)&lt;tbl_Case_mins[[#This Row],[AnaesthStart]],tbl_Case_mins[[#This Row],[Surgery End Date]]&gt;tbl_Case_mins[[#This Row],[Surgery Start Date]]),ROUND((#REF!-TIME(0,0,0))*1440,0)+1440,ROUND((#REF!-TIME(0,0,0))*1440,0))</f>
        <v>#REF!</v>
      </c>
      <c r="S137" s="9" t="e">
        <f>IF(AND(ROUND((#REF!-TIME(0,0,0))*1440,0),ROUND((#REF!-TIME(0,0,0))*1440,0)&lt;tbl_Case_mins[[#This Row],[Surgery Start]],tbl_Case_mins[[#This Row],[Surgery End Date]]&gt;tbl_Case_mins[[#This Row],[Surgery Start Date]]),ROUND((#REF!-TIME(0,0,0))*1440,0)+1440,ROUND((#REF!-TIME(0,0,0))*1440,0))</f>
        <v>#REF!</v>
      </c>
      <c r="T137" s="9" t="e">
        <f>IF(AND(ROUND((#REF!-TIME(0,0,0))*1440,0)&gt;0,ROUND((#REF!-TIME(0,0,0))*1440,0)&lt;tbl_Case_mins[[#This Row],[Surgery Finish]],tbl_Case_mins[[#This Row],[Surgery End Date]]&gt;tbl_Case_mins[[#This Row],[Surgery Start Date]]),ROUND((#REF!-TIME(0,0,0))*1440,0)+1440,ROUND((#REF!-TIME(0,0,0))*1440,0))</f>
        <v>#REF!</v>
      </c>
      <c r="U137" s="9" t="e">
        <f>IF(AND(ROUND((#REF!-TIME(0,0,0))*1440,0)&gt;0,ROUND((#REF!-TIME(0,0,0))*1440,0)&lt;tbl_Case_mins[[#This Row],[Anaesth End]],tbl_Case_mins[[#This Row],[Surgery End Date]]&gt;tbl_Case_mins[[#This Row],[Surgery Start Date]]),ROUND((#REF!-TIME(0,0,0))*1440,0)+1440,ROUND((#REF!-TIME(0,0,0))*1440,0))</f>
        <v>#REF!</v>
      </c>
      <c r="V137" s="9" t="e">
        <f>IF(AND(ROUND((#REF!-TIME(0,0,0))*1440,0)&gt;0,ROUND((#REF!-TIME(0,0,0))*1440,0)&lt;tbl_Case_mins[[#This Row],[Into Recov]],tbl_Case_mins[[#This Row],[Surgery End Date]]&gt;tbl_Case_mins[[#This Row],[Surgery Start Date]]),ROUND((#REF!-TIME(0,0,0))*1440,0)+1440,ROUND((#REF!-TIME(0,0,0))*1440,0))</f>
        <v>#REF!</v>
      </c>
      <c r="W137" s="9" t="e">
        <f>IF(AND(ROUND((#REF!-TIME(0,0,0))*1440,0)&gt;0,ROUND((#REF!-TIME(0,0,0))*1440,0)&lt;tbl_Case_mins[[#This Row],[Ward Called]],tbl_Case_mins[[#This Row],[Surgery End Date]]&gt;tbl_Case_mins[[#This Row],[Surgery Start Date]]),ROUND((#REF!-TIME(0,0,0))*1440,0)+1440,ROUND((#REF!-TIME(0,0,0))*1440,0))</f>
        <v>#REF!</v>
      </c>
      <c r="X137" s="4" t="e">
        <f>IF(ISBLANK(#REF!),tbl_Case_mins[[#This Row],[Surgery Start Date]],#REF!)</f>
        <v>#REF!</v>
      </c>
      <c r="Y137">
        <f>IFERROR(IF(VLOOKUP(tbl_Case_mins[[#This Row],[Theatre]],'Mng Theatres'!$C$7:$G$12,3,FALSE)="Yes","Yes","No"),0)</f>
        <v>0</v>
      </c>
      <c r="Z137" s="9" t="e" cm="1">
        <f t="array" ref="Z13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7" s="9" t="e" cm="1">
        <f t="array" ref="AA13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7" s="9" t="e">
        <f>IF(tbl_Case_mins[[#This Row],[Case Type]]="Unsch",1,0)</f>
        <v>#REF!</v>
      </c>
      <c r="AD137" s="9" t="e">
        <f>IF(tbl_Case_mins[[#This Row],[Case Type]]="Sch",1,0)</f>
        <v>#REF!</v>
      </c>
      <c r="AE13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7" s="9">
        <f>IFERROR(IF(ISBLANK(INDEX(Am_Close,MATCH(1,INDEX((tbl_Case_mins[[#This Row],[Theatre]]=Theatre_No)*(tbl_Case_mins[[#This Row],[Surgery Start Date]]=Date),0,1),0))*1440),0,INDEX(Am_Close,MATCH(1,INDEX((tbl_Case_mins[[#This Row],[Theatre]]=Theatre_No)*(tbl_Case_mins[[#This Row],[Surgery Start Date]]=Date),0,1),0))*1440),0)</f>
        <v>0</v>
      </c>
      <c r="AG137" s="9">
        <f>IFERROR(IF(ISBLANK(INDEX(PM_Open,MATCH(1,INDEX((tbl_Case_mins[[#This Row],[Theatre]]=Theatre_No)*(tbl_Case_mins[[#This Row],[Surgery Start Date]]=Date),0,1),0))*1440),0,INDEX(PM_Open,MATCH(1,INDEX((tbl_Case_mins[[#This Row],[Theatre]]=Theatre_No)*(tbl_Case_mins[[#This Row],[Surgery Start Date]]=Date),0,1),0))*1440),0)</f>
        <v>0</v>
      </c>
      <c r="AH13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7" s="9" t="e">
        <f>IF(tbl_Case_mins[[#This Row],[ThOpenAm]]=0,tbl_Case_mins[[#This Row],[ThOpenPM]],tbl_Case_mins[[#This Row],[ThOpenAm]])</f>
        <v>#REF!</v>
      </c>
      <c r="AJ137" s="9" t="e">
        <f>IF(tbl_Case_mins[[#This Row],[ThCloseAm]]&gt;0,IF(tbl_Case_mins[[#This Row],[ThOpenPM]]&gt;0,tbl_Case_mins[[#This Row],[ThClosePm]],tbl_Case_mins[[#This Row],[ThCloseAm]]),tbl_Case_mins[[#This Row],[ThClosePm]])</f>
        <v>#REF!</v>
      </c>
      <c r="AK137" s="9" t="e">
        <f>IF(tbl_Case_mins[[#This Row],[TOT]]&gt;0,1,0)</f>
        <v>#REF!</v>
      </c>
      <c r="AL13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7" s="9" t="e">
        <f>IF(AND(tbl_Case_mins[[#This Row],[Surgery Status]]&lt;&gt;2,tbl_Case_mins[[#This Row],[InCoreCase]]=0,tbl_Case_mins[[#This Row],[CancelledCase]]=0),1,0)</f>
        <v>#REF!</v>
      </c>
      <c r="AN137" s="9" t="e">
        <f>IF(tbl_Case_mins[[#This Row],[Surgery Status]]=1,1,0)</f>
        <v>#REF!</v>
      </c>
      <c r="AO13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7" s="9" t="e">
        <f>IF(AND(tbl_Case_mins[[#This Row],[NonCoreCase]]=1,tbl_Case_mins[[#This Row],[NoInCoreTime]]=0),1,0)</f>
        <v>#REF!</v>
      </c>
      <c r="AQ137" s="9" t="e">
        <f>IF(tbl_Case_mins[[#This Row],[Rank_AnaEnd]]&lt;tbl_Case_mins[[#This Row],[Rank_AnaSt]],1,0)</f>
        <v>#REF!</v>
      </c>
      <c r="AR137" s="9" t="e">
        <f>IF(AND(tbl_Case_mins[[#This Row],[InCoreCase]]=1,tbl_Case_mins[[#This Row],[Sch]]=1),1,0)</f>
        <v>#REF!</v>
      </c>
      <c r="AS137" s="9" t="e">
        <f>IF(AND(tbl_Case_mins[[#This Row],[InCoreCase]]=1,tbl_Case_mins[[#This Row],[Unsch]]=1),1,0)</f>
        <v>#REF!</v>
      </c>
      <c r="AT13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7" s="9" t="e">
        <f>IF(tbl_Case_mins[[#This Row],[Surgery Status]]=0,(tbl_Case_mins[[#This Row],[Anaesth End]]-tbl_Case_mins[[#This Row],[AnaesthStart]]),0)</f>
        <v>#REF!</v>
      </c>
      <c r="AX137" s="9" t="e">
        <f>IF(tbl_Case_mins[[#This Row],[Surgery Status]]=0,(tbl_Case_mins[[#This Row],[Surgery Finish]]-tbl_Case_mins[[#This Row],[Surgery Start]]),0)</f>
        <v>#REF!</v>
      </c>
      <c r="AY137" s="9" t="e">
        <f>tbl_Case_mins[[#This Row],[Surgery Start]]-tbl_Case_mins[[#This Row],[AnaesthStart]]</f>
        <v>#REF!</v>
      </c>
      <c r="AZ137" s="9" t="e">
        <f>tbl_Case_mins[[#This Row],[Anaesth End]]-tbl_Case_mins[[#This Row],[Surgery Finish]]</f>
        <v>#REF!</v>
      </c>
      <c r="BA13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7" s="16" cm="1">
        <f t="array" ref="BC13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7" s="16" t="e">
        <f>IF(AND(tbl_Case_mins[[#This Row],[FirstAMCase]]=1,tbl_Case_mins[[#This Row],[CancelledCase]]=0,OR(tbl_Case_mins[[#This Row],[EarlyStartAM]]&gt;0,tbl_Case_mins[[#This Row],[AnaesthStart]]=tbl_Case_mins[[#This Row],[ThOpenAm]])),1,0)</f>
        <v>#REF!</v>
      </c>
      <c r="BE137" s="16" t="e">
        <f>IF(AND(tbl_Case_mins[[#This Row],[Rank_AnaSt]]=tbl_Case_mins[[#This Row],[Min_RankAnaSt]],tbl_Case_mins[[#This Row],[Anaesth End]]&gt;=tbl_Case_mins[[#This Row],[ThOpenAm]],tbl_Case_mins[[#This Row],[PmCase]]=0),1,0)</f>
        <v>#REF!</v>
      </c>
      <c r="BF13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7" s="9" t="e" cm="1">
        <f t="array" ref="BH13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7" s="9" t="e">
        <f>IF(AND(tbl_Case_mins[[#This Row],[ThOpenPM]]&gt;0,tbl_Case_mins[[#This Row],[AnaesthStart]]&gt;tbl_Case_mins[[#This Row],[ThOpenPM]],tbl_Case_mins[[#This Row],[First PM Case]]=1),tbl_Case_mins[[#This Row],[AnaesthStart]]-tbl_Case_mins[[#This Row],[ThOpenPM]],0)</f>
        <v>#REF!</v>
      </c>
      <c r="BL13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7" s="9" t="e" cm="1">
        <f t="array" ref="BN13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7" s="9" t="e">
        <f>IF(AND(tbl_Case_mins[[#This Row],[ThClosePm]]&gt;0,tbl_Case_mins[[#This Row],[Anaesth End]]&gt;tbl_Case_mins[[#This Row],[ThClosePm]],tbl_Case_mins[[#This Row],[AnaesthStart]]&gt;tbl_Case_mins[[#This Row],[ThClosePm]]),tbl_Case_mins[[#This Row],[Into Recov]]-tbl_Case_mins[[#This Row],[AnaesthStart]],0)</f>
        <v>#REF!</v>
      </c>
      <c r="BP137" s="9" t="e">
        <f>IF(AND(tbl_Case_mins[[#This Row],[AnaesthStart]]&lt;tbl_Case_mins[[#This Row],[ThClosePm]],tbl_Case_mins[[#This Row],[Anaesth End]]&gt;tbl_Case_mins[[#This Row],[ThClosePm]]),tbl_Case_mins[[#This Row],[Anaesth End]]-tbl_Case_mins[[#This Row],[ThClosePm]],0)</f>
        <v>#REF!</v>
      </c>
      <c r="BQ137" s="9" t="e" cm="1">
        <f t="array" ref="BQ13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7" s="9" t="e" cm="1">
        <f t="array" ref="BR137">IF(tbl_Case_mins[[#This Row],[Rank_Adjust]]=SUMPRODUCT(-(tbl_Case_mins[Surgery Start Date]=tbl_Case_mins[[#This Row],[Surgery Start Date]]),-(tbl_Case_mins[Theatre]=tbl_Case_mins[[#This Row],[Theatre]])),INDEX(Poss_Time,MATCH(TEXT(tbl_Case_mins[[#This Row],[Surgery Start Date]],"ddd"),Day,0)),0)</f>
        <v>#REF!</v>
      </c>
      <c r="BS137" s="9" t="e">
        <f>tbl_Case_mins[[#This Row],[Core_Time]]*Util_Goal</f>
        <v>#REF!</v>
      </c>
      <c r="BT137" s="9" t="e" cm="1">
        <f t="array" ref="BT1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7" s="9" t="e" cm="1">
        <f t="array" ref="BU1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7" s="9" t="e">
        <f>IF(tbl_Case_mins[[#This Row],[Surgery End Date]]&gt;tbl_Case_mins[[#This Row],[Surgery Start Date]],tbl_Case_mins[[#This Row],[Anaesth End]]-1440,0)</f>
        <v>#REF!</v>
      </c>
      <c r="BY137" s="9" t="e">
        <f>tbl_Case_mins[[#This Row],[Total_NonCore]]-tbl_Case_mins[[#This Row],[NextDay_NonCore]]</f>
        <v>#REF!</v>
      </c>
      <c r="BZ137" s="10" t="e">
        <f>tbl_Case_mins[[#This Row],[InCoreUse]]/60</f>
        <v>#REF!</v>
      </c>
      <c r="CA137" s="10" t="e">
        <f>tbl_Case_mins[[#This Row],[Total_NonCore]]/60</f>
        <v>#REF!</v>
      </c>
      <c r="CB137" t="e" cm="1">
        <f t="array" ref="CB1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7" s="9" t="e" cm="1">
        <f t="array" ref="CC13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7" s="9" t="e" cm="1">
        <f t="array" ref="CD1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7" s="9" t="e" cm="1">
        <f t="array" ref="CE13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7" s="9" cm="1">
        <f t="array" ref="CF137">IFERROR(_xlfn.AGGREGATE(14,6,(tbl_Case_mins[Rank_AnaEnd])/((tbl_Case_mins[Surgery Start Date]=tbl_Case_mins[[#This Row],[Surgery Start Date]])*(tbl_Case_mins[Theatre]=tbl_Case_mins[[#This Row],[Theatre]])*(tbl_Case_mins[NoInCoreTime]=0)),1),-1)</f>
        <v>-1</v>
      </c>
      <c r="CG137" s="9" cm="1">
        <f t="array" ref="CG137">IFERROR(_xlfn.AGGREGATE(15,6,(tbl_Case_mins[Rank_AnaSt])/((tbl_Case_mins[Surgery Start Date]=tbl_Case_mins[[#This Row],[Surgery Start Date]])*(tbl_Case_mins[Theatre]=tbl_Case_mins[[#This Row],[Theatre]])*(tbl_Case_mins[NoInCoreTime]=0)),1),-1)</f>
        <v>-1</v>
      </c>
      <c r="CH13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7" t="e" cm="1">
        <f t="array" ref="CJ13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7" s="9" cm="1">
        <f t="array" ref="CO1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7" s="9" cm="1">
        <f t="array" ref="CP1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7" s="9" cm="1">
        <f t="array" ref="CQ137">IFERROR(IF(AND(tbl_Case_mins[[#This Row],[FirstAMCase]]=0,tbl_Case_mins[[#This Row],[Rank]]=_xlfn.AGGREGATE(14,6,(tbl_Case_mins[Rank])/((tbl_Case_mins[Surgery Start Date]=tbl_Case_mins[[#This Row],[Surgery Start Date]])*(tbl_Case_mins[Theatre]=tbl_Case_mins[[#This Row],[Theatre]])*(tbl_Case_mins[AmCase]=1)),1)),1,0),0)</f>
        <v>0</v>
      </c>
      <c r="CR137" s="9" cm="1">
        <f t="array" ref="CR13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7" s="9" t="e" cm="1">
        <f t="array" ref="CS13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7" s="9" cm="1">
        <f t="array" ref="CT137">IFERROR(IF(tbl_Case_mins[[#This Row],[Rank]]=_xlfn.AGGREGATE(15,6,(tbl_Case_mins[Rank])/((tbl_Case_mins[Surgery Start Date]=tbl_Case_mins[[#This Row],[Surgery Start Date]])*(tbl_Case_mins[Theatre]=tbl_Case_mins[[#This Row],[Theatre]])*(tbl_Case_mins[PmCase]=1)),1),1,0),0)</f>
        <v>0</v>
      </c>
      <c r="CU137">
        <f>IFERROR(#REF!,0)</f>
        <v>0</v>
      </c>
      <c r="CV137" s="9" t="e" cm="1">
        <f t="array" ref="CV13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7" s="9">
        <f>IFERROR(IF(ISBLANK(INDEX(Bay_AmClose,MATCH(1,INDEX((tbl_Case_mins[[#This Row],[Bay]]=BayNo)*(tbl_Case_mins[[#This Row],[Surgery Start Date]]=BDate),0,1),0))*1440),0,INDEX(Bay_AmClose,MATCH(1,INDEX((tbl_Case_mins[[#This Row],[Bay]]=BayNo)*(tbl_Case_mins[[#This Row],[Surgery Start Date]]=BDate),0,1),0))*1440),0)</f>
        <v>0</v>
      </c>
      <c r="CX137" s="9" cm="1">
        <f t="array" ref="CX137">IFERROR(IF(ISBLANK(INDEX(Bay_PmOpen,MATCH(1,INDEX((tbl_Case_mins[[#This Row],[Bay]]=BayNo)*(tbl_Case_mins[[#This Row],[Surgery Start Date]]=BDate),0,1),0))*1440),0,INDEX(Bay_PmOpen,MATCH(1,INDEX((tbl_Case_mins[[#This Row],[Bay]]=BayNo)*(tbl_Case_mins[[#This Row],[Surgery Start Date]]=BDate),0,1),0))*1440),0)</f>
        <v>0</v>
      </c>
      <c r="CY13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7" s="9"/>
    </row>
    <row r="138" spans="1:104" x14ac:dyDescent="0.2">
      <c r="A138">
        <v>137</v>
      </c>
      <c r="B138" t="e">
        <f>#REF!</f>
        <v>#REF!</v>
      </c>
      <c r="C138" t="e">
        <f>#REF!</f>
        <v>#REF!</v>
      </c>
      <c r="D138" t="e">
        <f>#REF!</f>
        <v>#REF!</v>
      </c>
      <c r="E138" t="e">
        <f>#REF!</f>
        <v>#REF!</v>
      </c>
      <c r="F138" t="e">
        <f>#REF!</f>
        <v>#REF!</v>
      </c>
      <c r="G138" t="e">
        <f>#REF!</f>
        <v>#REF!</v>
      </c>
      <c r="H138" t="e">
        <f>#REF!</f>
        <v>#REF!</v>
      </c>
      <c r="I138" t="e">
        <f>IF(#REF!="Case Cancelled",1,IF(#REF!="No Cases",2,0))</f>
        <v>#REF!</v>
      </c>
      <c r="J138" t="e">
        <f>#REF!</f>
        <v>#REF!</v>
      </c>
      <c r="K138" s="4" t="e">
        <f>#REF!</f>
        <v>#REF!</v>
      </c>
      <c r="L138" t="e">
        <f>"Wk "&amp;WEEKNUM(tbl_Case_mins[[#This Row],[Surgery Start Date]],21)</f>
        <v>#REF!</v>
      </c>
      <c r="M138" t="e">
        <f>TEXT(tbl_Case_mins[[#This Row],[Surgery Start Date]],"ddd")</f>
        <v>#REF!</v>
      </c>
      <c r="N138" s="9" t="e">
        <f>(#REF!-TIME(0,0,0))*1440</f>
        <v>#REF!</v>
      </c>
      <c r="O138" t="e">
        <f>IF(AND(ROUND((#REF!-TIME(0,0,0))*1440,0)&gt;0,ROUND((#REF!-TIME(0,0,0))*1440,0)&lt;tbl_Case_mins[[#This Row],[Patient Called]],tbl_Case_mins[[#This Row],[Surgery End Date]]&gt;tbl_Case_mins[[#This Row],[Surgery Start Date]]),ROUND((#REF!-TIME(0,0,0))*1440,0)+1440,ROUND((#REF!-TIME(0,0,0))*1440,0))</f>
        <v>#REF!</v>
      </c>
      <c r="P138" s="9" t="e">
        <f>IF(AND(ROUND((#REF!-TIME(0,0,0))*1440,0)&gt;0,ROUND((#REF!-TIME(0,0,0))*1440,0)&lt;tbl_Case_mins[[#This Row],[Arrival]],tbl_Case_mins[[#This Row],[Surgery End Date]]&gt;tbl_Case_mins[[#This Row],[Surgery Start Date]]),ROUND((#REF!-TIME(0,0,0))*1440,0)+1440,ROUND((#REF!-TIME(0,0,0))*1440,0))</f>
        <v>#REF!</v>
      </c>
      <c r="Q138" s="9" t="e">
        <f>IF(AND(ROUND((#REF!-TIME(0,0,0))*1440,0)&gt;0,ROUND((#REF!-TIME(0,0,0))*1440,0)&lt;tbl_Case_mins[[#This Row],[Into Th or AR]],tbl_Case_mins[[#This Row],[Surgery End Date]]&gt;tbl_Case_mins[[#This Row],[Surgery Start Date]]),ROUND((#REF!-TIME(0,0,0))*1440,0)+1440,ROUND((#REF!-TIME(0,0,0))*1440,0))</f>
        <v>#REF!</v>
      </c>
      <c r="R138" s="9" t="e">
        <f>IF(AND(ROUND((#REF!-TIME(0,0,0))*1440,0)&gt;0,ROUND((#REF!-TIME(0,0,0))*1440,0)&lt;tbl_Case_mins[[#This Row],[AnaesthStart]],tbl_Case_mins[[#This Row],[Surgery End Date]]&gt;tbl_Case_mins[[#This Row],[Surgery Start Date]]),ROUND((#REF!-TIME(0,0,0))*1440,0)+1440,ROUND((#REF!-TIME(0,0,0))*1440,0))</f>
        <v>#REF!</v>
      </c>
      <c r="S138" s="9" t="e">
        <f>IF(AND(ROUND((#REF!-TIME(0,0,0))*1440,0),ROUND((#REF!-TIME(0,0,0))*1440,0)&lt;tbl_Case_mins[[#This Row],[Surgery Start]],tbl_Case_mins[[#This Row],[Surgery End Date]]&gt;tbl_Case_mins[[#This Row],[Surgery Start Date]]),ROUND((#REF!-TIME(0,0,0))*1440,0)+1440,ROUND((#REF!-TIME(0,0,0))*1440,0))</f>
        <v>#REF!</v>
      </c>
      <c r="T138" s="9" t="e">
        <f>IF(AND(ROUND((#REF!-TIME(0,0,0))*1440,0)&gt;0,ROUND((#REF!-TIME(0,0,0))*1440,0)&lt;tbl_Case_mins[[#This Row],[Surgery Finish]],tbl_Case_mins[[#This Row],[Surgery End Date]]&gt;tbl_Case_mins[[#This Row],[Surgery Start Date]]),ROUND((#REF!-TIME(0,0,0))*1440,0)+1440,ROUND((#REF!-TIME(0,0,0))*1440,0))</f>
        <v>#REF!</v>
      </c>
      <c r="U138" s="9" t="e">
        <f>IF(AND(ROUND((#REF!-TIME(0,0,0))*1440,0)&gt;0,ROUND((#REF!-TIME(0,0,0))*1440,0)&lt;tbl_Case_mins[[#This Row],[Anaesth End]],tbl_Case_mins[[#This Row],[Surgery End Date]]&gt;tbl_Case_mins[[#This Row],[Surgery Start Date]]),ROUND((#REF!-TIME(0,0,0))*1440,0)+1440,ROUND((#REF!-TIME(0,0,0))*1440,0))</f>
        <v>#REF!</v>
      </c>
      <c r="V138" s="9" t="e">
        <f>IF(AND(ROUND((#REF!-TIME(0,0,0))*1440,0)&gt;0,ROUND((#REF!-TIME(0,0,0))*1440,0)&lt;tbl_Case_mins[[#This Row],[Into Recov]],tbl_Case_mins[[#This Row],[Surgery End Date]]&gt;tbl_Case_mins[[#This Row],[Surgery Start Date]]),ROUND((#REF!-TIME(0,0,0))*1440,0)+1440,ROUND((#REF!-TIME(0,0,0))*1440,0))</f>
        <v>#REF!</v>
      </c>
      <c r="W138" s="9" t="e">
        <f>IF(AND(ROUND((#REF!-TIME(0,0,0))*1440,0)&gt;0,ROUND((#REF!-TIME(0,0,0))*1440,0)&lt;tbl_Case_mins[[#This Row],[Ward Called]],tbl_Case_mins[[#This Row],[Surgery End Date]]&gt;tbl_Case_mins[[#This Row],[Surgery Start Date]]),ROUND((#REF!-TIME(0,0,0))*1440,0)+1440,ROUND((#REF!-TIME(0,0,0))*1440,0))</f>
        <v>#REF!</v>
      </c>
      <c r="X138" s="4" t="e">
        <f>IF(ISBLANK(#REF!),tbl_Case_mins[[#This Row],[Surgery Start Date]],#REF!)</f>
        <v>#REF!</v>
      </c>
      <c r="Y138">
        <f>IFERROR(IF(VLOOKUP(tbl_Case_mins[[#This Row],[Theatre]],'Mng Theatres'!$C$7:$G$12,3,FALSE)="Yes","Yes","No"),0)</f>
        <v>0</v>
      </c>
      <c r="Z138" s="9" t="e" cm="1">
        <f t="array" ref="Z13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8" s="9" t="e" cm="1">
        <f t="array" ref="AA13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8" s="9" t="e">
        <f>IF(tbl_Case_mins[[#This Row],[Case Type]]="Unsch",1,0)</f>
        <v>#REF!</v>
      </c>
      <c r="AD138" s="9" t="e">
        <f>IF(tbl_Case_mins[[#This Row],[Case Type]]="Sch",1,0)</f>
        <v>#REF!</v>
      </c>
      <c r="AE13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8" s="9">
        <f>IFERROR(IF(ISBLANK(INDEX(Am_Close,MATCH(1,INDEX((tbl_Case_mins[[#This Row],[Theatre]]=Theatre_No)*(tbl_Case_mins[[#This Row],[Surgery Start Date]]=Date),0,1),0))*1440),0,INDEX(Am_Close,MATCH(1,INDEX((tbl_Case_mins[[#This Row],[Theatre]]=Theatre_No)*(tbl_Case_mins[[#This Row],[Surgery Start Date]]=Date),0,1),0))*1440),0)</f>
        <v>0</v>
      </c>
      <c r="AG138" s="9">
        <f>IFERROR(IF(ISBLANK(INDEX(PM_Open,MATCH(1,INDEX((tbl_Case_mins[[#This Row],[Theatre]]=Theatre_No)*(tbl_Case_mins[[#This Row],[Surgery Start Date]]=Date),0,1),0))*1440),0,INDEX(PM_Open,MATCH(1,INDEX((tbl_Case_mins[[#This Row],[Theatre]]=Theatre_No)*(tbl_Case_mins[[#This Row],[Surgery Start Date]]=Date),0,1),0))*1440),0)</f>
        <v>0</v>
      </c>
      <c r="AH13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8" s="9" t="e">
        <f>IF(tbl_Case_mins[[#This Row],[ThOpenAm]]=0,tbl_Case_mins[[#This Row],[ThOpenPM]],tbl_Case_mins[[#This Row],[ThOpenAm]])</f>
        <v>#REF!</v>
      </c>
      <c r="AJ138" s="9" t="e">
        <f>IF(tbl_Case_mins[[#This Row],[ThCloseAm]]&gt;0,IF(tbl_Case_mins[[#This Row],[ThOpenPM]]&gt;0,tbl_Case_mins[[#This Row],[ThClosePm]],tbl_Case_mins[[#This Row],[ThCloseAm]]),tbl_Case_mins[[#This Row],[ThClosePm]])</f>
        <v>#REF!</v>
      </c>
      <c r="AK138" s="9" t="e">
        <f>IF(tbl_Case_mins[[#This Row],[TOT]]&gt;0,1,0)</f>
        <v>#REF!</v>
      </c>
      <c r="AL13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8" s="9" t="e">
        <f>IF(AND(tbl_Case_mins[[#This Row],[Surgery Status]]&lt;&gt;2,tbl_Case_mins[[#This Row],[InCoreCase]]=0,tbl_Case_mins[[#This Row],[CancelledCase]]=0),1,0)</f>
        <v>#REF!</v>
      </c>
      <c r="AN138" s="9" t="e">
        <f>IF(tbl_Case_mins[[#This Row],[Surgery Status]]=1,1,0)</f>
        <v>#REF!</v>
      </c>
      <c r="AO13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8" s="9" t="e">
        <f>IF(AND(tbl_Case_mins[[#This Row],[NonCoreCase]]=1,tbl_Case_mins[[#This Row],[NoInCoreTime]]=0),1,0)</f>
        <v>#REF!</v>
      </c>
      <c r="AQ138" s="9" t="e">
        <f>IF(tbl_Case_mins[[#This Row],[Rank_AnaEnd]]&lt;tbl_Case_mins[[#This Row],[Rank_AnaSt]],1,0)</f>
        <v>#REF!</v>
      </c>
      <c r="AR138" s="9" t="e">
        <f>IF(AND(tbl_Case_mins[[#This Row],[InCoreCase]]=1,tbl_Case_mins[[#This Row],[Sch]]=1),1,0)</f>
        <v>#REF!</v>
      </c>
      <c r="AS138" s="9" t="e">
        <f>IF(AND(tbl_Case_mins[[#This Row],[InCoreCase]]=1,tbl_Case_mins[[#This Row],[Unsch]]=1),1,0)</f>
        <v>#REF!</v>
      </c>
      <c r="AT13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8" s="9" t="e">
        <f>IF(tbl_Case_mins[[#This Row],[Surgery Status]]=0,(tbl_Case_mins[[#This Row],[Anaesth End]]-tbl_Case_mins[[#This Row],[AnaesthStart]]),0)</f>
        <v>#REF!</v>
      </c>
      <c r="AX138" s="9" t="e">
        <f>IF(tbl_Case_mins[[#This Row],[Surgery Status]]=0,(tbl_Case_mins[[#This Row],[Surgery Finish]]-tbl_Case_mins[[#This Row],[Surgery Start]]),0)</f>
        <v>#REF!</v>
      </c>
      <c r="AY138" s="9" t="e">
        <f>tbl_Case_mins[[#This Row],[Surgery Start]]-tbl_Case_mins[[#This Row],[AnaesthStart]]</f>
        <v>#REF!</v>
      </c>
      <c r="AZ138" s="9" t="e">
        <f>tbl_Case_mins[[#This Row],[Anaesth End]]-tbl_Case_mins[[#This Row],[Surgery Finish]]</f>
        <v>#REF!</v>
      </c>
      <c r="BA13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8" s="16" cm="1">
        <f t="array" ref="BC13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8" s="16" t="e">
        <f>IF(AND(tbl_Case_mins[[#This Row],[FirstAMCase]]=1,tbl_Case_mins[[#This Row],[CancelledCase]]=0,OR(tbl_Case_mins[[#This Row],[EarlyStartAM]]&gt;0,tbl_Case_mins[[#This Row],[AnaesthStart]]=tbl_Case_mins[[#This Row],[ThOpenAm]])),1,0)</f>
        <v>#REF!</v>
      </c>
      <c r="BE138" s="16" t="e">
        <f>IF(AND(tbl_Case_mins[[#This Row],[Rank_AnaSt]]=tbl_Case_mins[[#This Row],[Min_RankAnaSt]],tbl_Case_mins[[#This Row],[Anaesth End]]&gt;=tbl_Case_mins[[#This Row],[ThOpenAm]],tbl_Case_mins[[#This Row],[PmCase]]=0),1,0)</f>
        <v>#REF!</v>
      </c>
      <c r="BF13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8" s="9" t="e" cm="1">
        <f t="array" ref="BH13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8" s="9" t="e">
        <f>IF(AND(tbl_Case_mins[[#This Row],[ThOpenPM]]&gt;0,tbl_Case_mins[[#This Row],[AnaesthStart]]&gt;tbl_Case_mins[[#This Row],[ThOpenPM]],tbl_Case_mins[[#This Row],[First PM Case]]=1),tbl_Case_mins[[#This Row],[AnaesthStart]]-tbl_Case_mins[[#This Row],[ThOpenPM]],0)</f>
        <v>#REF!</v>
      </c>
      <c r="BL13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8" s="9" t="e" cm="1">
        <f t="array" ref="BN13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8" s="9" t="e">
        <f>IF(AND(tbl_Case_mins[[#This Row],[ThClosePm]]&gt;0,tbl_Case_mins[[#This Row],[Anaesth End]]&gt;tbl_Case_mins[[#This Row],[ThClosePm]],tbl_Case_mins[[#This Row],[AnaesthStart]]&gt;tbl_Case_mins[[#This Row],[ThClosePm]]),tbl_Case_mins[[#This Row],[Into Recov]]-tbl_Case_mins[[#This Row],[AnaesthStart]],0)</f>
        <v>#REF!</v>
      </c>
      <c r="BP138" s="9" t="e">
        <f>IF(AND(tbl_Case_mins[[#This Row],[AnaesthStart]]&lt;tbl_Case_mins[[#This Row],[ThClosePm]],tbl_Case_mins[[#This Row],[Anaesth End]]&gt;tbl_Case_mins[[#This Row],[ThClosePm]]),tbl_Case_mins[[#This Row],[Anaesth End]]-tbl_Case_mins[[#This Row],[ThClosePm]],0)</f>
        <v>#REF!</v>
      </c>
      <c r="BQ138" s="9" t="e" cm="1">
        <f t="array" ref="BQ13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8" s="9" t="e" cm="1">
        <f t="array" ref="BR138">IF(tbl_Case_mins[[#This Row],[Rank_Adjust]]=SUMPRODUCT(-(tbl_Case_mins[Surgery Start Date]=tbl_Case_mins[[#This Row],[Surgery Start Date]]),-(tbl_Case_mins[Theatre]=tbl_Case_mins[[#This Row],[Theatre]])),INDEX(Poss_Time,MATCH(TEXT(tbl_Case_mins[[#This Row],[Surgery Start Date]],"ddd"),Day,0)),0)</f>
        <v>#REF!</v>
      </c>
      <c r="BS138" s="9" t="e">
        <f>tbl_Case_mins[[#This Row],[Core_Time]]*Util_Goal</f>
        <v>#REF!</v>
      </c>
      <c r="BT138" s="9" t="e" cm="1">
        <f t="array" ref="BT1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8" s="9" t="e" cm="1">
        <f t="array" ref="BU1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8" s="9" t="e">
        <f>IF(tbl_Case_mins[[#This Row],[Surgery End Date]]&gt;tbl_Case_mins[[#This Row],[Surgery Start Date]],tbl_Case_mins[[#This Row],[Anaesth End]]-1440,0)</f>
        <v>#REF!</v>
      </c>
      <c r="BY138" s="9" t="e">
        <f>tbl_Case_mins[[#This Row],[Total_NonCore]]-tbl_Case_mins[[#This Row],[NextDay_NonCore]]</f>
        <v>#REF!</v>
      </c>
      <c r="BZ138" s="10" t="e">
        <f>tbl_Case_mins[[#This Row],[InCoreUse]]/60</f>
        <v>#REF!</v>
      </c>
      <c r="CA138" s="10" t="e">
        <f>tbl_Case_mins[[#This Row],[Total_NonCore]]/60</f>
        <v>#REF!</v>
      </c>
      <c r="CB138" t="e" cm="1">
        <f t="array" ref="CB1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8" s="9" t="e" cm="1">
        <f t="array" ref="CC13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8" s="9" t="e" cm="1">
        <f t="array" ref="CD1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8" s="9" t="e" cm="1">
        <f t="array" ref="CE13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8" s="9" cm="1">
        <f t="array" ref="CF138">IFERROR(_xlfn.AGGREGATE(14,6,(tbl_Case_mins[Rank_AnaEnd])/((tbl_Case_mins[Surgery Start Date]=tbl_Case_mins[[#This Row],[Surgery Start Date]])*(tbl_Case_mins[Theatre]=tbl_Case_mins[[#This Row],[Theatre]])*(tbl_Case_mins[NoInCoreTime]=0)),1),-1)</f>
        <v>-1</v>
      </c>
      <c r="CG138" s="9" cm="1">
        <f t="array" ref="CG138">IFERROR(_xlfn.AGGREGATE(15,6,(tbl_Case_mins[Rank_AnaSt])/((tbl_Case_mins[Surgery Start Date]=tbl_Case_mins[[#This Row],[Surgery Start Date]])*(tbl_Case_mins[Theatre]=tbl_Case_mins[[#This Row],[Theatre]])*(tbl_Case_mins[NoInCoreTime]=0)),1),-1)</f>
        <v>-1</v>
      </c>
      <c r="CH13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8" t="e" cm="1">
        <f t="array" ref="CJ13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8" s="9" cm="1">
        <f t="array" ref="CO1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8" s="9" cm="1">
        <f t="array" ref="CP1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8" s="9" cm="1">
        <f t="array" ref="CQ138">IFERROR(IF(AND(tbl_Case_mins[[#This Row],[FirstAMCase]]=0,tbl_Case_mins[[#This Row],[Rank]]=_xlfn.AGGREGATE(14,6,(tbl_Case_mins[Rank])/((tbl_Case_mins[Surgery Start Date]=tbl_Case_mins[[#This Row],[Surgery Start Date]])*(tbl_Case_mins[Theatre]=tbl_Case_mins[[#This Row],[Theatre]])*(tbl_Case_mins[AmCase]=1)),1)),1,0),0)</f>
        <v>0</v>
      </c>
      <c r="CR138" s="9" cm="1">
        <f t="array" ref="CR13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8" s="9" t="e" cm="1">
        <f t="array" ref="CS13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8" s="9" cm="1">
        <f t="array" ref="CT138">IFERROR(IF(tbl_Case_mins[[#This Row],[Rank]]=_xlfn.AGGREGATE(15,6,(tbl_Case_mins[Rank])/((tbl_Case_mins[Surgery Start Date]=tbl_Case_mins[[#This Row],[Surgery Start Date]])*(tbl_Case_mins[Theatre]=tbl_Case_mins[[#This Row],[Theatre]])*(tbl_Case_mins[PmCase]=1)),1),1,0),0)</f>
        <v>0</v>
      </c>
      <c r="CU138">
        <f>IFERROR(#REF!,0)</f>
        <v>0</v>
      </c>
      <c r="CV138" s="9" t="e" cm="1">
        <f t="array" ref="CV13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8" s="9">
        <f>IFERROR(IF(ISBLANK(INDEX(Bay_AmClose,MATCH(1,INDEX((tbl_Case_mins[[#This Row],[Bay]]=BayNo)*(tbl_Case_mins[[#This Row],[Surgery Start Date]]=BDate),0,1),0))*1440),0,INDEX(Bay_AmClose,MATCH(1,INDEX((tbl_Case_mins[[#This Row],[Bay]]=BayNo)*(tbl_Case_mins[[#This Row],[Surgery Start Date]]=BDate),0,1),0))*1440),0)</f>
        <v>0</v>
      </c>
      <c r="CX138" s="9" cm="1">
        <f t="array" ref="CX138">IFERROR(IF(ISBLANK(INDEX(Bay_PmOpen,MATCH(1,INDEX((tbl_Case_mins[[#This Row],[Bay]]=BayNo)*(tbl_Case_mins[[#This Row],[Surgery Start Date]]=BDate),0,1),0))*1440),0,INDEX(Bay_PmOpen,MATCH(1,INDEX((tbl_Case_mins[[#This Row],[Bay]]=BayNo)*(tbl_Case_mins[[#This Row],[Surgery Start Date]]=BDate),0,1),0))*1440),0)</f>
        <v>0</v>
      </c>
      <c r="CY13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8" s="9"/>
    </row>
    <row r="139" spans="1:104" x14ac:dyDescent="0.2">
      <c r="A139">
        <v>138</v>
      </c>
      <c r="B139" t="e">
        <f>#REF!</f>
        <v>#REF!</v>
      </c>
      <c r="C139" t="e">
        <f>#REF!</f>
        <v>#REF!</v>
      </c>
      <c r="D139" t="e">
        <f>#REF!</f>
        <v>#REF!</v>
      </c>
      <c r="E139" t="e">
        <f>#REF!</f>
        <v>#REF!</v>
      </c>
      <c r="F139" t="e">
        <f>#REF!</f>
        <v>#REF!</v>
      </c>
      <c r="G139" t="e">
        <f>#REF!</f>
        <v>#REF!</v>
      </c>
      <c r="H139" t="e">
        <f>#REF!</f>
        <v>#REF!</v>
      </c>
      <c r="I139" t="e">
        <f>IF(#REF!="Case Cancelled",1,IF(#REF!="No Cases",2,0))</f>
        <v>#REF!</v>
      </c>
      <c r="J139" t="e">
        <f>#REF!</f>
        <v>#REF!</v>
      </c>
      <c r="K139" s="4" t="e">
        <f>#REF!</f>
        <v>#REF!</v>
      </c>
      <c r="L139" t="e">
        <f>"Wk "&amp;WEEKNUM(tbl_Case_mins[[#This Row],[Surgery Start Date]],21)</f>
        <v>#REF!</v>
      </c>
      <c r="M139" t="e">
        <f>TEXT(tbl_Case_mins[[#This Row],[Surgery Start Date]],"ddd")</f>
        <v>#REF!</v>
      </c>
      <c r="N139" s="9" t="e">
        <f>(#REF!-TIME(0,0,0))*1440</f>
        <v>#REF!</v>
      </c>
      <c r="O139" t="e">
        <f>IF(AND(ROUND((#REF!-TIME(0,0,0))*1440,0)&gt;0,ROUND((#REF!-TIME(0,0,0))*1440,0)&lt;tbl_Case_mins[[#This Row],[Patient Called]],tbl_Case_mins[[#This Row],[Surgery End Date]]&gt;tbl_Case_mins[[#This Row],[Surgery Start Date]]),ROUND((#REF!-TIME(0,0,0))*1440,0)+1440,ROUND((#REF!-TIME(0,0,0))*1440,0))</f>
        <v>#REF!</v>
      </c>
      <c r="P139" s="9" t="e">
        <f>IF(AND(ROUND((#REF!-TIME(0,0,0))*1440,0)&gt;0,ROUND((#REF!-TIME(0,0,0))*1440,0)&lt;tbl_Case_mins[[#This Row],[Arrival]],tbl_Case_mins[[#This Row],[Surgery End Date]]&gt;tbl_Case_mins[[#This Row],[Surgery Start Date]]),ROUND((#REF!-TIME(0,0,0))*1440,0)+1440,ROUND((#REF!-TIME(0,0,0))*1440,0))</f>
        <v>#REF!</v>
      </c>
      <c r="Q139" s="9" t="e">
        <f>IF(AND(ROUND((#REF!-TIME(0,0,0))*1440,0)&gt;0,ROUND((#REF!-TIME(0,0,0))*1440,0)&lt;tbl_Case_mins[[#This Row],[Into Th or AR]],tbl_Case_mins[[#This Row],[Surgery End Date]]&gt;tbl_Case_mins[[#This Row],[Surgery Start Date]]),ROUND((#REF!-TIME(0,0,0))*1440,0)+1440,ROUND((#REF!-TIME(0,0,0))*1440,0))</f>
        <v>#REF!</v>
      </c>
      <c r="R139" s="9" t="e">
        <f>IF(AND(ROUND((#REF!-TIME(0,0,0))*1440,0)&gt;0,ROUND((#REF!-TIME(0,0,0))*1440,0)&lt;tbl_Case_mins[[#This Row],[AnaesthStart]],tbl_Case_mins[[#This Row],[Surgery End Date]]&gt;tbl_Case_mins[[#This Row],[Surgery Start Date]]),ROUND((#REF!-TIME(0,0,0))*1440,0)+1440,ROUND((#REF!-TIME(0,0,0))*1440,0))</f>
        <v>#REF!</v>
      </c>
      <c r="S139" s="9" t="e">
        <f>IF(AND(ROUND((#REF!-TIME(0,0,0))*1440,0),ROUND((#REF!-TIME(0,0,0))*1440,0)&lt;tbl_Case_mins[[#This Row],[Surgery Start]],tbl_Case_mins[[#This Row],[Surgery End Date]]&gt;tbl_Case_mins[[#This Row],[Surgery Start Date]]),ROUND((#REF!-TIME(0,0,0))*1440,0)+1440,ROUND((#REF!-TIME(0,0,0))*1440,0))</f>
        <v>#REF!</v>
      </c>
      <c r="T139" s="9" t="e">
        <f>IF(AND(ROUND((#REF!-TIME(0,0,0))*1440,0)&gt;0,ROUND((#REF!-TIME(0,0,0))*1440,0)&lt;tbl_Case_mins[[#This Row],[Surgery Finish]],tbl_Case_mins[[#This Row],[Surgery End Date]]&gt;tbl_Case_mins[[#This Row],[Surgery Start Date]]),ROUND((#REF!-TIME(0,0,0))*1440,0)+1440,ROUND((#REF!-TIME(0,0,0))*1440,0))</f>
        <v>#REF!</v>
      </c>
      <c r="U139" s="9" t="e">
        <f>IF(AND(ROUND((#REF!-TIME(0,0,0))*1440,0)&gt;0,ROUND((#REF!-TIME(0,0,0))*1440,0)&lt;tbl_Case_mins[[#This Row],[Anaesth End]],tbl_Case_mins[[#This Row],[Surgery End Date]]&gt;tbl_Case_mins[[#This Row],[Surgery Start Date]]),ROUND((#REF!-TIME(0,0,0))*1440,0)+1440,ROUND((#REF!-TIME(0,0,0))*1440,0))</f>
        <v>#REF!</v>
      </c>
      <c r="V139" s="9" t="e">
        <f>IF(AND(ROUND((#REF!-TIME(0,0,0))*1440,0)&gt;0,ROUND((#REF!-TIME(0,0,0))*1440,0)&lt;tbl_Case_mins[[#This Row],[Into Recov]],tbl_Case_mins[[#This Row],[Surgery End Date]]&gt;tbl_Case_mins[[#This Row],[Surgery Start Date]]),ROUND((#REF!-TIME(0,0,0))*1440,0)+1440,ROUND((#REF!-TIME(0,0,0))*1440,0))</f>
        <v>#REF!</v>
      </c>
      <c r="W139" s="9" t="e">
        <f>IF(AND(ROUND((#REF!-TIME(0,0,0))*1440,0)&gt;0,ROUND((#REF!-TIME(0,0,0))*1440,0)&lt;tbl_Case_mins[[#This Row],[Ward Called]],tbl_Case_mins[[#This Row],[Surgery End Date]]&gt;tbl_Case_mins[[#This Row],[Surgery Start Date]]),ROUND((#REF!-TIME(0,0,0))*1440,0)+1440,ROUND((#REF!-TIME(0,0,0))*1440,0))</f>
        <v>#REF!</v>
      </c>
      <c r="X139" s="4" t="e">
        <f>IF(ISBLANK(#REF!),tbl_Case_mins[[#This Row],[Surgery Start Date]],#REF!)</f>
        <v>#REF!</v>
      </c>
      <c r="Y139">
        <f>IFERROR(IF(VLOOKUP(tbl_Case_mins[[#This Row],[Theatre]],'Mng Theatres'!$C$7:$G$12,3,FALSE)="Yes","Yes","No"),0)</f>
        <v>0</v>
      </c>
      <c r="Z139" s="9" t="e" cm="1">
        <f t="array" ref="Z13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39" s="9" t="e" cm="1">
        <f t="array" ref="AA13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3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39" s="9" t="e">
        <f>IF(tbl_Case_mins[[#This Row],[Case Type]]="Unsch",1,0)</f>
        <v>#REF!</v>
      </c>
      <c r="AD139" s="9" t="e">
        <f>IF(tbl_Case_mins[[#This Row],[Case Type]]="Sch",1,0)</f>
        <v>#REF!</v>
      </c>
      <c r="AE13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39" s="9">
        <f>IFERROR(IF(ISBLANK(INDEX(Am_Close,MATCH(1,INDEX((tbl_Case_mins[[#This Row],[Theatre]]=Theatre_No)*(tbl_Case_mins[[#This Row],[Surgery Start Date]]=Date),0,1),0))*1440),0,INDEX(Am_Close,MATCH(1,INDEX((tbl_Case_mins[[#This Row],[Theatre]]=Theatre_No)*(tbl_Case_mins[[#This Row],[Surgery Start Date]]=Date),0,1),0))*1440),0)</f>
        <v>0</v>
      </c>
      <c r="AG139" s="9">
        <f>IFERROR(IF(ISBLANK(INDEX(PM_Open,MATCH(1,INDEX((tbl_Case_mins[[#This Row],[Theatre]]=Theatre_No)*(tbl_Case_mins[[#This Row],[Surgery Start Date]]=Date),0,1),0))*1440),0,INDEX(PM_Open,MATCH(1,INDEX((tbl_Case_mins[[#This Row],[Theatre]]=Theatre_No)*(tbl_Case_mins[[#This Row],[Surgery Start Date]]=Date),0,1),0))*1440),0)</f>
        <v>0</v>
      </c>
      <c r="AH13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39" s="9" t="e">
        <f>IF(tbl_Case_mins[[#This Row],[ThOpenAm]]=0,tbl_Case_mins[[#This Row],[ThOpenPM]],tbl_Case_mins[[#This Row],[ThOpenAm]])</f>
        <v>#REF!</v>
      </c>
      <c r="AJ139" s="9" t="e">
        <f>IF(tbl_Case_mins[[#This Row],[ThCloseAm]]&gt;0,IF(tbl_Case_mins[[#This Row],[ThOpenPM]]&gt;0,tbl_Case_mins[[#This Row],[ThClosePm]],tbl_Case_mins[[#This Row],[ThCloseAm]]),tbl_Case_mins[[#This Row],[ThClosePm]])</f>
        <v>#REF!</v>
      </c>
      <c r="AK139" s="9" t="e">
        <f>IF(tbl_Case_mins[[#This Row],[TOT]]&gt;0,1,0)</f>
        <v>#REF!</v>
      </c>
      <c r="AL13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39" s="9" t="e">
        <f>IF(AND(tbl_Case_mins[[#This Row],[Surgery Status]]&lt;&gt;2,tbl_Case_mins[[#This Row],[InCoreCase]]=0,tbl_Case_mins[[#This Row],[CancelledCase]]=0),1,0)</f>
        <v>#REF!</v>
      </c>
      <c r="AN139" s="9" t="e">
        <f>IF(tbl_Case_mins[[#This Row],[Surgery Status]]=1,1,0)</f>
        <v>#REF!</v>
      </c>
      <c r="AO13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39" s="9" t="e">
        <f>IF(AND(tbl_Case_mins[[#This Row],[NonCoreCase]]=1,tbl_Case_mins[[#This Row],[NoInCoreTime]]=0),1,0)</f>
        <v>#REF!</v>
      </c>
      <c r="AQ139" s="9" t="e">
        <f>IF(tbl_Case_mins[[#This Row],[Rank_AnaEnd]]&lt;tbl_Case_mins[[#This Row],[Rank_AnaSt]],1,0)</f>
        <v>#REF!</v>
      </c>
      <c r="AR139" s="9" t="e">
        <f>IF(AND(tbl_Case_mins[[#This Row],[InCoreCase]]=1,tbl_Case_mins[[#This Row],[Sch]]=1),1,0)</f>
        <v>#REF!</v>
      </c>
      <c r="AS139" s="9" t="e">
        <f>IF(AND(tbl_Case_mins[[#This Row],[InCoreCase]]=1,tbl_Case_mins[[#This Row],[Unsch]]=1),1,0)</f>
        <v>#REF!</v>
      </c>
      <c r="AT13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3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3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39" s="9" t="e">
        <f>IF(tbl_Case_mins[[#This Row],[Surgery Status]]=0,(tbl_Case_mins[[#This Row],[Anaesth End]]-tbl_Case_mins[[#This Row],[AnaesthStart]]),0)</f>
        <v>#REF!</v>
      </c>
      <c r="AX139" s="9" t="e">
        <f>IF(tbl_Case_mins[[#This Row],[Surgery Status]]=0,(tbl_Case_mins[[#This Row],[Surgery Finish]]-tbl_Case_mins[[#This Row],[Surgery Start]]),0)</f>
        <v>#REF!</v>
      </c>
      <c r="AY139" s="9" t="e">
        <f>tbl_Case_mins[[#This Row],[Surgery Start]]-tbl_Case_mins[[#This Row],[AnaesthStart]]</f>
        <v>#REF!</v>
      </c>
      <c r="AZ139" s="9" t="e">
        <f>tbl_Case_mins[[#This Row],[Anaesth End]]-tbl_Case_mins[[#This Row],[Surgery Finish]]</f>
        <v>#REF!</v>
      </c>
      <c r="BA13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3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39" s="16" cm="1">
        <f t="array" ref="BC13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39" s="16" t="e">
        <f>IF(AND(tbl_Case_mins[[#This Row],[FirstAMCase]]=1,tbl_Case_mins[[#This Row],[CancelledCase]]=0,OR(tbl_Case_mins[[#This Row],[EarlyStartAM]]&gt;0,tbl_Case_mins[[#This Row],[AnaesthStart]]=tbl_Case_mins[[#This Row],[ThOpenAm]])),1,0)</f>
        <v>#REF!</v>
      </c>
      <c r="BE139" s="16" t="e">
        <f>IF(AND(tbl_Case_mins[[#This Row],[Rank_AnaSt]]=tbl_Case_mins[[#This Row],[Min_RankAnaSt]],tbl_Case_mins[[#This Row],[Anaesth End]]&gt;=tbl_Case_mins[[#This Row],[ThOpenAm]],tbl_Case_mins[[#This Row],[PmCase]]=0),1,0)</f>
        <v>#REF!</v>
      </c>
      <c r="BF13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3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39" s="9" t="e" cm="1">
        <f t="array" ref="BH13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3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3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39" s="9" t="e">
        <f>IF(AND(tbl_Case_mins[[#This Row],[ThOpenPM]]&gt;0,tbl_Case_mins[[#This Row],[AnaesthStart]]&gt;tbl_Case_mins[[#This Row],[ThOpenPM]],tbl_Case_mins[[#This Row],[First PM Case]]=1),tbl_Case_mins[[#This Row],[AnaesthStart]]-tbl_Case_mins[[#This Row],[ThOpenPM]],0)</f>
        <v>#REF!</v>
      </c>
      <c r="BL13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3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39" s="9" t="e" cm="1">
        <f t="array" ref="BN13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39" s="9" t="e">
        <f>IF(AND(tbl_Case_mins[[#This Row],[ThClosePm]]&gt;0,tbl_Case_mins[[#This Row],[Anaesth End]]&gt;tbl_Case_mins[[#This Row],[ThClosePm]],tbl_Case_mins[[#This Row],[AnaesthStart]]&gt;tbl_Case_mins[[#This Row],[ThClosePm]]),tbl_Case_mins[[#This Row],[Into Recov]]-tbl_Case_mins[[#This Row],[AnaesthStart]],0)</f>
        <v>#REF!</v>
      </c>
      <c r="BP139" s="9" t="e">
        <f>IF(AND(tbl_Case_mins[[#This Row],[AnaesthStart]]&lt;tbl_Case_mins[[#This Row],[ThClosePm]],tbl_Case_mins[[#This Row],[Anaesth End]]&gt;tbl_Case_mins[[#This Row],[ThClosePm]]),tbl_Case_mins[[#This Row],[Anaesth End]]-tbl_Case_mins[[#This Row],[ThClosePm]],0)</f>
        <v>#REF!</v>
      </c>
      <c r="BQ139" s="9" t="e" cm="1">
        <f t="array" ref="BQ13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39" s="9" t="e" cm="1">
        <f t="array" ref="BR139">IF(tbl_Case_mins[[#This Row],[Rank_Adjust]]=SUMPRODUCT(-(tbl_Case_mins[Surgery Start Date]=tbl_Case_mins[[#This Row],[Surgery Start Date]]),-(tbl_Case_mins[Theatre]=tbl_Case_mins[[#This Row],[Theatre]])),INDEX(Poss_Time,MATCH(TEXT(tbl_Case_mins[[#This Row],[Surgery Start Date]],"ddd"),Day,0)),0)</f>
        <v>#REF!</v>
      </c>
      <c r="BS139" s="9" t="e">
        <f>tbl_Case_mins[[#This Row],[Core_Time]]*Util_Goal</f>
        <v>#REF!</v>
      </c>
      <c r="BT139" s="9" t="e" cm="1">
        <f t="array" ref="BT1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39" s="9" t="e" cm="1">
        <f t="array" ref="BU1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3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3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39" s="9" t="e">
        <f>IF(tbl_Case_mins[[#This Row],[Surgery End Date]]&gt;tbl_Case_mins[[#This Row],[Surgery Start Date]],tbl_Case_mins[[#This Row],[Anaesth End]]-1440,0)</f>
        <v>#REF!</v>
      </c>
      <c r="BY139" s="9" t="e">
        <f>tbl_Case_mins[[#This Row],[Total_NonCore]]-tbl_Case_mins[[#This Row],[NextDay_NonCore]]</f>
        <v>#REF!</v>
      </c>
      <c r="BZ139" s="10" t="e">
        <f>tbl_Case_mins[[#This Row],[InCoreUse]]/60</f>
        <v>#REF!</v>
      </c>
      <c r="CA139" s="10" t="e">
        <f>tbl_Case_mins[[#This Row],[Total_NonCore]]/60</f>
        <v>#REF!</v>
      </c>
      <c r="CB139" t="e" cm="1">
        <f t="array" ref="CB1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39" s="9" t="e" cm="1">
        <f t="array" ref="CC13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39" s="9" t="e" cm="1">
        <f t="array" ref="CD1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39" s="9" t="e" cm="1">
        <f t="array" ref="CE13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39" s="9" cm="1">
        <f t="array" ref="CF139">IFERROR(_xlfn.AGGREGATE(14,6,(tbl_Case_mins[Rank_AnaEnd])/((tbl_Case_mins[Surgery Start Date]=tbl_Case_mins[[#This Row],[Surgery Start Date]])*(tbl_Case_mins[Theatre]=tbl_Case_mins[[#This Row],[Theatre]])*(tbl_Case_mins[NoInCoreTime]=0)),1),-1)</f>
        <v>-1</v>
      </c>
      <c r="CG139" s="9" cm="1">
        <f t="array" ref="CG139">IFERROR(_xlfn.AGGREGATE(15,6,(tbl_Case_mins[Rank_AnaSt])/((tbl_Case_mins[Surgery Start Date]=tbl_Case_mins[[#This Row],[Surgery Start Date]])*(tbl_Case_mins[Theatre]=tbl_Case_mins[[#This Row],[Theatre]])*(tbl_Case_mins[NoInCoreTime]=0)),1),-1)</f>
        <v>-1</v>
      </c>
      <c r="CH13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3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39" t="e" cm="1">
        <f t="array" ref="CJ13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3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3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39" s="9" cm="1">
        <f t="array" ref="CO1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39" s="9" cm="1">
        <f t="array" ref="CP1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39" s="9" cm="1">
        <f t="array" ref="CQ139">IFERROR(IF(AND(tbl_Case_mins[[#This Row],[FirstAMCase]]=0,tbl_Case_mins[[#This Row],[Rank]]=_xlfn.AGGREGATE(14,6,(tbl_Case_mins[Rank])/((tbl_Case_mins[Surgery Start Date]=tbl_Case_mins[[#This Row],[Surgery Start Date]])*(tbl_Case_mins[Theatre]=tbl_Case_mins[[#This Row],[Theatre]])*(tbl_Case_mins[AmCase]=1)),1)),1,0),0)</f>
        <v>0</v>
      </c>
      <c r="CR139" s="9" cm="1">
        <f t="array" ref="CR13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39" s="9" t="e" cm="1">
        <f t="array" ref="CS13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39" s="9" cm="1">
        <f t="array" ref="CT139">IFERROR(IF(tbl_Case_mins[[#This Row],[Rank]]=_xlfn.AGGREGATE(15,6,(tbl_Case_mins[Rank])/((tbl_Case_mins[Surgery Start Date]=tbl_Case_mins[[#This Row],[Surgery Start Date]])*(tbl_Case_mins[Theatre]=tbl_Case_mins[[#This Row],[Theatre]])*(tbl_Case_mins[PmCase]=1)),1),1,0),0)</f>
        <v>0</v>
      </c>
      <c r="CU139">
        <f>IFERROR(#REF!,0)</f>
        <v>0</v>
      </c>
      <c r="CV139" s="9" t="e" cm="1">
        <f t="array" ref="CV13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39" s="9">
        <f>IFERROR(IF(ISBLANK(INDEX(Bay_AmClose,MATCH(1,INDEX((tbl_Case_mins[[#This Row],[Bay]]=BayNo)*(tbl_Case_mins[[#This Row],[Surgery Start Date]]=BDate),0,1),0))*1440),0,INDEX(Bay_AmClose,MATCH(1,INDEX((tbl_Case_mins[[#This Row],[Bay]]=BayNo)*(tbl_Case_mins[[#This Row],[Surgery Start Date]]=BDate),0,1),0))*1440),0)</f>
        <v>0</v>
      </c>
      <c r="CX139" s="9" cm="1">
        <f t="array" ref="CX139">IFERROR(IF(ISBLANK(INDEX(Bay_PmOpen,MATCH(1,INDEX((tbl_Case_mins[[#This Row],[Bay]]=BayNo)*(tbl_Case_mins[[#This Row],[Surgery Start Date]]=BDate),0,1),0))*1440),0,INDEX(Bay_PmOpen,MATCH(1,INDEX((tbl_Case_mins[[#This Row],[Bay]]=BayNo)*(tbl_Case_mins[[#This Row],[Surgery Start Date]]=BDate),0,1),0))*1440),0)</f>
        <v>0</v>
      </c>
      <c r="CY13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39" s="9"/>
    </row>
    <row r="140" spans="1:104" x14ac:dyDescent="0.2">
      <c r="A140">
        <v>139</v>
      </c>
      <c r="B140" t="e">
        <f>#REF!</f>
        <v>#REF!</v>
      </c>
      <c r="C140" t="e">
        <f>#REF!</f>
        <v>#REF!</v>
      </c>
      <c r="D140" t="e">
        <f>#REF!</f>
        <v>#REF!</v>
      </c>
      <c r="E140" t="e">
        <f>#REF!</f>
        <v>#REF!</v>
      </c>
      <c r="F140" t="e">
        <f>#REF!</f>
        <v>#REF!</v>
      </c>
      <c r="G140" t="e">
        <f>#REF!</f>
        <v>#REF!</v>
      </c>
      <c r="H140" t="e">
        <f>#REF!</f>
        <v>#REF!</v>
      </c>
      <c r="I140" t="e">
        <f>IF(#REF!="Case Cancelled",1,IF(#REF!="No Cases",2,0))</f>
        <v>#REF!</v>
      </c>
      <c r="J140" t="e">
        <f>#REF!</f>
        <v>#REF!</v>
      </c>
      <c r="K140" s="4" t="e">
        <f>#REF!</f>
        <v>#REF!</v>
      </c>
      <c r="L140" t="e">
        <f>"Wk "&amp;WEEKNUM(tbl_Case_mins[[#This Row],[Surgery Start Date]],21)</f>
        <v>#REF!</v>
      </c>
      <c r="M140" t="e">
        <f>TEXT(tbl_Case_mins[[#This Row],[Surgery Start Date]],"ddd")</f>
        <v>#REF!</v>
      </c>
      <c r="N140" s="9" t="e">
        <f>(#REF!-TIME(0,0,0))*1440</f>
        <v>#REF!</v>
      </c>
      <c r="O140" t="e">
        <f>IF(AND(ROUND((#REF!-TIME(0,0,0))*1440,0)&gt;0,ROUND((#REF!-TIME(0,0,0))*1440,0)&lt;tbl_Case_mins[[#This Row],[Patient Called]],tbl_Case_mins[[#This Row],[Surgery End Date]]&gt;tbl_Case_mins[[#This Row],[Surgery Start Date]]),ROUND((#REF!-TIME(0,0,0))*1440,0)+1440,ROUND((#REF!-TIME(0,0,0))*1440,0))</f>
        <v>#REF!</v>
      </c>
      <c r="P140" s="9" t="e">
        <f>IF(AND(ROUND((#REF!-TIME(0,0,0))*1440,0)&gt;0,ROUND((#REF!-TIME(0,0,0))*1440,0)&lt;tbl_Case_mins[[#This Row],[Arrival]],tbl_Case_mins[[#This Row],[Surgery End Date]]&gt;tbl_Case_mins[[#This Row],[Surgery Start Date]]),ROUND((#REF!-TIME(0,0,0))*1440,0)+1440,ROUND((#REF!-TIME(0,0,0))*1440,0))</f>
        <v>#REF!</v>
      </c>
      <c r="Q140" s="9" t="e">
        <f>IF(AND(ROUND((#REF!-TIME(0,0,0))*1440,0)&gt;0,ROUND((#REF!-TIME(0,0,0))*1440,0)&lt;tbl_Case_mins[[#This Row],[Into Th or AR]],tbl_Case_mins[[#This Row],[Surgery End Date]]&gt;tbl_Case_mins[[#This Row],[Surgery Start Date]]),ROUND((#REF!-TIME(0,0,0))*1440,0)+1440,ROUND((#REF!-TIME(0,0,0))*1440,0))</f>
        <v>#REF!</v>
      </c>
      <c r="R140" s="9" t="e">
        <f>IF(AND(ROUND((#REF!-TIME(0,0,0))*1440,0)&gt;0,ROUND((#REF!-TIME(0,0,0))*1440,0)&lt;tbl_Case_mins[[#This Row],[AnaesthStart]],tbl_Case_mins[[#This Row],[Surgery End Date]]&gt;tbl_Case_mins[[#This Row],[Surgery Start Date]]),ROUND((#REF!-TIME(0,0,0))*1440,0)+1440,ROUND((#REF!-TIME(0,0,0))*1440,0))</f>
        <v>#REF!</v>
      </c>
      <c r="S140" s="9" t="e">
        <f>IF(AND(ROUND((#REF!-TIME(0,0,0))*1440,0),ROUND((#REF!-TIME(0,0,0))*1440,0)&lt;tbl_Case_mins[[#This Row],[Surgery Start]],tbl_Case_mins[[#This Row],[Surgery End Date]]&gt;tbl_Case_mins[[#This Row],[Surgery Start Date]]),ROUND((#REF!-TIME(0,0,0))*1440,0)+1440,ROUND((#REF!-TIME(0,0,0))*1440,0))</f>
        <v>#REF!</v>
      </c>
      <c r="T140" s="9" t="e">
        <f>IF(AND(ROUND((#REF!-TIME(0,0,0))*1440,0)&gt;0,ROUND((#REF!-TIME(0,0,0))*1440,0)&lt;tbl_Case_mins[[#This Row],[Surgery Finish]],tbl_Case_mins[[#This Row],[Surgery End Date]]&gt;tbl_Case_mins[[#This Row],[Surgery Start Date]]),ROUND((#REF!-TIME(0,0,0))*1440,0)+1440,ROUND((#REF!-TIME(0,0,0))*1440,0))</f>
        <v>#REF!</v>
      </c>
      <c r="U140" s="9" t="e">
        <f>IF(AND(ROUND((#REF!-TIME(0,0,0))*1440,0)&gt;0,ROUND((#REF!-TIME(0,0,0))*1440,0)&lt;tbl_Case_mins[[#This Row],[Anaesth End]],tbl_Case_mins[[#This Row],[Surgery End Date]]&gt;tbl_Case_mins[[#This Row],[Surgery Start Date]]),ROUND((#REF!-TIME(0,0,0))*1440,0)+1440,ROUND((#REF!-TIME(0,0,0))*1440,0))</f>
        <v>#REF!</v>
      </c>
      <c r="V140" s="9" t="e">
        <f>IF(AND(ROUND((#REF!-TIME(0,0,0))*1440,0)&gt;0,ROUND((#REF!-TIME(0,0,0))*1440,0)&lt;tbl_Case_mins[[#This Row],[Into Recov]],tbl_Case_mins[[#This Row],[Surgery End Date]]&gt;tbl_Case_mins[[#This Row],[Surgery Start Date]]),ROUND((#REF!-TIME(0,0,0))*1440,0)+1440,ROUND((#REF!-TIME(0,0,0))*1440,0))</f>
        <v>#REF!</v>
      </c>
      <c r="W140" s="9" t="e">
        <f>IF(AND(ROUND((#REF!-TIME(0,0,0))*1440,0)&gt;0,ROUND((#REF!-TIME(0,0,0))*1440,0)&lt;tbl_Case_mins[[#This Row],[Ward Called]],tbl_Case_mins[[#This Row],[Surgery End Date]]&gt;tbl_Case_mins[[#This Row],[Surgery Start Date]]),ROUND((#REF!-TIME(0,0,0))*1440,0)+1440,ROUND((#REF!-TIME(0,0,0))*1440,0))</f>
        <v>#REF!</v>
      </c>
      <c r="X140" s="4" t="e">
        <f>IF(ISBLANK(#REF!),tbl_Case_mins[[#This Row],[Surgery Start Date]],#REF!)</f>
        <v>#REF!</v>
      </c>
      <c r="Y140">
        <f>IFERROR(IF(VLOOKUP(tbl_Case_mins[[#This Row],[Theatre]],'Mng Theatres'!$C$7:$G$12,3,FALSE)="Yes","Yes","No"),0)</f>
        <v>0</v>
      </c>
      <c r="Z140" s="9" t="e" cm="1">
        <f t="array" ref="Z14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0" s="9" t="e" cm="1">
        <f t="array" ref="AA14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0" s="9" t="e">
        <f>IF(tbl_Case_mins[[#This Row],[Case Type]]="Unsch",1,0)</f>
        <v>#REF!</v>
      </c>
      <c r="AD140" s="9" t="e">
        <f>IF(tbl_Case_mins[[#This Row],[Case Type]]="Sch",1,0)</f>
        <v>#REF!</v>
      </c>
      <c r="AE14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0" s="9">
        <f>IFERROR(IF(ISBLANK(INDEX(Am_Close,MATCH(1,INDEX((tbl_Case_mins[[#This Row],[Theatre]]=Theatre_No)*(tbl_Case_mins[[#This Row],[Surgery Start Date]]=Date),0,1),0))*1440),0,INDEX(Am_Close,MATCH(1,INDEX((tbl_Case_mins[[#This Row],[Theatre]]=Theatre_No)*(tbl_Case_mins[[#This Row],[Surgery Start Date]]=Date),0,1),0))*1440),0)</f>
        <v>0</v>
      </c>
      <c r="AG140" s="9">
        <f>IFERROR(IF(ISBLANK(INDEX(PM_Open,MATCH(1,INDEX((tbl_Case_mins[[#This Row],[Theatre]]=Theatre_No)*(tbl_Case_mins[[#This Row],[Surgery Start Date]]=Date),0,1),0))*1440),0,INDEX(PM_Open,MATCH(1,INDEX((tbl_Case_mins[[#This Row],[Theatre]]=Theatre_No)*(tbl_Case_mins[[#This Row],[Surgery Start Date]]=Date),0,1),0))*1440),0)</f>
        <v>0</v>
      </c>
      <c r="AH14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0" s="9" t="e">
        <f>IF(tbl_Case_mins[[#This Row],[ThOpenAm]]=0,tbl_Case_mins[[#This Row],[ThOpenPM]],tbl_Case_mins[[#This Row],[ThOpenAm]])</f>
        <v>#REF!</v>
      </c>
      <c r="AJ140" s="9" t="e">
        <f>IF(tbl_Case_mins[[#This Row],[ThCloseAm]]&gt;0,IF(tbl_Case_mins[[#This Row],[ThOpenPM]]&gt;0,tbl_Case_mins[[#This Row],[ThClosePm]],tbl_Case_mins[[#This Row],[ThCloseAm]]),tbl_Case_mins[[#This Row],[ThClosePm]])</f>
        <v>#REF!</v>
      </c>
      <c r="AK140" s="9" t="e">
        <f>IF(tbl_Case_mins[[#This Row],[TOT]]&gt;0,1,0)</f>
        <v>#REF!</v>
      </c>
      <c r="AL14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0" s="9" t="e">
        <f>IF(AND(tbl_Case_mins[[#This Row],[Surgery Status]]&lt;&gt;2,tbl_Case_mins[[#This Row],[InCoreCase]]=0,tbl_Case_mins[[#This Row],[CancelledCase]]=0),1,0)</f>
        <v>#REF!</v>
      </c>
      <c r="AN140" s="9" t="e">
        <f>IF(tbl_Case_mins[[#This Row],[Surgery Status]]=1,1,0)</f>
        <v>#REF!</v>
      </c>
      <c r="AO14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0" s="9" t="e">
        <f>IF(AND(tbl_Case_mins[[#This Row],[NonCoreCase]]=1,tbl_Case_mins[[#This Row],[NoInCoreTime]]=0),1,0)</f>
        <v>#REF!</v>
      </c>
      <c r="AQ140" s="9" t="e">
        <f>IF(tbl_Case_mins[[#This Row],[Rank_AnaEnd]]&lt;tbl_Case_mins[[#This Row],[Rank_AnaSt]],1,0)</f>
        <v>#REF!</v>
      </c>
      <c r="AR140" s="9" t="e">
        <f>IF(AND(tbl_Case_mins[[#This Row],[InCoreCase]]=1,tbl_Case_mins[[#This Row],[Sch]]=1),1,0)</f>
        <v>#REF!</v>
      </c>
      <c r="AS140" s="9" t="e">
        <f>IF(AND(tbl_Case_mins[[#This Row],[InCoreCase]]=1,tbl_Case_mins[[#This Row],[Unsch]]=1),1,0)</f>
        <v>#REF!</v>
      </c>
      <c r="AT14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0" s="9" t="e">
        <f>IF(tbl_Case_mins[[#This Row],[Surgery Status]]=0,(tbl_Case_mins[[#This Row],[Anaesth End]]-tbl_Case_mins[[#This Row],[AnaesthStart]]),0)</f>
        <v>#REF!</v>
      </c>
      <c r="AX140" s="9" t="e">
        <f>IF(tbl_Case_mins[[#This Row],[Surgery Status]]=0,(tbl_Case_mins[[#This Row],[Surgery Finish]]-tbl_Case_mins[[#This Row],[Surgery Start]]),0)</f>
        <v>#REF!</v>
      </c>
      <c r="AY140" s="9" t="e">
        <f>tbl_Case_mins[[#This Row],[Surgery Start]]-tbl_Case_mins[[#This Row],[AnaesthStart]]</f>
        <v>#REF!</v>
      </c>
      <c r="AZ140" s="9" t="e">
        <f>tbl_Case_mins[[#This Row],[Anaesth End]]-tbl_Case_mins[[#This Row],[Surgery Finish]]</f>
        <v>#REF!</v>
      </c>
      <c r="BA14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0" s="16" cm="1">
        <f t="array" ref="BC14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0" s="16" t="e">
        <f>IF(AND(tbl_Case_mins[[#This Row],[FirstAMCase]]=1,tbl_Case_mins[[#This Row],[CancelledCase]]=0,OR(tbl_Case_mins[[#This Row],[EarlyStartAM]]&gt;0,tbl_Case_mins[[#This Row],[AnaesthStart]]=tbl_Case_mins[[#This Row],[ThOpenAm]])),1,0)</f>
        <v>#REF!</v>
      </c>
      <c r="BE140" s="16" t="e">
        <f>IF(AND(tbl_Case_mins[[#This Row],[Rank_AnaSt]]=tbl_Case_mins[[#This Row],[Min_RankAnaSt]],tbl_Case_mins[[#This Row],[Anaesth End]]&gt;=tbl_Case_mins[[#This Row],[ThOpenAm]],tbl_Case_mins[[#This Row],[PmCase]]=0),1,0)</f>
        <v>#REF!</v>
      </c>
      <c r="BF14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0" s="9" t="e" cm="1">
        <f t="array" ref="BH14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0" s="9" t="e">
        <f>IF(AND(tbl_Case_mins[[#This Row],[ThOpenPM]]&gt;0,tbl_Case_mins[[#This Row],[AnaesthStart]]&gt;tbl_Case_mins[[#This Row],[ThOpenPM]],tbl_Case_mins[[#This Row],[First PM Case]]=1),tbl_Case_mins[[#This Row],[AnaesthStart]]-tbl_Case_mins[[#This Row],[ThOpenPM]],0)</f>
        <v>#REF!</v>
      </c>
      <c r="BL14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0" s="9" t="e" cm="1">
        <f t="array" ref="BN14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0" s="9" t="e">
        <f>IF(AND(tbl_Case_mins[[#This Row],[ThClosePm]]&gt;0,tbl_Case_mins[[#This Row],[Anaesth End]]&gt;tbl_Case_mins[[#This Row],[ThClosePm]],tbl_Case_mins[[#This Row],[AnaesthStart]]&gt;tbl_Case_mins[[#This Row],[ThClosePm]]),tbl_Case_mins[[#This Row],[Into Recov]]-tbl_Case_mins[[#This Row],[AnaesthStart]],0)</f>
        <v>#REF!</v>
      </c>
      <c r="BP140" s="9" t="e">
        <f>IF(AND(tbl_Case_mins[[#This Row],[AnaesthStart]]&lt;tbl_Case_mins[[#This Row],[ThClosePm]],tbl_Case_mins[[#This Row],[Anaesth End]]&gt;tbl_Case_mins[[#This Row],[ThClosePm]]),tbl_Case_mins[[#This Row],[Anaesth End]]-tbl_Case_mins[[#This Row],[ThClosePm]],0)</f>
        <v>#REF!</v>
      </c>
      <c r="BQ140" s="9" t="e" cm="1">
        <f t="array" ref="BQ14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0" s="9" t="e" cm="1">
        <f t="array" ref="BR140">IF(tbl_Case_mins[[#This Row],[Rank_Adjust]]=SUMPRODUCT(-(tbl_Case_mins[Surgery Start Date]=tbl_Case_mins[[#This Row],[Surgery Start Date]]),-(tbl_Case_mins[Theatre]=tbl_Case_mins[[#This Row],[Theatre]])),INDEX(Poss_Time,MATCH(TEXT(tbl_Case_mins[[#This Row],[Surgery Start Date]],"ddd"),Day,0)),0)</f>
        <v>#REF!</v>
      </c>
      <c r="BS140" s="9" t="e">
        <f>tbl_Case_mins[[#This Row],[Core_Time]]*Util_Goal</f>
        <v>#REF!</v>
      </c>
      <c r="BT140" s="9" t="e" cm="1">
        <f t="array" ref="BT1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0" s="9" t="e" cm="1">
        <f t="array" ref="BU1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0" s="9" t="e">
        <f>IF(tbl_Case_mins[[#This Row],[Surgery End Date]]&gt;tbl_Case_mins[[#This Row],[Surgery Start Date]],tbl_Case_mins[[#This Row],[Anaesth End]]-1440,0)</f>
        <v>#REF!</v>
      </c>
      <c r="BY140" s="9" t="e">
        <f>tbl_Case_mins[[#This Row],[Total_NonCore]]-tbl_Case_mins[[#This Row],[NextDay_NonCore]]</f>
        <v>#REF!</v>
      </c>
      <c r="BZ140" s="10" t="e">
        <f>tbl_Case_mins[[#This Row],[InCoreUse]]/60</f>
        <v>#REF!</v>
      </c>
      <c r="CA140" s="10" t="e">
        <f>tbl_Case_mins[[#This Row],[Total_NonCore]]/60</f>
        <v>#REF!</v>
      </c>
      <c r="CB140" t="e" cm="1">
        <f t="array" ref="CB1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0" s="9" t="e" cm="1">
        <f t="array" ref="CC14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0" s="9" t="e" cm="1">
        <f t="array" ref="CD1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0" s="9" t="e" cm="1">
        <f t="array" ref="CE14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0" s="9" cm="1">
        <f t="array" ref="CF140">IFERROR(_xlfn.AGGREGATE(14,6,(tbl_Case_mins[Rank_AnaEnd])/((tbl_Case_mins[Surgery Start Date]=tbl_Case_mins[[#This Row],[Surgery Start Date]])*(tbl_Case_mins[Theatre]=tbl_Case_mins[[#This Row],[Theatre]])*(tbl_Case_mins[NoInCoreTime]=0)),1),-1)</f>
        <v>-1</v>
      </c>
      <c r="CG140" s="9" cm="1">
        <f t="array" ref="CG140">IFERROR(_xlfn.AGGREGATE(15,6,(tbl_Case_mins[Rank_AnaSt])/((tbl_Case_mins[Surgery Start Date]=tbl_Case_mins[[#This Row],[Surgery Start Date]])*(tbl_Case_mins[Theatre]=tbl_Case_mins[[#This Row],[Theatre]])*(tbl_Case_mins[NoInCoreTime]=0)),1),-1)</f>
        <v>-1</v>
      </c>
      <c r="CH14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0" t="e" cm="1">
        <f t="array" ref="CJ14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0" s="9" cm="1">
        <f t="array" ref="CO1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0" s="9" cm="1">
        <f t="array" ref="CP1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0" s="9" cm="1">
        <f t="array" ref="CQ140">IFERROR(IF(AND(tbl_Case_mins[[#This Row],[FirstAMCase]]=0,tbl_Case_mins[[#This Row],[Rank]]=_xlfn.AGGREGATE(14,6,(tbl_Case_mins[Rank])/((tbl_Case_mins[Surgery Start Date]=tbl_Case_mins[[#This Row],[Surgery Start Date]])*(tbl_Case_mins[Theatre]=tbl_Case_mins[[#This Row],[Theatre]])*(tbl_Case_mins[AmCase]=1)),1)),1,0),0)</f>
        <v>0</v>
      </c>
      <c r="CR140" s="9" cm="1">
        <f t="array" ref="CR14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0" s="9" t="e" cm="1">
        <f t="array" ref="CS14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0" s="9" cm="1">
        <f t="array" ref="CT140">IFERROR(IF(tbl_Case_mins[[#This Row],[Rank]]=_xlfn.AGGREGATE(15,6,(tbl_Case_mins[Rank])/((tbl_Case_mins[Surgery Start Date]=tbl_Case_mins[[#This Row],[Surgery Start Date]])*(tbl_Case_mins[Theatre]=tbl_Case_mins[[#This Row],[Theatre]])*(tbl_Case_mins[PmCase]=1)),1),1,0),0)</f>
        <v>0</v>
      </c>
      <c r="CU140">
        <f>IFERROR(#REF!,0)</f>
        <v>0</v>
      </c>
      <c r="CV140" s="9" t="e" cm="1">
        <f t="array" ref="CV14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0" s="9">
        <f>IFERROR(IF(ISBLANK(INDEX(Bay_AmClose,MATCH(1,INDEX((tbl_Case_mins[[#This Row],[Bay]]=BayNo)*(tbl_Case_mins[[#This Row],[Surgery Start Date]]=BDate),0,1),0))*1440),0,INDEX(Bay_AmClose,MATCH(1,INDEX((tbl_Case_mins[[#This Row],[Bay]]=BayNo)*(tbl_Case_mins[[#This Row],[Surgery Start Date]]=BDate),0,1),0))*1440),0)</f>
        <v>0</v>
      </c>
      <c r="CX140" s="9" cm="1">
        <f t="array" ref="CX140">IFERROR(IF(ISBLANK(INDEX(Bay_PmOpen,MATCH(1,INDEX((tbl_Case_mins[[#This Row],[Bay]]=BayNo)*(tbl_Case_mins[[#This Row],[Surgery Start Date]]=BDate),0,1),0))*1440),0,INDEX(Bay_PmOpen,MATCH(1,INDEX((tbl_Case_mins[[#This Row],[Bay]]=BayNo)*(tbl_Case_mins[[#This Row],[Surgery Start Date]]=BDate),0,1),0))*1440),0)</f>
        <v>0</v>
      </c>
      <c r="CY14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0" s="9"/>
    </row>
    <row r="141" spans="1:104" x14ac:dyDescent="0.2">
      <c r="A141">
        <v>140</v>
      </c>
      <c r="B141" t="e">
        <f>#REF!</f>
        <v>#REF!</v>
      </c>
      <c r="C141" t="e">
        <f>#REF!</f>
        <v>#REF!</v>
      </c>
      <c r="D141" t="e">
        <f>#REF!</f>
        <v>#REF!</v>
      </c>
      <c r="E141" t="e">
        <f>#REF!</f>
        <v>#REF!</v>
      </c>
      <c r="F141" t="e">
        <f>#REF!</f>
        <v>#REF!</v>
      </c>
      <c r="G141" t="e">
        <f>#REF!</f>
        <v>#REF!</v>
      </c>
      <c r="H141" t="e">
        <f>#REF!</f>
        <v>#REF!</v>
      </c>
      <c r="I141" t="e">
        <f>IF(#REF!="Case Cancelled",1,IF(#REF!="No Cases",2,0))</f>
        <v>#REF!</v>
      </c>
      <c r="J141" t="e">
        <f>#REF!</f>
        <v>#REF!</v>
      </c>
      <c r="K141" s="4" t="e">
        <f>#REF!</f>
        <v>#REF!</v>
      </c>
      <c r="L141" t="e">
        <f>"Wk "&amp;WEEKNUM(tbl_Case_mins[[#This Row],[Surgery Start Date]],21)</f>
        <v>#REF!</v>
      </c>
      <c r="M141" t="e">
        <f>TEXT(tbl_Case_mins[[#This Row],[Surgery Start Date]],"ddd")</f>
        <v>#REF!</v>
      </c>
      <c r="N141" s="9" t="e">
        <f>(#REF!-TIME(0,0,0))*1440</f>
        <v>#REF!</v>
      </c>
      <c r="O141" t="e">
        <f>IF(AND(ROUND((#REF!-TIME(0,0,0))*1440,0)&gt;0,ROUND((#REF!-TIME(0,0,0))*1440,0)&lt;tbl_Case_mins[[#This Row],[Patient Called]],tbl_Case_mins[[#This Row],[Surgery End Date]]&gt;tbl_Case_mins[[#This Row],[Surgery Start Date]]),ROUND((#REF!-TIME(0,0,0))*1440,0)+1440,ROUND((#REF!-TIME(0,0,0))*1440,0))</f>
        <v>#REF!</v>
      </c>
      <c r="P141" s="9" t="e">
        <f>IF(AND(ROUND((#REF!-TIME(0,0,0))*1440,0)&gt;0,ROUND((#REF!-TIME(0,0,0))*1440,0)&lt;tbl_Case_mins[[#This Row],[Arrival]],tbl_Case_mins[[#This Row],[Surgery End Date]]&gt;tbl_Case_mins[[#This Row],[Surgery Start Date]]),ROUND((#REF!-TIME(0,0,0))*1440,0)+1440,ROUND((#REF!-TIME(0,0,0))*1440,0))</f>
        <v>#REF!</v>
      </c>
      <c r="Q141" s="9" t="e">
        <f>IF(AND(ROUND((#REF!-TIME(0,0,0))*1440,0)&gt;0,ROUND((#REF!-TIME(0,0,0))*1440,0)&lt;tbl_Case_mins[[#This Row],[Into Th or AR]],tbl_Case_mins[[#This Row],[Surgery End Date]]&gt;tbl_Case_mins[[#This Row],[Surgery Start Date]]),ROUND((#REF!-TIME(0,0,0))*1440,0)+1440,ROUND((#REF!-TIME(0,0,0))*1440,0))</f>
        <v>#REF!</v>
      </c>
      <c r="R141" s="9" t="e">
        <f>IF(AND(ROUND((#REF!-TIME(0,0,0))*1440,0)&gt;0,ROUND((#REF!-TIME(0,0,0))*1440,0)&lt;tbl_Case_mins[[#This Row],[AnaesthStart]],tbl_Case_mins[[#This Row],[Surgery End Date]]&gt;tbl_Case_mins[[#This Row],[Surgery Start Date]]),ROUND((#REF!-TIME(0,0,0))*1440,0)+1440,ROUND((#REF!-TIME(0,0,0))*1440,0))</f>
        <v>#REF!</v>
      </c>
      <c r="S141" s="9" t="e">
        <f>IF(AND(ROUND((#REF!-TIME(0,0,0))*1440,0),ROUND((#REF!-TIME(0,0,0))*1440,0)&lt;tbl_Case_mins[[#This Row],[Surgery Start]],tbl_Case_mins[[#This Row],[Surgery End Date]]&gt;tbl_Case_mins[[#This Row],[Surgery Start Date]]),ROUND((#REF!-TIME(0,0,0))*1440,0)+1440,ROUND((#REF!-TIME(0,0,0))*1440,0))</f>
        <v>#REF!</v>
      </c>
      <c r="T141" s="9" t="e">
        <f>IF(AND(ROUND((#REF!-TIME(0,0,0))*1440,0)&gt;0,ROUND((#REF!-TIME(0,0,0))*1440,0)&lt;tbl_Case_mins[[#This Row],[Surgery Finish]],tbl_Case_mins[[#This Row],[Surgery End Date]]&gt;tbl_Case_mins[[#This Row],[Surgery Start Date]]),ROUND((#REF!-TIME(0,0,0))*1440,0)+1440,ROUND((#REF!-TIME(0,0,0))*1440,0))</f>
        <v>#REF!</v>
      </c>
      <c r="U141" s="9" t="e">
        <f>IF(AND(ROUND((#REF!-TIME(0,0,0))*1440,0)&gt;0,ROUND((#REF!-TIME(0,0,0))*1440,0)&lt;tbl_Case_mins[[#This Row],[Anaesth End]],tbl_Case_mins[[#This Row],[Surgery End Date]]&gt;tbl_Case_mins[[#This Row],[Surgery Start Date]]),ROUND((#REF!-TIME(0,0,0))*1440,0)+1440,ROUND((#REF!-TIME(0,0,0))*1440,0))</f>
        <v>#REF!</v>
      </c>
      <c r="V141" s="9" t="e">
        <f>IF(AND(ROUND((#REF!-TIME(0,0,0))*1440,0)&gt;0,ROUND((#REF!-TIME(0,0,0))*1440,0)&lt;tbl_Case_mins[[#This Row],[Into Recov]],tbl_Case_mins[[#This Row],[Surgery End Date]]&gt;tbl_Case_mins[[#This Row],[Surgery Start Date]]),ROUND((#REF!-TIME(0,0,0))*1440,0)+1440,ROUND((#REF!-TIME(0,0,0))*1440,0))</f>
        <v>#REF!</v>
      </c>
      <c r="W141" s="9" t="e">
        <f>IF(AND(ROUND((#REF!-TIME(0,0,0))*1440,0)&gt;0,ROUND((#REF!-TIME(0,0,0))*1440,0)&lt;tbl_Case_mins[[#This Row],[Ward Called]],tbl_Case_mins[[#This Row],[Surgery End Date]]&gt;tbl_Case_mins[[#This Row],[Surgery Start Date]]),ROUND((#REF!-TIME(0,0,0))*1440,0)+1440,ROUND((#REF!-TIME(0,0,0))*1440,0))</f>
        <v>#REF!</v>
      </c>
      <c r="X141" s="4" t="e">
        <f>IF(ISBLANK(#REF!),tbl_Case_mins[[#This Row],[Surgery Start Date]],#REF!)</f>
        <v>#REF!</v>
      </c>
      <c r="Y141">
        <f>IFERROR(IF(VLOOKUP(tbl_Case_mins[[#This Row],[Theatre]],'Mng Theatres'!$C$7:$G$12,3,FALSE)="Yes","Yes","No"),0)</f>
        <v>0</v>
      </c>
      <c r="Z141" s="9" t="e" cm="1">
        <f t="array" ref="Z14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1" s="9" t="e" cm="1">
        <f t="array" ref="AA14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1" s="9" t="e">
        <f>IF(tbl_Case_mins[[#This Row],[Case Type]]="Unsch",1,0)</f>
        <v>#REF!</v>
      </c>
      <c r="AD141" s="9" t="e">
        <f>IF(tbl_Case_mins[[#This Row],[Case Type]]="Sch",1,0)</f>
        <v>#REF!</v>
      </c>
      <c r="AE14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1" s="9">
        <f>IFERROR(IF(ISBLANK(INDEX(Am_Close,MATCH(1,INDEX((tbl_Case_mins[[#This Row],[Theatre]]=Theatre_No)*(tbl_Case_mins[[#This Row],[Surgery Start Date]]=Date),0,1),0))*1440),0,INDEX(Am_Close,MATCH(1,INDEX((tbl_Case_mins[[#This Row],[Theatre]]=Theatre_No)*(tbl_Case_mins[[#This Row],[Surgery Start Date]]=Date),0,1),0))*1440),0)</f>
        <v>0</v>
      </c>
      <c r="AG141" s="9">
        <f>IFERROR(IF(ISBLANK(INDEX(PM_Open,MATCH(1,INDEX((tbl_Case_mins[[#This Row],[Theatre]]=Theatre_No)*(tbl_Case_mins[[#This Row],[Surgery Start Date]]=Date),0,1),0))*1440),0,INDEX(PM_Open,MATCH(1,INDEX((tbl_Case_mins[[#This Row],[Theatre]]=Theatre_No)*(tbl_Case_mins[[#This Row],[Surgery Start Date]]=Date),0,1),0))*1440),0)</f>
        <v>0</v>
      </c>
      <c r="AH14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1" s="9" t="e">
        <f>IF(tbl_Case_mins[[#This Row],[ThOpenAm]]=0,tbl_Case_mins[[#This Row],[ThOpenPM]],tbl_Case_mins[[#This Row],[ThOpenAm]])</f>
        <v>#REF!</v>
      </c>
      <c r="AJ141" s="9" t="e">
        <f>IF(tbl_Case_mins[[#This Row],[ThCloseAm]]&gt;0,IF(tbl_Case_mins[[#This Row],[ThOpenPM]]&gt;0,tbl_Case_mins[[#This Row],[ThClosePm]],tbl_Case_mins[[#This Row],[ThCloseAm]]),tbl_Case_mins[[#This Row],[ThClosePm]])</f>
        <v>#REF!</v>
      </c>
      <c r="AK141" s="9" t="e">
        <f>IF(tbl_Case_mins[[#This Row],[TOT]]&gt;0,1,0)</f>
        <v>#REF!</v>
      </c>
      <c r="AL14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1" s="9" t="e">
        <f>IF(AND(tbl_Case_mins[[#This Row],[Surgery Status]]&lt;&gt;2,tbl_Case_mins[[#This Row],[InCoreCase]]=0,tbl_Case_mins[[#This Row],[CancelledCase]]=0),1,0)</f>
        <v>#REF!</v>
      </c>
      <c r="AN141" s="9" t="e">
        <f>IF(tbl_Case_mins[[#This Row],[Surgery Status]]=1,1,0)</f>
        <v>#REF!</v>
      </c>
      <c r="AO14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1" s="9" t="e">
        <f>IF(AND(tbl_Case_mins[[#This Row],[NonCoreCase]]=1,tbl_Case_mins[[#This Row],[NoInCoreTime]]=0),1,0)</f>
        <v>#REF!</v>
      </c>
      <c r="AQ141" s="9" t="e">
        <f>IF(tbl_Case_mins[[#This Row],[Rank_AnaEnd]]&lt;tbl_Case_mins[[#This Row],[Rank_AnaSt]],1,0)</f>
        <v>#REF!</v>
      </c>
      <c r="AR141" s="9" t="e">
        <f>IF(AND(tbl_Case_mins[[#This Row],[InCoreCase]]=1,tbl_Case_mins[[#This Row],[Sch]]=1),1,0)</f>
        <v>#REF!</v>
      </c>
      <c r="AS141" s="9" t="e">
        <f>IF(AND(tbl_Case_mins[[#This Row],[InCoreCase]]=1,tbl_Case_mins[[#This Row],[Unsch]]=1),1,0)</f>
        <v>#REF!</v>
      </c>
      <c r="AT14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1" s="9" t="e">
        <f>IF(tbl_Case_mins[[#This Row],[Surgery Status]]=0,(tbl_Case_mins[[#This Row],[Anaesth End]]-tbl_Case_mins[[#This Row],[AnaesthStart]]),0)</f>
        <v>#REF!</v>
      </c>
      <c r="AX141" s="9" t="e">
        <f>IF(tbl_Case_mins[[#This Row],[Surgery Status]]=0,(tbl_Case_mins[[#This Row],[Surgery Finish]]-tbl_Case_mins[[#This Row],[Surgery Start]]),0)</f>
        <v>#REF!</v>
      </c>
      <c r="AY141" s="9" t="e">
        <f>tbl_Case_mins[[#This Row],[Surgery Start]]-tbl_Case_mins[[#This Row],[AnaesthStart]]</f>
        <v>#REF!</v>
      </c>
      <c r="AZ141" s="9" t="e">
        <f>tbl_Case_mins[[#This Row],[Anaesth End]]-tbl_Case_mins[[#This Row],[Surgery Finish]]</f>
        <v>#REF!</v>
      </c>
      <c r="BA14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1" s="16" cm="1">
        <f t="array" ref="BC14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1" s="16" t="e">
        <f>IF(AND(tbl_Case_mins[[#This Row],[FirstAMCase]]=1,tbl_Case_mins[[#This Row],[CancelledCase]]=0,OR(tbl_Case_mins[[#This Row],[EarlyStartAM]]&gt;0,tbl_Case_mins[[#This Row],[AnaesthStart]]=tbl_Case_mins[[#This Row],[ThOpenAm]])),1,0)</f>
        <v>#REF!</v>
      </c>
      <c r="BE141" s="16" t="e">
        <f>IF(AND(tbl_Case_mins[[#This Row],[Rank_AnaSt]]=tbl_Case_mins[[#This Row],[Min_RankAnaSt]],tbl_Case_mins[[#This Row],[Anaesth End]]&gt;=tbl_Case_mins[[#This Row],[ThOpenAm]],tbl_Case_mins[[#This Row],[PmCase]]=0),1,0)</f>
        <v>#REF!</v>
      </c>
      <c r="BF14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1" s="9" t="e" cm="1">
        <f t="array" ref="BH14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1" s="9" t="e">
        <f>IF(AND(tbl_Case_mins[[#This Row],[ThOpenPM]]&gt;0,tbl_Case_mins[[#This Row],[AnaesthStart]]&gt;tbl_Case_mins[[#This Row],[ThOpenPM]],tbl_Case_mins[[#This Row],[First PM Case]]=1),tbl_Case_mins[[#This Row],[AnaesthStart]]-tbl_Case_mins[[#This Row],[ThOpenPM]],0)</f>
        <v>#REF!</v>
      </c>
      <c r="BL14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1" s="9" t="e" cm="1">
        <f t="array" ref="BN14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1" s="9" t="e">
        <f>IF(AND(tbl_Case_mins[[#This Row],[ThClosePm]]&gt;0,tbl_Case_mins[[#This Row],[Anaesth End]]&gt;tbl_Case_mins[[#This Row],[ThClosePm]],tbl_Case_mins[[#This Row],[AnaesthStart]]&gt;tbl_Case_mins[[#This Row],[ThClosePm]]),tbl_Case_mins[[#This Row],[Into Recov]]-tbl_Case_mins[[#This Row],[AnaesthStart]],0)</f>
        <v>#REF!</v>
      </c>
      <c r="BP141" s="9" t="e">
        <f>IF(AND(tbl_Case_mins[[#This Row],[AnaesthStart]]&lt;tbl_Case_mins[[#This Row],[ThClosePm]],tbl_Case_mins[[#This Row],[Anaesth End]]&gt;tbl_Case_mins[[#This Row],[ThClosePm]]),tbl_Case_mins[[#This Row],[Anaesth End]]-tbl_Case_mins[[#This Row],[ThClosePm]],0)</f>
        <v>#REF!</v>
      </c>
      <c r="BQ141" s="9" t="e" cm="1">
        <f t="array" ref="BQ14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1" s="9" t="e" cm="1">
        <f t="array" ref="BR141">IF(tbl_Case_mins[[#This Row],[Rank_Adjust]]=SUMPRODUCT(-(tbl_Case_mins[Surgery Start Date]=tbl_Case_mins[[#This Row],[Surgery Start Date]]),-(tbl_Case_mins[Theatre]=tbl_Case_mins[[#This Row],[Theatre]])),INDEX(Poss_Time,MATCH(TEXT(tbl_Case_mins[[#This Row],[Surgery Start Date]],"ddd"),Day,0)),0)</f>
        <v>#REF!</v>
      </c>
      <c r="BS141" s="9" t="e">
        <f>tbl_Case_mins[[#This Row],[Core_Time]]*Util_Goal</f>
        <v>#REF!</v>
      </c>
      <c r="BT141" s="9" t="e" cm="1">
        <f t="array" ref="BT1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1" s="9" t="e" cm="1">
        <f t="array" ref="BU1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1" s="9" t="e">
        <f>IF(tbl_Case_mins[[#This Row],[Surgery End Date]]&gt;tbl_Case_mins[[#This Row],[Surgery Start Date]],tbl_Case_mins[[#This Row],[Anaesth End]]-1440,0)</f>
        <v>#REF!</v>
      </c>
      <c r="BY141" s="9" t="e">
        <f>tbl_Case_mins[[#This Row],[Total_NonCore]]-tbl_Case_mins[[#This Row],[NextDay_NonCore]]</f>
        <v>#REF!</v>
      </c>
      <c r="BZ141" s="10" t="e">
        <f>tbl_Case_mins[[#This Row],[InCoreUse]]/60</f>
        <v>#REF!</v>
      </c>
      <c r="CA141" s="10" t="e">
        <f>tbl_Case_mins[[#This Row],[Total_NonCore]]/60</f>
        <v>#REF!</v>
      </c>
      <c r="CB141" t="e" cm="1">
        <f t="array" ref="CB1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1" s="9" t="e" cm="1">
        <f t="array" ref="CC14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1" s="9" t="e" cm="1">
        <f t="array" ref="CD1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1" s="9" t="e" cm="1">
        <f t="array" ref="CE14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1" s="9" cm="1">
        <f t="array" ref="CF141">IFERROR(_xlfn.AGGREGATE(14,6,(tbl_Case_mins[Rank_AnaEnd])/((tbl_Case_mins[Surgery Start Date]=tbl_Case_mins[[#This Row],[Surgery Start Date]])*(tbl_Case_mins[Theatre]=tbl_Case_mins[[#This Row],[Theatre]])*(tbl_Case_mins[NoInCoreTime]=0)),1),-1)</f>
        <v>-1</v>
      </c>
      <c r="CG141" s="9" cm="1">
        <f t="array" ref="CG141">IFERROR(_xlfn.AGGREGATE(15,6,(tbl_Case_mins[Rank_AnaSt])/((tbl_Case_mins[Surgery Start Date]=tbl_Case_mins[[#This Row],[Surgery Start Date]])*(tbl_Case_mins[Theatre]=tbl_Case_mins[[#This Row],[Theatre]])*(tbl_Case_mins[NoInCoreTime]=0)),1),-1)</f>
        <v>-1</v>
      </c>
      <c r="CH14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1" t="e" cm="1">
        <f t="array" ref="CJ14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1" s="9" cm="1">
        <f t="array" ref="CO1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1" s="9" cm="1">
        <f t="array" ref="CP1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1" s="9" cm="1">
        <f t="array" ref="CQ141">IFERROR(IF(AND(tbl_Case_mins[[#This Row],[FirstAMCase]]=0,tbl_Case_mins[[#This Row],[Rank]]=_xlfn.AGGREGATE(14,6,(tbl_Case_mins[Rank])/((tbl_Case_mins[Surgery Start Date]=tbl_Case_mins[[#This Row],[Surgery Start Date]])*(tbl_Case_mins[Theatre]=tbl_Case_mins[[#This Row],[Theatre]])*(tbl_Case_mins[AmCase]=1)),1)),1,0),0)</f>
        <v>0</v>
      </c>
      <c r="CR141" s="9" cm="1">
        <f t="array" ref="CR14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1" s="9" t="e" cm="1">
        <f t="array" ref="CS14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1" s="9" cm="1">
        <f t="array" ref="CT141">IFERROR(IF(tbl_Case_mins[[#This Row],[Rank]]=_xlfn.AGGREGATE(15,6,(tbl_Case_mins[Rank])/((tbl_Case_mins[Surgery Start Date]=tbl_Case_mins[[#This Row],[Surgery Start Date]])*(tbl_Case_mins[Theatre]=tbl_Case_mins[[#This Row],[Theatre]])*(tbl_Case_mins[PmCase]=1)),1),1,0),0)</f>
        <v>0</v>
      </c>
      <c r="CU141">
        <f>IFERROR(#REF!,0)</f>
        <v>0</v>
      </c>
      <c r="CV141" s="9" t="e" cm="1">
        <f t="array" ref="CV14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1" s="9">
        <f>IFERROR(IF(ISBLANK(INDEX(Bay_AmClose,MATCH(1,INDEX((tbl_Case_mins[[#This Row],[Bay]]=BayNo)*(tbl_Case_mins[[#This Row],[Surgery Start Date]]=BDate),0,1),0))*1440),0,INDEX(Bay_AmClose,MATCH(1,INDEX((tbl_Case_mins[[#This Row],[Bay]]=BayNo)*(tbl_Case_mins[[#This Row],[Surgery Start Date]]=BDate),0,1),0))*1440),0)</f>
        <v>0</v>
      </c>
      <c r="CX141" s="9" cm="1">
        <f t="array" ref="CX141">IFERROR(IF(ISBLANK(INDEX(Bay_PmOpen,MATCH(1,INDEX((tbl_Case_mins[[#This Row],[Bay]]=BayNo)*(tbl_Case_mins[[#This Row],[Surgery Start Date]]=BDate),0,1),0))*1440),0,INDEX(Bay_PmOpen,MATCH(1,INDEX((tbl_Case_mins[[#This Row],[Bay]]=BayNo)*(tbl_Case_mins[[#This Row],[Surgery Start Date]]=BDate),0,1),0))*1440),0)</f>
        <v>0</v>
      </c>
      <c r="CY14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1" s="9"/>
    </row>
    <row r="142" spans="1:104" x14ac:dyDescent="0.2">
      <c r="A142">
        <v>141</v>
      </c>
      <c r="B142" t="e">
        <f>#REF!</f>
        <v>#REF!</v>
      </c>
      <c r="C142" t="e">
        <f>#REF!</f>
        <v>#REF!</v>
      </c>
      <c r="D142" t="e">
        <f>#REF!</f>
        <v>#REF!</v>
      </c>
      <c r="E142" t="e">
        <f>#REF!</f>
        <v>#REF!</v>
      </c>
      <c r="F142" t="e">
        <f>#REF!</f>
        <v>#REF!</v>
      </c>
      <c r="G142" t="e">
        <f>#REF!</f>
        <v>#REF!</v>
      </c>
      <c r="H142" t="e">
        <f>#REF!</f>
        <v>#REF!</v>
      </c>
      <c r="I142" t="e">
        <f>IF(#REF!="Case Cancelled",1,IF(#REF!="No Cases",2,0))</f>
        <v>#REF!</v>
      </c>
      <c r="J142" t="e">
        <f>#REF!</f>
        <v>#REF!</v>
      </c>
      <c r="K142" s="4" t="e">
        <f>#REF!</f>
        <v>#REF!</v>
      </c>
      <c r="L142" t="e">
        <f>"Wk "&amp;WEEKNUM(tbl_Case_mins[[#This Row],[Surgery Start Date]],21)</f>
        <v>#REF!</v>
      </c>
      <c r="M142" t="e">
        <f>TEXT(tbl_Case_mins[[#This Row],[Surgery Start Date]],"ddd")</f>
        <v>#REF!</v>
      </c>
      <c r="N142" s="9" t="e">
        <f>(#REF!-TIME(0,0,0))*1440</f>
        <v>#REF!</v>
      </c>
      <c r="O142" t="e">
        <f>IF(AND(ROUND((#REF!-TIME(0,0,0))*1440,0)&gt;0,ROUND((#REF!-TIME(0,0,0))*1440,0)&lt;tbl_Case_mins[[#This Row],[Patient Called]],tbl_Case_mins[[#This Row],[Surgery End Date]]&gt;tbl_Case_mins[[#This Row],[Surgery Start Date]]),ROUND((#REF!-TIME(0,0,0))*1440,0)+1440,ROUND((#REF!-TIME(0,0,0))*1440,0))</f>
        <v>#REF!</v>
      </c>
      <c r="P142" s="9" t="e">
        <f>IF(AND(ROUND((#REF!-TIME(0,0,0))*1440,0)&gt;0,ROUND((#REF!-TIME(0,0,0))*1440,0)&lt;tbl_Case_mins[[#This Row],[Arrival]],tbl_Case_mins[[#This Row],[Surgery End Date]]&gt;tbl_Case_mins[[#This Row],[Surgery Start Date]]),ROUND((#REF!-TIME(0,0,0))*1440,0)+1440,ROUND((#REF!-TIME(0,0,0))*1440,0))</f>
        <v>#REF!</v>
      </c>
      <c r="Q142" s="9" t="e">
        <f>IF(AND(ROUND((#REF!-TIME(0,0,0))*1440,0)&gt;0,ROUND((#REF!-TIME(0,0,0))*1440,0)&lt;tbl_Case_mins[[#This Row],[Into Th or AR]],tbl_Case_mins[[#This Row],[Surgery End Date]]&gt;tbl_Case_mins[[#This Row],[Surgery Start Date]]),ROUND((#REF!-TIME(0,0,0))*1440,0)+1440,ROUND((#REF!-TIME(0,0,0))*1440,0))</f>
        <v>#REF!</v>
      </c>
      <c r="R142" s="9" t="e">
        <f>IF(AND(ROUND((#REF!-TIME(0,0,0))*1440,0)&gt;0,ROUND((#REF!-TIME(0,0,0))*1440,0)&lt;tbl_Case_mins[[#This Row],[AnaesthStart]],tbl_Case_mins[[#This Row],[Surgery End Date]]&gt;tbl_Case_mins[[#This Row],[Surgery Start Date]]),ROUND((#REF!-TIME(0,0,0))*1440,0)+1440,ROUND((#REF!-TIME(0,0,0))*1440,0))</f>
        <v>#REF!</v>
      </c>
      <c r="S142" s="9" t="e">
        <f>IF(AND(ROUND((#REF!-TIME(0,0,0))*1440,0),ROUND((#REF!-TIME(0,0,0))*1440,0)&lt;tbl_Case_mins[[#This Row],[Surgery Start]],tbl_Case_mins[[#This Row],[Surgery End Date]]&gt;tbl_Case_mins[[#This Row],[Surgery Start Date]]),ROUND((#REF!-TIME(0,0,0))*1440,0)+1440,ROUND((#REF!-TIME(0,0,0))*1440,0))</f>
        <v>#REF!</v>
      </c>
      <c r="T142" s="9" t="e">
        <f>IF(AND(ROUND((#REF!-TIME(0,0,0))*1440,0)&gt;0,ROUND((#REF!-TIME(0,0,0))*1440,0)&lt;tbl_Case_mins[[#This Row],[Surgery Finish]],tbl_Case_mins[[#This Row],[Surgery End Date]]&gt;tbl_Case_mins[[#This Row],[Surgery Start Date]]),ROUND((#REF!-TIME(0,0,0))*1440,0)+1440,ROUND((#REF!-TIME(0,0,0))*1440,0))</f>
        <v>#REF!</v>
      </c>
      <c r="U142" s="9" t="e">
        <f>IF(AND(ROUND((#REF!-TIME(0,0,0))*1440,0)&gt;0,ROUND((#REF!-TIME(0,0,0))*1440,0)&lt;tbl_Case_mins[[#This Row],[Anaesth End]],tbl_Case_mins[[#This Row],[Surgery End Date]]&gt;tbl_Case_mins[[#This Row],[Surgery Start Date]]),ROUND((#REF!-TIME(0,0,0))*1440,0)+1440,ROUND((#REF!-TIME(0,0,0))*1440,0))</f>
        <v>#REF!</v>
      </c>
      <c r="V142" s="9" t="e">
        <f>IF(AND(ROUND((#REF!-TIME(0,0,0))*1440,0)&gt;0,ROUND((#REF!-TIME(0,0,0))*1440,0)&lt;tbl_Case_mins[[#This Row],[Into Recov]],tbl_Case_mins[[#This Row],[Surgery End Date]]&gt;tbl_Case_mins[[#This Row],[Surgery Start Date]]),ROUND((#REF!-TIME(0,0,0))*1440,0)+1440,ROUND((#REF!-TIME(0,0,0))*1440,0))</f>
        <v>#REF!</v>
      </c>
      <c r="W142" s="9" t="e">
        <f>IF(AND(ROUND((#REF!-TIME(0,0,0))*1440,0)&gt;0,ROUND((#REF!-TIME(0,0,0))*1440,0)&lt;tbl_Case_mins[[#This Row],[Ward Called]],tbl_Case_mins[[#This Row],[Surgery End Date]]&gt;tbl_Case_mins[[#This Row],[Surgery Start Date]]),ROUND((#REF!-TIME(0,0,0))*1440,0)+1440,ROUND((#REF!-TIME(0,0,0))*1440,0))</f>
        <v>#REF!</v>
      </c>
      <c r="X142" s="4" t="e">
        <f>IF(ISBLANK(#REF!),tbl_Case_mins[[#This Row],[Surgery Start Date]],#REF!)</f>
        <v>#REF!</v>
      </c>
      <c r="Y142">
        <f>IFERROR(IF(VLOOKUP(tbl_Case_mins[[#This Row],[Theatre]],'Mng Theatres'!$C$7:$G$12,3,FALSE)="Yes","Yes","No"),0)</f>
        <v>0</v>
      </c>
      <c r="Z142" s="9" t="e" cm="1">
        <f t="array" ref="Z14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2" s="9" t="e" cm="1">
        <f t="array" ref="AA14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2" s="9" t="e">
        <f>IF(tbl_Case_mins[[#This Row],[Case Type]]="Unsch",1,0)</f>
        <v>#REF!</v>
      </c>
      <c r="AD142" s="9" t="e">
        <f>IF(tbl_Case_mins[[#This Row],[Case Type]]="Sch",1,0)</f>
        <v>#REF!</v>
      </c>
      <c r="AE14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2" s="9">
        <f>IFERROR(IF(ISBLANK(INDEX(Am_Close,MATCH(1,INDEX((tbl_Case_mins[[#This Row],[Theatre]]=Theatre_No)*(tbl_Case_mins[[#This Row],[Surgery Start Date]]=Date),0,1),0))*1440),0,INDEX(Am_Close,MATCH(1,INDEX((tbl_Case_mins[[#This Row],[Theatre]]=Theatre_No)*(tbl_Case_mins[[#This Row],[Surgery Start Date]]=Date),0,1),0))*1440),0)</f>
        <v>0</v>
      </c>
      <c r="AG142" s="9">
        <f>IFERROR(IF(ISBLANK(INDEX(PM_Open,MATCH(1,INDEX((tbl_Case_mins[[#This Row],[Theatre]]=Theatre_No)*(tbl_Case_mins[[#This Row],[Surgery Start Date]]=Date),0,1),0))*1440),0,INDEX(PM_Open,MATCH(1,INDEX((tbl_Case_mins[[#This Row],[Theatre]]=Theatre_No)*(tbl_Case_mins[[#This Row],[Surgery Start Date]]=Date),0,1),0))*1440),0)</f>
        <v>0</v>
      </c>
      <c r="AH14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2" s="9" t="e">
        <f>IF(tbl_Case_mins[[#This Row],[ThOpenAm]]=0,tbl_Case_mins[[#This Row],[ThOpenPM]],tbl_Case_mins[[#This Row],[ThOpenAm]])</f>
        <v>#REF!</v>
      </c>
      <c r="AJ142" s="9" t="e">
        <f>IF(tbl_Case_mins[[#This Row],[ThCloseAm]]&gt;0,IF(tbl_Case_mins[[#This Row],[ThOpenPM]]&gt;0,tbl_Case_mins[[#This Row],[ThClosePm]],tbl_Case_mins[[#This Row],[ThCloseAm]]),tbl_Case_mins[[#This Row],[ThClosePm]])</f>
        <v>#REF!</v>
      </c>
      <c r="AK142" s="9" t="e">
        <f>IF(tbl_Case_mins[[#This Row],[TOT]]&gt;0,1,0)</f>
        <v>#REF!</v>
      </c>
      <c r="AL14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2" s="9" t="e">
        <f>IF(AND(tbl_Case_mins[[#This Row],[Surgery Status]]&lt;&gt;2,tbl_Case_mins[[#This Row],[InCoreCase]]=0,tbl_Case_mins[[#This Row],[CancelledCase]]=0),1,0)</f>
        <v>#REF!</v>
      </c>
      <c r="AN142" s="9" t="e">
        <f>IF(tbl_Case_mins[[#This Row],[Surgery Status]]=1,1,0)</f>
        <v>#REF!</v>
      </c>
      <c r="AO14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2" s="9" t="e">
        <f>IF(AND(tbl_Case_mins[[#This Row],[NonCoreCase]]=1,tbl_Case_mins[[#This Row],[NoInCoreTime]]=0),1,0)</f>
        <v>#REF!</v>
      </c>
      <c r="AQ142" s="9" t="e">
        <f>IF(tbl_Case_mins[[#This Row],[Rank_AnaEnd]]&lt;tbl_Case_mins[[#This Row],[Rank_AnaSt]],1,0)</f>
        <v>#REF!</v>
      </c>
      <c r="AR142" s="9" t="e">
        <f>IF(AND(tbl_Case_mins[[#This Row],[InCoreCase]]=1,tbl_Case_mins[[#This Row],[Sch]]=1),1,0)</f>
        <v>#REF!</v>
      </c>
      <c r="AS142" s="9" t="e">
        <f>IF(AND(tbl_Case_mins[[#This Row],[InCoreCase]]=1,tbl_Case_mins[[#This Row],[Unsch]]=1),1,0)</f>
        <v>#REF!</v>
      </c>
      <c r="AT14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2" s="9" t="e">
        <f>IF(tbl_Case_mins[[#This Row],[Surgery Status]]=0,(tbl_Case_mins[[#This Row],[Anaesth End]]-tbl_Case_mins[[#This Row],[AnaesthStart]]),0)</f>
        <v>#REF!</v>
      </c>
      <c r="AX142" s="9" t="e">
        <f>IF(tbl_Case_mins[[#This Row],[Surgery Status]]=0,(tbl_Case_mins[[#This Row],[Surgery Finish]]-tbl_Case_mins[[#This Row],[Surgery Start]]),0)</f>
        <v>#REF!</v>
      </c>
      <c r="AY142" s="9" t="e">
        <f>tbl_Case_mins[[#This Row],[Surgery Start]]-tbl_Case_mins[[#This Row],[AnaesthStart]]</f>
        <v>#REF!</v>
      </c>
      <c r="AZ142" s="9" t="e">
        <f>tbl_Case_mins[[#This Row],[Anaesth End]]-tbl_Case_mins[[#This Row],[Surgery Finish]]</f>
        <v>#REF!</v>
      </c>
      <c r="BA14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2" s="16" cm="1">
        <f t="array" ref="BC14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2" s="16" t="e">
        <f>IF(AND(tbl_Case_mins[[#This Row],[FirstAMCase]]=1,tbl_Case_mins[[#This Row],[CancelledCase]]=0,OR(tbl_Case_mins[[#This Row],[EarlyStartAM]]&gt;0,tbl_Case_mins[[#This Row],[AnaesthStart]]=tbl_Case_mins[[#This Row],[ThOpenAm]])),1,0)</f>
        <v>#REF!</v>
      </c>
      <c r="BE142" s="16" t="e">
        <f>IF(AND(tbl_Case_mins[[#This Row],[Rank_AnaSt]]=tbl_Case_mins[[#This Row],[Min_RankAnaSt]],tbl_Case_mins[[#This Row],[Anaesth End]]&gt;=tbl_Case_mins[[#This Row],[ThOpenAm]],tbl_Case_mins[[#This Row],[PmCase]]=0),1,0)</f>
        <v>#REF!</v>
      </c>
      <c r="BF14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2" s="9" t="e" cm="1">
        <f t="array" ref="BH14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2" s="9" t="e">
        <f>IF(AND(tbl_Case_mins[[#This Row],[ThOpenPM]]&gt;0,tbl_Case_mins[[#This Row],[AnaesthStart]]&gt;tbl_Case_mins[[#This Row],[ThOpenPM]],tbl_Case_mins[[#This Row],[First PM Case]]=1),tbl_Case_mins[[#This Row],[AnaesthStart]]-tbl_Case_mins[[#This Row],[ThOpenPM]],0)</f>
        <v>#REF!</v>
      </c>
      <c r="BL14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2" s="9" t="e" cm="1">
        <f t="array" ref="BN14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2" s="9" t="e">
        <f>IF(AND(tbl_Case_mins[[#This Row],[ThClosePm]]&gt;0,tbl_Case_mins[[#This Row],[Anaesth End]]&gt;tbl_Case_mins[[#This Row],[ThClosePm]],tbl_Case_mins[[#This Row],[AnaesthStart]]&gt;tbl_Case_mins[[#This Row],[ThClosePm]]),tbl_Case_mins[[#This Row],[Into Recov]]-tbl_Case_mins[[#This Row],[AnaesthStart]],0)</f>
        <v>#REF!</v>
      </c>
      <c r="BP142" s="9" t="e">
        <f>IF(AND(tbl_Case_mins[[#This Row],[AnaesthStart]]&lt;tbl_Case_mins[[#This Row],[ThClosePm]],tbl_Case_mins[[#This Row],[Anaesth End]]&gt;tbl_Case_mins[[#This Row],[ThClosePm]]),tbl_Case_mins[[#This Row],[Anaesth End]]-tbl_Case_mins[[#This Row],[ThClosePm]],0)</f>
        <v>#REF!</v>
      </c>
      <c r="BQ142" s="9" t="e" cm="1">
        <f t="array" ref="BQ14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2" s="9" t="e" cm="1">
        <f t="array" ref="BR142">IF(tbl_Case_mins[[#This Row],[Rank_Adjust]]=SUMPRODUCT(-(tbl_Case_mins[Surgery Start Date]=tbl_Case_mins[[#This Row],[Surgery Start Date]]),-(tbl_Case_mins[Theatre]=tbl_Case_mins[[#This Row],[Theatre]])),INDEX(Poss_Time,MATCH(TEXT(tbl_Case_mins[[#This Row],[Surgery Start Date]],"ddd"),Day,0)),0)</f>
        <v>#REF!</v>
      </c>
      <c r="BS142" s="9" t="e">
        <f>tbl_Case_mins[[#This Row],[Core_Time]]*Util_Goal</f>
        <v>#REF!</v>
      </c>
      <c r="BT142" s="9" t="e" cm="1">
        <f t="array" ref="BT1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2" s="9" t="e" cm="1">
        <f t="array" ref="BU1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2" s="9" t="e">
        <f>IF(tbl_Case_mins[[#This Row],[Surgery End Date]]&gt;tbl_Case_mins[[#This Row],[Surgery Start Date]],tbl_Case_mins[[#This Row],[Anaesth End]]-1440,0)</f>
        <v>#REF!</v>
      </c>
      <c r="BY142" s="9" t="e">
        <f>tbl_Case_mins[[#This Row],[Total_NonCore]]-tbl_Case_mins[[#This Row],[NextDay_NonCore]]</f>
        <v>#REF!</v>
      </c>
      <c r="BZ142" s="10" t="e">
        <f>tbl_Case_mins[[#This Row],[InCoreUse]]/60</f>
        <v>#REF!</v>
      </c>
      <c r="CA142" s="10" t="e">
        <f>tbl_Case_mins[[#This Row],[Total_NonCore]]/60</f>
        <v>#REF!</v>
      </c>
      <c r="CB142" t="e" cm="1">
        <f t="array" ref="CB1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2" s="9" t="e" cm="1">
        <f t="array" ref="CC14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2" s="9" t="e" cm="1">
        <f t="array" ref="CD1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2" s="9" t="e" cm="1">
        <f t="array" ref="CE14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2" s="9" cm="1">
        <f t="array" ref="CF142">IFERROR(_xlfn.AGGREGATE(14,6,(tbl_Case_mins[Rank_AnaEnd])/((tbl_Case_mins[Surgery Start Date]=tbl_Case_mins[[#This Row],[Surgery Start Date]])*(tbl_Case_mins[Theatre]=tbl_Case_mins[[#This Row],[Theatre]])*(tbl_Case_mins[NoInCoreTime]=0)),1),-1)</f>
        <v>-1</v>
      </c>
      <c r="CG142" s="9" cm="1">
        <f t="array" ref="CG142">IFERROR(_xlfn.AGGREGATE(15,6,(tbl_Case_mins[Rank_AnaSt])/((tbl_Case_mins[Surgery Start Date]=tbl_Case_mins[[#This Row],[Surgery Start Date]])*(tbl_Case_mins[Theatre]=tbl_Case_mins[[#This Row],[Theatre]])*(tbl_Case_mins[NoInCoreTime]=0)),1),-1)</f>
        <v>-1</v>
      </c>
      <c r="CH14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2" t="e" cm="1">
        <f t="array" ref="CJ14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2" s="9" cm="1">
        <f t="array" ref="CO1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2" s="9" cm="1">
        <f t="array" ref="CP1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2" s="9" cm="1">
        <f t="array" ref="CQ142">IFERROR(IF(AND(tbl_Case_mins[[#This Row],[FirstAMCase]]=0,tbl_Case_mins[[#This Row],[Rank]]=_xlfn.AGGREGATE(14,6,(tbl_Case_mins[Rank])/((tbl_Case_mins[Surgery Start Date]=tbl_Case_mins[[#This Row],[Surgery Start Date]])*(tbl_Case_mins[Theatre]=tbl_Case_mins[[#This Row],[Theatre]])*(tbl_Case_mins[AmCase]=1)),1)),1,0),0)</f>
        <v>0</v>
      </c>
      <c r="CR142" s="9" cm="1">
        <f t="array" ref="CR14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2" s="9" t="e" cm="1">
        <f t="array" ref="CS14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2" s="9" cm="1">
        <f t="array" ref="CT142">IFERROR(IF(tbl_Case_mins[[#This Row],[Rank]]=_xlfn.AGGREGATE(15,6,(tbl_Case_mins[Rank])/((tbl_Case_mins[Surgery Start Date]=tbl_Case_mins[[#This Row],[Surgery Start Date]])*(tbl_Case_mins[Theatre]=tbl_Case_mins[[#This Row],[Theatre]])*(tbl_Case_mins[PmCase]=1)),1),1,0),0)</f>
        <v>0</v>
      </c>
      <c r="CU142">
        <f>IFERROR(#REF!,0)</f>
        <v>0</v>
      </c>
      <c r="CV142" s="9" t="e" cm="1">
        <f t="array" ref="CV14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2" s="9">
        <f>IFERROR(IF(ISBLANK(INDEX(Bay_AmClose,MATCH(1,INDEX((tbl_Case_mins[[#This Row],[Bay]]=BayNo)*(tbl_Case_mins[[#This Row],[Surgery Start Date]]=BDate),0,1),0))*1440),0,INDEX(Bay_AmClose,MATCH(1,INDEX((tbl_Case_mins[[#This Row],[Bay]]=BayNo)*(tbl_Case_mins[[#This Row],[Surgery Start Date]]=BDate),0,1),0))*1440),0)</f>
        <v>0</v>
      </c>
      <c r="CX142" s="9" cm="1">
        <f t="array" ref="CX142">IFERROR(IF(ISBLANK(INDEX(Bay_PmOpen,MATCH(1,INDEX((tbl_Case_mins[[#This Row],[Bay]]=BayNo)*(tbl_Case_mins[[#This Row],[Surgery Start Date]]=BDate),0,1),0))*1440),0,INDEX(Bay_PmOpen,MATCH(1,INDEX((tbl_Case_mins[[#This Row],[Bay]]=BayNo)*(tbl_Case_mins[[#This Row],[Surgery Start Date]]=BDate),0,1),0))*1440),0)</f>
        <v>0</v>
      </c>
      <c r="CY14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2" s="9"/>
    </row>
    <row r="143" spans="1:104" x14ac:dyDescent="0.2">
      <c r="A143">
        <v>142</v>
      </c>
      <c r="B143" t="e">
        <f>#REF!</f>
        <v>#REF!</v>
      </c>
      <c r="C143" t="e">
        <f>#REF!</f>
        <v>#REF!</v>
      </c>
      <c r="D143" t="e">
        <f>#REF!</f>
        <v>#REF!</v>
      </c>
      <c r="E143" t="e">
        <f>#REF!</f>
        <v>#REF!</v>
      </c>
      <c r="F143" t="e">
        <f>#REF!</f>
        <v>#REF!</v>
      </c>
      <c r="G143" t="e">
        <f>#REF!</f>
        <v>#REF!</v>
      </c>
      <c r="H143" t="e">
        <f>#REF!</f>
        <v>#REF!</v>
      </c>
      <c r="I143" t="e">
        <f>IF(#REF!="Case Cancelled",1,IF(#REF!="No Cases",2,0))</f>
        <v>#REF!</v>
      </c>
      <c r="J143" t="e">
        <f>#REF!</f>
        <v>#REF!</v>
      </c>
      <c r="K143" s="4" t="e">
        <f>#REF!</f>
        <v>#REF!</v>
      </c>
      <c r="L143" t="e">
        <f>"Wk "&amp;WEEKNUM(tbl_Case_mins[[#This Row],[Surgery Start Date]],21)</f>
        <v>#REF!</v>
      </c>
      <c r="M143" t="e">
        <f>TEXT(tbl_Case_mins[[#This Row],[Surgery Start Date]],"ddd")</f>
        <v>#REF!</v>
      </c>
      <c r="N143" s="9" t="e">
        <f>(#REF!-TIME(0,0,0))*1440</f>
        <v>#REF!</v>
      </c>
      <c r="O143" t="e">
        <f>IF(AND(ROUND((#REF!-TIME(0,0,0))*1440,0)&gt;0,ROUND((#REF!-TIME(0,0,0))*1440,0)&lt;tbl_Case_mins[[#This Row],[Patient Called]],tbl_Case_mins[[#This Row],[Surgery End Date]]&gt;tbl_Case_mins[[#This Row],[Surgery Start Date]]),ROUND((#REF!-TIME(0,0,0))*1440,0)+1440,ROUND((#REF!-TIME(0,0,0))*1440,0))</f>
        <v>#REF!</v>
      </c>
      <c r="P143" s="9" t="e">
        <f>IF(AND(ROUND((#REF!-TIME(0,0,0))*1440,0)&gt;0,ROUND((#REF!-TIME(0,0,0))*1440,0)&lt;tbl_Case_mins[[#This Row],[Arrival]],tbl_Case_mins[[#This Row],[Surgery End Date]]&gt;tbl_Case_mins[[#This Row],[Surgery Start Date]]),ROUND((#REF!-TIME(0,0,0))*1440,0)+1440,ROUND((#REF!-TIME(0,0,0))*1440,0))</f>
        <v>#REF!</v>
      </c>
      <c r="Q143" s="9" t="e">
        <f>IF(AND(ROUND((#REF!-TIME(0,0,0))*1440,0)&gt;0,ROUND((#REF!-TIME(0,0,0))*1440,0)&lt;tbl_Case_mins[[#This Row],[Into Th or AR]],tbl_Case_mins[[#This Row],[Surgery End Date]]&gt;tbl_Case_mins[[#This Row],[Surgery Start Date]]),ROUND((#REF!-TIME(0,0,0))*1440,0)+1440,ROUND((#REF!-TIME(0,0,0))*1440,0))</f>
        <v>#REF!</v>
      </c>
      <c r="R143" s="9" t="e">
        <f>IF(AND(ROUND((#REF!-TIME(0,0,0))*1440,0)&gt;0,ROUND((#REF!-TIME(0,0,0))*1440,0)&lt;tbl_Case_mins[[#This Row],[AnaesthStart]],tbl_Case_mins[[#This Row],[Surgery End Date]]&gt;tbl_Case_mins[[#This Row],[Surgery Start Date]]),ROUND((#REF!-TIME(0,0,0))*1440,0)+1440,ROUND((#REF!-TIME(0,0,0))*1440,0))</f>
        <v>#REF!</v>
      </c>
      <c r="S143" s="9" t="e">
        <f>IF(AND(ROUND((#REF!-TIME(0,0,0))*1440,0),ROUND((#REF!-TIME(0,0,0))*1440,0)&lt;tbl_Case_mins[[#This Row],[Surgery Start]],tbl_Case_mins[[#This Row],[Surgery End Date]]&gt;tbl_Case_mins[[#This Row],[Surgery Start Date]]),ROUND((#REF!-TIME(0,0,0))*1440,0)+1440,ROUND((#REF!-TIME(0,0,0))*1440,0))</f>
        <v>#REF!</v>
      </c>
      <c r="T143" s="9" t="e">
        <f>IF(AND(ROUND((#REF!-TIME(0,0,0))*1440,0)&gt;0,ROUND((#REF!-TIME(0,0,0))*1440,0)&lt;tbl_Case_mins[[#This Row],[Surgery Finish]],tbl_Case_mins[[#This Row],[Surgery End Date]]&gt;tbl_Case_mins[[#This Row],[Surgery Start Date]]),ROUND((#REF!-TIME(0,0,0))*1440,0)+1440,ROUND((#REF!-TIME(0,0,0))*1440,0))</f>
        <v>#REF!</v>
      </c>
      <c r="U143" s="9" t="e">
        <f>IF(AND(ROUND((#REF!-TIME(0,0,0))*1440,0)&gt;0,ROUND((#REF!-TIME(0,0,0))*1440,0)&lt;tbl_Case_mins[[#This Row],[Anaesth End]],tbl_Case_mins[[#This Row],[Surgery End Date]]&gt;tbl_Case_mins[[#This Row],[Surgery Start Date]]),ROUND((#REF!-TIME(0,0,0))*1440,0)+1440,ROUND((#REF!-TIME(0,0,0))*1440,0))</f>
        <v>#REF!</v>
      </c>
      <c r="V143" s="9" t="e">
        <f>IF(AND(ROUND((#REF!-TIME(0,0,0))*1440,0)&gt;0,ROUND((#REF!-TIME(0,0,0))*1440,0)&lt;tbl_Case_mins[[#This Row],[Into Recov]],tbl_Case_mins[[#This Row],[Surgery End Date]]&gt;tbl_Case_mins[[#This Row],[Surgery Start Date]]),ROUND((#REF!-TIME(0,0,0))*1440,0)+1440,ROUND((#REF!-TIME(0,0,0))*1440,0))</f>
        <v>#REF!</v>
      </c>
      <c r="W143" s="9" t="e">
        <f>IF(AND(ROUND((#REF!-TIME(0,0,0))*1440,0)&gt;0,ROUND((#REF!-TIME(0,0,0))*1440,0)&lt;tbl_Case_mins[[#This Row],[Ward Called]],tbl_Case_mins[[#This Row],[Surgery End Date]]&gt;tbl_Case_mins[[#This Row],[Surgery Start Date]]),ROUND((#REF!-TIME(0,0,0))*1440,0)+1440,ROUND((#REF!-TIME(0,0,0))*1440,0))</f>
        <v>#REF!</v>
      </c>
      <c r="X143" s="4" t="e">
        <f>IF(ISBLANK(#REF!),tbl_Case_mins[[#This Row],[Surgery Start Date]],#REF!)</f>
        <v>#REF!</v>
      </c>
      <c r="Y143">
        <f>IFERROR(IF(VLOOKUP(tbl_Case_mins[[#This Row],[Theatre]],'Mng Theatres'!$C$7:$G$12,3,FALSE)="Yes","Yes","No"),0)</f>
        <v>0</v>
      </c>
      <c r="Z143" s="9" t="e" cm="1">
        <f t="array" ref="Z14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3" s="9" t="e" cm="1">
        <f t="array" ref="AA14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3" s="9" t="e">
        <f>IF(tbl_Case_mins[[#This Row],[Case Type]]="Unsch",1,0)</f>
        <v>#REF!</v>
      </c>
      <c r="AD143" s="9" t="e">
        <f>IF(tbl_Case_mins[[#This Row],[Case Type]]="Sch",1,0)</f>
        <v>#REF!</v>
      </c>
      <c r="AE14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3" s="9">
        <f>IFERROR(IF(ISBLANK(INDEX(Am_Close,MATCH(1,INDEX((tbl_Case_mins[[#This Row],[Theatre]]=Theatre_No)*(tbl_Case_mins[[#This Row],[Surgery Start Date]]=Date),0,1),0))*1440),0,INDEX(Am_Close,MATCH(1,INDEX((tbl_Case_mins[[#This Row],[Theatre]]=Theatre_No)*(tbl_Case_mins[[#This Row],[Surgery Start Date]]=Date),0,1),0))*1440),0)</f>
        <v>0</v>
      </c>
      <c r="AG143" s="9">
        <f>IFERROR(IF(ISBLANK(INDEX(PM_Open,MATCH(1,INDEX((tbl_Case_mins[[#This Row],[Theatre]]=Theatre_No)*(tbl_Case_mins[[#This Row],[Surgery Start Date]]=Date),0,1),0))*1440),0,INDEX(PM_Open,MATCH(1,INDEX((tbl_Case_mins[[#This Row],[Theatre]]=Theatre_No)*(tbl_Case_mins[[#This Row],[Surgery Start Date]]=Date),0,1),0))*1440),0)</f>
        <v>0</v>
      </c>
      <c r="AH14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3" s="9" t="e">
        <f>IF(tbl_Case_mins[[#This Row],[ThOpenAm]]=0,tbl_Case_mins[[#This Row],[ThOpenPM]],tbl_Case_mins[[#This Row],[ThOpenAm]])</f>
        <v>#REF!</v>
      </c>
      <c r="AJ143" s="9" t="e">
        <f>IF(tbl_Case_mins[[#This Row],[ThCloseAm]]&gt;0,IF(tbl_Case_mins[[#This Row],[ThOpenPM]]&gt;0,tbl_Case_mins[[#This Row],[ThClosePm]],tbl_Case_mins[[#This Row],[ThCloseAm]]),tbl_Case_mins[[#This Row],[ThClosePm]])</f>
        <v>#REF!</v>
      </c>
      <c r="AK143" s="9" t="e">
        <f>IF(tbl_Case_mins[[#This Row],[TOT]]&gt;0,1,0)</f>
        <v>#REF!</v>
      </c>
      <c r="AL14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3" s="9" t="e">
        <f>IF(AND(tbl_Case_mins[[#This Row],[Surgery Status]]&lt;&gt;2,tbl_Case_mins[[#This Row],[InCoreCase]]=0,tbl_Case_mins[[#This Row],[CancelledCase]]=0),1,0)</f>
        <v>#REF!</v>
      </c>
      <c r="AN143" s="9" t="e">
        <f>IF(tbl_Case_mins[[#This Row],[Surgery Status]]=1,1,0)</f>
        <v>#REF!</v>
      </c>
      <c r="AO14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3" s="9" t="e">
        <f>IF(AND(tbl_Case_mins[[#This Row],[NonCoreCase]]=1,tbl_Case_mins[[#This Row],[NoInCoreTime]]=0),1,0)</f>
        <v>#REF!</v>
      </c>
      <c r="AQ143" s="9" t="e">
        <f>IF(tbl_Case_mins[[#This Row],[Rank_AnaEnd]]&lt;tbl_Case_mins[[#This Row],[Rank_AnaSt]],1,0)</f>
        <v>#REF!</v>
      </c>
      <c r="AR143" s="9" t="e">
        <f>IF(AND(tbl_Case_mins[[#This Row],[InCoreCase]]=1,tbl_Case_mins[[#This Row],[Sch]]=1),1,0)</f>
        <v>#REF!</v>
      </c>
      <c r="AS143" s="9" t="e">
        <f>IF(AND(tbl_Case_mins[[#This Row],[InCoreCase]]=1,tbl_Case_mins[[#This Row],[Unsch]]=1),1,0)</f>
        <v>#REF!</v>
      </c>
      <c r="AT14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3" s="9" t="e">
        <f>IF(tbl_Case_mins[[#This Row],[Surgery Status]]=0,(tbl_Case_mins[[#This Row],[Anaesth End]]-tbl_Case_mins[[#This Row],[AnaesthStart]]),0)</f>
        <v>#REF!</v>
      </c>
      <c r="AX143" s="9" t="e">
        <f>IF(tbl_Case_mins[[#This Row],[Surgery Status]]=0,(tbl_Case_mins[[#This Row],[Surgery Finish]]-tbl_Case_mins[[#This Row],[Surgery Start]]),0)</f>
        <v>#REF!</v>
      </c>
      <c r="AY143" s="9" t="e">
        <f>tbl_Case_mins[[#This Row],[Surgery Start]]-tbl_Case_mins[[#This Row],[AnaesthStart]]</f>
        <v>#REF!</v>
      </c>
      <c r="AZ143" s="9" t="e">
        <f>tbl_Case_mins[[#This Row],[Anaesth End]]-tbl_Case_mins[[#This Row],[Surgery Finish]]</f>
        <v>#REF!</v>
      </c>
      <c r="BA14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3" s="16" cm="1">
        <f t="array" ref="BC14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3" s="16" t="e">
        <f>IF(AND(tbl_Case_mins[[#This Row],[FirstAMCase]]=1,tbl_Case_mins[[#This Row],[CancelledCase]]=0,OR(tbl_Case_mins[[#This Row],[EarlyStartAM]]&gt;0,tbl_Case_mins[[#This Row],[AnaesthStart]]=tbl_Case_mins[[#This Row],[ThOpenAm]])),1,0)</f>
        <v>#REF!</v>
      </c>
      <c r="BE143" s="16" t="e">
        <f>IF(AND(tbl_Case_mins[[#This Row],[Rank_AnaSt]]=tbl_Case_mins[[#This Row],[Min_RankAnaSt]],tbl_Case_mins[[#This Row],[Anaesth End]]&gt;=tbl_Case_mins[[#This Row],[ThOpenAm]],tbl_Case_mins[[#This Row],[PmCase]]=0),1,0)</f>
        <v>#REF!</v>
      </c>
      <c r="BF14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3" s="9" t="e" cm="1">
        <f t="array" ref="BH14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3" s="9" t="e">
        <f>IF(AND(tbl_Case_mins[[#This Row],[ThOpenPM]]&gt;0,tbl_Case_mins[[#This Row],[AnaesthStart]]&gt;tbl_Case_mins[[#This Row],[ThOpenPM]],tbl_Case_mins[[#This Row],[First PM Case]]=1),tbl_Case_mins[[#This Row],[AnaesthStart]]-tbl_Case_mins[[#This Row],[ThOpenPM]],0)</f>
        <v>#REF!</v>
      </c>
      <c r="BL14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3" s="9" t="e" cm="1">
        <f t="array" ref="BN14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3" s="9" t="e">
        <f>IF(AND(tbl_Case_mins[[#This Row],[ThClosePm]]&gt;0,tbl_Case_mins[[#This Row],[Anaesth End]]&gt;tbl_Case_mins[[#This Row],[ThClosePm]],tbl_Case_mins[[#This Row],[AnaesthStart]]&gt;tbl_Case_mins[[#This Row],[ThClosePm]]),tbl_Case_mins[[#This Row],[Into Recov]]-tbl_Case_mins[[#This Row],[AnaesthStart]],0)</f>
        <v>#REF!</v>
      </c>
      <c r="BP143" s="9" t="e">
        <f>IF(AND(tbl_Case_mins[[#This Row],[AnaesthStart]]&lt;tbl_Case_mins[[#This Row],[ThClosePm]],tbl_Case_mins[[#This Row],[Anaesth End]]&gt;tbl_Case_mins[[#This Row],[ThClosePm]]),tbl_Case_mins[[#This Row],[Anaesth End]]-tbl_Case_mins[[#This Row],[ThClosePm]],0)</f>
        <v>#REF!</v>
      </c>
      <c r="BQ143" s="9" t="e" cm="1">
        <f t="array" ref="BQ14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3" s="9" t="e" cm="1">
        <f t="array" ref="BR143">IF(tbl_Case_mins[[#This Row],[Rank_Adjust]]=SUMPRODUCT(-(tbl_Case_mins[Surgery Start Date]=tbl_Case_mins[[#This Row],[Surgery Start Date]]),-(tbl_Case_mins[Theatre]=tbl_Case_mins[[#This Row],[Theatre]])),INDEX(Poss_Time,MATCH(TEXT(tbl_Case_mins[[#This Row],[Surgery Start Date]],"ddd"),Day,0)),0)</f>
        <v>#REF!</v>
      </c>
      <c r="BS143" s="9" t="e">
        <f>tbl_Case_mins[[#This Row],[Core_Time]]*Util_Goal</f>
        <v>#REF!</v>
      </c>
      <c r="BT143" s="9" t="e" cm="1">
        <f t="array" ref="BT1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3" s="9" t="e" cm="1">
        <f t="array" ref="BU1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3" s="9" t="e">
        <f>IF(tbl_Case_mins[[#This Row],[Surgery End Date]]&gt;tbl_Case_mins[[#This Row],[Surgery Start Date]],tbl_Case_mins[[#This Row],[Anaesth End]]-1440,0)</f>
        <v>#REF!</v>
      </c>
      <c r="BY143" s="9" t="e">
        <f>tbl_Case_mins[[#This Row],[Total_NonCore]]-tbl_Case_mins[[#This Row],[NextDay_NonCore]]</f>
        <v>#REF!</v>
      </c>
      <c r="BZ143" s="10" t="e">
        <f>tbl_Case_mins[[#This Row],[InCoreUse]]/60</f>
        <v>#REF!</v>
      </c>
      <c r="CA143" s="10" t="e">
        <f>tbl_Case_mins[[#This Row],[Total_NonCore]]/60</f>
        <v>#REF!</v>
      </c>
      <c r="CB143" t="e" cm="1">
        <f t="array" ref="CB1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3" s="9" t="e" cm="1">
        <f t="array" ref="CC14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3" s="9" t="e" cm="1">
        <f t="array" ref="CD1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3" s="9" t="e" cm="1">
        <f t="array" ref="CE14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3" s="9" cm="1">
        <f t="array" ref="CF143">IFERROR(_xlfn.AGGREGATE(14,6,(tbl_Case_mins[Rank_AnaEnd])/((tbl_Case_mins[Surgery Start Date]=tbl_Case_mins[[#This Row],[Surgery Start Date]])*(tbl_Case_mins[Theatre]=tbl_Case_mins[[#This Row],[Theatre]])*(tbl_Case_mins[NoInCoreTime]=0)),1),-1)</f>
        <v>-1</v>
      </c>
      <c r="CG143" s="9" cm="1">
        <f t="array" ref="CG143">IFERROR(_xlfn.AGGREGATE(15,6,(tbl_Case_mins[Rank_AnaSt])/((tbl_Case_mins[Surgery Start Date]=tbl_Case_mins[[#This Row],[Surgery Start Date]])*(tbl_Case_mins[Theatre]=tbl_Case_mins[[#This Row],[Theatre]])*(tbl_Case_mins[NoInCoreTime]=0)),1),-1)</f>
        <v>-1</v>
      </c>
      <c r="CH14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3" t="e" cm="1">
        <f t="array" ref="CJ14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3" s="9" cm="1">
        <f t="array" ref="CO1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3" s="9" cm="1">
        <f t="array" ref="CP1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3" s="9" cm="1">
        <f t="array" ref="CQ143">IFERROR(IF(AND(tbl_Case_mins[[#This Row],[FirstAMCase]]=0,tbl_Case_mins[[#This Row],[Rank]]=_xlfn.AGGREGATE(14,6,(tbl_Case_mins[Rank])/((tbl_Case_mins[Surgery Start Date]=tbl_Case_mins[[#This Row],[Surgery Start Date]])*(tbl_Case_mins[Theatre]=tbl_Case_mins[[#This Row],[Theatre]])*(tbl_Case_mins[AmCase]=1)),1)),1,0),0)</f>
        <v>0</v>
      </c>
      <c r="CR143" s="9" cm="1">
        <f t="array" ref="CR14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3" s="9" t="e" cm="1">
        <f t="array" ref="CS14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3" s="9" cm="1">
        <f t="array" ref="CT143">IFERROR(IF(tbl_Case_mins[[#This Row],[Rank]]=_xlfn.AGGREGATE(15,6,(tbl_Case_mins[Rank])/((tbl_Case_mins[Surgery Start Date]=tbl_Case_mins[[#This Row],[Surgery Start Date]])*(tbl_Case_mins[Theatre]=tbl_Case_mins[[#This Row],[Theatre]])*(tbl_Case_mins[PmCase]=1)),1),1,0),0)</f>
        <v>0</v>
      </c>
      <c r="CU143">
        <f>IFERROR(#REF!,0)</f>
        <v>0</v>
      </c>
      <c r="CV143" s="9" t="e" cm="1">
        <f t="array" ref="CV14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3" s="9">
        <f>IFERROR(IF(ISBLANK(INDEX(Bay_AmClose,MATCH(1,INDEX((tbl_Case_mins[[#This Row],[Bay]]=BayNo)*(tbl_Case_mins[[#This Row],[Surgery Start Date]]=BDate),0,1),0))*1440),0,INDEX(Bay_AmClose,MATCH(1,INDEX((tbl_Case_mins[[#This Row],[Bay]]=BayNo)*(tbl_Case_mins[[#This Row],[Surgery Start Date]]=BDate),0,1),0))*1440),0)</f>
        <v>0</v>
      </c>
      <c r="CX143" s="9" cm="1">
        <f t="array" ref="CX143">IFERROR(IF(ISBLANK(INDEX(Bay_PmOpen,MATCH(1,INDEX((tbl_Case_mins[[#This Row],[Bay]]=BayNo)*(tbl_Case_mins[[#This Row],[Surgery Start Date]]=BDate),0,1),0))*1440),0,INDEX(Bay_PmOpen,MATCH(1,INDEX((tbl_Case_mins[[#This Row],[Bay]]=BayNo)*(tbl_Case_mins[[#This Row],[Surgery Start Date]]=BDate),0,1),0))*1440),0)</f>
        <v>0</v>
      </c>
      <c r="CY14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3" s="9"/>
    </row>
    <row r="144" spans="1:104" x14ac:dyDescent="0.2">
      <c r="A144">
        <v>143</v>
      </c>
      <c r="B144" t="e">
        <f>#REF!</f>
        <v>#REF!</v>
      </c>
      <c r="C144" t="e">
        <f>#REF!</f>
        <v>#REF!</v>
      </c>
      <c r="D144" t="e">
        <f>#REF!</f>
        <v>#REF!</v>
      </c>
      <c r="E144" t="e">
        <f>#REF!</f>
        <v>#REF!</v>
      </c>
      <c r="F144" t="e">
        <f>#REF!</f>
        <v>#REF!</v>
      </c>
      <c r="G144" t="e">
        <f>#REF!</f>
        <v>#REF!</v>
      </c>
      <c r="H144" t="e">
        <f>#REF!</f>
        <v>#REF!</v>
      </c>
      <c r="I144" t="e">
        <f>IF(#REF!="Case Cancelled",1,IF(#REF!="No Cases",2,0))</f>
        <v>#REF!</v>
      </c>
      <c r="J144" t="e">
        <f>#REF!</f>
        <v>#REF!</v>
      </c>
      <c r="K144" s="4" t="e">
        <f>#REF!</f>
        <v>#REF!</v>
      </c>
      <c r="L144" t="e">
        <f>"Wk "&amp;WEEKNUM(tbl_Case_mins[[#This Row],[Surgery Start Date]],21)</f>
        <v>#REF!</v>
      </c>
      <c r="M144" t="e">
        <f>TEXT(tbl_Case_mins[[#This Row],[Surgery Start Date]],"ddd")</f>
        <v>#REF!</v>
      </c>
      <c r="N144" s="9" t="e">
        <f>(#REF!-TIME(0,0,0))*1440</f>
        <v>#REF!</v>
      </c>
      <c r="O144" t="e">
        <f>IF(AND(ROUND((#REF!-TIME(0,0,0))*1440,0)&gt;0,ROUND((#REF!-TIME(0,0,0))*1440,0)&lt;tbl_Case_mins[[#This Row],[Patient Called]],tbl_Case_mins[[#This Row],[Surgery End Date]]&gt;tbl_Case_mins[[#This Row],[Surgery Start Date]]),ROUND((#REF!-TIME(0,0,0))*1440,0)+1440,ROUND((#REF!-TIME(0,0,0))*1440,0))</f>
        <v>#REF!</v>
      </c>
      <c r="P144" s="9" t="e">
        <f>IF(AND(ROUND((#REF!-TIME(0,0,0))*1440,0)&gt;0,ROUND((#REF!-TIME(0,0,0))*1440,0)&lt;tbl_Case_mins[[#This Row],[Arrival]],tbl_Case_mins[[#This Row],[Surgery End Date]]&gt;tbl_Case_mins[[#This Row],[Surgery Start Date]]),ROUND((#REF!-TIME(0,0,0))*1440,0)+1440,ROUND((#REF!-TIME(0,0,0))*1440,0))</f>
        <v>#REF!</v>
      </c>
      <c r="Q144" s="9" t="e">
        <f>IF(AND(ROUND((#REF!-TIME(0,0,0))*1440,0)&gt;0,ROUND((#REF!-TIME(0,0,0))*1440,0)&lt;tbl_Case_mins[[#This Row],[Into Th or AR]],tbl_Case_mins[[#This Row],[Surgery End Date]]&gt;tbl_Case_mins[[#This Row],[Surgery Start Date]]),ROUND((#REF!-TIME(0,0,0))*1440,0)+1440,ROUND((#REF!-TIME(0,0,0))*1440,0))</f>
        <v>#REF!</v>
      </c>
      <c r="R144" s="9" t="e">
        <f>IF(AND(ROUND((#REF!-TIME(0,0,0))*1440,0)&gt;0,ROUND((#REF!-TIME(0,0,0))*1440,0)&lt;tbl_Case_mins[[#This Row],[AnaesthStart]],tbl_Case_mins[[#This Row],[Surgery End Date]]&gt;tbl_Case_mins[[#This Row],[Surgery Start Date]]),ROUND((#REF!-TIME(0,0,0))*1440,0)+1440,ROUND((#REF!-TIME(0,0,0))*1440,0))</f>
        <v>#REF!</v>
      </c>
      <c r="S144" s="9" t="e">
        <f>IF(AND(ROUND((#REF!-TIME(0,0,0))*1440,0),ROUND((#REF!-TIME(0,0,0))*1440,0)&lt;tbl_Case_mins[[#This Row],[Surgery Start]],tbl_Case_mins[[#This Row],[Surgery End Date]]&gt;tbl_Case_mins[[#This Row],[Surgery Start Date]]),ROUND((#REF!-TIME(0,0,0))*1440,0)+1440,ROUND((#REF!-TIME(0,0,0))*1440,0))</f>
        <v>#REF!</v>
      </c>
      <c r="T144" s="9" t="e">
        <f>IF(AND(ROUND((#REF!-TIME(0,0,0))*1440,0)&gt;0,ROUND((#REF!-TIME(0,0,0))*1440,0)&lt;tbl_Case_mins[[#This Row],[Surgery Finish]],tbl_Case_mins[[#This Row],[Surgery End Date]]&gt;tbl_Case_mins[[#This Row],[Surgery Start Date]]),ROUND((#REF!-TIME(0,0,0))*1440,0)+1440,ROUND((#REF!-TIME(0,0,0))*1440,0))</f>
        <v>#REF!</v>
      </c>
      <c r="U144" s="9" t="e">
        <f>IF(AND(ROUND((#REF!-TIME(0,0,0))*1440,0)&gt;0,ROUND((#REF!-TIME(0,0,0))*1440,0)&lt;tbl_Case_mins[[#This Row],[Anaesth End]],tbl_Case_mins[[#This Row],[Surgery End Date]]&gt;tbl_Case_mins[[#This Row],[Surgery Start Date]]),ROUND((#REF!-TIME(0,0,0))*1440,0)+1440,ROUND((#REF!-TIME(0,0,0))*1440,0))</f>
        <v>#REF!</v>
      </c>
      <c r="V144" s="9" t="e">
        <f>IF(AND(ROUND((#REF!-TIME(0,0,0))*1440,0)&gt;0,ROUND((#REF!-TIME(0,0,0))*1440,0)&lt;tbl_Case_mins[[#This Row],[Into Recov]],tbl_Case_mins[[#This Row],[Surgery End Date]]&gt;tbl_Case_mins[[#This Row],[Surgery Start Date]]),ROUND((#REF!-TIME(0,0,0))*1440,0)+1440,ROUND((#REF!-TIME(0,0,0))*1440,0))</f>
        <v>#REF!</v>
      </c>
      <c r="W144" s="9" t="e">
        <f>IF(AND(ROUND((#REF!-TIME(0,0,0))*1440,0)&gt;0,ROUND((#REF!-TIME(0,0,0))*1440,0)&lt;tbl_Case_mins[[#This Row],[Ward Called]],tbl_Case_mins[[#This Row],[Surgery End Date]]&gt;tbl_Case_mins[[#This Row],[Surgery Start Date]]),ROUND((#REF!-TIME(0,0,0))*1440,0)+1440,ROUND((#REF!-TIME(0,0,0))*1440,0))</f>
        <v>#REF!</v>
      </c>
      <c r="X144" s="4" t="e">
        <f>IF(ISBLANK(#REF!),tbl_Case_mins[[#This Row],[Surgery Start Date]],#REF!)</f>
        <v>#REF!</v>
      </c>
      <c r="Y144">
        <f>IFERROR(IF(VLOOKUP(tbl_Case_mins[[#This Row],[Theatre]],'Mng Theatres'!$C$7:$G$12,3,FALSE)="Yes","Yes","No"),0)</f>
        <v>0</v>
      </c>
      <c r="Z144" s="9" t="e" cm="1">
        <f t="array" ref="Z14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4" s="9" t="e" cm="1">
        <f t="array" ref="AA14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4" s="9" t="e">
        <f>IF(tbl_Case_mins[[#This Row],[Case Type]]="Unsch",1,0)</f>
        <v>#REF!</v>
      </c>
      <c r="AD144" s="9" t="e">
        <f>IF(tbl_Case_mins[[#This Row],[Case Type]]="Sch",1,0)</f>
        <v>#REF!</v>
      </c>
      <c r="AE14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4" s="9">
        <f>IFERROR(IF(ISBLANK(INDEX(Am_Close,MATCH(1,INDEX((tbl_Case_mins[[#This Row],[Theatre]]=Theatre_No)*(tbl_Case_mins[[#This Row],[Surgery Start Date]]=Date),0,1),0))*1440),0,INDEX(Am_Close,MATCH(1,INDEX((tbl_Case_mins[[#This Row],[Theatre]]=Theatre_No)*(tbl_Case_mins[[#This Row],[Surgery Start Date]]=Date),0,1),0))*1440),0)</f>
        <v>0</v>
      </c>
      <c r="AG144" s="9">
        <f>IFERROR(IF(ISBLANK(INDEX(PM_Open,MATCH(1,INDEX((tbl_Case_mins[[#This Row],[Theatre]]=Theatre_No)*(tbl_Case_mins[[#This Row],[Surgery Start Date]]=Date),0,1),0))*1440),0,INDEX(PM_Open,MATCH(1,INDEX((tbl_Case_mins[[#This Row],[Theatre]]=Theatre_No)*(tbl_Case_mins[[#This Row],[Surgery Start Date]]=Date),0,1),0))*1440),0)</f>
        <v>0</v>
      </c>
      <c r="AH14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4" s="9" t="e">
        <f>IF(tbl_Case_mins[[#This Row],[ThOpenAm]]=0,tbl_Case_mins[[#This Row],[ThOpenPM]],tbl_Case_mins[[#This Row],[ThOpenAm]])</f>
        <v>#REF!</v>
      </c>
      <c r="AJ144" s="9" t="e">
        <f>IF(tbl_Case_mins[[#This Row],[ThCloseAm]]&gt;0,IF(tbl_Case_mins[[#This Row],[ThOpenPM]]&gt;0,tbl_Case_mins[[#This Row],[ThClosePm]],tbl_Case_mins[[#This Row],[ThCloseAm]]),tbl_Case_mins[[#This Row],[ThClosePm]])</f>
        <v>#REF!</v>
      </c>
      <c r="AK144" s="9" t="e">
        <f>IF(tbl_Case_mins[[#This Row],[TOT]]&gt;0,1,0)</f>
        <v>#REF!</v>
      </c>
      <c r="AL14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4" s="9" t="e">
        <f>IF(AND(tbl_Case_mins[[#This Row],[Surgery Status]]&lt;&gt;2,tbl_Case_mins[[#This Row],[InCoreCase]]=0,tbl_Case_mins[[#This Row],[CancelledCase]]=0),1,0)</f>
        <v>#REF!</v>
      </c>
      <c r="AN144" s="9" t="e">
        <f>IF(tbl_Case_mins[[#This Row],[Surgery Status]]=1,1,0)</f>
        <v>#REF!</v>
      </c>
      <c r="AO14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4" s="9" t="e">
        <f>IF(AND(tbl_Case_mins[[#This Row],[NonCoreCase]]=1,tbl_Case_mins[[#This Row],[NoInCoreTime]]=0),1,0)</f>
        <v>#REF!</v>
      </c>
      <c r="AQ144" s="9" t="e">
        <f>IF(tbl_Case_mins[[#This Row],[Rank_AnaEnd]]&lt;tbl_Case_mins[[#This Row],[Rank_AnaSt]],1,0)</f>
        <v>#REF!</v>
      </c>
      <c r="AR144" s="9" t="e">
        <f>IF(AND(tbl_Case_mins[[#This Row],[InCoreCase]]=1,tbl_Case_mins[[#This Row],[Sch]]=1),1,0)</f>
        <v>#REF!</v>
      </c>
      <c r="AS144" s="9" t="e">
        <f>IF(AND(tbl_Case_mins[[#This Row],[InCoreCase]]=1,tbl_Case_mins[[#This Row],[Unsch]]=1),1,0)</f>
        <v>#REF!</v>
      </c>
      <c r="AT14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4" s="9" t="e">
        <f>IF(tbl_Case_mins[[#This Row],[Surgery Status]]=0,(tbl_Case_mins[[#This Row],[Anaesth End]]-tbl_Case_mins[[#This Row],[AnaesthStart]]),0)</f>
        <v>#REF!</v>
      </c>
      <c r="AX144" s="9" t="e">
        <f>IF(tbl_Case_mins[[#This Row],[Surgery Status]]=0,(tbl_Case_mins[[#This Row],[Surgery Finish]]-tbl_Case_mins[[#This Row],[Surgery Start]]),0)</f>
        <v>#REF!</v>
      </c>
      <c r="AY144" s="9" t="e">
        <f>tbl_Case_mins[[#This Row],[Surgery Start]]-tbl_Case_mins[[#This Row],[AnaesthStart]]</f>
        <v>#REF!</v>
      </c>
      <c r="AZ144" s="9" t="e">
        <f>tbl_Case_mins[[#This Row],[Anaesth End]]-tbl_Case_mins[[#This Row],[Surgery Finish]]</f>
        <v>#REF!</v>
      </c>
      <c r="BA14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4" s="16" cm="1">
        <f t="array" ref="BC14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4" s="16" t="e">
        <f>IF(AND(tbl_Case_mins[[#This Row],[FirstAMCase]]=1,tbl_Case_mins[[#This Row],[CancelledCase]]=0,OR(tbl_Case_mins[[#This Row],[EarlyStartAM]]&gt;0,tbl_Case_mins[[#This Row],[AnaesthStart]]=tbl_Case_mins[[#This Row],[ThOpenAm]])),1,0)</f>
        <v>#REF!</v>
      </c>
      <c r="BE144" s="16" t="e">
        <f>IF(AND(tbl_Case_mins[[#This Row],[Rank_AnaSt]]=tbl_Case_mins[[#This Row],[Min_RankAnaSt]],tbl_Case_mins[[#This Row],[Anaesth End]]&gt;=tbl_Case_mins[[#This Row],[ThOpenAm]],tbl_Case_mins[[#This Row],[PmCase]]=0),1,0)</f>
        <v>#REF!</v>
      </c>
      <c r="BF14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4" s="9" t="e" cm="1">
        <f t="array" ref="BH14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4" s="9" t="e">
        <f>IF(AND(tbl_Case_mins[[#This Row],[ThOpenPM]]&gt;0,tbl_Case_mins[[#This Row],[AnaesthStart]]&gt;tbl_Case_mins[[#This Row],[ThOpenPM]],tbl_Case_mins[[#This Row],[First PM Case]]=1),tbl_Case_mins[[#This Row],[AnaesthStart]]-tbl_Case_mins[[#This Row],[ThOpenPM]],0)</f>
        <v>#REF!</v>
      </c>
      <c r="BL14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4" s="9" t="e" cm="1">
        <f t="array" ref="BN14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4" s="9" t="e">
        <f>IF(AND(tbl_Case_mins[[#This Row],[ThClosePm]]&gt;0,tbl_Case_mins[[#This Row],[Anaesth End]]&gt;tbl_Case_mins[[#This Row],[ThClosePm]],tbl_Case_mins[[#This Row],[AnaesthStart]]&gt;tbl_Case_mins[[#This Row],[ThClosePm]]),tbl_Case_mins[[#This Row],[Into Recov]]-tbl_Case_mins[[#This Row],[AnaesthStart]],0)</f>
        <v>#REF!</v>
      </c>
      <c r="BP144" s="9" t="e">
        <f>IF(AND(tbl_Case_mins[[#This Row],[AnaesthStart]]&lt;tbl_Case_mins[[#This Row],[ThClosePm]],tbl_Case_mins[[#This Row],[Anaesth End]]&gt;tbl_Case_mins[[#This Row],[ThClosePm]]),tbl_Case_mins[[#This Row],[Anaesth End]]-tbl_Case_mins[[#This Row],[ThClosePm]],0)</f>
        <v>#REF!</v>
      </c>
      <c r="BQ144" s="9" t="e" cm="1">
        <f t="array" ref="BQ14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4" s="9" t="e" cm="1">
        <f t="array" ref="BR144">IF(tbl_Case_mins[[#This Row],[Rank_Adjust]]=SUMPRODUCT(-(tbl_Case_mins[Surgery Start Date]=tbl_Case_mins[[#This Row],[Surgery Start Date]]),-(tbl_Case_mins[Theatre]=tbl_Case_mins[[#This Row],[Theatre]])),INDEX(Poss_Time,MATCH(TEXT(tbl_Case_mins[[#This Row],[Surgery Start Date]],"ddd"),Day,0)),0)</f>
        <v>#REF!</v>
      </c>
      <c r="BS144" s="9" t="e">
        <f>tbl_Case_mins[[#This Row],[Core_Time]]*Util_Goal</f>
        <v>#REF!</v>
      </c>
      <c r="BT144" s="9" t="e" cm="1">
        <f t="array" ref="BT1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4" s="9" t="e" cm="1">
        <f t="array" ref="BU1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4" s="9" t="e">
        <f>IF(tbl_Case_mins[[#This Row],[Surgery End Date]]&gt;tbl_Case_mins[[#This Row],[Surgery Start Date]],tbl_Case_mins[[#This Row],[Anaesth End]]-1440,0)</f>
        <v>#REF!</v>
      </c>
      <c r="BY144" s="9" t="e">
        <f>tbl_Case_mins[[#This Row],[Total_NonCore]]-tbl_Case_mins[[#This Row],[NextDay_NonCore]]</f>
        <v>#REF!</v>
      </c>
      <c r="BZ144" s="10" t="e">
        <f>tbl_Case_mins[[#This Row],[InCoreUse]]/60</f>
        <v>#REF!</v>
      </c>
      <c r="CA144" s="10" t="e">
        <f>tbl_Case_mins[[#This Row],[Total_NonCore]]/60</f>
        <v>#REF!</v>
      </c>
      <c r="CB144" t="e" cm="1">
        <f t="array" ref="CB1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4" s="9" t="e" cm="1">
        <f t="array" ref="CC14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4" s="9" t="e" cm="1">
        <f t="array" ref="CD1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4" s="9" t="e" cm="1">
        <f t="array" ref="CE14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4" s="9" cm="1">
        <f t="array" ref="CF144">IFERROR(_xlfn.AGGREGATE(14,6,(tbl_Case_mins[Rank_AnaEnd])/((tbl_Case_mins[Surgery Start Date]=tbl_Case_mins[[#This Row],[Surgery Start Date]])*(tbl_Case_mins[Theatre]=tbl_Case_mins[[#This Row],[Theatre]])*(tbl_Case_mins[NoInCoreTime]=0)),1),-1)</f>
        <v>-1</v>
      </c>
      <c r="CG144" s="9" cm="1">
        <f t="array" ref="CG144">IFERROR(_xlfn.AGGREGATE(15,6,(tbl_Case_mins[Rank_AnaSt])/((tbl_Case_mins[Surgery Start Date]=tbl_Case_mins[[#This Row],[Surgery Start Date]])*(tbl_Case_mins[Theatre]=tbl_Case_mins[[#This Row],[Theatre]])*(tbl_Case_mins[NoInCoreTime]=0)),1),-1)</f>
        <v>-1</v>
      </c>
      <c r="CH14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4" t="e" cm="1">
        <f t="array" ref="CJ14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4" s="9" cm="1">
        <f t="array" ref="CO1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4" s="9" cm="1">
        <f t="array" ref="CP1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4" s="9" cm="1">
        <f t="array" ref="CQ144">IFERROR(IF(AND(tbl_Case_mins[[#This Row],[FirstAMCase]]=0,tbl_Case_mins[[#This Row],[Rank]]=_xlfn.AGGREGATE(14,6,(tbl_Case_mins[Rank])/((tbl_Case_mins[Surgery Start Date]=tbl_Case_mins[[#This Row],[Surgery Start Date]])*(tbl_Case_mins[Theatre]=tbl_Case_mins[[#This Row],[Theatre]])*(tbl_Case_mins[AmCase]=1)),1)),1,0),0)</f>
        <v>0</v>
      </c>
      <c r="CR144" s="9" cm="1">
        <f t="array" ref="CR14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4" s="9" t="e" cm="1">
        <f t="array" ref="CS14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4" s="9" cm="1">
        <f t="array" ref="CT144">IFERROR(IF(tbl_Case_mins[[#This Row],[Rank]]=_xlfn.AGGREGATE(15,6,(tbl_Case_mins[Rank])/((tbl_Case_mins[Surgery Start Date]=tbl_Case_mins[[#This Row],[Surgery Start Date]])*(tbl_Case_mins[Theatre]=tbl_Case_mins[[#This Row],[Theatre]])*(tbl_Case_mins[PmCase]=1)),1),1,0),0)</f>
        <v>0</v>
      </c>
      <c r="CU144">
        <f>IFERROR(#REF!,0)</f>
        <v>0</v>
      </c>
      <c r="CV144" s="9" t="e" cm="1">
        <f t="array" ref="CV14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4" s="9">
        <f>IFERROR(IF(ISBLANK(INDEX(Bay_AmClose,MATCH(1,INDEX((tbl_Case_mins[[#This Row],[Bay]]=BayNo)*(tbl_Case_mins[[#This Row],[Surgery Start Date]]=BDate),0,1),0))*1440),0,INDEX(Bay_AmClose,MATCH(1,INDEX((tbl_Case_mins[[#This Row],[Bay]]=BayNo)*(tbl_Case_mins[[#This Row],[Surgery Start Date]]=BDate),0,1),0))*1440),0)</f>
        <v>0</v>
      </c>
      <c r="CX144" s="9" cm="1">
        <f t="array" ref="CX144">IFERROR(IF(ISBLANK(INDEX(Bay_PmOpen,MATCH(1,INDEX((tbl_Case_mins[[#This Row],[Bay]]=BayNo)*(tbl_Case_mins[[#This Row],[Surgery Start Date]]=BDate),0,1),0))*1440),0,INDEX(Bay_PmOpen,MATCH(1,INDEX((tbl_Case_mins[[#This Row],[Bay]]=BayNo)*(tbl_Case_mins[[#This Row],[Surgery Start Date]]=BDate),0,1),0))*1440),0)</f>
        <v>0</v>
      </c>
      <c r="CY14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4" s="9"/>
    </row>
    <row r="145" spans="1:104" x14ac:dyDescent="0.2">
      <c r="A145">
        <v>144</v>
      </c>
      <c r="B145" t="e">
        <f>#REF!</f>
        <v>#REF!</v>
      </c>
      <c r="C145" t="e">
        <f>#REF!</f>
        <v>#REF!</v>
      </c>
      <c r="D145" t="e">
        <f>#REF!</f>
        <v>#REF!</v>
      </c>
      <c r="E145" t="e">
        <f>#REF!</f>
        <v>#REF!</v>
      </c>
      <c r="F145" t="e">
        <f>#REF!</f>
        <v>#REF!</v>
      </c>
      <c r="G145" t="e">
        <f>#REF!</f>
        <v>#REF!</v>
      </c>
      <c r="H145" t="e">
        <f>#REF!</f>
        <v>#REF!</v>
      </c>
      <c r="I145" t="e">
        <f>IF(#REF!="Case Cancelled",1,IF(#REF!="No Cases",2,0))</f>
        <v>#REF!</v>
      </c>
      <c r="J145" t="e">
        <f>#REF!</f>
        <v>#REF!</v>
      </c>
      <c r="K145" s="4" t="e">
        <f>#REF!</f>
        <v>#REF!</v>
      </c>
      <c r="L145" t="e">
        <f>"Wk "&amp;WEEKNUM(tbl_Case_mins[[#This Row],[Surgery Start Date]],21)</f>
        <v>#REF!</v>
      </c>
      <c r="M145" t="e">
        <f>TEXT(tbl_Case_mins[[#This Row],[Surgery Start Date]],"ddd")</f>
        <v>#REF!</v>
      </c>
      <c r="N145" s="9" t="e">
        <f>(#REF!-TIME(0,0,0))*1440</f>
        <v>#REF!</v>
      </c>
      <c r="O145" t="e">
        <f>IF(AND(ROUND((#REF!-TIME(0,0,0))*1440,0)&gt;0,ROUND((#REF!-TIME(0,0,0))*1440,0)&lt;tbl_Case_mins[[#This Row],[Patient Called]],tbl_Case_mins[[#This Row],[Surgery End Date]]&gt;tbl_Case_mins[[#This Row],[Surgery Start Date]]),ROUND((#REF!-TIME(0,0,0))*1440,0)+1440,ROUND((#REF!-TIME(0,0,0))*1440,0))</f>
        <v>#REF!</v>
      </c>
      <c r="P145" s="9" t="e">
        <f>IF(AND(ROUND((#REF!-TIME(0,0,0))*1440,0)&gt;0,ROUND((#REF!-TIME(0,0,0))*1440,0)&lt;tbl_Case_mins[[#This Row],[Arrival]],tbl_Case_mins[[#This Row],[Surgery End Date]]&gt;tbl_Case_mins[[#This Row],[Surgery Start Date]]),ROUND((#REF!-TIME(0,0,0))*1440,0)+1440,ROUND((#REF!-TIME(0,0,0))*1440,0))</f>
        <v>#REF!</v>
      </c>
      <c r="Q145" s="9" t="e">
        <f>IF(AND(ROUND((#REF!-TIME(0,0,0))*1440,0)&gt;0,ROUND((#REF!-TIME(0,0,0))*1440,0)&lt;tbl_Case_mins[[#This Row],[Into Th or AR]],tbl_Case_mins[[#This Row],[Surgery End Date]]&gt;tbl_Case_mins[[#This Row],[Surgery Start Date]]),ROUND((#REF!-TIME(0,0,0))*1440,0)+1440,ROUND((#REF!-TIME(0,0,0))*1440,0))</f>
        <v>#REF!</v>
      </c>
      <c r="R145" s="9" t="e">
        <f>IF(AND(ROUND((#REF!-TIME(0,0,0))*1440,0)&gt;0,ROUND((#REF!-TIME(0,0,0))*1440,0)&lt;tbl_Case_mins[[#This Row],[AnaesthStart]],tbl_Case_mins[[#This Row],[Surgery End Date]]&gt;tbl_Case_mins[[#This Row],[Surgery Start Date]]),ROUND((#REF!-TIME(0,0,0))*1440,0)+1440,ROUND((#REF!-TIME(0,0,0))*1440,0))</f>
        <v>#REF!</v>
      </c>
      <c r="S145" s="9" t="e">
        <f>IF(AND(ROUND((#REF!-TIME(0,0,0))*1440,0),ROUND((#REF!-TIME(0,0,0))*1440,0)&lt;tbl_Case_mins[[#This Row],[Surgery Start]],tbl_Case_mins[[#This Row],[Surgery End Date]]&gt;tbl_Case_mins[[#This Row],[Surgery Start Date]]),ROUND((#REF!-TIME(0,0,0))*1440,0)+1440,ROUND((#REF!-TIME(0,0,0))*1440,0))</f>
        <v>#REF!</v>
      </c>
      <c r="T145" s="9" t="e">
        <f>IF(AND(ROUND((#REF!-TIME(0,0,0))*1440,0)&gt;0,ROUND((#REF!-TIME(0,0,0))*1440,0)&lt;tbl_Case_mins[[#This Row],[Surgery Finish]],tbl_Case_mins[[#This Row],[Surgery End Date]]&gt;tbl_Case_mins[[#This Row],[Surgery Start Date]]),ROUND((#REF!-TIME(0,0,0))*1440,0)+1440,ROUND((#REF!-TIME(0,0,0))*1440,0))</f>
        <v>#REF!</v>
      </c>
      <c r="U145" s="9" t="e">
        <f>IF(AND(ROUND((#REF!-TIME(0,0,0))*1440,0)&gt;0,ROUND((#REF!-TIME(0,0,0))*1440,0)&lt;tbl_Case_mins[[#This Row],[Anaesth End]],tbl_Case_mins[[#This Row],[Surgery End Date]]&gt;tbl_Case_mins[[#This Row],[Surgery Start Date]]),ROUND((#REF!-TIME(0,0,0))*1440,0)+1440,ROUND((#REF!-TIME(0,0,0))*1440,0))</f>
        <v>#REF!</v>
      </c>
      <c r="V145" s="9" t="e">
        <f>IF(AND(ROUND((#REF!-TIME(0,0,0))*1440,0)&gt;0,ROUND((#REF!-TIME(0,0,0))*1440,0)&lt;tbl_Case_mins[[#This Row],[Into Recov]],tbl_Case_mins[[#This Row],[Surgery End Date]]&gt;tbl_Case_mins[[#This Row],[Surgery Start Date]]),ROUND((#REF!-TIME(0,0,0))*1440,0)+1440,ROUND((#REF!-TIME(0,0,0))*1440,0))</f>
        <v>#REF!</v>
      </c>
      <c r="W145" s="9" t="e">
        <f>IF(AND(ROUND((#REF!-TIME(0,0,0))*1440,0)&gt;0,ROUND((#REF!-TIME(0,0,0))*1440,0)&lt;tbl_Case_mins[[#This Row],[Ward Called]],tbl_Case_mins[[#This Row],[Surgery End Date]]&gt;tbl_Case_mins[[#This Row],[Surgery Start Date]]),ROUND((#REF!-TIME(0,0,0))*1440,0)+1440,ROUND((#REF!-TIME(0,0,0))*1440,0))</f>
        <v>#REF!</v>
      </c>
      <c r="X145" s="4" t="e">
        <f>IF(ISBLANK(#REF!),tbl_Case_mins[[#This Row],[Surgery Start Date]],#REF!)</f>
        <v>#REF!</v>
      </c>
      <c r="Y145">
        <f>IFERROR(IF(VLOOKUP(tbl_Case_mins[[#This Row],[Theatre]],'Mng Theatres'!$C$7:$G$12,3,FALSE)="Yes","Yes","No"),0)</f>
        <v>0</v>
      </c>
      <c r="Z145" s="9" t="e" cm="1">
        <f t="array" ref="Z14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5" s="9" t="e" cm="1">
        <f t="array" ref="AA14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5" s="9" t="e">
        <f>IF(tbl_Case_mins[[#This Row],[Case Type]]="Unsch",1,0)</f>
        <v>#REF!</v>
      </c>
      <c r="AD145" s="9" t="e">
        <f>IF(tbl_Case_mins[[#This Row],[Case Type]]="Sch",1,0)</f>
        <v>#REF!</v>
      </c>
      <c r="AE14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5" s="9">
        <f>IFERROR(IF(ISBLANK(INDEX(Am_Close,MATCH(1,INDEX((tbl_Case_mins[[#This Row],[Theatre]]=Theatre_No)*(tbl_Case_mins[[#This Row],[Surgery Start Date]]=Date),0,1),0))*1440),0,INDEX(Am_Close,MATCH(1,INDEX((tbl_Case_mins[[#This Row],[Theatre]]=Theatre_No)*(tbl_Case_mins[[#This Row],[Surgery Start Date]]=Date),0,1),0))*1440),0)</f>
        <v>0</v>
      </c>
      <c r="AG145" s="9">
        <f>IFERROR(IF(ISBLANK(INDEX(PM_Open,MATCH(1,INDEX((tbl_Case_mins[[#This Row],[Theatre]]=Theatre_No)*(tbl_Case_mins[[#This Row],[Surgery Start Date]]=Date),0,1),0))*1440),0,INDEX(PM_Open,MATCH(1,INDEX((tbl_Case_mins[[#This Row],[Theatre]]=Theatre_No)*(tbl_Case_mins[[#This Row],[Surgery Start Date]]=Date),0,1),0))*1440),0)</f>
        <v>0</v>
      </c>
      <c r="AH14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5" s="9" t="e">
        <f>IF(tbl_Case_mins[[#This Row],[ThOpenAm]]=0,tbl_Case_mins[[#This Row],[ThOpenPM]],tbl_Case_mins[[#This Row],[ThOpenAm]])</f>
        <v>#REF!</v>
      </c>
      <c r="AJ145" s="9" t="e">
        <f>IF(tbl_Case_mins[[#This Row],[ThCloseAm]]&gt;0,IF(tbl_Case_mins[[#This Row],[ThOpenPM]]&gt;0,tbl_Case_mins[[#This Row],[ThClosePm]],tbl_Case_mins[[#This Row],[ThCloseAm]]),tbl_Case_mins[[#This Row],[ThClosePm]])</f>
        <v>#REF!</v>
      </c>
      <c r="AK145" s="9" t="e">
        <f>IF(tbl_Case_mins[[#This Row],[TOT]]&gt;0,1,0)</f>
        <v>#REF!</v>
      </c>
      <c r="AL14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5" s="9" t="e">
        <f>IF(AND(tbl_Case_mins[[#This Row],[Surgery Status]]&lt;&gt;2,tbl_Case_mins[[#This Row],[InCoreCase]]=0,tbl_Case_mins[[#This Row],[CancelledCase]]=0),1,0)</f>
        <v>#REF!</v>
      </c>
      <c r="AN145" s="9" t="e">
        <f>IF(tbl_Case_mins[[#This Row],[Surgery Status]]=1,1,0)</f>
        <v>#REF!</v>
      </c>
      <c r="AO14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5" s="9" t="e">
        <f>IF(AND(tbl_Case_mins[[#This Row],[NonCoreCase]]=1,tbl_Case_mins[[#This Row],[NoInCoreTime]]=0),1,0)</f>
        <v>#REF!</v>
      </c>
      <c r="AQ145" s="9" t="e">
        <f>IF(tbl_Case_mins[[#This Row],[Rank_AnaEnd]]&lt;tbl_Case_mins[[#This Row],[Rank_AnaSt]],1,0)</f>
        <v>#REF!</v>
      </c>
      <c r="AR145" s="9" t="e">
        <f>IF(AND(tbl_Case_mins[[#This Row],[InCoreCase]]=1,tbl_Case_mins[[#This Row],[Sch]]=1),1,0)</f>
        <v>#REF!</v>
      </c>
      <c r="AS145" s="9" t="e">
        <f>IF(AND(tbl_Case_mins[[#This Row],[InCoreCase]]=1,tbl_Case_mins[[#This Row],[Unsch]]=1),1,0)</f>
        <v>#REF!</v>
      </c>
      <c r="AT14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5" s="9" t="e">
        <f>IF(tbl_Case_mins[[#This Row],[Surgery Status]]=0,(tbl_Case_mins[[#This Row],[Anaesth End]]-tbl_Case_mins[[#This Row],[AnaesthStart]]),0)</f>
        <v>#REF!</v>
      </c>
      <c r="AX145" s="9" t="e">
        <f>IF(tbl_Case_mins[[#This Row],[Surgery Status]]=0,(tbl_Case_mins[[#This Row],[Surgery Finish]]-tbl_Case_mins[[#This Row],[Surgery Start]]),0)</f>
        <v>#REF!</v>
      </c>
      <c r="AY145" s="9" t="e">
        <f>tbl_Case_mins[[#This Row],[Surgery Start]]-tbl_Case_mins[[#This Row],[AnaesthStart]]</f>
        <v>#REF!</v>
      </c>
      <c r="AZ145" s="9" t="e">
        <f>tbl_Case_mins[[#This Row],[Anaesth End]]-tbl_Case_mins[[#This Row],[Surgery Finish]]</f>
        <v>#REF!</v>
      </c>
      <c r="BA14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5" s="16" cm="1">
        <f t="array" ref="BC14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5" s="16" t="e">
        <f>IF(AND(tbl_Case_mins[[#This Row],[FirstAMCase]]=1,tbl_Case_mins[[#This Row],[CancelledCase]]=0,OR(tbl_Case_mins[[#This Row],[EarlyStartAM]]&gt;0,tbl_Case_mins[[#This Row],[AnaesthStart]]=tbl_Case_mins[[#This Row],[ThOpenAm]])),1,0)</f>
        <v>#REF!</v>
      </c>
      <c r="BE145" s="16" t="e">
        <f>IF(AND(tbl_Case_mins[[#This Row],[Rank_AnaSt]]=tbl_Case_mins[[#This Row],[Min_RankAnaSt]],tbl_Case_mins[[#This Row],[Anaesth End]]&gt;=tbl_Case_mins[[#This Row],[ThOpenAm]],tbl_Case_mins[[#This Row],[PmCase]]=0),1,0)</f>
        <v>#REF!</v>
      </c>
      <c r="BF14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5" s="9" t="e" cm="1">
        <f t="array" ref="BH14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5" s="9" t="e">
        <f>IF(AND(tbl_Case_mins[[#This Row],[ThOpenPM]]&gt;0,tbl_Case_mins[[#This Row],[AnaesthStart]]&gt;tbl_Case_mins[[#This Row],[ThOpenPM]],tbl_Case_mins[[#This Row],[First PM Case]]=1),tbl_Case_mins[[#This Row],[AnaesthStart]]-tbl_Case_mins[[#This Row],[ThOpenPM]],0)</f>
        <v>#REF!</v>
      </c>
      <c r="BL14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5" s="9" t="e" cm="1">
        <f t="array" ref="BN14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5" s="9" t="e">
        <f>IF(AND(tbl_Case_mins[[#This Row],[ThClosePm]]&gt;0,tbl_Case_mins[[#This Row],[Anaesth End]]&gt;tbl_Case_mins[[#This Row],[ThClosePm]],tbl_Case_mins[[#This Row],[AnaesthStart]]&gt;tbl_Case_mins[[#This Row],[ThClosePm]]),tbl_Case_mins[[#This Row],[Into Recov]]-tbl_Case_mins[[#This Row],[AnaesthStart]],0)</f>
        <v>#REF!</v>
      </c>
      <c r="BP145" s="9" t="e">
        <f>IF(AND(tbl_Case_mins[[#This Row],[AnaesthStart]]&lt;tbl_Case_mins[[#This Row],[ThClosePm]],tbl_Case_mins[[#This Row],[Anaesth End]]&gt;tbl_Case_mins[[#This Row],[ThClosePm]]),tbl_Case_mins[[#This Row],[Anaesth End]]-tbl_Case_mins[[#This Row],[ThClosePm]],0)</f>
        <v>#REF!</v>
      </c>
      <c r="BQ145" s="9" t="e" cm="1">
        <f t="array" ref="BQ14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5" s="9" t="e" cm="1">
        <f t="array" ref="BR145">IF(tbl_Case_mins[[#This Row],[Rank_Adjust]]=SUMPRODUCT(-(tbl_Case_mins[Surgery Start Date]=tbl_Case_mins[[#This Row],[Surgery Start Date]]),-(tbl_Case_mins[Theatre]=tbl_Case_mins[[#This Row],[Theatre]])),INDEX(Poss_Time,MATCH(TEXT(tbl_Case_mins[[#This Row],[Surgery Start Date]],"ddd"),Day,0)),0)</f>
        <v>#REF!</v>
      </c>
      <c r="BS145" s="9" t="e">
        <f>tbl_Case_mins[[#This Row],[Core_Time]]*Util_Goal</f>
        <v>#REF!</v>
      </c>
      <c r="BT145" s="9" t="e" cm="1">
        <f t="array" ref="BT1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5" s="9" t="e" cm="1">
        <f t="array" ref="BU1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5" s="9" t="e">
        <f>IF(tbl_Case_mins[[#This Row],[Surgery End Date]]&gt;tbl_Case_mins[[#This Row],[Surgery Start Date]],tbl_Case_mins[[#This Row],[Anaesth End]]-1440,0)</f>
        <v>#REF!</v>
      </c>
      <c r="BY145" s="9" t="e">
        <f>tbl_Case_mins[[#This Row],[Total_NonCore]]-tbl_Case_mins[[#This Row],[NextDay_NonCore]]</f>
        <v>#REF!</v>
      </c>
      <c r="BZ145" s="10" t="e">
        <f>tbl_Case_mins[[#This Row],[InCoreUse]]/60</f>
        <v>#REF!</v>
      </c>
      <c r="CA145" s="10" t="e">
        <f>tbl_Case_mins[[#This Row],[Total_NonCore]]/60</f>
        <v>#REF!</v>
      </c>
      <c r="CB145" t="e" cm="1">
        <f t="array" ref="CB1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5" s="9" t="e" cm="1">
        <f t="array" ref="CC14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5" s="9" t="e" cm="1">
        <f t="array" ref="CD1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5" s="9" t="e" cm="1">
        <f t="array" ref="CE14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5" s="9" cm="1">
        <f t="array" ref="CF145">IFERROR(_xlfn.AGGREGATE(14,6,(tbl_Case_mins[Rank_AnaEnd])/((tbl_Case_mins[Surgery Start Date]=tbl_Case_mins[[#This Row],[Surgery Start Date]])*(tbl_Case_mins[Theatre]=tbl_Case_mins[[#This Row],[Theatre]])*(tbl_Case_mins[NoInCoreTime]=0)),1),-1)</f>
        <v>-1</v>
      </c>
      <c r="CG145" s="9" cm="1">
        <f t="array" ref="CG145">IFERROR(_xlfn.AGGREGATE(15,6,(tbl_Case_mins[Rank_AnaSt])/((tbl_Case_mins[Surgery Start Date]=tbl_Case_mins[[#This Row],[Surgery Start Date]])*(tbl_Case_mins[Theatre]=tbl_Case_mins[[#This Row],[Theatre]])*(tbl_Case_mins[NoInCoreTime]=0)),1),-1)</f>
        <v>-1</v>
      </c>
      <c r="CH14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5" t="e" cm="1">
        <f t="array" ref="CJ14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5" s="9" cm="1">
        <f t="array" ref="CO1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5" s="9" cm="1">
        <f t="array" ref="CP1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5" s="9" cm="1">
        <f t="array" ref="CQ145">IFERROR(IF(AND(tbl_Case_mins[[#This Row],[FirstAMCase]]=0,tbl_Case_mins[[#This Row],[Rank]]=_xlfn.AGGREGATE(14,6,(tbl_Case_mins[Rank])/((tbl_Case_mins[Surgery Start Date]=tbl_Case_mins[[#This Row],[Surgery Start Date]])*(tbl_Case_mins[Theatre]=tbl_Case_mins[[#This Row],[Theatre]])*(tbl_Case_mins[AmCase]=1)),1)),1,0),0)</f>
        <v>0</v>
      </c>
      <c r="CR145" s="9" cm="1">
        <f t="array" ref="CR14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5" s="9" t="e" cm="1">
        <f t="array" ref="CS14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5" s="9" cm="1">
        <f t="array" ref="CT145">IFERROR(IF(tbl_Case_mins[[#This Row],[Rank]]=_xlfn.AGGREGATE(15,6,(tbl_Case_mins[Rank])/((tbl_Case_mins[Surgery Start Date]=tbl_Case_mins[[#This Row],[Surgery Start Date]])*(tbl_Case_mins[Theatre]=tbl_Case_mins[[#This Row],[Theatre]])*(tbl_Case_mins[PmCase]=1)),1),1,0),0)</f>
        <v>0</v>
      </c>
      <c r="CU145">
        <f>IFERROR(#REF!,0)</f>
        <v>0</v>
      </c>
      <c r="CV145" s="9" t="e" cm="1">
        <f t="array" ref="CV14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5" s="9">
        <f>IFERROR(IF(ISBLANK(INDEX(Bay_AmClose,MATCH(1,INDEX((tbl_Case_mins[[#This Row],[Bay]]=BayNo)*(tbl_Case_mins[[#This Row],[Surgery Start Date]]=BDate),0,1),0))*1440),0,INDEX(Bay_AmClose,MATCH(1,INDEX((tbl_Case_mins[[#This Row],[Bay]]=BayNo)*(tbl_Case_mins[[#This Row],[Surgery Start Date]]=BDate),0,1),0))*1440),0)</f>
        <v>0</v>
      </c>
      <c r="CX145" s="9" cm="1">
        <f t="array" ref="CX145">IFERROR(IF(ISBLANK(INDEX(Bay_PmOpen,MATCH(1,INDEX((tbl_Case_mins[[#This Row],[Bay]]=BayNo)*(tbl_Case_mins[[#This Row],[Surgery Start Date]]=BDate),0,1),0))*1440),0,INDEX(Bay_PmOpen,MATCH(1,INDEX((tbl_Case_mins[[#This Row],[Bay]]=BayNo)*(tbl_Case_mins[[#This Row],[Surgery Start Date]]=BDate),0,1),0))*1440),0)</f>
        <v>0</v>
      </c>
      <c r="CY14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5" s="9"/>
    </row>
    <row r="146" spans="1:104" x14ac:dyDescent="0.2">
      <c r="A146">
        <v>145</v>
      </c>
      <c r="B146" t="e">
        <f>#REF!</f>
        <v>#REF!</v>
      </c>
      <c r="C146" t="e">
        <f>#REF!</f>
        <v>#REF!</v>
      </c>
      <c r="D146" t="e">
        <f>#REF!</f>
        <v>#REF!</v>
      </c>
      <c r="E146" t="e">
        <f>#REF!</f>
        <v>#REF!</v>
      </c>
      <c r="F146" t="e">
        <f>#REF!</f>
        <v>#REF!</v>
      </c>
      <c r="G146" t="e">
        <f>#REF!</f>
        <v>#REF!</v>
      </c>
      <c r="H146" t="e">
        <f>#REF!</f>
        <v>#REF!</v>
      </c>
      <c r="I146" t="e">
        <f>IF(#REF!="Case Cancelled",1,IF(#REF!="No Cases",2,0))</f>
        <v>#REF!</v>
      </c>
      <c r="J146" t="e">
        <f>#REF!</f>
        <v>#REF!</v>
      </c>
      <c r="K146" s="4" t="e">
        <f>#REF!</f>
        <v>#REF!</v>
      </c>
      <c r="L146" t="e">
        <f>"Wk "&amp;WEEKNUM(tbl_Case_mins[[#This Row],[Surgery Start Date]],21)</f>
        <v>#REF!</v>
      </c>
      <c r="M146" t="e">
        <f>TEXT(tbl_Case_mins[[#This Row],[Surgery Start Date]],"ddd")</f>
        <v>#REF!</v>
      </c>
      <c r="N146" s="9" t="e">
        <f>(#REF!-TIME(0,0,0))*1440</f>
        <v>#REF!</v>
      </c>
      <c r="O146" t="e">
        <f>IF(AND(ROUND((#REF!-TIME(0,0,0))*1440,0)&gt;0,ROUND((#REF!-TIME(0,0,0))*1440,0)&lt;tbl_Case_mins[[#This Row],[Patient Called]],tbl_Case_mins[[#This Row],[Surgery End Date]]&gt;tbl_Case_mins[[#This Row],[Surgery Start Date]]),ROUND((#REF!-TIME(0,0,0))*1440,0)+1440,ROUND((#REF!-TIME(0,0,0))*1440,0))</f>
        <v>#REF!</v>
      </c>
      <c r="P146" s="9" t="e">
        <f>IF(AND(ROUND((#REF!-TIME(0,0,0))*1440,0)&gt;0,ROUND((#REF!-TIME(0,0,0))*1440,0)&lt;tbl_Case_mins[[#This Row],[Arrival]],tbl_Case_mins[[#This Row],[Surgery End Date]]&gt;tbl_Case_mins[[#This Row],[Surgery Start Date]]),ROUND((#REF!-TIME(0,0,0))*1440,0)+1440,ROUND((#REF!-TIME(0,0,0))*1440,0))</f>
        <v>#REF!</v>
      </c>
      <c r="Q146" s="9" t="e">
        <f>IF(AND(ROUND((#REF!-TIME(0,0,0))*1440,0)&gt;0,ROUND((#REF!-TIME(0,0,0))*1440,0)&lt;tbl_Case_mins[[#This Row],[Into Th or AR]],tbl_Case_mins[[#This Row],[Surgery End Date]]&gt;tbl_Case_mins[[#This Row],[Surgery Start Date]]),ROUND((#REF!-TIME(0,0,0))*1440,0)+1440,ROUND((#REF!-TIME(0,0,0))*1440,0))</f>
        <v>#REF!</v>
      </c>
      <c r="R146" s="9" t="e">
        <f>IF(AND(ROUND((#REF!-TIME(0,0,0))*1440,0)&gt;0,ROUND((#REF!-TIME(0,0,0))*1440,0)&lt;tbl_Case_mins[[#This Row],[AnaesthStart]],tbl_Case_mins[[#This Row],[Surgery End Date]]&gt;tbl_Case_mins[[#This Row],[Surgery Start Date]]),ROUND((#REF!-TIME(0,0,0))*1440,0)+1440,ROUND((#REF!-TIME(0,0,0))*1440,0))</f>
        <v>#REF!</v>
      </c>
      <c r="S146" s="9" t="e">
        <f>IF(AND(ROUND((#REF!-TIME(0,0,0))*1440,0),ROUND((#REF!-TIME(0,0,0))*1440,0)&lt;tbl_Case_mins[[#This Row],[Surgery Start]],tbl_Case_mins[[#This Row],[Surgery End Date]]&gt;tbl_Case_mins[[#This Row],[Surgery Start Date]]),ROUND((#REF!-TIME(0,0,0))*1440,0)+1440,ROUND((#REF!-TIME(0,0,0))*1440,0))</f>
        <v>#REF!</v>
      </c>
      <c r="T146" s="9" t="e">
        <f>IF(AND(ROUND((#REF!-TIME(0,0,0))*1440,0)&gt;0,ROUND((#REF!-TIME(0,0,0))*1440,0)&lt;tbl_Case_mins[[#This Row],[Surgery Finish]],tbl_Case_mins[[#This Row],[Surgery End Date]]&gt;tbl_Case_mins[[#This Row],[Surgery Start Date]]),ROUND((#REF!-TIME(0,0,0))*1440,0)+1440,ROUND((#REF!-TIME(0,0,0))*1440,0))</f>
        <v>#REF!</v>
      </c>
      <c r="U146" s="9" t="e">
        <f>IF(AND(ROUND((#REF!-TIME(0,0,0))*1440,0)&gt;0,ROUND((#REF!-TIME(0,0,0))*1440,0)&lt;tbl_Case_mins[[#This Row],[Anaesth End]],tbl_Case_mins[[#This Row],[Surgery End Date]]&gt;tbl_Case_mins[[#This Row],[Surgery Start Date]]),ROUND((#REF!-TIME(0,0,0))*1440,0)+1440,ROUND((#REF!-TIME(0,0,0))*1440,0))</f>
        <v>#REF!</v>
      </c>
      <c r="V146" s="9" t="e">
        <f>IF(AND(ROUND((#REF!-TIME(0,0,0))*1440,0)&gt;0,ROUND((#REF!-TIME(0,0,0))*1440,0)&lt;tbl_Case_mins[[#This Row],[Into Recov]],tbl_Case_mins[[#This Row],[Surgery End Date]]&gt;tbl_Case_mins[[#This Row],[Surgery Start Date]]),ROUND((#REF!-TIME(0,0,0))*1440,0)+1440,ROUND((#REF!-TIME(0,0,0))*1440,0))</f>
        <v>#REF!</v>
      </c>
      <c r="W146" s="9" t="e">
        <f>IF(AND(ROUND((#REF!-TIME(0,0,0))*1440,0)&gt;0,ROUND((#REF!-TIME(0,0,0))*1440,0)&lt;tbl_Case_mins[[#This Row],[Ward Called]],tbl_Case_mins[[#This Row],[Surgery End Date]]&gt;tbl_Case_mins[[#This Row],[Surgery Start Date]]),ROUND((#REF!-TIME(0,0,0))*1440,0)+1440,ROUND((#REF!-TIME(0,0,0))*1440,0))</f>
        <v>#REF!</v>
      </c>
      <c r="X146" s="4" t="e">
        <f>IF(ISBLANK(#REF!),tbl_Case_mins[[#This Row],[Surgery Start Date]],#REF!)</f>
        <v>#REF!</v>
      </c>
      <c r="Y146">
        <f>IFERROR(IF(VLOOKUP(tbl_Case_mins[[#This Row],[Theatre]],'Mng Theatres'!$C$7:$G$12,3,FALSE)="Yes","Yes","No"),0)</f>
        <v>0</v>
      </c>
      <c r="Z146" s="9" t="e" cm="1">
        <f t="array" ref="Z14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6" s="9" t="e" cm="1">
        <f t="array" ref="AA14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6" s="9" t="e">
        <f>IF(tbl_Case_mins[[#This Row],[Case Type]]="Unsch",1,0)</f>
        <v>#REF!</v>
      </c>
      <c r="AD146" s="9" t="e">
        <f>IF(tbl_Case_mins[[#This Row],[Case Type]]="Sch",1,0)</f>
        <v>#REF!</v>
      </c>
      <c r="AE14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6" s="9">
        <f>IFERROR(IF(ISBLANK(INDEX(Am_Close,MATCH(1,INDEX((tbl_Case_mins[[#This Row],[Theatre]]=Theatre_No)*(tbl_Case_mins[[#This Row],[Surgery Start Date]]=Date),0,1),0))*1440),0,INDEX(Am_Close,MATCH(1,INDEX((tbl_Case_mins[[#This Row],[Theatre]]=Theatre_No)*(tbl_Case_mins[[#This Row],[Surgery Start Date]]=Date),0,1),0))*1440),0)</f>
        <v>0</v>
      </c>
      <c r="AG146" s="9">
        <f>IFERROR(IF(ISBLANK(INDEX(PM_Open,MATCH(1,INDEX((tbl_Case_mins[[#This Row],[Theatre]]=Theatre_No)*(tbl_Case_mins[[#This Row],[Surgery Start Date]]=Date),0,1),0))*1440),0,INDEX(PM_Open,MATCH(1,INDEX((tbl_Case_mins[[#This Row],[Theatre]]=Theatre_No)*(tbl_Case_mins[[#This Row],[Surgery Start Date]]=Date),0,1),0))*1440),0)</f>
        <v>0</v>
      </c>
      <c r="AH14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6" s="9" t="e">
        <f>IF(tbl_Case_mins[[#This Row],[ThOpenAm]]=0,tbl_Case_mins[[#This Row],[ThOpenPM]],tbl_Case_mins[[#This Row],[ThOpenAm]])</f>
        <v>#REF!</v>
      </c>
      <c r="AJ146" s="9" t="e">
        <f>IF(tbl_Case_mins[[#This Row],[ThCloseAm]]&gt;0,IF(tbl_Case_mins[[#This Row],[ThOpenPM]]&gt;0,tbl_Case_mins[[#This Row],[ThClosePm]],tbl_Case_mins[[#This Row],[ThCloseAm]]),tbl_Case_mins[[#This Row],[ThClosePm]])</f>
        <v>#REF!</v>
      </c>
      <c r="AK146" s="9" t="e">
        <f>IF(tbl_Case_mins[[#This Row],[TOT]]&gt;0,1,0)</f>
        <v>#REF!</v>
      </c>
      <c r="AL14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6" s="9" t="e">
        <f>IF(AND(tbl_Case_mins[[#This Row],[Surgery Status]]&lt;&gt;2,tbl_Case_mins[[#This Row],[InCoreCase]]=0,tbl_Case_mins[[#This Row],[CancelledCase]]=0),1,0)</f>
        <v>#REF!</v>
      </c>
      <c r="AN146" s="9" t="e">
        <f>IF(tbl_Case_mins[[#This Row],[Surgery Status]]=1,1,0)</f>
        <v>#REF!</v>
      </c>
      <c r="AO14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6" s="9" t="e">
        <f>IF(AND(tbl_Case_mins[[#This Row],[NonCoreCase]]=1,tbl_Case_mins[[#This Row],[NoInCoreTime]]=0),1,0)</f>
        <v>#REF!</v>
      </c>
      <c r="AQ146" s="9" t="e">
        <f>IF(tbl_Case_mins[[#This Row],[Rank_AnaEnd]]&lt;tbl_Case_mins[[#This Row],[Rank_AnaSt]],1,0)</f>
        <v>#REF!</v>
      </c>
      <c r="AR146" s="9" t="e">
        <f>IF(AND(tbl_Case_mins[[#This Row],[InCoreCase]]=1,tbl_Case_mins[[#This Row],[Sch]]=1),1,0)</f>
        <v>#REF!</v>
      </c>
      <c r="AS146" s="9" t="e">
        <f>IF(AND(tbl_Case_mins[[#This Row],[InCoreCase]]=1,tbl_Case_mins[[#This Row],[Unsch]]=1),1,0)</f>
        <v>#REF!</v>
      </c>
      <c r="AT14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6" s="9" t="e">
        <f>IF(tbl_Case_mins[[#This Row],[Surgery Status]]=0,(tbl_Case_mins[[#This Row],[Anaesth End]]-tbl_Case_mins[[#This Row],[AnaesthStart]]),0)</f>
        <v>#REF!</v>
      </c>
      <c r="AX146" s="9" t="e">
        <f>IF(tbl_Case_mins[[#This Row],[Surgery Status]]=0,(tbl_Case_mins[[#This Row],[Surgery Finish]]-tbl_Case_mins[[#This Row],[Surgery Start]]),0)</f>
        <v>#REF!</v>
      </c>
      <c r="AY146" s="9" t="e">
        <f>tbl_Case_mins[[#This Row],[Surgery Start]]-tbl_Case_mins[[#This Row],[AnaesthStart]]</f>
        <v>#REF!</v>
      </c>
      <c r="AZ146" s="9" t="e">
        <f>tbl_Case_mins[[#This Row],[Anaesth End]]-tbl_Case_mins[[#This Row],[Surgery Finish]]</f>
        <v>#REF!</v>
      </c>
      <c r="BA14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6" s="16" cm="1">
        <f t="array" ref="BC14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6" s="16" t="e">
        <f>IF(AND(tbl_Case_mins[[#This Row],[FirstAMCase]]=1,tbl_Case_mins[[#This Row],[CancelledCase]]=0,OR(tbl_Case_mins[[#This Row],[EarlyStartAM]]&gt;0,tbl_Case_mins[[#This Row],[AnaesthStart]]=tbl_Case_mins[[#This Row],[ThOpenAm]])),1,0)</f>
        <v>#REF!</v>
      </c>
      <c r="BE146" s="16" t="e">
        <f>IF(AND(tbl_Case_mins[[#This Row],[Rank_AnaSt]]=tbl_Case_mins[[#This Row],[Min_RankAnaSt]],tbl_Case_mins[[#This Row],[Anaesth End]]&gt;=tbl_Case_mins[[#This Row],[ThOpenAm]],tbl_Case_mins[[#This Row],[PmCase]]=0),1,0)</f>
        <v>#REF!</v>
      </c>
      <c r="BF14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6" s="9" t="e" cm="1">
        <f t="array" ref="BH14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6" s="9" t="e">
        <f>IF(AND(tbl_Case_mins[[#This Row],[ThOpenPM]]&gt;0,tbl_Case_mins[[#This Row],[AnaesthStart]]&gt;tbl_Case_mins[[#This Row],[ThOpenPM]],tbl_Case_mins[[#This Row],[First PM Case]]=1),tbl_Case_mins[[#This Row],[AnaesthStart]]-tbl_Case_mins[[#This Row],[ThOpenPM]],0)</f>
        <v>#REF!</v>
      </c>
      <c r="BL14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6" s="9" t="e" cm="1">
        <f t="array" ref="BN14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6" s="9" t="e">
        <f>IF(AND(tbl_Case_mins[[#This Row],[ThClosePm]]&gt;0,tbl_Case_mins[[#This Row],[Anaesth End]]&gt;tbl_Case_mins[[#This Row],[ThClosePm]],tbl_Case_mins[[#This Row],[AnaesthStart]]&gt;tbl_Case_mins[[#This Row],[ThClosePm]]),tbl_Case_mins[[#This Row],[Into Recov]]-tbl_Case_mins[[#This Row],[AnaesthStart]],0)</f>
        <v>#REF!</v>
      </c>
      <c r="BP146" s="9" t="e">
        <f>IF(AND(tbl_Case_mins[[#This Row],[AnaesthStart]]&lt;tbl_Case_mins[[#This Row],[ThClosePm]],tbl_Case_mins[[#This Row],[Anaesth End]]&gt;tbl_Case_mins[[#This Row],[ThClosePm]]),tbl_Case_mins[[#This Row],[Anaesth End]]-tbl_Case_mins[[#This Row],[ThClosePm]],0)</f>
        <v>#REF!</v>
      </c>
      <c r="BQ146" s="9" t="e" cm="1">
        <f t="array" ref="BQ14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6" s="9" t="e" cm="1">
        <f t="array" ref="BR146">IF(tbl_Case_mins[[#This Row],[Rank_Adjust]]=SUMPRODUCT(-(tbl_Case_mins[Surgery Start Date]=tbl_Case_mins[[#This Row],[Surgery Start Date]]),-(tbl_Case_mins[Theatre]=tbl_Case_mins[[#This Row],[Theatre]])),INDEX(Poss_Time,MATCH(TEXT(tbl_Case_mins[[#This Row],[Surgery Start Date]],"ddd"),Day,0)),0)</f>
        <v>#REF!</v>
      </c>
      <c r="BS146" s="9" t="e">
        <f>tbl_Case_mins[[#This Row],[Core_Time]]*Util_Goal</f>
        <v>#REF!</v>
      </c>
      <c r="BT146" s="9" t="e" cm="1">
        <f t="array" ref="BT1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6" s="9" t="e" cm="1">
        <f t="array" ref="BU1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6" s="9" t="e">
        <f>IF(tbl_Case_mins[[#This Row],[Surgery End Date]]&gt;tbl_Case_mins[[#This Row],[Surgery Start Date]],tbl_Case_mins[[#This Row],[Anaesth End]]-1440,0)</f>
        <v>#REF!</v>
      </c>
      <c r="BY146" s="9" t="e">
        <f>tbl_Case_mins[[#This Row],[Total_NonCore]]-tbl_Case_mins[[#This Row],[NextDay_NonCore]]</f>
        <v>#REF!</v>
      </c>
      <c r="BZ146" s="10" t="e">
        <f>tbl_Case_mins[[#This Row],[InCoreUse]]/60</f>
        <v>#REF!</v>
      </c>
      <c r="CA146" s="10" t="e">
        <f>tbl_Case_mins[[#This Row],[Total_NonCore]]/60</f>
        <v>#REF!</v>
      </c>
      <c r="CB146" t="e" cm="1">
        <f t="array" ref="CB1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6" s="9" t="e" cm="1">
        <f t="array" ref="CC14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6" s="9" t="e" cm="1">
        <f t="array" ref="CD1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6" s="9" t="e" cm="1">
        <f t="array" ref="CE14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6" s="9" cm="1">
        <f t="array" ref="CF146">IFERROR(_xlfn.AGGREGATE(14,6,(tbl_Case_mins[Rank_AnaEnd])/((tbl_Case_mins[Surgery Start Date]=tbl_Case_mins[[#This Row],[Surgery Start Date]])*(tbl_Case_mins[Theatre]=tbl_Case_mins[[#This Row],[Theatre]])*(tbl_Case_mins[NoInCoreTime]=0)),1),-1)</f>
        <v>-1</v>
      </c>
      <c r="CG146" s="9" cm="1">
        <f t="array" ref="CG146">IFERROR(_xlfn.AGGREGATE(15,6,(tbl_Case_mins[Rank_AnaSt])/((tbl_Case_mins[Surgery Start Date]=tbl_Case_mins[[#This Row],[Surgery Start Date]])*(tbl_Case_mins[Theatre]=tbl_Case_mins[[#This Row],[Theatre]])*(tbl_Case_mins[NoInCoreTime]=0)),1),-1)</f>
        <v>-1</v>
      </c>
      <c r="CH14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6" t="e" cm="1">
        <f t="array" ref="CJ14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6" s="9" cm="1">
        <f t="array" ref="CO1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6" s="9" cm="1">
        <f t="array" ref="CP1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6" s="9" cm="1">
        <f t="array" ref="CQ146">IFERROR(IF(AND(tbl_Case_mins[[#This Row],[FirstAMCase]]=0,tbl_Case_mins[[#This Row],[Rank]]=_xlfn.AGGREGATE(14,6,(tbl_Case_mins[Rank])/((tbl_Case_mins[Surgery Start Date]=tbl_Case_mins[[#This Row],[Surgery Start Date]])*(tbl_Case_mins[Theatre]=tbl_Case_mins[[#This Row],[Theatre]])*(tbl_Case_mins[AmCase]=1)),1)),1,0),0)</f>
        <v>0</v>
      </c>
      <c r="CR146" s="9" cm="1">
        <f t="array" ref="CR14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6" s="9" t="e" cm="1">
        <f t="array" ref="CS14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6" s="9" cm="1">
        <f t="array" ref="CT146">IFERROR(IF(tbl_Case_mins[[#This Row],[Rank]]=_xlfn.AGGREGATE(15,6,(tbl_Case_mins[Rank])/((tbl_Case_mins[Surgery Start Date]=tbl_Case_mins[[#This Row],[Surgery Start Date]])*(tbl_Case_mins[Theatre]=tbl_Case_mins[[#This Row],[Theatre]])*(tbl_Case_mins[PmCase]=1)),1),1,0),0)</f>
        <v>0</v>
      </c>
      <c r="CU146">
        <f>IFERROR(#REF!,0)</f>
        <v>0</v>
      </c>
      <c r="CV146" s="9" t="e" cm="1">
        <f t="array" ref="CV14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6" s="9">
        <f>IFERROR(IF(ISBLANK(INDEX(Bay_AmClose,MATCH(1,INDEX((tbl_Case_mins[[#This Row],[Bay]]=BayNo)*(tbl_Case_mins[[#This Row],[Surgery Start Date]]=BDate),0,1),0))*1440),0,INDEX(Bay_AmClose,MATCH(1,INDEX((tbl_Case_mins[[#This Row],[Bay]]=BayNo)*(tbl_Case_mins[[#This Row],[Surgery Start Date]]=BDate),0,1),0))*1440),0)</f>
        <v>0</v>
      </c>
      <c r="CX146" s="9" cm="1">
        <f t="array" ref="CX146">IFERROR(IF(ISBLANK(INDEX(Bay_PmOpen,MATCH(1,INDEX((tbl_Case_mins[[#This Row],[Bay]]=BayNo)*(tbl_Case_mins[[#This Row],[Surgery Start Date]]=BDate),0,1),0))*1440),0,INDEX(Bay_PmOpen,MATCH(1,INDEX((tbl_Case_mins[[#This Row],[Bay]]=BayNo)*(tbl_Case_mins[[#This Row],[Surgery Start Date]]=BDate),0,1),0))*1440),0)</f>
        <v>0</v>
      </c>
      <c r="CY14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6" s="9"/>
    </row>
    <row r="147" spans="1:104" x14ac:dyDescent="0.2">
      <c r="A147">
        <v>146</v>
      </c>
      <c r="B147" t="e">
        <f>#REF!</f>
        <v>#REF!</v>
      </c>
      <c r="C147" t="e">
        <f>#REF!</f>
        <v>#REF!</v>
      </c>
      <c r="D147" t="e">
        <f>#REF!</f>
        <v>#REF!</v>
      </c>
      <c r="E147" t="e">
        <f>#REF!</f>
        <v>#REF!</v>
      </c>
      <c r="F147" t="e">
        <f>#REF!</f>
        <v>#REF!</v>
      </c>
      <c r="G147" t="e">
        <f>#REF!</f>
        <v>#REF!</v>
      </c>
      <c r="H147" t="e">
        <f>#REF!</f>
        <v>#REF!</v>
      </c>
      <c r="I147" t="e">
        <f>IF(#REF!="Case Cancelled",1,IF(#REF!="No Cases",2,0))</f>
        <v>#REF!</v>
      </c>
      <c r="J147" t="e">
        <f>#REF!</f>
        <v>#REF!</v>
      </c>
      <c r="K147" s="4" t="e">
        <f>#REF!</f>
        <v>#REF!</v>
      </c>
      <c r="L147" t="e">
        <f>"Wk "&amp;WEEKNUM(tbl_Case_mins[[#This Row],[Surgery Start Date]],21)</f>
        <v>#REF!</v>
      </c>
      <c r="M147" t="e">
        <f>TEXT(tbl_Case_mins[[#This Row],[Surgery Start Date]],"ddd")</f>
        <v>#REF!</v>
      </c>
      <c r="N147" s="9" t="e">
        <f>(#REF!-TIME(0,0,0))*1440</f>
        <v>#REF!</v>
      </c>
      <c r="O147" t="e">
        <f>IF(AND(ROUND((#REF!-TIME(0,0,0))*1440,0)&gt;0,ROUND((#REF!-TIME(0,0,0))*1440,0)&lt;tbl_Case_mins[[#This Row],[Patient Called]],tbl_Case_mins[[#This Row],[Surgery End Date]]&gt;tbl_Case_mins[[#This Row],[Surgery Start Date]]),ROUND((#REF!-TIME(0,0,0))*1440,0)+1440,ROUND((#REF!-TIME(0,0,0))*1440,0))</f>
        <v>#REF!</v>
      </c>
      <c r="P147" s="9" t="e">
        <f>IF(AND(ROUND((#REF!-TIME(0,0,0))*1440,0)&gt;0,ROUND((#REF!-TIME(0,0,0))*1440,0)&lt;tbl_Case_mins[[#This Row],[Arrival]],tbl_Case_mins[[#This Row],[Surgery End Date]]&gt;tbl_Case_mins[[#This Row],[Surgery Start Date]]),ROUND((#REF!-TIME(0,0,0))*1440,0)+1440,ROUND((#REF!-TIME(0,0,0))*1440,0))</f>
        <v>#REF!</v>
      </c>
      <c r="Q147" s="9" t="e">
        <f>IF(AND(ROUND((#REF!-TIME(0,0,0))*1440,0)&gt;0,ROUND((#REF!-TIME(0,0,0))*1440,0)&lt;tbl_Case_mins[[#This Row],[Into Th or AR]],tbl_Case_mins[[#This Row],[Surgery End Date]]&gt;tbl_Case_mins[[#This Row],[Surgery Start Date]]),ROUND((#REF!-TIME(0,0,0))*1440,0)+1440,ROUND((#REF!-TIME(0,0,0))*1440,0))</f>
        <v>#REF!</v>
      </c>
      <c r="R147" s="9" t="e">
        <f>IF(AND(ROUND((#REF!-TIME(0,0,0))*1440,0)&gt;0,ROUND((#REF!-TIME(0,0,0))*1440,0)&lt;tbl_Case_mins[[#This Row],[AnaesthStart]],tbl_Case_mins[[#This Row],[Surgery End Date]]&gt;tbl_Case_mins[[#This Row],[Surgery Start Date]]),ROUND((#REF!-TIME(0,0,0))*1440,0)+1440,ROUND((#REF!-TIME(0,0,0))*1440,0))</f>
        <v>#REF!</v>
      </c>
      <c r="S147" s="9" t="e">
        <f>IF(AND(ROUND((#REF!-TIME(0,0,0))*1440,0),ROUND((#REF!-TIME(0,0,0))*1440,0)&lt;tbl_Case_mins[[#This Row],[Surgery Start]],tbl_Case_mins[[#This Row],[Surgery End Date]]&gt;tbl_Case_mins[[#This Row],[Surgery Start Date]]),ROUND((#REF!-TIME(0,0,0))*1440,0)+1440,ROUND((#REF!-TIME(0,0,0))*1440,0))</f>
        <v>#REF!</v>
      </c>
      <c r="T147" s="9" t="e">
        <f>IF(AND(ROUND((#REF!-TIME(0,0,0))*1440,0)&gt;0,ROUND((#REF!-TIME(0,0,0))*1440,0)&lt;tbl_Case_mins[[#This Row],[Surgery Finish]],tbl_Case_mins[[#This Row],[Surgery End Date]]&gt;tbl_Case_mins[[#This Row],[Surgery Start Date]]),ROUND((#REF!-TIME(0,0,0))*1440,0)+1440,ROUND((#REF!-TIME(0,0,0))*1440,0))</f>
        <v>#REF!</v>
      </c>
      <c r="U147" s="9" t="e">
        <f>IF(AND(ROUND((#REF!-TIME(0,0,0))*1440,0)&gt;0,ROUND((#REF!-TIME(0,0,0))*1440,0)&lt;tbl_Case_mins[[#This Row],[Anaesth End]],tbl_Case_mins[[#This Row],[Surgery End Date]]&gt;tbl_Case_mins[[#This Row],[Surgery Start Date]]),ROUND((#REF!-TIME(0,0,0))*1440,0)+1440,ROUND((#REF!-TIME(0,0,0))*1440,0))</f>
        <v>#REF!</v>
      </c>
      <c r="V147" s="9" t="e">
        <f>IF(AND(ROUND((#REF!-TIME(0,0,0))*1440,0)&gt;0,ROUND((#REF!-TIME(0,0,0))*1440,0)&lt;tbl_Case_mins[[#This Row],[Into Recov]],tbl_Case_mins[[#This Row],[Surgery End Date]]&gt;tbl_Case_mins[[#This Row],[Surgery Start Date]]),ROUND((#REF!-TIME(0,0,0))*1440,0)+1440,ROUND((#REF!-TIME(0,0,0))*1440,0))</f>
        <v>#REF!</v>
      </c>
      <c r="W147" s="9" t="e">
        <f>IF(AND(ROUND((#REF!-TIME(0,0,0))*1440,0)&gt;0,ROUND((#REF!-TIME(0,0,0))*1440,0)&lt;tbl_Case_mins[[#This Row],[Ward Called]],tbl_Case_mins[[#This Row],[Surgery End Date]]&gt;tbl_Case_mins[[#This Row],[Surgery Start Date]]),ROUND((#REF!-TIME(0,0,0))*1440,0)+1440,ROUND((#REF!-TIME(0,0,0))*1440,0))</f>
        <v>#REF!</v>
      </c>
      <c r="X147" s="4" t="e">
        <f>IF(ISBLANK(#REF!),tbl_Case_mins[[#This Row],[Surgery Start Date]],#REF!)</f>
        <v>#REF!</v>
      </c>
      <c r="Y147">
        <f>IFERROR(IF(VLOOKUP(tbl_Case_mins[[#This Row],[Theatre]],'Mng Theatres'!$C$7:$G$12,3,FALSE)="Yes","Yes","No"),0)</f>
        <v>0</v>
      </c>
      <c r="Z147" s="9" t="e" cm="1">
        <f t="array" ref="Z14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7" s="9" t="e" cm="1">
        <f t="array" ref="AA14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7" s="9" t="e">
        <f>IF(tbl_Case_mins[[#This Row],[Case Type]]="Unsch",1,0)</f>
        <v>#REF!</v>
      </c>
      <c r="AD147" s="9" t="e">
        <f>IF(tbl_Case_mins[[#This Row],[Case Type]]="Sch",1,0)</f>
        <v>#REF!</v>
      </c>
      <c r="AE14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7" s="9">
        <f>IFERROR(IF(ISBLANK(INDEX(Am_Close,MATCH(1,INDEX((tbl_Case_mins[[#This Row],[Theatre]]=Theatre_No)*(tbl_Case_mins[[#This Row],[Surgery Start Date]]=Date),0,1),0))*1440),0,INDEX(Am_Close,MATCH(1,INDEX((tbl_Case_mins[[#This Row],[Theatre]]=Theatre_No)*(tbl_Case_mins[[#This Row],[Surgery Start Date]]=Date),0,1),0))*1440),0)</f>
        <v>0</v>
      </c>
      <c r="AG147" s="9">
        <f>IFERROR(IF(ISBLANK(INDEX(PM_Open,MATCH(1,INDEX((tbl_Case_mins[[#This Row],[Theatre]]=Theatre_No)*(tbl_Case_mins[[#This Row],[Surgery Start Date]]=Date),0,1),0))*1440),0,INDEX(PM_Open,MATCH(1,INDEX((tbl_Case_mins[[#This Row],[Theatre]]=Theatre_No)*(tbl_Case_mins[[#This Row],[Surgery Start Date]]=Date),0,1),0))*1440),0)</f>
        <v>0</v>
      </c>
      <c r="AH14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7" s="9" t="e">
        <f>IF(tbl_Case_mins[[#This Row],[ThOpenAm]]=0,tbl_Case_mins[[#This Row],[ThOpenPM]],tbl_Case_mins[[#This Row],[ThOpenAm]])</f>
        <v>#REF!</v>
      </c>
      <c r="AJ147" s="9" t="e">
        <f>IF(tbl_Case_mins[[#This Row],[ThCloseAm]]&gt;0,IF(tbl_Case_mins[[#This Row],[ThOpenPM]]&gt;0,tbl_Case_mins[[#This Row],[ThClosePm]],tbl_Case_mins[[#This Row],[ThCloseAm]]),tbl_Case_mins[[#This Row],[ThClosePm]])</f>
        <v>#REF!</v>
      </c>
      <c r="AK147" s="9" t="e">
        <f>IF(tbl_Case_mins[[#This Row],[TOT]]&gt;0,1,0)</f>
        <v>#REF!</v>
      </c>
      <c r="AL14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7" s="9" t="e">
        <f>IF(AND(tbl_Case_mins[[#This Row],[Surgery Status]]&lt;&gt;2,tbl_Case_mins[[#This Row],[InCoreCase]]=0,tbl_Case_mins[[#This Row],[CancelledCase]]=0),1,0)</f>
        <v>#REF!</v>
      </c>
      <c r="AN147" s="9" t="e">
        <f>IF(tbl_Case_mins[[#This Row],[Surgery Status]]=1,1,0)</f>
        <v>#REF!</v>
      </c>
      <c r="AO14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7" s="9" t="e">
        <f>IF(AND(tbl_Case_mins[[#This Row],[NonCoreCase]]=1,tbl_Case_mins[[#This Row],[NoInCoreTime]]=0),1,0)</f>
        <v>#REF!</v>
      </c>
      <c r="AQ147" s="9" t="e">
        <f>IF(tbl_Case_mins[[#This Row],[Rank_AnaEnd]]&lt;tbl_Case_mins[[#This Row],[Rank_AnaSt]],1,0)</f>
        <v>#REF!</v>
      </c>
      <c r="AR147" s="9" t="e">
        <f>IF(AND(tbl_Case_mins[[#This Row],[InCoreCase]]=1,tbl_Case_mins[[#This Row],[Sch]]=1),1,0)</f>
        <v>#REF!</v>
      </c>
      <c r="AS147" s="9" t="e">
        <f>IF(AND(tbl_Case_mins[[#This Row],[InCoreCase]]=1,tbl_Case_mins[[#This Row],[Unsch]]=1),1,0)</f>
        <v>#REF!</v>
      </c>
      <c r="AT14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7" s="9" t="e">
        <f>IF(tbl_Case_mins[[#This Row],[Surgery Status]]=0,(tbl_Case_mins[[#This Row],[Anaesth End]]-tbl_Case_mins[[#This Row],[AnaesthStart]]),0)</f>
        <v>#REF!</v>
      </c>
      <c r="AX147" s="9" t="e">
        <f>IF(tbl_Case_mins[[#This Row],[Surgery Status]]=0,(tbl_Case_mins[[#This Row],[Surgery Finish]]-tbl_Case_mins[[#This Row],[Surgery Start]]),0)</f>
        <v>#REF!</v>
      </c>
      <c r="AY147" s="9" t="e">
        <f>tbl_Case_mins[[#This Row],[Surgery Start]]-tbl_Case_mins[[#This Row],[AnaesthStart]]</f>
        <v>#REF!</v>
      </c>
      <c r="AZ147" s="9" t="e">
        <f>tbl_Case_mins[[#This Row],[Anaesth End]]-tbl_Case_mins[[#This Row],[Surgery Finish]]</f>
        <v>#REF!</v>
      </c>
      <c r="BA14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7" s="16" cm="1">
        <f t="array" ref="BC14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7" s="16" t="e">
        <f>IF(AND(tbl_Case_mins[[#This Row],[FirstAMCase]]=1,tbl_Case_mins[[#This Row],[CancelledCase]]=0,OR(tbl_Case_mins[[#This Row],[EarlyStartAM]]&gt;0,tbl_Case_mins[[#This Row],[AnaesthStart]]=tbl_Case_mins[[#This Row],[ThOpenAm]])),1,0)</f>
        <v>#REF!</v>
      </c>
      <c r="BE147" s="16" t="e">
        <f>IF(AND(tbl_Case_mins[[#This Row],[Rank_AnaSt]]=tbl_Case_mins[[#This Row],[Min_RankAnaSt]],tbl_Case_mins[[#This Row],[Anaesth End]]&gt;=tbl_Case_mins[[#This Row],[ThOpenAm]],tbl_Case_mins[[#This Row],[PmCase]]=0),1,0)</f>
        <v>#REF!</v>
      </c>
      <c r="BF14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7" s="9" t="e" cm="1">
        <f t="array" ref="BH14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7" s="9" t="e">
        <f>IF(AND(tbl_Case_mins[[#This Row],[ThOpenPM]]&gt;0,tbl_Case_mins[[#This Row],[AnaesthStart]]&gt;tbl_Case_mins[[#This Row],[ThOpenPM]],tbl_Case_mins[[#This Row],[First PM Case]]=1),tbl_Case_mins[[#This Row],[AnaesthStart]]-tbl_Case_mins[[#This Row],[ThOpenPM]],0)</f>
        <v>#REF!</v>
      </c>
      <c r="BL14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7" s="9" t="e" cm="1">
        <f t="array" ref="BN14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7" s="9" t="e">
        <f>IF(AND(tbl_Case_mins[[#This Row],[ThClosePm]]&gt;0,tbl_Case_mins[[#This Row],[Anaesth End]]&gt;tbl_Case_mins[[#This Row],[ThClosePm]],tbl_Case_mins[[#This Row],[AnaesthStart]]&gt;tbl_Case_mins[[#This Row],[ThClosePm]]),tbl_Case_mins[[#This Row],[Into Recov]]-tbl_Case_mins[[#This Row],[AnaesthStart]],0)</f>
        <v>#REF!</v>
      </c>
      <c r="BP147" s="9" t="e">
        <f>IF(AND(tbl_Case_mins[[#This Row],[AnaesthStart]]&lt;tbl_Case_mins[[#This Row],[ThClosePm]],tbl_Case_mins[[#This Row],[Anaesth End]]&gt;tbl_Case_mins[[#This Row],[ThClosePm]]),tbl_Case_mins[[#This Row],[Anaesth End]]-tbl_Case_mins[[#This Row],[ThClosePm]],0)</f>
        <v>#REF!</v>
      </c>
      <c r="BQ147" s="9" t="e" cm="1">
        <f t="array" ref="BQ14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7" s="9" t="e" cm="1">
        <f t="array" ref="BR147">IF(tbl_Case_mins[[#This Row],[Rank_Adjust]]=SUMPRODUCT(-(tbl_Case_mins[Surgery Start Date]=tbl_Case_mins[[#This Row],[Surgery Start Date]]),-(tbl_Case_mins[Theatre]=tbl_Case_mins[[#This Row],[Theatre]])),INDEX(Poss_Time,MATCH(TEXT(tbl_Case_mins[[#This Row],[Surgery Start Date]],"ddd"),Day,0)),0)</f>
        <v>#REF!</v>
      </c>
      <c r="BS147" s="9" t="e">
        <f>tbl_Case_mins[[#This Row],[Core_Time]]*Util_Goal</f>
        <v>#REF!</v>
      </c>
      <c r="BT147" s="9" t="e" cm="1">
        <f t="array" ref="BT1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7" s="9" t="e" cm="1">
        <f t="array" ref="BU1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7" s="9" t="e">
        <f>IF(tbl_Case_mins[[#This Row],[Surgery End Date]]&gt;tbl_Case_mins[[#This Row],[Surgery Start Date]],tbl_Case_mins[[#This Row],[Anaesth End]]-1440,0)</f>
        <v>#REF!</v>
      </c>
      <c r="BY147" s="9" t="e">
        <f>tbl_Case_mins[[#This Row],[Total_NonCore]]-tbl_Case_mins[[#This Row],[NextDay_NonCore]]</f>
        <v>#REF!</v>
      </c>
      <c r="BZ147" s="10" t="e">
        <f>tbl_Case_mins[[#This Row],[InCoreUse]]/60</f>
        <v>#REF!</v>
      </c>
      <c r="CA147" s="10" t="e">
        <f>tbl_Case_mins[[#This Row],[Total_NonCore]]/60</f>
        <v>#REF!</v>
      </c>
      <c r="CB147" t="e" cm="1">
        <f t="array" ref="CB1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7" s="9" t="e" cm="1">
        <f t="array" ref="CC14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7" s="9" t="e" cm="1">
        <f t="array" ref="CD1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7" s="9" t="e" cm="1">
        <f t="array" ref="CE14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7" s="9" cm="1">
        <f t="array" ref="CF147">IFERROR(_xlfn.AGGREGATE(14,6,(tbl_Case_mins[Rank_AnaEnd])/((tbl_Case_mins[Surgery Start Date]=tbl_Case_mins[[#This Row],[Surgery Start Date]])*(tbl_Case_mins[Theatre]=tbl_Case_mins[[#This Row],[Theatre]])*(tbl_Case_mins[NoInCoreTime]=0)),1),-1)</f>
        <v>-1</v>
      </c>
      <c r="CG147" s="9" cm="1">
        <f t="array" ref="CG147">IFERROR(_xlfn.AGGREGATE(15,6,(tbl_Case_mins[Rank_AnaSt])/((tbl_Case_mins[Surgery Start Date]=tbl_Case_mins[[#This Row],[Surgery Start Date]])*(tbl_Case_mins[Theatre]=tbl_Case_mins[[#This Row],[Theatre]])*(tbl_Case_mins[NoInCoreTime]=0)),1),-1)</f>
        <v>-1</v>
      </c>
      <c r="CH14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7" t="e" cm="1">
        <f t="array" ref="CJ14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7" s="9" cm="1">
        <f t="array" ref="CO1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7" s="9" cm="1">
        <f t="array" ref="CP1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7" s="9" cm="1">
        <f t="array" ref="CQ147">IFERROR(IF(AND(tbl_Case_mins[[#This Row],[FirstAMCase]]=0,tbl_Case_mins[[#This Row],[Rank]]=_xlfn.AGGREGATE(14,6,(tbl_Case_mins[Rank])/((tbl_Case_mins[Surgery Start Date]=tbl_Case_mins[[#This Row],[Surgery Start Date]])*(tbl_Case_mins[Theatre]=tbl_Case_mins[[#This Row],[Theatre]])*(tbl_Case_mins[AmCase]=1)),1)),1,0),0)</f>
        <v>0</v>
      </c>
      <c r="CR147" s="9" cm="1">
        <f t="array" ref="CR14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7" s="9" t="e" cm="1">
        <f t="array" ref="CS14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7" s="9" cm="1">
        <f t="array" ref="CT147">IFERROR(IF(tbl_Case_mins[[#This Row],[Rank]]=_xlfn.AGGREGATE(15,6,(tbl_Case_mins[Rank])/((tbl_Case_mins[Surgery Start Date]=tbl_Case_mins[[#This Row],[Surgery Start Date]])*(tbl_Case_mins[Theatre]=tbl_Case_mins[[#This Row],[Theatre]])*(tbl_Case_mins[PmCase]=1)),1),1,0),0)</f>
        <v>0</v>
      </c>
      <c r="CU147">
        <f>IFERROR(#REF!,0)</f>
        <v>0</v>
      </c>
      <c r="CV147" s="9" t="e" cm="1">
        <f t="array" ref="CV14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7" s="9">
        <f>IFERROR(IF(ISBLANK(INDEX(Bay_AmClose,MATCH(1,INDEX((tbl_Case_mins[[#This Row],[Bay]]=BayNo)*(tbl_Case_mins[[#This Row],[Surgery Start Date]]=BDate),0,1),0))*1440),0,INDEX(Bay_AmClose,MATCH(1,INDEX((tbl_Case_mins[[#This Row],[Bay]]=BayNo)*(tbl_Case_mins[[#This Row],[Surgery Start Date]]=BDate),0,1),0))*1440),0)</f>
        <v>0</v>
      </c>
      <c r="CX147" s="9" cm="1">
        <f t="array" ref="CX147">IFERROR(IF(ISBLANK(INDEX(Bay_PmOpen,MATCH(1,INDEX((tbl_Case_mins[[#This Row],[Bay]]=BayNo)*(tbl_Case_mins[[#This Row],[Surgery Start Date]]=BDate),0,1),0))*1440),0,INDEX(Bay_PmOpen,MATCH(1,INDEX((tbl_Case_mins[[#This Row],[Bay]]=BayNo)*(tbl_Case_mins[[#This Row],[Surgery Start Date]]=BDate),0,1),0))*1440),0)</f>
        <v>0</v>
      </c>
      <c r="CY14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7" s="9"/>
    </row>
    <row r="148" spans="1:104" x14ac:dyDescent="0.2">
      <c r="A148">
        <v>147</v>
      </c>
      <c r="B148" t="e">
        <f>#REF!</f>
        <v>#REF!</v>
      </c>
      <c r="C148" t="e">
        <f>#REF!</f>
        <v>#REF!</v>
      </c>
      <c r="D148" t="e">
        <f>#REF!</f>
        <v>#REF!</v>
      </c>
      <c r="E148" t="e">
        <f>#REF!</f>
        <v>#REF!</v>
      </c>
      <c r="F148" t="e">
        <f>#REF!</f>
        <v>#REF!</v>
      </c>
      <c r="G148" t="e">
        <f>#REF!</f>
        <v>#REF!</v>
      </c>
      <c r="H148" t="e">
        <f>#REF!</f>
        <v>#REF!</v>
      </c>
      <c r="I148" t="e">
        <f>IF(#REF!="Case Cancelled",1,IF(#REF!="No Cases",2,0))</f>
        <v>#REF!</v>
      </c>
      <c r="J148" t="e">
        <f>#REF!</f>
        <v>#REF!</v>
      </c>
      <c r="K148" s="4" t="e">
        <f>#REF!</f>
        <v>#REF!</v>
      </c>
      <c r="L148" t="e">
        <f>"Wk "&amp;WEEKNUM(tbl_Case_mins[[#This Row],[Surgery Start Date]],21)</f>
        <v>#REF!</v>
      </c>
      <c r="M148" t="e">
        <f>TEXT(tbl_Case_mins[[#This Row],[Surgery Start Date]],"ddd")</f>
        <v>#REF!</v>
      </c>
      <c r="N148" s="9" t="e">
        <f>(#REF!-TIME(0,0,0))*1440</f>
        <v>#REF!</v>
      </c>
      <c r="O148" t="e">
        <f>IF(AND(ROUND((#REF!-TIME(0,0,0))*1440,0)&gt;0,ROUND((#REF!-TIME(0,0,0))*1440,0)&lt;tbl_Case_mins[[#This Row],[Patient Called]],tbl_Case_mins[[#This Row],[Surgery End Date]]&gt;tbl_Case_mins[[#This Row],[Surgery Start Date]]),ROUND((#REF!-TIME(0,0,0))*1440,0)+1440,ROUND((#REF!-TIME(0,0,0))*1440,0))</f>
        <v>#REF!</v>
      </c>
      <c r="P148" s="9" t="e">
        <f>IF(AND(ROUND((#REF!-TIME(0,0,0))*1440,0)&gt;0,ROUND((#REF!-TIME(0,0,0))*1440,0)&lt;tbl_Case_mins[[#This Row],[Arrival]],tbl_Case_mins[[#This Row],[Surgery End Date]]&gt;tbl_Case_mins[[#This Row],[Surgery Start Date]]),ROUND((#REF!-TIME(0,0,0))*1440,0)+1440,ROUND((#REF!-TIME(0,0,0))*1440,0))</f>
        <v>#REF!</v>
      </c>
      <c r="Q148" s="9" t="e">
        <f>IF(AND(ROUND((#REF!-TIME(0,0,0))*1440,0)&gt;0,ROUND((#REF!-TIME(0,0,0))*1440,0)&lt;tbl_Case_mins[[#This Row],[Into Th or AR]],tbl_Case_mins[[#This Row],[Surgery End Date]]&gt;tbl_Case_mins[[#This Row],[Surgery Start Date]]),ROUND((#REF!-TIME(0,0,0))*1440,0)+1440,ROUND((#REF!-TIME(0,0,0))*1440,0))</f>
        <v>#REF!</v>
      </c>
      <c r="R148" s="9" t="e">
        <f>IF(AND(ROUND((#REF!-TIME(0,0,0))*1440,0)&gt;0,ROUND((#REF!-TIME(0,0,0))*1440,0)&lt;tbl_Case_mins[[#This Row],[AnaesthStart]],tbl_Case_mins[[#This Row],[Surgery End Date]]&gt;tbl_Case_mins[[#This Row],[Surgery Start Date]]),ROUND((#REF!-TIME(0,0,0))*1440,0)+1440,ROUND((#REF!-TIME(0,0,0))*1440,0))</f>
        <v>#REF!</v>
      </c>
      <c r="S148" s="9" t="e">
        <f>IF(AND(ROUND((#REF!-TIME(0,0,0))*1440,0),ROUND((#REF!-TIME(0,0,0))*1440,0)&lt;tbl_Case_mins[[#This Row],[Surgery Start]],tbl_Case_mins[[#This Row],[Surgery End Date]]&gt;tbl_Case_mins[[#This Row],[Surgery Start Date]]),ROUND((#REF!-TIME(0,0,0))*1440,0)+1440,ROUND((#REF!-TIME(0,0,0))*1440,0))</f>
        <v>#REF!</v>
      </c>
      <c r="T148" s="9" t="e">
        <f>IF(AND(ROUND((#REF!-TIME(0,0,0))*1440,0)&gt;0,ROUND((#REF!-TIME(0,0,0))*1440,0)&lt;tbl_Case_mins[[#This Row],[Surgery Finish]],tbl_Case_mins[[#This Row],[Surgery End Date]]&gt;tbl_Case_mins[[#This Row],[Surgery Start Date]]),ROUND((#REF!-TIME(0,0,0))*1440,0)+1440,ROUND((#REF!-TIME(0,0,0))*1440,0))</f>
        <v>#REF!</v>
      </c>
      <c r="U148" s="9" t="e">
        <f>IF(AND(ROUND((#REF!-TIME(0,0,0))*1440,0)&gt;0,ROUND((#REF!-TIME(0,0,0))*1440,0)&lt;tbl_Case_mins[[#This Row],[Anaesth End]],tbl_Case_mins[[#This Row],[Surgery End Date]]&gt;tbl_Case_mins[[#This Row],[Surgery Start Date]]),ROUND((#REF!-TIME(0,0,0))*1440,0)+1440,ROUND((#REF!-TIME(0,0,0))*1440,0))</f>
        <v>#REF!</v>
      </c>
      <c r="V148" s="9" t="e">
        <f>IF(AND(ROUND((#REF!-TIME(0,0,0))*1440,0)&gt;0,ROUND((#REF!-TIME(0,0,0))*1440,0)&lt;tbl_Case_mins[[#This Row],[Into Recov]],tbl_Case_mins[[#This Row],[Surgery End Date]]&gt;tbl_Case_mins[[#This Row],[Surgery Start Date]]),ROUND((#REF!-TIME(0,0,0))*1440,0)+1440,ROUND((#REF!-TIME(0,0,0))*1440,0))</f>
        <v>#REF!</v>
      </c>
      <c r="W148" s="9" t="e">
        <f>IF(AND(ROUND((#REF!-TIME(0,0,0))*1440,0)&gt;0,ROUND((#REF!-TIME(0,0,0))*1440,0)&lt;tbl_Case_mins[[#This Row],[Ward Called]],tbl_Case_mins[[#This Row],[Surgery End Date]]&gt;tbl_Case_mins[[#This Row],[Surgery Start Date]]),ROUND((#REF!-TIME(0,0,0))*1440,0)+1440,ROUND((#REF!-TIME(0,0,0))*1440,0))</f>
        <v>#REF!</v>
      </c>
      <c r="X148" s="4" t="e">
        <f>IF(ISBLANK(#REF!),tbl_Case_mins[[#This Row],[Surgery Start Date]],#REF!)</f>
        <v>#REF!</v>
      </c>
      <c r="Y148">
        <f>IFERROR(IF(VLOOKUP(tbl_Case_mins[[#This Row],[Theatre]],'Mng Theatres'!$C$7:$G$12,3,FALSE)="Yes","Yes","No"),0)</f>
        <v>0</v>
      </c>
      <c r="Z148" s="9" t="e" cm="1">
        <f t="array" ref="Z14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8" s="9" t="e" cm="1">
        <f t="array" ref="AA14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8" s="9" t="e">
        <f>IF(tbl_Case_mins[[#This Row],[Case Type]]="Unsch",1,0)</f>
        <v>#REF!</v>
      </c>
      <c r="AD148" s="9" t="e">
        <f>IF(tbl_Case_mins[[#This Row],[Case Type]]="Sch",1,0)</f>
        <v>#REF!</v>
      </c>
      <c r="AE14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8" s="9">
        <f>IFERROR(IF(ISBLANK(INDEX(Am_Close,MATCH(1,INDEX((tbl_Case_mins[[#This Row],[Theatre]]=Theatre_No)*(tbl_Case_mins[[#This Row],[Surgery Start Date]]=Date),0,1),0))*1440),0,INDEX(Am_Close,MATCH(1,INDEX((tbl_Case_mins[[#This Row],[Theatre]]=Theatre_No)*(tbl_Case_mins[[#This Row],[Surgery Start Date]]=Date),0,1),0))*1440),0)</f>
        <v>0</v>
      </c>
      <c r="AG148" s="9">
        <f>IFERROR(IF(ISBLANK(INDEX(PM_Open,MATCH(1,INDEX((tbl_Case_mins[[#This Row],[Theatre]]=Theatre_No)*(tbl_Case_mins[[#This Row],[Surgery Start Date]]=Date),0,1),0))*1440),0,INDEX(PM_Open,MATCH(1,INDEX((tbl_Case_mins[[#This Row],[Theatre]]=Theatre_No)*(tbl_Case_mins[[#This Row],[Surgery Start Date]]=Date),0,1),0))*1440),0)</f>
        <v>0</v>
      </c>
      <c r="AH14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8" s="9" t="e">
        <f>IF(tbl_Case_mins[[#This Row],[ThOpenAm]]=0,tbl_Case_mins[[#This Row],[ThOpenPM]],tbl_Case_mins[[#This Row],[ThOpenAm]])</f>
        <v>#REF!</v>
      </c>
      <c r="AJ148" s="9" t="e">
        <f>IF(tbl_Case_mins[[#This Row],[ThCloseAm]]&gt;0,IF(tbl_Case_mins[[#This Row],[ThOpenPM]]&gt;0,tbl_Case_mins[[#This Row],[ThClosePm]],tbl_Case_mins[[#This Row],[ThCloseAm]]),tbl_Case_mins[[#This Row],[ThClosePm]])</f>
        <v>#REF!</v>
      </c>
      <c r="AK148" s="9" t="e">
        <f>IF(tbl_Case_mins[[#This Row],[TOT]]&gt;0,1,0)</f>
        <v>#REF!</v>
      </c>
      <c r="AL14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8" s="9" t="e">
        <f>IF(AND(tbl_Case_mins[[#This Row],[Surgery Status]]&lt;&gt;2,tbl_Case_mins[[#This Row],[InCoreCase]]=0,tbl_Case_mins[[#This Row],[CancelledCase]]=0),1,0)</f>
        <v>#REF!</v>
      </c>
      <c r="AN148" s="9" t="e">
        <f>IF(tbl_Case_mins[[#This Row],[Surgery Status]]=1,1,0)</f>
        <v>#REF!</v>
      </c>
      <c r="AO14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8" s="9" t="e">
        <f>IF(AND(tbl_Case_mins[[#This Row],[NonCoreCase]]=1,tbl_Case_mins[[#This Row],[NoInCoreTime]]=0),1,0)</f>
        <v>#REF!</v>
      </c>
      <c r="AQ148" s="9" t="e">
        <f>IF(tbl_Case_mins[[#This Row],[Rank_AnaEnd]]&lt;tbl_Case_mins[[#This Row],[Rank_AnaSt]],1,0)</f>
        <v>#REF!</v>
      </c>
      <c r="AR148" s="9" t="e">
        <f>IF(AND(tbl_Case_mins[[#This Row],[InCoreCase]]=1,tbl_Case_mins[[#This Row],[Sch]]=1),1,0)</f>
        <v>#REF!</v>
      </c>
      <c r="AS148" s="9" t="e">
        <f>IF(AND(tbl_Case_mins[[#This Row],[InCoreCase]]=1,tbl_Case_mins[[#This Row],[Unsch]]=1),1,0)</f>
        <v>#REF!</v>
      </c>
      <c r="AT14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8" s="9" t="e">
        <f>IF(tbl_Case_mins[[#This Row],[Surgery Status]]=0,(tbl_Case_mins[[#This Row],[Anaesth End]]-tbl_Case_mins[[#This Row],[AnaesthStart]]),0)</f>
        <v>#REF!</v>
      </c>
      <c r="AX148" s="9" t="e">
        <f>IF(tbl_Case_mins[[#This Row],[Surgery Status]]=0,(tbl_Case_mins[[#This Row],[Surgery Finish]]-tbl_Case_mins[[#This Row],[Surgery Start]]),0)</f>
        <v>#REF!</v>
      </c>
      <c r="AY148" s="9" t="e">
        <f>tbl_Case_mins[[#This Row],[Surgery Start]]-tbl_Case_mins[[#This Row],[AnaesthStart]]</f>
        <v>#REF!</v>
      </c>
      <c r="AZ148" s="9" t="e">
        <f>tbl_Case_mins[[#This Row],[Anaesth End]]-tbl_Case_mins[[#This Row],[Surgery Finish]]</f>
        <v>#REF!</v>
      </c>
      <c r="BA14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8" s="16" cm="1">
        <f t="array" ref="BC14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8" s="16" t="e">
        <f>IF(AND(tbl_Case_mins[[#This Row],[FirstAMCase]]=1,tbl_Case_mins[[#This Row],[CancelledCase]]=0,OR(tbl_Case_mins[[#This Row],[EarlyStartAM]]&gt;0,tbl_Case_mins[[#This Row],[AnaesthStart]]=tbl_Case_mins[[#This Row],[ThOpenAm]])),1,0)</f>
        <v>#REF!</v>
      </c>
      <c r="BE148" s="16" t="e">
        <f>IF(AND(tbl_Case_mins[[#This Row],[Rank_AnaSt]]=tbl_Case_mins[[#This Row],[Min_RankAnaSt]],tbl_Case_mins[[#This Row],[Anaesth End]]&gt;=tbl_Case_mins[[#This Row],[ThOpenAm]],tbl_Case_mins[[#This Row],[PmCase]]=0),1,0)</f>
        <v>#REF!</v>
      </c>
      <c r="BF14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8" s="9" t="e" cm="1">
        <f t="array" ref="BH14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8" s="9" t="e">
        <f>IF(AND(tbl_Case_mins[[#This Row],[ThOpenPM]]&gt;0,tbl_Case_mins[[#This Row],[AnaesthStart]]&gt;tbl_Case_mins[[#This Row],[ThOpenPM]],tbl_Case_mins[[#This Row],[First PM Case]]=1),tbl_Case_mins[[#This Row],[AnaesthStart]]-tbl_Case_mins[[#This Row],[ThOpenPM]],0)</f>
        <v>#REF!</v>
      </c>
      <c r="BL14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8" s="9" t="e" cm="1">
        <f t="array" ref="BN14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8" s="9" t="e">
        <f>IF(AND(tbl_Case_mins[[#This Row],[ThClosePm]]&gt;0,tbl_Case_mins[[#This Row],[Anaesth End]]&gt;tbl_Case_mins[[#This Row],[ThClosePm]],tbl_Case_mins[[#This Row],[AnaesthStart]]&gt;tbl_Case_mins[[#This Row],[ThClosePm]]),tbl_Case_mins[[#This Row],[Into Recov]]-tbl_Case_mins[[#This Row],[AnaesthStart]],0)</f>
        <v>#REF!</v>
      </c>
      <c r="BP148" s="9" t="e">
        <f>IF(AND(tbl_Case_mins[[#This Row],[AnaesthStart]]&lt;tbl_Case_mins[[#This Row],[ThClosePm]],tbl_Case_mins[[#This Row],[Anaesth End]]&gt;tbl_Case_mins[[#This Row],[ThClosePm]]),tbl_Case_mins[[#This Row],[Anaesth End]]-tbl_Case_mins[[#This Row],[ThClosePm]],0)</f>
        <v>#REF!</v>
      </c>
      <c r="BQ148" s="9" t="e" cm="1">
        <f t="array" ref="BQ14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8" s="9" t="e" cm="1">
        <f t="array" ref="BR148">IF(tbl_Case_mins[[#This Row],[Rank_Adjust]]=SUMPRODUCT(-(tbl_Case_mins[Surgery Start Date]=tbl_Case_mins[[#This Row],[Surgery Start Date]]),-(tbl_Case_mins[Theatre]=tbl_Case_mins[[#This Row],[Theatre]])),INDEX(Poss_Time,MATCH(TEXT(tbl_Case_mins[[#This Row],[Surgery Start Date]],"ddd"),Day,0)),0)</f>
        <v>#REF!</v>
      </c>
      <c r="BS148" s="9" t="e">
        <f>tbl_Case_mins[[#This Row],[Core_Time]]*Util_Goal</f>
        <v>#REF!</v>
      </c>
      <c r="BT148" s="9" t="e" cm="1">
        <f t="array" ref="BT1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8" s="9" t="e" cm="1">
        <f t="array" ref="BU1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8" s="9" t="e">
        <f>IF(tbl_Case_mins[[#This Row],[Surgery End Date]]&gt;tbl_Case_mins[[#This Row],[Surgery Start Date]],tbl_Case_mins[[#This Row],[Anaesth End]]-1440,0)</f>
        <v>#REF!</v>
      </c>
      <c r="BY148" s="9" t="e">
        <f>tbl_Case_mins[[#This Row],[Total_NonCore]]-tbl_Case_mins[[#This Row],[NextDay_NonCore]]</f>
        <v>#REF!</v>
      </c>
      <c r="BZ148" s="10" t="e">
        <f>tbl_Case_mins[[#This Row],[InCoreUse]]/60</f>
        <v>#REF!</v>
      </c>
      <c r="CA148" s="10" t="e">
        <f>tbl_Case_mins[[#This Row],[Total_NonCore]]/60</f>
        <v>#REF!</v>
      </c>
      <c r="CB148" t="e" cm="1">
        <f t="array" ref="CB1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8" s="9" t="e" cm="1">
        <f t="array" ref="CC14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8" s="9" t="e" cm="1">
        <f t="array" ref="CD1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8" s="9" t="e" cm="1">
        <f t="array" ref="CE14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8" s="9" cm="1">
        <f t="array" ref="CF148">IFERROR(_xlfn.AGGREGATE(14,6,(tbl_Case_mins[Rank_AnaEnd])/((tbl_Case_mins[Surgery Start Date]=tbl_Case_mins[[#This Row],[Surgery Start Date]])*(tbl_Case_mins[Theatre]=tbl_Case_mins[[#This Row],[Theatre]])*(tbl_Case_mins[NoInCoreTime]=0)),1),-1)</f>
        <v>-1</v>
      </c>
      <c r="CG148" s="9" cm="1">
        <f t="array" ref="CG148">IFERROR(_xlfn.AGGREGATE(15,6,(tbl_Case_mins[Rank_AnaSt])/((tbl_Case_mins[Surgery Start Date]=tbl_Case_mins[[#This Row],[Surgery Start Date]])*(tbl_Case_mins[Theatre]=tbl_Case_mins[[#This Row],[Theatre]])*(tbl_Case_mins[NoInCoreTime]=0)),1),-1)</f>
        <v>-1</v>
      </c>
      <c r="CH14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8" t="e" cm="1">
        <f t="array" ref="CJ14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8" s="9" cm="1">
        <f t="array" ref="CO1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8" s="9" cm="1">
        <f t="array" ref="CP1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8" s="9" cm="1">
        <f t="array" ref="CQ148">IFERROR(IF(AND(tbl_Case_mins[[#This Row],[FirstAMCase]]=0,tbl_Case_mins[[#This Row],[Rank]]=_xlfn.AGGREGATE(14,6,(tbl_Case_mins[Rank])/((tbl_Case_mins[Surgery Start Date]=tbl_Case_mins[[#This Row],[Surgery Start Date]])*(tbl_Case_mins[Theatre]=tbl_Case_mins[[#This Row],[Theatre]])*(tbl_Case_mins[AmCase]=1)),1)),1,0),0)</f>
        <v>0</v>
      </c>
      <c r="CR148" s="9" cm="1">
        <f t="array" ref="CR14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8" s="9" t="e" cm="1">
        <f t="array" ref="CS14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8" s="9" cm="1">
        <f t="array" ref="CT148">IFERROR(IF(tbl_Case_mins[[#This Row],[Rank]]=_xlfn.AGGREGATE(15,6,(tbl_Case_mins[Rank])/((tbl_Case_mins[Surgery Start Date]=tbl_Case_mins[[#This Row],[Surgery Start Date]])*(tbl_Case_mins[Theatre]=tbl_Case_mins[[#This Row],[Theatre]])*(tbl_Case_mins[PmCase]=1)),1),1,0),0)</f>
        <v>0</v>
      </c>
      <c r="CU148">
        <f>IFERROR(#REF!,0)</f>
        <v>0</v>
      </c>
      <c r="CV148" s="9" t="e" cm="1">
        <f t="array" ref="CV14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8" s="9">
        <f>IFERROR(IF(ISBLANK(INDEX(Bay_AmClose,MATCH(1,INDEX((tbl_Case_mins[[#This Row],[Bay]]=BayNo)*(tbl_Case_mins[[#This Row],[Surgery Start Date]]=BDate),0,1),0))*1440),0,INDEX(Bay_AmClose,MATCH(1,INDEX((tbl_Case_mins[[#This Row],[Bay]]=BayNo)*(tbl_Case_mins[[#This Row],[Surgery Start Date]]=BDate),0,1),0))*1440),0)</f>
        <v>0</v>
      </c>
      <c r="CX148" s="9" cm="1">
        <f t="array" ref="CX148">IFERROR(IF(ISBLANK(INDEX(Bay_PmOpen,MATCH(1,INDEX((tbl_Case_mins[[#This Row],[Bay]]=BayNo)*(tbl_Case_mins[[#This Row],[Surgery Start Date]]=BDate),0,1),0))*1440),0,INDEX(Bay_PmOpen,MATCH(1,INDEX((tbl_Case_mins[[#This Row],[Bay]]=BayNo)*(tbl_Case_mins[[#This Row],[Surgery Start Date]]=BDate),0,1),0))*1440),0)</f>
        <v>0</v>
      </c>
      <c r="CY14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8" s="9"/>
    </row>
    <row r="149" spans="1:104" x14ac:dyDescent="0.2">
      <c r="A149">
        <v>148</v>
      </c>
      <c r="B149" t="e">
        <f>#REF!</f>
        <v>#REF!</v>
      </c>
      <c r="C149" t="e">
        <f>#REF!</f>
        <v>#REF!</v>
      </c>
      <c r="D149" t="e">
        <f>#REF!</f>
        <v>#REF!</v>
      </c>
      <c r="E149" t="e">
        <f>#REF!</f>
        <v>#REF!</v>
      </c>
      <c r="F149" t="e">
        <f>#REF!</f>
        <v>#REF!</v>
      </c>
      <c r="G149" t="e">
        <f>#REF!</f>
        <v>#REF!</v>
      </c>
      <c r="H149" t="e">
        <f>#REF!</f>
        <v>#REF!</v>
      </c>
      <c r="I149" t="e">
        <f>IF(#REF!="Case Cancelled",1,IF(#REF!="No Cases",2,0))</f>
        <v>#REF!</v>
      </c>
      <c r="J149" t="e">
        <f>#REF!</f>
        <v>#REF!</v>
      </c>
      <c r="K149" s="4" t="e">
        <f>#REF!</f>
        <v>#REF!</v>
      </c>
      <c r="L149" t="e">
        <f>"Wk "&amp;WEEKNUM(tbl_Case_mins[[#This Row],[Surgery Start Date]],21)</f>
        <v>#REF!</v>
      </c>
      <c r="M149" t="e">
        <f>TEXT(tbl_Case_mins[[#This Row],[Surgery Start Date]],"ddd")</f>
        <v>#REF!</v>
      </c>
      <c r="N149" s="9" t="e">
        <f>(#REF!-TIME(0,0,0))*1440</f>
        <v>#REF!</v>
      </c>
      <c r="O149" t="e">
        <f>IF(AND(ROUND((#REF!-TIME(0,0,0))*1440,0)&gt;0,ROUND((#REF!-TIME(0,0,0))*1440,0)&lt;tbl_Case_mins[[#This Row],[Patient Called]],tbl_Case_mins[[#This Row],[Surgery End Date]]&gt;tbl_Case_mins[[#This Row],[Surgery Start Date]]),ROUND((#REF!-TIME(0,0,0))*1440,0)+1440,ROUND((#REF!-TIME(0,0,0))*1440,0))</f>
        <v>#REF!</v>
      </c>
      <c r="P149" s="9" t="e">
        <f>IF(AND(ROUND((#REF!-TIME(0,0,0))*1440,0)&gt;0,ROUND((#REF!-TIME(0,0,0))*1440,0)&lt;tbl_Case_mins[[#This Row],[Arrival]],tbl_Case_mins[[#This Row],[Surgery End Date]]&gt;tbl_Case_mins[[#This Row],[Surgery Start Date]]),ROUND((#REF!-TIME(0,0,0))*1440,0)+1440,ROUND((#REF!-TIME(0,0,0))*1440,0))</f>
        <v>#REF!</v>
      </c>
      <c r="Q149" s="9" t="e">
        <f>IF(AND(ROUND((#REF!-TIME(0,0,0))*1440,0)&gt;0,ROUND((#REF!-TIME(0,0,0))*1440,0)&lt;tbl_Case_mins[[#This Row],[Into Th or AR]],tbl_Case_mins[[#This Row],[Surgery End Date]]&gt;tbl_Case_mins[[#This Row],[Surgery Start Date]]),ROUND((#REF!-TIME(0,0,0))*1440,0)+1440,ROUND((#REF!-TIME(0,0,0))*1440,0))</f>
        <v>#REF!</v>
      </c>
      <c r="R149" s="9" t="e">
        <f>IF(AND(ROUND((#REF!-TIME(0,0,0))*1440,0)&gt;0,ROUND((#REF!-TIME(0,0,0))*1440,0)&lt;tbl_Case_mins[[#This Row],[AnaesthStart]],tbl_Case_mins[[#This Row],[Surgery End Date]]&gt;tbl_Case_mins[[#This Row],[Surgery Start Date]]),ROUND((#REF!-TIME(0,0,0))*1440,0)+1440,ROUND((#REF!-TIME(0,0,0))*1440,0))</f>
        <v>#REF!</v>
      </c>
      <c r="S149" s="9" t="e">
        <f>IF(AND(ROUND((#REF!-TIME(0,0,0))*1440,0),ROUND((#REF!-TIME(0,0,0))*1440,0)&lt;tbl_Case_mins[[#This Row],[Surgery Start]],tbl_Case_mins[[#This Row],[Surgery End Date]]&gt;tbl_Case_mins[[#This Row],[Surgery Start Date]]),ROUND((#REF!-TIME(0,0,0))*1440,0)+1440,ROUND((#REF!-TIME(0,0,0))*1440,0))</f>
        <v>#REF!</v>
      </c>
      <c r="T149" s="9" t="e">
        <f>IF(AND(ROUND((#REF!-TIME(0,0,0))*1440,0)&gt;0,ROUND((#REF!-TIME(0,0,0))*1440,0)&lt;tbl_Case_mins[[#This Row],[Surgery Finish]],tbl_Case_mins[[#This Row],[Surgery End Date]]&gt;tbl_Case_mins[[#This Row],[Surgery Start Date]]),ROUND((#REF!-TIME(0,0,0))*1440,0)+1440,ROUND((#REF!-TIME(0,0,0))*1440,0))</f>
        <v>#REF!</v>
      </c>
      <c r="U149" s="9" t="e">
        <f>IF(AND(ROUND((#REF!-TIME(0,0,0))*1440,0)&gt;0,ROUND((#REF!-TIME(0,0,0))*1440,0)&lt;tbl_Case_mins[[#This Row],[Anaesth End]],tbl_Case_mins[[#This Row],[Surgery End Date]]&gt;tbl_Case_mins[[#This Row],[Surgery Start Date]]),ROUND((#REF!-TIME(0,0,0))*1440,0)+1440,ROUND((#REF!-TIME(0,0,0))*1440,0))</f>
        <v>#REF!</v>
      </c>
      <c r="V149" s="9" t="e">
        <f>IF(AND(ROUND((#REF!-TIME(0,0,0))*1440,0)&gt;0,ROUND((#REF!-TIME(0,0,0))*1440,0)&lt;tbl_Case_mins[[#This Row],[Into Recov]],tbl_Case_mins[[#This Row],[Surgery End Date]]&gt;tbl_Case_mins[[#This Row],[Surgery Start Date]]),ROUND((#REF!-TIME(0,0,0))*1440,0)+1440,ROUND((#REF!-TIME(0,0,0))*1440,0))</f>
        <v>#REF!</v>
      </c>
      <c r="W149" s="9" t="e">
        <f>IF(AND(ROUND((#REF!-TIME(0,0,0))*1440,0)&gt;0,ROUND((#REF!-TIME(0,0,0))*1440,0)&lt;tbl_Case_mins[[#This Row],[Ward Called]],tbl_Case_mins[[#This Row],[Surgery End Date]]&gt;tbl_Case_mins[[#This Row],[Surgery Start Date]]),ROUND((#REF!-TIME(0,0,0))*1440,0)+1440,ROUND((#REF!-TIME(0,0,0))*1440,0))</f>
        <v>#REF!</v>
      </c>
      <c r="X149" s="4" t="e">
        <f>IF(ISBLANK(#REF!),tbl_Case_mins[[#This Row],[Surgery Start Date]],#REF!)</f>
        <v>#REF!</v>
      </c>
      <c r="Y149">
        <f>IFERROR(IF(VLOOKUP(tbl_Case_mins[[#This Row],[Theatre]],'Mng Theatres'!$C$7:$G$12,3,FALSE)="Yes","Yes","No"),0)</f>
        <v>0</v>
      </c>
      <c r="Z149" s="9" t="e" cm="1">
        <f t="array" ref="Z14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49" s="9" t="e" cm="1">
        <f t="array" ref="AA14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4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49" s="9" t="e">
        <f>IF(tbl_Case_mins[[#This Row],[Case Type]]="Unsch",1,0)</f>
        <v>#REF!</v>
      </c>
      <c r="AD149" s="9" t="e">
        <f>IF(tbl_Case_mins[[#This Row],[Case Type]]="Sch",1,0)</f>
        <v>#REF!</v>
      </c>
      <c r="AE14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49" s="9">
        <f>IFERROR(IF(ISBLANK(INDEX(Am_Close,MATCH(1,INDEX((tbl_Case_mins[[#This Row],[Theatre]]=Theatre_No)*(tbl_Case_mins[[#This Row],[Surgery Start Date]]=Date),0,1),0))*1440),0,INDEX(Am_Close,MATCH(1,INDEX((tbl_Case_mins[[#This Row],[Theatre]]=Theatre_No)*(tbl_Case_mins[[#This Row],[Surgery Start Date]]=Date),0,1),0))*1440),0)</f>
        <v>0</v>
      </c>
      <c r="AG149" s="9">
        <f>IFERROR(IF(ISBLANK(INDEX(PM_Open,MATCH(1,INDEX((tbl_Case_mins[[#This Row],[Theatre]]=Theatre_No)*(tbl_Case_mins[[#This Row],[Surgery Start Date]]=Date),0,1),0))*1440),0,INDEX(PM_Open,MATCH(1,INDEX((tbl_Case_mins[[#This Row],[Theatre]]=Theatre_No)*(tbl_Case_mins[[#This Row],[Surgery Start Date]]=Date),0,1),0))*1440),0)</f>
        <v>0</v>
      </c>
      <c r="AH14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49" s="9" t="e">
        <f>IF(tbl_Case_mins[[#This Row],[ThOpenAm]]=0,tbl_Case_mins[[#This Row],[ThOpenPM]],tbl_Case_mins[[#This Row],[ThOpenAm]])</f>
        <v>#REF!</v>
      </c>
      <c r="AJ149" s="9" t="e">
        <f>IF(tbl_Case_mins[[#This Row],[ThCloseAm]]&gt;0,IF(tbl_Case_mins[[#This Row],[ThOpenPM]]&gt;0,tbl_Case_mins[[#This Row],[ThClosePm]],tbl_Case_mins[[#This Row],[ThCloseAm]]),tbl_Case_mins[[#This Row],[ThClosePm]])</f>
        <v>#REF!</v>
      </c>
      <c r="AK149" s="9" t="e">
        <f>IF(tbl_Case_mins[[#This Row],[TOT]]&gt;0,1,0)</f>
        <v>#REF!</v>
      </c>
      <c r="AL14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49" s="9" t="e">
        <f>IF(AND(tbl_Case_mins[[#This Row],[Surgery Status]]&lt;&gt;2,tbl_Case_mins[[#This Row],[InCoreCase]]=0,tbl_Case_mins[[#This Row],[CancelledCase]]=0),1,0)</f>
        <v>#REF!</v>
      </c>
      <c r="AN149" s="9" t="e">
        <f>IF(tbl_Case_mins[[#This Row],[Surgery Status]]=1,1,0)</f>
        <v>#REF!</v>
      </c>
      <c r="AO14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49" s="9" t="e">
        <f>IF(AND(tbl_Case_mins[[#This Row],[NonCoreCase]]=1,tbl_Case_mins[[#This Row],[NoInCoreTime]]=0),1,0)</f>
        <v>#REF!</v>
      </c>
      <c r="AQ149" s="9" t="e">
        <f>IF(tbl_Case_mins[[#This Row],[Rank_AnaEnd]]&lt;tbl_Case_mins[[#This Row],[Rank_AnaSt]],1,0)</f>
        <v>#REF!</v>
      </c>
      <c r="AR149" s="9" t="e">
        <f>IF(AND(tbl_Case_mins[[#This Row],[InCoreCase]]=1,tbl_Case_mins[[#This Row],[Sch]]=1),1,0)</f>
        <v>#REF!</v>
      </c>
      <c r="AS149" s="9" t="e">
        <f>IF(AND(tbl_Case_mins[[#This Row],[InCoreCase]]=1,tbl_Case_mins[[#This Row],[Unsch]]=1),1,0)</f>
        <v>#REF!</v>
      </c>
      <c r="AT14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4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4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49" s="9" t="e">
        <f>IF(tbl_Case_mins[[#This Row],[Surgery Status]]=0,(tbl_Case_mins[[#This Row],[Anaesth End]]-tbl_Case_mins[[#This Row],[AnaesthStart]]),0)</f>
        <v>#REF!</v>
      </c>
      <c r="AX149" s="9" t="e">
        <f>IF(tbl_Case_mins[[#This Row],[Surgery Status]]=0,(tbl_Case_mins[[#This Row],[Surgery Finish]]-tbl_Case_mins[[#This Row],[Surgery Start]]),0)</f>
        <v>#REF!</v>
      </c>
      <c r="AY149" s="9" t="e">
        <f>tbl_Case_mins[[#This Row],[Surgery Start]]-tbl_Case_mins[[#This Row],[AnaesthStart]]</f>
        <v>#REF!</v>
      </c>
      <c r="AZ149" s="9" t="e">
        <f>tbl_Case_mins[[#This Row],[Anaesth End]]-tbl_Case_mins[[#This Row],[Surgery Finish]]</f>
        <v>#REF!</v>
      </c>
      <c r="BA14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4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49" s="16" cm="1">
        <f t="array" ref="BC14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49" s="16" t="e">
        <f>IF(AND(tbl_Case_mins[[#This Row],[FirstAMCase]]=1,tbl_Case_mins[[#This Row],[CancelledCase]]=0,OR(tbl_Case_mins[[#This Row],[EarlyStartAM]]&gt;0,tbl_Case_mins[[#This Row],[AnaesthStart]]=tbl_Case_mins[[#This Row],[ThOpenAm]])),1,0)</f>
        <v>#REF!</v>
      </c>
      <c r="BE149" s="16" t="e">
        <f>IF(AND(tbl_Case_mins[[#This Row],[Rank_AnaSt]]=tbl_Case_mins[[#This Row],[Min_RankAnaSt]],tbl_Case_mins[[#This Row],[Anaesth End]]&gt;=tbl_Case_mins[[#This Row],[ThOpenAm]],tbl_Case_mins[[#This Row],[PmCase]]=0),1,0)</f>
        <v>#REF!</v>
      </c>
      <c r="BF14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4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49" s="9" t="e" cm="1">
        <f t="array" ref="BH14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4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4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49" s="9" t="e">
        <f>IF(AND(tbl_Case_mins[[#This Row],[ThOpenPM]]&gt;0,tbl_Case_mins[[#This Row],[AnaesthStart]]&gt;tbl_Case_mins[[#This Row],[ThOpenPM]],tbl_Case_mins[[#This Row],[First PM Case]]=1),tbl_Case_mins[[#This Row],[AnaesthStart]]-tbl_Case_mins[[#This Row],[ThOpenPM]],0)</f>
        <v>#REF!</v>
      </c>
      <c r="BL14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4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49" s="9" t="e" cm="1">
        <f t="array" ref="BN14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49" s="9" t="e">
        <f>IF(AND(tbl_Case_mins[[#This Row],[ThClosePm]]&gt;0,tbl_Case_mins[[#This Row],[Anaesth End]]&gt;tbl_Case_mins[[#This Row],[ThClosePm]],tbl_Case_mins[[#This Row],[AnaesthStart]]&gt;tbl_Case_mins[[#This Row],[ThClosePm]]),tbl_Case_mins[[#This Row],[Into Recov]]-tbl_Case_mins[[#This Row],[AnaesthStart]],0)</f>
        <v>#REF!</v>
      </c>
      <c r="BP149" s="9" t="e">
        <f>IF(AND(tbl_Case_mins[[#This Row],[AnaesthStart]]&lt;tbl_Case_mins[[#This Row],[ThClosePm]],tbl_Case_mins[[#This Row],[Anaesth End]]&gt;tbl_Case_mins[[#This Row],[ThClosePm]]),tbl_Case_mins[[#This Row],[Anaesth End]]-tbl_Case_mins[[#This Row],[ThClosePm]],0)</f>
        <v>#REF!</v>
      </c>
      <c r="BQ149" s="9" t="e" cm="1">
        <f t="array" ref="BQ14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49" s="9" t="e" cm="1">
        <f t="array" ref="BR149">IF(tbl_Case_mins[[#This Row],[Rank_Adjust]]=SUMPRODUCT(-(tbl_Case_mins[Surgery Start Date]=tbl_Case_mins[[#This Row],[Surgery Start Date]]),-(tbl_Case_mins[Theatre]=tbl_Case_mins[[#This Row],[Theatre]])),INDEX(Poss_Time,MATCH(TEXT(tbl_Case_mins[[#This Row],[Surgery Start Date]],"ddd"),Day,0)),0)</f>
        <v>#REF!</v>
      </c>
      <c r="BS149" s="9" t="e">
        <f>tbl_Case_mins[[#This Row],[Core_Time]]*Util_Goal</f>
        <v>#REF!</v>
      </c>
      <c r="BT149" s="9" t="e" cm="1">
        <f t="array" ref="BT1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49" s="9" t="e" cm="1">
        <f t="array" ref="BU1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4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4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49" s="9" t="e">
        <f>IF(tbl_Case_mins[[#This Row],[Surgery End Date]]&gt;tbl_Case_mins[[#This Row],[Surgery Start Date]],tbl_Case_mins[[#This Row],[Anaesth End]]-1440,0)</f>
        <v>#REF!</v>
      </c>
      <c r="BY149" s="9" t="e">
        <f>tbl_Case_mins[[#This Row],[Total_NonCore]]-tbl_Case_mins[[#This Row],[NextDay_NonCore]]</f>
        <v>#REF!</v>
      </c>
      <c r="BZ149" s="10" t="e">
        <f>tbl_Case_mins[[#This Row],[InCoreUse]]/60</f>
        <v>#REF!</v>
      </c>
      <c r="CA149" s="10" t="e">
        <f>tbl_Case_mins[[#This Row],[Total_NonCore]]/60</f>
        <v>#REF!</v>
      </c>
      <c r="CB149" t="e" cm="1">
        <f t="array" ref="CB1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49" s="9" t="e" cm="1">
        <f t="array" ref="CC14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49" s="9" t="e" cm="1">
        <f t="array" ref="CD1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49" s="9" t="e" cm="1">
        <f t="array" ref="CE14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49" s="9" cm="1">
        <f t="array" ref="CF149">IFERROR(_xlfn.AGGREGATE(14,6,(tbl_Case_mins[Rank_AnaEnd])/((tbl_Case_mins[Surgery Start Date]=tbl_Case_mins[[#This Row],[Surgery Start Date]])*(tbl_Case_mins[Theatre]=tbl_Case_mins[[#This Row],[Theatre]])*(tbl_Case_mins[NoInCoreTime]=0)),1),-1)</f>
        <v>-1</v>
      </c>
      <c r="CG149" s="9" cm="1">
        <f t="array" ref="CG149">IFERROR(_xlfn.AGGREGATE(15,6,(tbl_Case_mins[Rank_AnaSt])/((tbl_Case_mins[Surgery Start Date]=tbl_Case_mins[[#This Row],[Surgery Start Date]])*(tbl_Case_mins[Theatre]=tbl_Case_mins[[#This Row],[Theatre]])*(tbl_Case_mins[NoInCoreTime]=0)),1),-1)</f>
        <v>-1</v>
      </c>
      <c r="CH14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4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49" t="e" cm="1">
        <f t="array" ref="CJ14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4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4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49" s="9" cm="1">
        <f t="array" ref="CO1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49" s="9" cm="1">
        <f t="array" ref="CP1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49" s="9" cm="1">
        <f t="array" ref="CQ149">IFERROR(IF(AND(tbl_Case_mins[[#This Row],[FirstAMCase]]=0,tbl_Case_mins[[#This Row],[Rank]]=_xlfn.AGGREGATE(14,6,(tbl_Case_mins[Rank])/((tbl_Case_mins[Surgery Start Date]=tbl_Case_mins[[#This Row],[Surgery Start Date]])*(tbl_Case_mins[Theatre]=tbl_Case_mins[[#This Row],[Theatre]])*(tbl_Case_mins[AmCase]=1)),1)),1,0),0)</f>
        <v>0</v>
      </c>
      <c r="CR149" s="9" cm="1">
        <f t="array" ref="CR14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49" s="9" t="e" cm="1">
        <f t="array" ref="CS14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49" s="9" cm="1">
        <f t="array" ref="CT149">IFERROR(IF(tbl_Case_mins[[#This Row],[Rank]]=_xlfn.AGGREGATE(15,6,(tbl_Case_mins[Rank])/((tbl_Case_mins[Surgery Start Date]=tbl_Case_mins[[#This Row],[Surgery Start Date]])*(tbl_Case_mins[Theatre]=tbl_Case_mins[[#This Row],[Theatre]])*(tbl_Case_mins[PmCase]=1)),1),1,0),0)</f>
        <v>0</v>
      </c>
      <c r="CU149">
        <f>IFERROR(#REF!,0)</f>
        <v>0</v>
      </c>
      <c r="CV149" s="9" t="e" cm="1">
        <f t="array" ref="CV14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49" s="9">
        <f>IFERROR(IF(ISBLANK(INDEX(Bay_AmClose,MATCH(1,INDEX((tbl_Case_mins[[#This Row],[Bay]]=BayNo)*(tbl_Case_mins[[#This Row],[Surgery Start Date]]=BDate),0,1),0))*1440),0,INDEX(Bay_AmClose,MATCH(1,INDEX((tbl_Case_mins[[#This Row],[Bay]]=BayNo)*(tbl_Case_mins[[#This Row],[Surgery Start Date]]=BDate),0,1),0))*1440),0)</f>
        <v>0</v>
      </c>
      <c r="CX149" s="9" cm="1">
        <f t="array" ref="CX149">IFERROR(IF(ISBLANK(INDEX(Bay_PmOpen,MATCH(1,INDEX((tbl_Case_mins[[#This Row],[Bay]]=BayNo)*(tbl_Case_mins[[#This Row],[Surgery Start Date]]=BDate),0,1),0))*1440),0,INDEX(Bay_PmOpen,MATCH(1,INDEX((tbl_Case_mins[[#This Row],[Bay]]=BayNo)*(tbl_Case_mins[[#This Row],[Surgery Start Date]]=BDate),0,1),0))*1440),0)</f>
        <v>0</v>
      </c>
      <c r="CY14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49" s="9"/>
    </row>
    <row r="150" spans="1:104" x14ac:dyDescent="0.2">
      <c r="A150">
        <v>149</v>
      </c>
      <c r="B150" t="e">
        <f>#REF!</f>
        <v>#REF!</v>
      </c>
      <c r="C150" t="e">
        <f>#REF!</f>
        <v>#REF!</v>
      </c>
      <c r="D150" t="e">
        <f>#REF!</f>
        <v>#REF!</v>
      </c>
      <c r="E150" t="e">
        <f>#REF!</f>
        <v>#REF!</v>
      </c>
      <c r="F150" t="e">
        <f>#REF!</f>
        <v>#REF!</v>
      </c>
      <c r="G150" t="e">
        <f>#REF!</f>
        <v>#REF!</v>
      </c>
      <c r="H150" t="e">
        <f>#REF!</f>
        <v>#REF!</v>
      </c>
      <c r="I150" t="e">
        <f>IF(#REF!="Case Cancelled",1,IF(#REF!="No Cases",2,0))</f>
        <v>#REF!</v>
      </c>
      <c r="J150" t="e">
        <f>#REF!</f>
        <v>#REF!</v>
      </c>
      <c r="K150" s="4" t="e">
        <f>#REF!</f>
        <v>#REF!</v>
      </c>
      <c r="L150" t="e">
        <f>"Wk "&amp;WEEKNUM(tbl_Case_mins[[#This Row],[Surgery Start Date]],21)</f>
        <v>#REF!</v>
      </c>
      <c r="M150" t="e">
        <f>TEXT(tbl_Case_mins[[#This Row],[Surgery Start Date]],"ddd")</f>
        <v>#REF!</v>
      </c>
      <c r="N150" s="9" t="e">
        <f>(#REF!-TIME(0,0,0))*1440</f>
        <v>#REF!</v>
      </c>
      <c r="O150" t="e">
        <f>IF(AND(ROUND((#REF!-TIME(0,0,0))*1440,0)&gt;0,ROUND((#REF!-TIME(0,0,0))*1440,0)&lt;tbl_Case_mins[[#This Row],[Patient Called]],tbl_Case_mins[[#This Row],[Surgery End Date]]&gt;tbl_Case_mins[[#This Row],[Surgery Start Date]]),ROUND((#REF!-TIME(0,0,0))*1440,0)+1440,ROUND((#REF!-TIME(0,0,0))*1440,0))</f>
        <v>#REF!</v>
      </c>
      <c r="P150" s="9" t="e">
        <f>IF(AND(ROUND((#REF!-TIME(0,0,0))*1440,0)&gt;0,ROUND((#REF!-TIME(0,0,0))*1440,0)&lt;tbl_Case_mins[[#This Row],[Arrival]],tbl_Case_mins[[#This Row],[Surgery End Date]]&gt;tbl_Case_mins[[#This Row],[Surgery Start Date]]),ROUND((#REF!-TIME(0,0,0))*1440,0)+1440,ROUND((#REF!-TIME(0,0,0))*1440,0))</f>
        <v>#REF!</v>
      </c>
      <c r="Q150" s="9" t="e">
        <f>IF(AND(ROUND((#REF!-TIME(0,0,0))*1440,0)&gt;0,ROUND((#REF!-TIME(0,0,0))*1440,0)&lt;tbl_Case_mins[[#This Row],[Into Th or AR]],tbl_Case_mins[[#This Row],[Surgery End Date]]&gt;tbl_Case_mins[[#This Row],[Surgery Start Date]]),ROUND((#REF!-TIME(0,0,0))*1440,0)+1440,ROUND((#REF!-TIME(0,0,0))*1440,0))</f>
        <v>#REF!</v>
      </c>
      <c r="R150" s="9" t="e">
        <f>IF(AND(ROUND((#REF!-TIME(0,0,0))*1440,0)&gt;0,ROUND((#REF!-TIME(0,0,0))*1440,0)&lt;tbl_Case_mins[[#This Row],[AnaesthStart]],tbl_Case_mins[[#This Row],[Surgery End Date]]&gt;tbl_Case_mins[[#This Row],[Surgery Start Date]]),ROUND((#REF!-TIME(0,0,0))*1440,0)+1440,ROUND((#REF!-TIME(0,0,0))*1440,0))</f>
        <v>#REF!</v>
      </c>
      <c r="S150" s="9" t="e">
        <f>IF(AND(ROUND((#REF!-TIME(0,0,0))*1440,0),ROUND((#REF!-TIME(0,0,0))*1440,0)&lt;tbl_Case_mins[[#This Row],[Surgery Start]],tbl_Case_mins[[#This Row],[Surgery End Date]]&gt;tbl_Case_mins[[#This Row],[Surgery Start Date]]),ROUND((#REF!-TIME(0,0,0))*1440,0)+1440,ROUND((#REF!-TIME(0,0,0))*1440,0))</f>
        <v>#REF!</v>
      </c>
      <c r="T150" s="9" t="e">
        <f>IF(AND(ROUND((#REF!-TIME(0,0,0))*1440,0)&gt;0,ROUND((#REF!-TIME(0,0,0))*1440,0)&lt;tbl_Case_mins[[#This Row],[Surgery Finish]],tbl_Case_mins[[#This Row],[Surgery End Date]]&gt;tbl_Case_mins[[#This Row],[Surgery Start Date]]),ROUND((#REF!-TIME(0,0,0))*1440,0)+1440,ROUND((#REF!-TIME(0,0,0))*1440,0))</f>
        <v>#REF!</v>
      </c>
      <c r="U150" s="9" t="e">
        <f>IF(AND(ROUND((#REF!-TIME(0,0,0))*1440,0)&gt;0,ROUND((#REF!-TIME(0,0,0))*1440,0)&lt;tbl_Case_mins[[#This Row],[Anaesth End]],tbl_Case_mins[[#This Row],[Surgery End Date]]&gt;tbl_Case_mins[[#This Row],[Surgery Start Date]]),ROUND((#REF!-TIME(0,0,0))*1440,0)+1440,ROUND((#REF!-TIME(0,0,0))*1440,0))</f>
        <v>#REF!</v>
      </c>
      <c r="V150" s="9" t="e">
        <f>IF(AND(ROUND((#REF!-TIME(0,0,0))*1440,0)&gt;0,ROUND((#REF!-TIME(0,0,0))*1440,0)&lt;tbl_Case_mins[[#This Row],[Into Recov]],tbl_Case_mins[[#This Row],[Surgery End Date]]&gt;tbl_Case_mins[[#This Row],[Surgery Start Date]]),ROUND((#REF!-TIME(0,0,0))*1440,0)+1440,ROUND((#REF!-TIME(0,0,0))*1440,0))</f>
        <v>#REF!</v>
      </c>
      <c r="W150" s="9" t="e">
        <f>IF(AND(ROUND((#REF!-TIME(0,0,0))*1440,0)&gt;0,ROUND((#REF!-TIME(0,0,0))*1440,0)&lt;tbl_Case_mins[[#This Row],[Ward Called]],tbl_Case_mins[[#This Row],[Surgery End Date]]&gt;tbl_Case_mins[[#This Row],[Surgery Start Date]]),ROUND((#REF!-TIME(0,0,0))*1440,0)+1440,ROUND((#REF!-TIME(0,0,0))*1440,0))</f>
        <v>#REF!</v>
      </c>
      <c r="X150" s="4" t="e">
        <f>IF(ISBLANK(#REF!),tbl_Case_mins[[#This Row],[Surgery Start Date]],#REF!)</f>
        <v>#REF!</v>
      </c>
      <c r="Y150">
        <f>IFERROR(IF(VLOOKUP(tbl_Case_mins[[#This Row],[Theatre]],'Mng Theatres'!$C$7:$G$12,3,FALSE)="Yes","Yes","No"),0)</f>
        <v>0</v>
      </c>
      <c r="Z150" s="9" t="e" cm="1">
        <f t="array" ref="Z15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0" s="9" t="e" cm="1">
        <f t="array" ref="AA15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0" s="9" t="e">
        <f>IF(tbl_Case_mins[[#This Row],[Case Type]]="Unsch",1,0)</f>
        <v>#REF!</v>
      </c>
      <c r="AD150" s="9" t="e">
        <f>IF(tbl_Case_mins[[#This Row],[Case Type]]="Sch",1,0)</f>
        <v>#REF!</v>
      </c>
      <c r="AE15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0" s="9">
        <f>IFERROR(IF(ISBLANK(INDEX(Am_Close,MATCH(1,INDEX((tbl_Case_mins[[#This Row],[Theatre]]=Theatre_No)*(tbl_Case_mins[[#This Row],[Surgery Start Date]]=Date),0,1),0))*1440),0,INDEX(Am_Close,MATCH(1,INDEX((tbl_Case_mins[[#This Row],[Theatre]]=Theatre_No)*(tbl_Case_mins[[#This Row],[Surgery Start Date]]=Date),0,1),0))*1440),0)</f>
        <v>0</v>
      </c>
      <c r="AG150" s="9">
        <f>IFERROR(IF(ISBLANK(INDEX(PM_Open,MATCH(1,INDEX((tbl_Case_mins[[#This Row],[Theatre]]=Theatre_No)*(tbl_Case_mins[[#This Row],[Surgery Start Date]]=Date),0,1),0))*1440),0,INDEX(PM_Open,MATCH(1,INDEX((tbl_Case_mins[[#This Row],[Theatre]]=Theatre_No)*(tbl_Case_mins[[#This Row],[Surgery Start Date]]=Date),0,1),0))*1440),0)</f>
        <v>0</v>
      </c>
      <c r="AH15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0" s="9" t="e">
        <f>IF(tbl_Case_mins[[#This Row],[ThOpenAm]]=0,tbl_Case_mins[[#This Row],[ThOpenPM]],tbl_Case_mins[[#This Row],[ThOpenAm]])</f>
        <v>#REF!</v>
      </c>
      <c r="AJ150" s="9" t="e">
        <f>IF(tbl_Case_mins[[#This Row],[ThCloseAm]]&gt;0,IF(tbl_Case_mins[[#This Row],[ThOpenPM]]&gt;0,tbl_Case_mins[[#This Row],[ThClosePm]],tbl_Case_mins[[#This Row],[ThCloseAm]]),tbl_Case_mins[[#This Row],[ThClosePm]])</f>
        <v>#REF!</v>
      </c>
      <c r="AK150" s="9" t="e">
        <f>IF(tbl_Case_mins[[#This Row],[TOT]]&gt;0,1,0)</f>
        <v>#REF!</v>
      </c>
      <c r="AL15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0" s="9" t="e">
        <f>IF(AND(tbl_Case_mins[[#This Row],[Surgery Status]]&lt;&gt;2,tbl_Case_mins[[#This Row],[InCoreCase]]=0,tbl_Case_mins[[#This Row],[CancelledCase]]=0),1,0)</f>
        <v>#REF!</v>
      </c>
      <c r="AN150" s="9" t="e">
        <f>IF(tbl_Case_mins[[#This Row],[Surgery Status]]=1,1,0)</f>
        <v>#REF!</v>
      </c>
      <c r="AO15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0" s="9" t="e">
        <f>IF(AND(tbl_Case_mins[[#This Row],[NonCoreCase]]=1,tbl_Case_mins[[#This Row],[NoInCoreTime]]=0),1,0)</f>
        <v>#REF!</v>
      </c>
      <c r="AQ150" s="9" t="e">
        <f>IF(tbl_Case_mins[[#This Row],[Rank_AnaEnd]]&lt;tbl_Case_mins[[#This Row],[Rank_AnaSt]],1,0)</f>
        <v>#REF!</v>
      </c>
      <c r="AR150" s="9" t="e">
        <f>IF(AND(tbl_Case_mins[[#This Row],[InCoreCase]]=1,tbl_Case_mins[[#This Row],[Sch]]=1),1,0)</f>
        <v>#REF!</v>
      </c>
      <c r="AS150" s="9" t="e">
        <f>IF(AND(tbl_Case_mins[[#This Row],[InCoreCase]]=1,tbl_Case_mins[[#This Row],[Unsch]]=1),1,0)</f>
        <v>#REF!</v>
      </c>
      <c r="AT15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0" s="9" t="e">
        <f>IF(tbl_Case_mins[[#This Row],[Surgery Status]]=0,(tbl_Case_mins[[#This Row],[Anaesth End]]-tbl_Case_mins[[#This Row],[AnaesthStart]]),0)</f>
        <v>#REF!</v>
      </c>
      <c r="AX150" s="9" t="e">
        <f>IF(tbl_Case_mins[[#This Row],[Surgery Status]]=0,(tbl_Case_mins[[#This Row],[Surgery Finish]]-tbl_Case_mins[[#This Row],[Surgery Start]]),0)</f>
        <v>#REF!</v>
      </c>
      <c r="AY150" s="9" t="e">
        <f>tbl_Case_mins[[#This Row],[Surgery Start]]-tbl_Case_mins[[#This Row],[AnaesthStart]]</f>
        <v>#REF!</v>
      </c>
      <c r="AZ150" s="9" t="e">
        <f>tbl_Case_mins[[#This Row],[Anaesth End]]-tbl_Case_mins[[#This Row],[Surgery Finish]]</f>
        <v>#REF!</v>
      </c>
      <c r="BA15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0" s="16" cm="1">
        <f t="array" ref="BC15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0" s="16" t="e">
        <f>IF(AND(tbl_Case_mins[[#This Row],[FirstAMCase]]=1,tbl_Case_mins[[#This Row],[CancelledCase]]=0,OR(tbl_Case_mins[[#This Row],[EarlyStartAM]]&gt;0,tbl_Case_mins[[#This Row],[AnaesthStart]]=tbl_Case_mins[[#This Row],[ThOpenAm]])),1,0)</f>
        <v>#REF!</v>
      </c>
      <c r="BE150" s="16" t="e">
        <f>IF(AND(tbl_Case_mins[[#This Row],[Rank_AnaSt]]=tbl_Case_mins[[#This Row],[Min_RankAnaSt]],tbl_Case_mins[[#This Row],[Anaesth End]]&gt;=tbl_Case_mins[[#This Row],[ThOpenAm]],tbl_Case_mins[[#This Row],[PmCase]]=0),1,0)</f>
        <v>#REF!</v>
      </c>
      <c r="BF15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0" s="9" t="e" cm="1">
        <f t="array" ref="BH15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0" s="9" t="e">
        <f>IF(AND(tbl_Case_mins[[#This Row],[ThOpenPM]]&gt;0,tbl_Case_mins[[#This Row],[AnaesthStart]]&gt;tbl_Case_mins[[#This Row],[ThOpenPM]],tbl_Case_mins[[#This Row],[First PM Case]]=1),tbl_Case_mins[[#This Row],[AnaesthStart]]-tbl_Case_mins[[#This Row],[ThOpenPM]],0)</f>
        <v>#REF!</v>
      </c>
      <c r="BL15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0" s="9" t="e" cm="1">
        <f t="array" ref="BN15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0" s="9" t="e">
        <f>IF(AND(tbl_Case_mins[[#This Row],[ThClosePm]]&gt;0,tbl_Case_mins[[#This Row],[Anaesth End]]&gt;tbl_Case_mins[[#This Row],[ThClosePm]],tbl_Case_mins[[#This Row],[AnaesthStart]]&gt;tbl_Case_mins[[#This Row],[ThClosePm]]),tbl_Case_mins[[#This Row],[Into Recov]]-tbl_Case_mins[[#This Row],[AnaesthStart]],0)</f>
        <v>#REF!</v>
      </c>
      <c r="BP150" s="9" t="e">
        <f>IF(AND(tbl_Case_mins[[#This Row],[AnaesthStart]]&lt;tbl_Case_mins[[#This Row],[ThClosePm]],tbl_Case_mins[[#This Row],[Anaesth End]]&gt;tbl_Case_mins[[#This Row],[ThClosePm]]),tbl_Case_mins[[#This Row],[Anaesth End]]-tbl_Case_mins[[#This Row],[ThClosePm]],0)</f>
        <v>#REF!</v>
      </c>
      <c r="BQ150" s="9" t="e" cm="1">
        <f t="array" ref="BQ15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0" s="9" t="e" cm="1">
        <f t="array" ref="BR150">IF(tbl_Case_mins[[#This Row],[Rank_Adjust]]=SUMPRODUCT(-(tbl_Case_mins[Surgery Start Date]=tbl_Case_mins[[#This Row],[Surgery Start Date]]),-(tbl_Case_mins[Theatre]=tbl_Case_mins[[#This Row],[Theatre]])),INDEX(Poss_Time,MATCH(TEXT(tbl_Case_mins[[#This Row],[Surgery Start Date]],"ddd"),Day,0)),0)</f>
        <v>#REF!</v>
      </c>
      <c r="BS150" s="9" t="e">
        <f>tbl_Case_mins[[#This Row],[Core_Time]]*Util_Goal</f>
        <v>#REF!</v>
      </c>
      <c r="BT150" s="9" t="e" cm="1">
        <f t="array" ref="BT1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0" s="9" t="e" cm="1">
        <f t="array" ref="BU1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0" s="9" t="e">
        <f>IF(tbl_Case_mins[[#This Row],[Surgery End Date]]&gt;tbl_Case_mins[[#This Row],[Surgery Start Date]],tbl_Case_mins[[#This Row],[Anaesth End]]-1440,0)</f>
        <v>#REF!</v>
      </c>
      <c r="BY150" s="9" t="e">
        <f>tbl_Case_mins[[#This Row],[Total_NonCore]]-tbl_Case_mins[[#This Row],[NextDay_NonCore]]</f>
        <v>#REF!</v>
      </c>
      <c r="BZ150" s="10" t="e">
        <f>tbl_Case_mins[[#This Row],[InCoreUse]]/60</f>
        <v>#REF!</v>
      </c>
      <c r="CA150" s="10" t="e">
        <f>tbl_Case_mins[[#This Row],[Total_NonCore]]/60</f>
        <v>#REF!</v>
      </c>
      <c r="CB150" t="e" cm="1">
        <f t="array" ref="CB1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0" s="9" t="e" cm="1">
        <f t="array" ref="CC15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0" s="9" t="e" cm="1">
        <f t="array" ref="CD1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0" s="9" t="e" cm="1">
        <f t="array" ref="CE15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0" s="9" cm="1">
        <f t="array" ref="CF150">IFERROR(_xlfn.AGGREGATE(14,6,(tbl_Case_mins[Rank_AnaEnd])/((tbl_Case_mins[Surgery Start Date]=tbl_Case_mins[[#This Row],[Surgery Start Date]])*(tbl_Case_mins[Theatre]=tbl_Case_mins[[#This Row],[Theatre]])*(tbl_Case_mins[NoInCoreTime]=0)),1),-1)</f>
        <v>-1</v>
      </c>
      <c r="CG150" s="9" cm="1">
        <f t="array" ref="CG150">IFERROR(_xlfn.AGGREGATE(15,6,(tbl_Case_mins[Rank_AnaSt])/((tbl_Case_mins[Surgery Start Date]=tbl_Case_mins[[#This Row],[Surgery Start Date]])*(tbl_Case_mins[Theatre]=tbl_Case_mins[[#This Row],[Theatre]])*(tbl_Case_mins[NoInCoreTime]=0)),1),-1)</f>
        <v>-1</v>
      </c>
      <c r="CH15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0" t="e" cm="1">
        <f t="array" ref="CJ15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0" s="9" cm="1">
        <f t="array" ref="CO1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0" s="9" cm="1">
        <f t="array" ref="CP1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0" s="9" cm="1">
        <f t="array" ref="CQ150">IFERROR(IF(AND(tbl_Case_mins[[#This Row],[FirstAMCase]]=0,tbl_Case_mins[[#This Row],[Rank]]=_xlfn.AGGREGATE(14,6,(tbl_Case_mins[Rank])/((tbl_Case_mins[Surgery Start Date]=tbl_Case_mins[[#This Row],[Surgery Start Date]])*(tbl_Case_mins[Theatre]=tbl_Case_mins[[#This Row],[Theatre]])*(tbl_Case_mins[AmCase]=1)),1)),1,0),0)</f>
        <v>0</v>
      </c>
      <c r="CR150" s="9" cm="1">
        <f t="array" ref="CR15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0" s="9" t="e" cm="1">
        <f t="array" ref="CS15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0" s="9" cm="1">
        <f t="array" ref="CT150">IFERROR(IF(tbl_Case_mins[[#This Row],[Rank]]=_xlfn.AGGREGATE(15,6,(tbl_Case_mins[Rank])/((tbl_Case_mins[Surgery Start Date]=tbl_Case_mins[[#This Row],[Surgery Start Date]])*(tbl_Case_mins[Theatre]=tbl_Case_mins[[#This Row],[Theatre]])*(tbl_Case_mins[PmCase]=1)),1),1,0),0)</f>
        <v>0</v>
      </c>
      <c r="CU150">
        <f>IFERROR(#REF!,0)</f>
        <v>0</v>
      </c>
      <c r="CV150" s="9" t="e" cm="1">
        <f t="array" ref="CV15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0" s="9">
        <f>IFERROR(IF(ISBLANK(INDEX(Bay_AmClose,MATCH(1,INDEX((tbl_Case_mins[[#This Row],[Bay]]=BayNo)*(tbl_Case_mins[[#This Row],[Surgery Start Date]]=BDate),0,1),0))*1440),0,INDEX(Bay_AmClose,MATCH(1,INDEX((tbl_Case_mins[[#This Row],[Bay]]=BayNo)*(tbl_Case_mins[[#This Row],[Surgery Start Date]]=BDate),0,1),0))*1440),0)</f>
        <v>0</v>
      </c>
      <c r="CX150" s="9" cm="1">
        <f t="array" ref="CX150">IFERROR(IF(ISBLANK(INDEX(Bay_PmOpen,MATCH(1,INDEX((tbl_Case_mins[[#This Row],[Bay]]=BayNo)*(tbl_Case_mins[[#This Row],[Surgery Start Date]]=BDate),0,1),0))*1440),0,INDEX(Bay_PmOpen,MATCH(1,INDEX((tbl_Case_mins[[#This Row],[Bay]]=BayNo)*(tbl_Case_mins[[#This Row],[Surgery Start Date]]=BDate),0,1),0))*1440),0)</f>
        <v>0</v>
      </c>
      <c r="CY15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0" s="9"/>
    </row>
    <row r="151" spans="1:104" x14ac:dyDescent="0.2">
      <c r="A151">
        <v>150</v>
      </c>
      <c r="B151" t="e">
        <f>#REF!</f>
        <v>#REF!</v>
      </c>
      <c r="C151" t="e">
        <f>#REF!</f>
        <v>#REF!</v>
      </c>
      <c r="D151" t="e">
        <f>#REF!</f>
        <v>#REF!</v>
      </c>
      <c r="E151" t="e">
        <f>#REF!</f>
        <v>#REF!</v>
      </c>
      <c r="F151" t="e">
        <f>#REF!</f>
        <v>#REF!</v>
      </c>
      <c r="G151" t="e">
        <f>#REF!</f>
        <v>#REF!</v>
      </c>
      <c r="H151" t="e">
        <f>#REF!</f>
        <v>#REF!</v>
      </c>
      <c r="I151" t="e">
        <f>IF(#REF!="Case Cancelled",1,IF(#REF!="No Cases",2,0))</f>
        <v>#REF!</v>
      </c>
      <c r="J151" t="e">
        <f>#REF!</f>
        <v>#REF!</v>
      </c>
      <c r="K151" s="4" t="e">
        <f>#REF!</f>
        <v>#REF!</v>
      </c>
      <c r="L151" t="e">
        <f>"Wk "&amp;WEEKNUM(tbl_Case_mins[[#This Row],[Surgery Start Date]],21)</f>
        <v>#REF!</v>
      </c>
      <c r="M151" t="e">
        <f>TEXT(tbl_Case_mins[[#This Row],[Surgery Start Date]],"ddd")</f>
        <v>#REF!</v>
      </c>
      <c r="N151" s="9" t="e">
        <f>(#REF!-TIME(0,0,0))*1440</f>
        <v>#REF!</v>
      </c>
      <c r="O151" t="e">
        <f>IF(AND(ROUND((#REF!-TIME(0,0,0))*1440,0)&gt;0,ROUND((#REF!-TIME(0,0,0))*1440,0)&lt;tbl_Case_mins[[#This Row],[Patient Called]],tbl_Case_mins[[#This Row],[Surgery End Date]]&gt;tbl_Case_mins[[#This Row],[Surgery Start Date]]),ROUND((#REF!-TIME(0,0,0))*1440,0)+1440,ROUND((#REF!-TIME(0,0,0))*1440,0))</f>
        <v>#REF!</v>
      </c>
      <c r="P151" s="9" t="e">
        <f>IF(AND(ROUND((#REF!-TIME(0,0,0))*1440,0)&gt;0,ROUND((#REF!-TIME(0,0,0))*1440,0)&lt;tbl_Case_mins[[#This Row],[Arrival]],tbl_Case_mins[[#This Row],[Surgery End Date]]&gt;tbl_Case_mins[[#This Row],[Surgery Start Date]]),ROUND((#REF!-TIME(0,0,0))*1440,0)+1440,ROUND((#REF!-TIME(0,0,0))*1440,0))</f>
        <v>#REF!</v>
      </c>
      <c r="Q151" s="9" t="e">
        <f>IF(AND(ROUND((#REF!-TIME(0,0,0))*1440,0)&gt;0,ROUND((#REF!-TIME(0,0,0))*1440,0)&lt;tbl_Case_mins[[#This Row],[Into Th or AR]],tbl_Case_mins[[#This Row],[Surgery End Date]]&gt;tbl_Case_mins[[#This Row],[Surgery Start Date]]),ROUND((#REF!-TIME(0,0,0))*1440,0)+1440,ROUND((#REF!-TIME(0,0,0))*1440,0))</f>
        <v>#REF!</v>
      </c>
      <c r="R151" s="9" t="e">
        <f>IF(AND(ROUND((#REF!-TIME(0,0,0))*1440,0)&gt;0,ROUND((#REF!-TIME(0,0,0))*1440,0)&lt;tbl_Case_mins[[#This Row],[AnaesthStart]],tbl_Case_mins[[#This Row],[Surgery End Date]]&gt;tbl_Case_mins[[#This Row],[Surgery Start Date]]),ROUND((#REF!-TIME(0,0,0))*1440,0)+1440,ROUND((#REF!-TIME(0,0,0))*1440,0))</f>
        <v>#REF!</v>
      </c>
      <c r="S151" s="9" t="e">
        <f>IF(AND(ROUND((#REF!-TIME(0,0,0))*1440,0),ROUND((#REF!-TIME(0,0,0))*1440,0)&lt;tbl_Case_mins[[#This Row],[Surgery Start]],tbl_Case_mins[[#This Row],[Surgery End Date]]&gt;tbl_Case_mins[[#This Row],[Surgery Start Date]]),ROUND((#REF!-TIME(0,0,0))*1440,0)+1440,ROUND((#REF!-TIME(0,0,0))*1440,0))</f>
        <v>#REF!</v>
      </c>
      <c r="T151" s="9" t="e">
        <f>IF(AND(ROUND((#REF!-TIME(0,0,0))*1440,0)&gt;0,ROUND((#REF!-TIME(0,0,0))*1440,0)&lt;tbl_Case_mins[[#This Row],[Surgery Finish]],tbl_Case_mins[[#This Row],[Surgery End Date]]&gt;tbl_Case_mins[[#This Row],[Surgery Start Date]]),ROUND((#REF!-TIME(0,0,0))*1440,0)+1440,ROUND((#REF!-TIME(0,0,0))*1440,0))</f>
        <v>#REF!</v>
      </c>
      <c r="U151" s="9" t="e">
        <f>IF(AND(ROUND((#REF!-TIME(0,0,0))*1440,0)&gt;0,ROUND((#REF!-TIME(0,0,0))*1440,0)&lt;tbl_Case_mins[[#This Row],[Anaesth End]],tbl_Case_mins[[#This Row],[Surgery End Date]]&gt;tbl_Case_mins[[#This Row],[Surgery Start Date]]),ROUND((#REF!-TIME(0,0,0))*1440,0)+1440,ROUND((#REF!-TIME(0,0,0))*1440,0))</f>
        <v>#REF!</v>
      </c>
      <c r="V151" s="9" t="e">
        <f>IF(AND(ROUND((#REF!-TIME(0,0,0))*1440,0)&gt;0,ROUND((#REF!-TIME(0,0,0))*1440,0)&lt;tbl_Case_mins[[#This Row],[Into Recov]],tbl_Case_mins[[#This Row],[Surgery End Date]]&gt;tbl_Case_mins[[#This Row],[Surgery Start Date]]),ROUND((#REF!-TIME(0,0,0))*1440,0)+1440,ROUND((#REF!-TIME(0,0,0))*1440,0))</f>
        <v>#REF!</v>
      </c>
      <c r="W151" s="9" t="e">
        <f>IF(AND(ROUND((#REF!-TIME(0,0,0))*1440,0)&gt;0,ROUND((#REF!-TIME(0,0,0))*1440,0)&lt;tbl_Case_mins[[#This Row],[Ward Called]],tbl_Case_mins[[#This Row],[Surgery End Date]]&gt;tbl_Case_mins[[#This Row],[Surgery Start Date]]),ROUND((#REF!-TIME(0,0,0))*1440,0)+1440,ROUND((#REF!-TIME(0,0,0))*1440,0))</f>
        <v>#REF!</v>
      </c>
      <c r="X151" s="4" t="e">
        <f>IF(ISBLANK(#REF!),tbl_Case_mins[[#This Row],[Surgery Start Date]],#REF!)</f>
        <v>#REF!</v>
      </c>
      <c r="Y151">
        <f>IFERROR(IF(VLOOKUP(tbl_Case_mins[[#This Row],[Theatre]],'Mng Theatres'!$C$7:$G$12,3,FALSE)="Yes","Yes","No"),0)</f>
        <v>0</v>
      </c>
      <c r="Z151" s="9" t="e" cm="1">
        <f t="array" ref="Z15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1" s="9" t="e" cm="1">
        <f t="array" ref="AA15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1" s="9" t="e">
        <f>IF(tbl_Case_mins[[#This Row],[Case Type]]="Unsch",1,0)</f>
        <v>#REF!</v>
      </c>
      <c r="AD151" s="9" t="e">
        <f>IF(tbl_Case_mins[[#This Row],[Case Type]]="Sch",1,0)</f>
        <v>#REF!</v>
      </c>
      <c r="AE15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1" s="9">
        <f>IFERROR(IF(ISBLANK(INDEX(Am_Close,MATCH(1,INDEX((tbl_Case_mins[[#This Row],[Theatre]]=Theatre_No)*(tbl_Case_mins[[#This Row],[Surgery Start Date]]=Date),0,1),0))*1440),0,INDEX(Am_Close,MATCH(1,INDEX((tbl_Case_mins[[#This Row],[Theatre]]=Theatre_No)*(tbl_Case_mins[[#This Row],[Surgery Start Date]]=Date),0,1),0))*1440),0)</f>
        <v>0</v>
      </c>
      <c r="AG151" s="9">
        <f>IFERROR(IF(ISBLANK(INDEX(PM_Open,MATCH(1,INDEX((tbl_Case_mins[[#This Row],[Theatre]]=Theatre_No)*(tbl_Case_mins[[#This Row],[Surgery Start Date]]=Date),0,1),0))*1440),0,INDEX(PM_Open,MATCH(1,INDEX((tbl_Case_mins[[#This Row],[Theatre]]=Theatre_No)*(tbl_Case_mins[[#This Row],[Surgery Start Date]]=Date),0,1),0))*1440),0)</f>
        <v>0</v>
      </c>
      <c r="AH15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1" s="9" t="e">
        <f>IF(tbl_Case_mins[[#This Row],[ThOpenAm]]=0,tbl_Case_mins[[#This Row],[ThOpenPM]],tbl_Case_mins[[#This Row],[ThOpenAm]])</f>
        <v>#REF!</v>
      </c>
      <c r="AJ151" s="9" t="e">
        <f>IF(tbl_Case_mins[[#This Row],[ThCloseAm]]&gt;0,IF(tbl_Case_mins[[#This Row],[ThOpenPM]]&gt;0,tbl_Case_mins[[#This Row],[ThClosePm]],tbl_Case_mins[[#This Row],[ThCloseAm]]),tbl_Case_mins[[#This Row],[ThClosePm]])</f>
        <v>#REF!</v>
      </c>
      <c r="AK151" s="9" t="e">
        <f>IF(tbl_Case_mins[[#This Row],[TOT]]&gt;0,1,0)</f>
        <v>#REF!</v>
      </c>
      <c r="AL15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1" s="9" t="e">
        <f>IF(AND(tbl_Case_mins[[#This Row],[Surgery Status]]&lt;&gt;2,tbl_Case_mins[[#This Row],[InCoreCase]]=0,tbl_Case_mins[[#This Row],[CancelledCase]]=0),1,0)</f>
        <v>#REF!</v>
      </c>
      <c r="AN151" s="9" t="e">
        <f>IF(tbl_Case_mins[[#This Row],[Surgery Status]]=1,1,0)</f>
        <v>#REF!</v>
      </c>
      <c r="AO15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1" s="9" t="e">
        <f>IF(AND(tbl_Case_mins[[#This Row],[NonCoreCase]]=1,tbl_Case_mins[[#This Row],[NoInCoreTime]]=0),1,0)</f>
        <v>#REF!</v>
      </c>
      <c r="AQ151" s="9" t="e">
        <f>IF(tbl_Case_mins[[#This Row],[Rank_AnaEnd]]&lt;tbl_Case_mins[[#This Row],[Rank_AnaSt]],1,0)</f>
        <v>#REF!</v>
      </c>
      <c r="AR151" s="9" t="e">
        <f>IF(AND(tbl_Case_mins[[#This Row],[InCoreCase]]=1,tbl_Case_mins[[#This Row],[Sch]]=1),1,0)</f>
        <v>#REF!</v>
      </c>
      <c r="AS151" s="9" t="e">
        <f>IF(AND(tbl_Case_mins[[#This Row],[InCoreCase]]=1,tbl_Case_mins[[#This Row],[Unsch]]=1),1,0)</f>
        <v>#REF!</v>
      </c>
      <c r="AT15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1" s="9" t="e">
        <f>IF(tbl_Case_mins[[#This Row],[Surgery Status]]=0,(tbl_Case_mins[[#This Row],[Anaesth End]]-tbl_Case_mins[[#This Row],[AnaesthStart]]),0)</f>
        <v>#REF!</v>
      </c>
      <c r="AX151" s="9" t="e">
        <f>IF(tbl_Case_mins[[#This Row],[Surgery Status]]=0,(tbl_Case_mins[[#This Row],[Surgery Finish]]-tbl_Case_mins[[#This Row],[Surgery Start]]),0)</f>
        <v>#REF!</v>
      </c>
      <c r="AY151" s="9" t="e">
        <f>tbl_Case_mins[[#This Row],[Surgery Start]]-tbl_Case_mins[[#This Row],[AnaesthStart]]</f>
        <v>#REF!</v>
      </c>
      <c r="AZ151" s="9" t="e">
        <f>tbl_Case_mins[[#This Row],[Anaesth End]]-tbl_Case_mins[[#This Row],[Surgery Finish]]</f>
        <v>#REF!</v>
      </c>
      <c r="BA15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1" s="16" cm="1">
        <f t="array" ref="BC15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1" s="16" t="e">
        <f>IF(AND(tbl_Case_mins[[#This Row],[FirstAMCase]]=1,tbl_Case_mins[[#This Row],[CancelledCase]]=0,OR(tbl_Case_mins[[#This Row],[EarlyStartAM]]&gt;0,tbl_Case_mins[[#This Row],[AnaesthStart]]=tbl_Case_mins[[#This Row],[ThOpenAm]])),1,0)</f>
        <v>#REF!</v>
      </c>
      <c r="BE151" s="16" t="e">
        <f>IF(AND(tbl_Case_mins[[#This Row],[Rank_AnaSt]]=tbl_Case_mins[[#This Row],[Min_RankAnaSt]],tbl_Case_mins[[#This Row],[Anaesth End]]&gt;=tbl_Case_mins[[#This Row],[ThOpenAm]],tbl_Case_mins[[#This Row],[PmCase]]=0),1,0)</f>
        <v>#REF!</v>
      </c>
      <c r="BF15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1" s="9" t="e" cm="1">
        <f t="array" ref="BH15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1" s="9" t="e">
        <f>IF(AND(tbl_Case_mins[[#This Row],[ThOpenPM]]&gt;0,tbl_Case_mins[[#This Row],[AnaesthStart]]&gt;tbl_Case_mins[[#This Row],[ThOpenPM]],tbl_Case_mins[[#This Row],[First PM Case]]=1),tbl_Case_mins[[#This Row],[AnaesthStart]]-tbl_Case_mins[[#This Row],[ThOpenPM]],0)</f>
        <v>#REF!</v>
      </c>
      <c r="BL15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1" s="9" t="e" cm="1">
        <f t="array" ref="BN15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1" s="9" t="e">
        <f>IF(AND(tbl_Case_mins[[#This Row],[ThClosePm]]&gt;0,tbl_Case_mins[[#This Row],[Anaesth End]]&gt;tbl_Case_mins[[#This Row],[ThClosePm]],tbl_Case_mins[[#This Row],[AnaesthStart]]&gt;tbl_Case_mins[[#This Row],[ThClosePm]]),tbl_Case_mins[[#This Row],[Into Recov]]-tbl_Case_mins[[#This Row],[AnaesthStart]],0)</f>
        <v>#REF!</v>
      </c>
      <c r="BP151" s="9" t="e">
        <f>IF(AND(tbl_Case_mins[[#This Row],[AnaesthStart]]&lt;tbl_Case_mins[[#This Row],[ThClosePm]],tbl_Case_mins[[#This Row],[Anaesth End]]&gt;tbl_Case_mins[[#This Row],[ThClosePm]]),tbl_Case_mins[[#This Row],[Anaesth End]]-tbl_Case_mins[[#This Row],[ThClosePm]],0)</f>
        <v>#REF!</v>
      </c>
      <c r="BQ151" s="9" t="e" cm="1">
        <f t="array" ref="BQ15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1" s="9" t="e" cm="1">
        <f t="array" ref="BR151">IF(tbl_Case_mins[[#This Row],[Rank_Adjust]]=SUMPRODUCT(-(tbl_Case_mins[Surgery Start Date]=tbl_Case_mins[[#This Row],[Surgery Start Date]]),-(tbl_Case_mins[Theatre]=tbl_Case_mins[[#This Row],[Theatre]])),INDEX(Poss_Time,MATCH(TEXT(tbl_Case_mins[[#This Row],[Surgery Start Date]],"ddd"),Day,0)),0)</f>
        <v>#REF!</v>
      </c>
      <c r="BS151" s="9" t="e">
        <f>tbl_Case_mins[[#This Row],[Core_Time]]*Util_Goal</f>
        <v>#REF!</v>
      </c>
      <c r="BT151" s="9" t="e" cm="1">
        <f t="array" ref="BT1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1" s="9" t="e" cm="1">
        <f t="array" ref="BU1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1" s="9" t="e">
        <f>IF(tbl_Case_mins[[#This Row],[Surgery End Date]]&gt;tbl_Case_mins[[#This Row],[Surgery Start Date]],tbl_Case_mins[[#This Row],[Anaesth End]]-1440,0)</f>
        <v>#REF!</v>
      </c>
      <c r="BY151" s="9" t="e">
        <f>tbl_Case_mins[[#This Row],[Total_NonCore]]-tbl_Case_mins[[#This Row],[NextDay_NonCore]]</f>
        <v>#REF!</v>
      </c>
      <c r="BZ151" s="10" t="e">
        <f>tbl_Case_mins[[#This Row],[InCoreUse]]/60</f>
        <v>#REF!</v>
      </c>
      <c r="CA151" s="10" t="e">
        <f>tbl_Case_mins[[#This Row],[Total_NonCore]]/60</f>
        <v>#REF!</v>
      </c>
      <c r="CB151" t="e" cm="1">
        <f t="array" ref="CB1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1" s="9" t="e" cm="1">
        <f t="array" ref="CC15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1" s="9" t="e" cm="1">
        <f t="array" ref="CD1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1" s="9" t="e" cm="1">
        <f t="array" ref="CE15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1" s="9" cm="1">
        <f t="array" ref="CF151">IFERROR(_xlfn.AGGREGATE(14,6,(tbl_Case_mins[Rank_AnaEnd])/((tbl_Case_mins[Surgery Start Date]=tbl_Case_mins[[#This Row],[Surgery Start Date]])*(tbl_Case_mins[Theatre]=tbl_Case_mins[[#This Row],[Theatre]])*(tbl_Case_mins[NoInCoreTime]=0)),1),-1)</f>
        <v>-1</v>
      </c>
      <c r="CG151" s="9" cm="1">
        <f t="array" ref="CG151">IFERROR(_xlfn.AGGREGATE(15,6,(tbl_Case_mins[Rank_AnaSt])/((tbl_Case_mins[Surgery Start Date]=tbl_Case_mins[[#This Row],[Surgery Start Date]])*(tbl_Case_mins[Theatre]=tbl_Case_mins[[#This Row],[Theatre]])*(tbl_Case_mins[NoInCoreTime]=0)),1),-1)</f>
        <v>-1</v>
      </c>
      <c r="CH15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1" t="e" cm="1">
        <f t="array" ref="CJ15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1" s="9" cm="1">
        <f t="array" ref="CO1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1" s="9" cm="1">
        <f t="array" ref="CP1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1" s="9" cm="1">
        <f t="array" ref="CQ151">IFERROR(IF(AND(tbl_Case_mins[[#This Row],[FirstAMCase]]=0,tbl_Case_mins[[#This Row],[Rank]]=_xlfn.AGGREGATE(14,6,(tbl_Case_mins[Rank])/((tbl_Case_mins[Surgery Start Date]=tbl_Case_mins[[#This Row],[Surgery Start Date]])*(tbl_Case_mins[Theatre]=tbl_Case_mins[[#This Row],[Theatre]])*(tbl_Case_mins[AmCase]=1)),1)),1,0),0)</f>
        <v>0</v>
      </c>
      <c r="CR151" s="9" cm="1">
        <f t="array" ref="CR15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1" s="9" t="e" cm="1">
        <f t="array" ref="CS15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1" s="9" cm="1">
        <f t="array" ref="CT151">IFERROR(IF(tbl_Case_mins[[#This Row],[Rank]]=_xlfn.AGGREGATE(15,6,(tbl_Case_mins[Rank])/((tbl_Case_mins[Surgery Start Date]=tbl_Case_mins[[#This Row],[Surgery Start Date]])*(tbl_Case_mins[Theatre]=tbl_Case_mins[[#This Row],[Theatre]])*(tbl_Case_mins[PmCase]=1)),1),1,0),0)</f>
        <v>0</v>
      </c>
      <c r="CU151">
        <f>IFERROR(#REF!,0)</f>
        <v>0</v>
      </c>
      <c r="CV151" s="9" t="e" cm="1">
        <f t="array" ref="CV15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1" s="9">
        <f>IFERROR(IF(ISBLANK(INDEX(Bay_AmClose,MATCH(1,INDEX((tbl_Case_mins[[#This Row],[Bay]]=BayNo)*(tbl_Case_mins[[#This Row],[Surgery Start Date]]=BDate),0,1),0))*1440),0,INDEX(Bay_AmClose,MATCH(1,INDEX((tbl_Case_mins[[#This Row],[Bay]]=BayNo)*(tbl_Case_mins[[#This Row],[Surgery Start Date]]=BDate),0,1),0))*1440),0)</f>
        <v>0</v>
      </c>
      <c r="CX151" s="9" cm="1">
        <f t="array" ref="CX151">IFERROR(IF(ISBLANK(INDEX(Bay_PmOpen,MATCH(1,INDEX((tbl_Case_mins[[#This Row],[Bay]]=BayNo)*(tbl_Case_mins[[#This Row],[Surgery Start Date]]=BDate),0,1),0))*1440),0,INDEX(Bay_PmOpen,MATCH(1,INDEX((tbl_Case_mins[[#This Row],[Bay]]=BayNo)*(tbl_Case_mins[[#This Row],[Surgery Start Date]]=BDate),0,1),0))*1440),0)</f>
        <v>0</v>
      </c>
      <c r="CY15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1" s="9"/>
    </row>
    <row r="152" spans="1:104" x14ac:dyDescent="0.2">
      <c r="A152">
        <v>151</v>
      </c>
      <c r="B152" t="e">
        <f>#REF!</f>
        <v>#REF!</v>
      </c>
      <c r="C152" t="e">
        <f>#REF!</f>
        <v>#REF!</v>
      </c>
      <c r="D152" t="e">
        <f>#REF!</f>
        <v>#REF!</v>
      </c>
      <c r="E152" t="e">
        <f>#REF!</f>
        <v>#REF!</v>
      </c>
      <c r="F152" t="e">
        <f>#REF!</f>
        <v>#REF!</v>
      </c>
      <c r="G152" t="e">
        <f>#REF!</f>
        <v>#REF!</v>
      </c>
      <c r="H152" t="e">
        <f>#REF!</f>
        <v>#REF!</v>
      </c>
      <c r="I152" t="e">
        <f>IF(#REF!="Case Cancelled",1,IF(#REF!="No Cases",2,0))</f>
        <v>#REF!</v>
      </c>
      <c r="J152" t="e">
        <f>#REF!</f>
        <v>#REF!</v>
      </c>
      <c r="K152" s="4" t="e">
        <f>#REF!</f>
        <v>#REF!</v>
      </c>
      <c r="L152" t="e">
        <f>"Wk "&amp;WEEKNUM(tbl_Case_mins[[#This Row],[Surgery Start Date]],21)</f>
        <v>#REF!</v>
      </c>
      <c r="M152" t="e">
        <f>TEXT(tbl_Case_mins[[#This Row],[Surgery Start Date]],"ddd")</f>
        <v>#REF!</v>
      </c>
      <c r="N152" s="9" t="e">
        <f>(#REF!-TIME(0,0,0))*1440</f>
        <v>#REF!</v>
      </c>
      <c r="O152" t="e">
        <f>IF(AND(ROUND((#REF!-TIME(0,0,0))*1440,0)&gt;0,ROUND((#REF!-TIME(0,0,0))*1440,0)&lt;tbl_Case_mins[[#This Row],[Patient Called]],tbl_Case_mins[[#This Row],[Surgery End Date]]&gt;tbl_Case_mins[[#This Row],[Surgery Start Date]]),ROUND((#REF!-TIME(0,0,0))*1440,0)+1440,ROUND((#REF!-TIME(0,0,0))*1440,0))</f>
        <v>#REF!</v>
      </c>
      <c r="P152" s="9" t="e">
        <f>IF(AND(ROUND((#REF!-TIME(0,0,0))*1440,0)&gt;0,ROUND((#REF!-TIME(0,0,0))*1440,0)&lt;tbl_Case_mins[[#This Row],[Arrival]],tbl_Case_mins[[#This Row],[Surgery End Date]]&gt;tbl_Case_mins[[#This Row],[Surgery Start Date]]),ROUND((#REF!-TIME(0,0,0))*1440,0)+1440,ROUND((#REF!-TIME(0,0,0))*1440,0))</f>
        <v>#REF!</v>
      </c>
      <c r="Q152" s="9" t="e">
        <f>IF(AND(ROUND((#REF!-TIME(0,0,0))*1440,0)&gt;0,ROUND((#REF!-TIME(0,0,0))*1440,0)&lt;tbl_Case_mins[[#This Row],[Into Th or AR]],tbl_Case_mins[[#This Row],[Surgery End Date]]&gt;tbl_Case_mins[[#This Row],[Surgery Start Date]]),ROUND((#REF!-TIME(0,0,0))*1440,0)+1440,ROUND((#REF!-TIME(0,0,0))*1440,0))</f>
        <v>#REF!</v>
      </c>
      <c r="R152" s="9" t="e">
        <f>IF(AND(ROUND((#REF!-TIME(0,0,0))*1440,0)&gt;0,ROUND((#REF!-TIME(0,0,0))*1440,0)&lt;tbl_Case_mins[[#This Row],[AnaesthStart]],tbl_Case_mins[[#This Row],[Surgery End Date]]&gt;tbl_Case_mins[[#This Row],[Surgery Start Date]]),ROUND((#REF!-TIME(0,0,0))*1440,0)+1440,ROUND((#REF!-TIME(0,0,0))*1440,0))</f>
        <v>#REF!</v>
      </c>
      <c r="S152" s="9" t="e">
        <f>IF(AND(ROUND((#REF!-TIME(0,0,0))*1440,0),ROUND((#REF!-TIME(0,0,0))*1440,0)&lt;tbl_Case_mins[[#This Row],[Surgery Start]],tbl_Case_mins[[#This Row],[Surgery End Date]]&gt;tbl_Case_mins[[#This Row],[Surgery Start Date]]),ROUND((#REF!-TIME(0,0,0))*1440,0)+1440,ROUND((#REF!-TIME(0,0,0))*1440,0))</f>
        <v>#REF!</v>
      </c>
      <c r="T152" s="9" t="e">
        <f>IF(AND(ROUND((#REF!-TIME(0,0,0))*1440,0)&gt;0,ROUND((#REF!-TIME(0,0,0))*1440,0)&lt;tbl_Case_mins[[#This Row],[Surgery Finish]],tbl_Case_mins[[#This Row],[Surgery End Date]]&gt;tbl_Case_mins[[#This Row],[Surgery Start Date]]),ROUND((#REF!-TIME(0,0,0))*1440,0)+1440,ROUND((#REF!-TIME(0,0,0))*1440,0))</f>
        <v>#REF!</v>
      </c>
      <c r="U152" s="9" t="e">
        <f>IF(AND(ROUND((#REF!-TIME(0,0,0))*1440,0)&gt;0,ROUND((#REF!-TIME(0,0,0))*1440,0)&lt;tbl_Case_mins[[#This Row],[Anaesth End]],tbl_Case_mins[[#This Row],[Surgery End Date]]&gt;tbl_Case_mins[[#This Row],[Surgery Start Date]]),ROUND((#REF!-TIME(0,0,0))*1440,0)+1440,ROUND((#REF!-TIME(0,0,0))*1440,0))</f>
        <v>#REF!</v>
      </c>
      <c r="V152" s="9" t="e">
        <f>IF(AND(ROUND((#REF!-TIME(0,0,0))*1440,0)&gt;0,ROUND((#REF!-TIME(0,0,0))*1440,0)&lt;tbl_Case_mins[[#This Row],[Into Recov]],tbl_Case_mins[[#This Row],[Surgery End Date]]&gt;tbl_Case_mins[[#This Row],[Surgery Start Date]]),ROUND((#REF!-TIME(0,0,0))*1440,0)+1440,ROUND((#REF!-TIME(0,0,0))*1440,0))</f>
        <v>#REF!</v>
      </c>
      <c r="W152" s="9" t="e">
        <f>IF(AND(ROUND((#REF!-TIME(0,0,0))*1440,0)&gt;0,ROUND((#REF!-TIME(0,0,0))*1440,0)&lt;tbl_Case_mins[[#This Row],[Ward Called]],tbl_Case_mins[[#This Row],[Surgery End Date]]&gt;tbl_Case_mins[[#This Row],[Surgery Start Date]]),ROUND((#REF!-TIME(0,0,0))*1440,0)+1440,ROUND((#REF!-TIME(0,0,0))*1440,0))</f>
        <v>#REF!</v>
      </c>
      <c r="X152" s="4" t="e">
        <f>IF(ISBLANK(#REF!),tbl_Case_mins[[#This Row],[Surgery Start Date]],#REF!)</f>
        <v>#REF!</v>
      </c>
      <c r="Y152">
        <f>IFERROR(IF(VLOOKUP(tbl_Case_mins[[#This Row],[Theatre]],'Mng Theatres'!$C$7:$G$12,3,FALSE)="Yes","Yes","No"),0)</f>
        <v>0</v>
      </c>
      <c r="Z152" s="9" t="e" cm="1">
        <f t="array" ref="Z15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2" s="9" t="e" cm="1">
        <f t="array" ref="AA15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2" s="9" t="e">
        <f>IF(tbl_Case_mins[[#This Row],[Case Type]]="Unsch",1,0)</f>
        <v>#REF!</v>
      </c>
      <c r="AD152" s="9" t="e">
        <f>IF(tbl_Case_mins[[#This Row],[Case Type]]="Sch",1,0)</f>
        <v>#REF!</v>
      </c>
      <c r="AE15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2" s="9">
        <f>IFERROR(IF(ISBLANK(INDEX(Am_Close,MATCH(1,INDEX((tbl_Case_mins[[#This Row],[Theatre]]=Theatre_No)*(tbl_Case_mins[[#This Row],[Surgery Start Date]]=Date),0,1),0))*1440),0,INDEX(Am_Close,MATCH(1,INDEX((tbl_Case_mins[[#This Row],[Theatre]]=Theatre_No)*(tbl_Case_mins[[#This Row],[Surgery Start Date]]=Date),0,1),0))*1440),0)</f>
        <v>0</v>
      </c>
      <c r="AG152" s="9">
        <f>IFERROR(IF(ISBLANK(INDEX(PM_Open,MATCH(1,INDEX((tbl_Case_mins[[#This Row],[Theatre]]=Theatre_No)*(tbl_Case_mins[[#This Row],[Surgery Start Date]]=Date),0,1),0))*1440),0,INDEX(PM_Open,MATCH(1,INDEX((tbl_Case_mins[[#This Row],[Theatre]]=Theatre_No)*(tbl_Case_mins[[#This Row],[Surgery Start Date]]=Date),0,1),0))*1440),0)</f>
        <v>0</v>
      </c>
      <c r="AH15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2" s="9" t="e">
        <f>IF(tbl_Case_mins[[#This Row],[ThOpenAm]]=0,tbl_Case_mins[[#This Row],[ThOpenPM]],tbl_Case_mins[[#This Row],[ThOpenAm]])</f>
        <v>#REF!</v>
      </c>
      <c r="AJ152" s="9" t="e">
        <f>IF(tbl_Case_mins[[#This Row],[ThCloseAm]]&gt;0,IF(tbl_Case_mins[[#This Row],[ThOpenPM]]&gt;0,tbl_Case_mins[[#This Row],[ThClosePm]],tbl_Case_mins[[#This Row],[ThCloseAm]]),tbl_Case_mins[[#This Row],[ThClosePm]])</f>
        <v>#REF!</v>
      </c>
      <c r="AK152" s="9" t="e">
        <f>IF(tbl_Case_mins[[#This Row],[TOT]]&gt;0,1,0)</f>
        <v>#REF!</v>
      </c>
      <c r="AL15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2" s="9" t="e">
        <f>IF(AND(tbl_Case_mins[[#This Row],[Surgery Status]]&lt;&gt;2,tbl_Case_mins[[#This Row],[InCoreCase]]=0,tbl_Case_mins[[#This Row],[CancelledCase]]=0),1,0)</f>
        <v>#REF!</v>
      </c>
      <c r="AN152" s="9" t="e">
        <f>IF(tbl_Case_mins[[#This Row],[Surgery Status]]=1,1,0)</f>
        <v>#REF!</v>
      </c>
      <c r="AO15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2" s="9" t="e">
        <f>IF(AND(tbl_Case_mins[[#This Row],[NonCoreCase]]=1,tbl_Case_mins[[#This Row],[NoInCoreTime]]=0),1,0)</f>
        <v>#REF!</v>
      </c>
      <c r="AQ152" s="9" t="e">
        <f>IF(tbl_Case_mins[[#This Row],[Rank_AnaEnd]]&lt;tbl_Case_mins[[#This Row],[Rank_AnaSt]],1,0)</f>
        <v>#REF!</v>
      </c>
      <c r="AR152" s="9" t="e">
        <f>IF(AND(tbl_Case_mins[[#This Row],[InCoreCase]]=1,tbl_Case_mins[[#This Row],[Sch]]=1),1,0)</f>
        <v>#REF!</v>
      </c>
      <c r="AS152" s="9" t="e">
        <f>IF(AND(tbl_Case_mins[[#This Row],[InCoreCase]]=1,tbl_Case_mins[[#This Row],[Unsch]]=1),1,0)</f>
        <v>#REF!</v>
      </c>
      <c r="AT15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2" s="9" t="e">
        <f>IF(tbl_Case_mins[[#This Row],[Surgery Status]]=0,(tbl_Case_mins[[#This Row],[Anaesth End]]-tbl_Case_mins[[#This Row],[AnaesthStart]]),0)</f>
        <v>#REF!</v>
      </c>
      <c r="AX152" s="9" t="e">
        <f>IF(tbl_Case_mins[[#This Row],[Surgery Status]]=0,(tbl_Case_mins[[#This Row],[Surgery Finish]]-tbl_Case_mins[[#This Row],[Surgery Start]]),0)</f>
        <v>#REF!</v>
      </c>
      <c r="AY152" s="9" t="e">
        <f>tbl_Case_mins[[#This Row],[Surgery Start]]-tbl_Case_mins[[#This Row],[AnaesthStart]]</f>
        <v>#REF!</v>
      </c>
      <c r="AZ152" s="9" t="e">
        <f>tbl_Case_mins[[#This Row],[Anaesth End]]-tbl_Case_mins[[#This Row],[Surgery Finish]]</f>
        <v>#REF!</v>
      </c>
      <c r="BA15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2" s="16" cm="1">
        <f t="array" ref="BC15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2" s="16" t="e">
        <f>IF(AND(tbl_Case_mins[[#This Row],[FirstAMCase]]=1,tbl_Case_mins[[#This Row],[CancelledCase]]=0,OR(tbl_Case_mins[[#This Row],[EarlyStartAM]]&gt;0,tbl_Case_mins[[#This Row],[AnaesthStart]]=tbl_Case_mins[[#This Row],[ThOpenAm]])),1,0)</f>
        <v>#REF!</v>
      </c>
      <c r="BE152" s="16" t="e">
        <f>IF(AND(tbl_Case_mins[[#This Row],[Rank_AnaSt]]=tbl_Case_mins[[#This Row],[Min_RankAnaSt]],tbl_Case_mins[[#This Row],[Anaesth End]]&gt;=tbl_Case_mins[[#This Row],[ThOpenAm]],tbl_Case_mins[[#This Row],[PmCase]]=0),1,0)</f>
        <v>#REF!</v>
      </c>
      <c r="BF15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2" s="9" t="e" cm="1">
        <f t="array" ref="BH15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2" s="9" t="e">
        <f>IF(AND(tbl_Case_mins[[#This Row],[ThOpenPM]]&gt;0,tbl_Case_mins[[#This Row],[AnaesthStart]]&gt;tbl_Case_mins[[#This Row],[ThOpenPM]],tbl_Case_mins[[#This Row],[First PM Case]]=1),tbl_Case_mins[[#This Row],[AnaesthStart]]-tbl_Case_mins[[#This Row],[ThOpenPM]],0)</f>
        <v>#REF!</v>
      </c>
      <c r="BL15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2" s="9" t="e" cm="1">
        <f t="array" ref="BN15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2" s="9" t="e">
        <f>IF(AND(tbl_Case_mins[[#This Row],[ThClosePm]]&gt;0,tbl_Case_mins[[#This Row],[Anaesth End]]&gt;tbl_Case_mins[[#This Row],[ThClosePm]],tbl_Case_mins[[#This Row],[AnaesthStart]]&gt;tbl_Case_mins[[#This Row],[ThClosePm]]),tbl_Case_mins[[#This Row],[Into Recov]]-tbl_Case_mins[[#This Row],[AnaesthStart]],0)</f>
        <v>#REF!</v>
      </c>
      <c r="BP152" s="9" t="e">
        <f>IF(AND(tbl_Case_mins[[#This Row],[AnaesthStart]]&lt;tbl_Case_mins[[#This Row],[ThClosePm]],tbl_Case_mins[[#This Row],[Anaesth End]]&gt;tbl_Case_mins[[#This Row],[ThClosePm]]),tbl_Case_mins[[#This Row],[Anaesth End]]-tbl_Case_mins[[#This Row],[ThClosePm]],0)</f>
        <v>#REF!</v>
      </c>
      <c r="BQ152" s="9" t="e" cm="1">
        <f t="array" ref="BQ15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2" s="9" t="e" cm="1">
        <f t="array" ref="BR152">IF(tbl_Case_mins[[#This Row],[Rank_Adjust]]=SUMPRODUCT(-(tbl_Case_mins[Surgery Start Date]=tbl_Case_mins[[#This Row],[Surgery Start Date]]),-(tbl_Case_mins[Theatre]=tbl_Case_mins[[#This Row],[Theatre]])),INDEX(Poss_Time,MATCH(TEXT(tbl_Case_mins[[#This Row],[Surgery Start Date]],"ddd"),Day,0)),0)</f>
        <v>#REF!</v>
      </c>
      <c r="BS152" s="9" t="e">
        <f>tbl_Case_mins[[#This Row],[Core_Time]]*Util_Goal</f>
        <v>#REF!</v>
      </c>
      <c r="BT152" s="9" t="e" cm="1">
        <f t="array" ref="BT1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2" s="9" t="e" cm="1">
        <f t="array" ref="BU1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2" s="9" t="e">
        <f>IF(tbl_Case_mins[[#This Row],[Surgery End Date]]&gt;tbl_Case_mins[[#This Row],[Surgery Start Date]],tbl_Case_mins[[#This Row],[Anaesth End]]-1440,0)</f>
        <v>#REF!</v>
      </c>
      <c r="BY152" s="9" t="e">
        <f>tbl_Case_mins[[#This Row],[Total_NonCore]]-tbl_Case_mins[[#This Row],[NextDay_NonCore]]</f>
        <v>#REF!</v>
      </c>
      <c r="BZ152" s="10" t="e">
        <f>tbl_Case_mins[[#This Row],[InCoreUse]]/60</f>
        <v>#REF!</v>
      </c>
      <c r="CA152" s="10" t="e">
        <f>tbl_Case_mins[[#This Row],[Total_NonCore]]/60</f>
        <v>#REF!</v>
      </c>
      <c r="CB152" t="e" cm="1">
        <f t="array" ref="CB1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2" s="9" t="e" cm="1">
        <f t="array" ref="CC15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2" s="9" t="e" cm="1">
        <f t="array" ref="CD1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2" s="9" t="e" cm="1">
        <f t="array" ref="CE15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2" s="9" cm="1">
        <f t="array" ref="CF152">IFERROR(_xlfn.AGGREGATE(14,6,(tbl_Case_mins[Rank_AnaEnd])/((tbl_Case_mins[Surgery Start Date]=tbl_Case_mins[[#This Row],[Surgery Start Date]])*(tbl_Case_mins[Theatre]=tbl_Case_mins[[#This Row],[Theatre]])*(tbl_Case_mins[NoInCoreTime]=0)),1),-1)</f>
        <v>-1</v>
      </c>
      <c r="CG152" s="9" cm="1">
        <f t="array" ref="CG152">IFERROR(_xlfn.AGGREGATE(15,6,(tbl_Case_mins[Rank_AnaSt])/((tbl_Case_mins[Surgery Start Date]=tbl_Case_mins[[#This Row],[Surgery Start Date]])*(tbl_Case_mins[Theatre]=tbl_Case_mins[[#This Row],[Theatre]])*(tbl_Case_mins[NoInCoreTime]=0)),1),-1)</f>
        <v>-1</v>
      </c>
      <c r="CH15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2" t="e" cm="1">
        <f t="array" ref="CJ15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2" s="9" cm="1">
        <f t="array" ref="CO1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2" s="9" cm="1">
        <f t="array" ref="CP1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2" s="9" cm="1">
        <f t="array" ref="CQ152">IFERROR(IF(AND(tbl_Case_mins[[#This Row],[FirstAMCase]]=0,tbl_Case_mins[[#This Row],[Rank]]=_xlfn.AGGREGATE(14,6,(tbl_Case_mins[Rank])/((tbl_Case_mins[Surgery Start Date]=tbl_Case_mins[[#This Row],[Surgery Start Date]])*(tbl_Case_mins[Theatre]=tbl_Case_mins[[#This Row],[Theatre]])*(tbl_Case_mins[AmCase]=1)),1)),1,0),0)</f>
        <v>0</v>
      </c>
      <c r="CR152" s="9" cm="1">
        <f t="array" ref="CR15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2" s="9" t="e" cm="1">
        <f t="array" ref="CS15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2" s="9" cm="1">
        <f t="array" ref="CT152">IFERROR(IF(tbl_Case_mins[[#This Row],[Rank]]=_xlfn.AGGREGATE(15,6,(tbl_Case_mins[Rank])/((tbl_Case_mins[Surgery Start Date]=tbl_Case_mins[[#This Row],[Surgery Start Date]])*(tbl_Case_mins[Theatre]=tbl_Case_mins[[#This Row],[Theatre]])*(tbl_Case_mins[PmCase]=1)),1),1,0),0)</f>
        <v>0</v>
      </c>
      <c r="CU152">
        <f>IFERROR(#REF!,0)</f>
        <v>0</v>
      </c>
      <c r="CV152" s="9" t="e" cm="1">
        <f t="array" ref="CV15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2" s="9">
        <f>IFERROR(IF(ISBLANK(INDEX(Bay_AmClose,MATCH(1,INDEX((tbl_Case_mins[[#This Row],[Bay]]=BayNo)*(tbl_Case_mins[[#This Row],[Surgery Start Date]]=BDate),0,1),0))*1440),0,INDEX(Bay_AmClose,MATCH(1,INDEX((tbl_Case_mins[[#This Row],[Bay]]=BayNo)*(tbl_Case_mins[[#This Row],[Surgery Start Date]]=BDate),0,1),0))*1440),0)</f>
        <v>0</v>
      </c>
      <c r="CX152" s="9" cm="1">
        <f t="array" ref="CX152">IFERROR(IF(ISBLANK(INDEX(Bay_PmOpen,MATCH(1,INDEX((tbl_Case_mins[[#This Row],[Bay]]=BayNo)*(tbl_Case_mins[[#This Row],[Surgery Start Date]]=BDate),0,1),0))*1440),0,INDEX(Bay_PmOpen,MATCH(1,INDEX((tbl_Case_mins[[#This Row],[Bay]]=BayNo)*(tbl_Case_mins[[#This Row],[Surgery Start Date]]=BDate),0,1),0))*1440),0)</f>
        <v>0</v>
      </c>
      <c r="CY15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2" s="9"/>
    </row>
    <row r="153" spans="1:104" x14ac:dyDescent="0.2">
      <c r="A153">
        <v>152</v>
      </c>
      <c r="B153" t="e">
        <f>#REF!</f>
        <v>#REF!</v>
      </c>
      <c r="C153" t="e">
        <f>#REF!</f>
        <v>#REF!</v>
      </c>
      <c r="D153" t="e">
        <f>#REF!</f>
        <v>#REF!</v>
      </c>
      <c r="E153" t="e">
        <f>#REF!</f>
        <v>#REF!</v>
      </c>
      <c r="F153" t="e">
        <f>#REF!</f>
        <v>#REF!</v>
      </c>
      <c r="G153" t="e">
        <f>#REF!</f>
        <v>#REF!</v>
      </c>
      <c r="H153" t="e">
        <f>#REF!</f>
        <v>#REF!</v>
      </c>
      <c r="I153" t="e">
        <f>IF(#REF!="Case Cancelled",1,IF(#REF!="No Cases",2,0))</f>
        <v>#REF!</v>
      </c>
      <c r="J153" t="e">
        <f>#REF!</f>
        <v>#REF!</v>
      </c>
      <c r="K153" s="4" t="e">
        <f>#REF!</f>
        <v>#REF!</v>
      </c>
      <c r="L153" t="e">
        <f>"Wk "&amp;WEEKNUM(tbl_Case_mins[[#This Row],[Surgery Start Date]],21)</f>
        <v>#REF!</v>
      </c>
      <c r="M153" t="e">
        <f>TEXT(tbl_Case_mins[[#This Row],[Surgery Start Date]],"ddd")</f>
        <v>#REF!</v>
      </c>
      <c r="N153" s="9" t="e">
        <f>(#REF!-TIME(0,0,0))*1440</f>
        <v>#REF!</v>
      </c>
      <c r="O153" t="e">
        <f>IF(AND(ROUND((#REF!-TIME(0,0,0))*1440,0)&gt;0,ROUND((#REF!-TIME(0,0,0))*1440,0)&lt;tbl_Case_mins[[#This Row],[Patient Called]],tbl_Case_mins[[#This Row],[Surgery End Date]]&gt;tbl_Case_mins[[#This Row],[Surgery Start Date]]),ROUND((#REF!-TIME(0,0,0))*1440,0)+1440,ROUND((#REF!-TIME(0,0,0))*1440,0))</f>
        <v>#REF!</v>
      </c>
      <c r="P153" s="9" t="e">
        <f>IF(AND(ROUND((#REF!-TIME(0,0,0))*1440,0)&gt;0,ROUND((#REF!-TIME(0,0,0))*1440,0)&lt;tbl_Case_mins[[#This Row],[Arrival]],tbl_Case_mins[[#This Row],[Surgery End Date]]&gt;tbl_Case_mins[[#This Row],[Surgery Start Date]]),ROUND((#REF!-TIME(0,0,0))*1440,0)+1440,ROUND((#REF!-TIME(0,0,0))*1440,0))</f>
        <v>#REF!</v>
      </c>
      <c r="Q153" s="9" t="e">
        <f>IF(AND(ROUND((#REF!-TIME(0,0,0))*1440,0)&gt;0,ROUND((#REF!-TIME(0,0,0))*1440,0)&lt;tbl_Case_mins[[#This Row],[Into Th or AR]],tbl_Case_mins[[#This Row],[Surgery End Date]]&gt;tbl_Case_mins[[#This Row],[Surgery Start Date]]),ROUND((#REF!-TIME(0,0,0))*1440,0)+1440,ROUND((#REF!-TIME(0,0,0))*1440,0))</f>
        <v>#REF!</v>
      </c>
      <c r="R153" s="9" t="e">
        <f>IF(AND(ROUND((#REF!-TIME(0,0,0))*1440,0)&gt;0,ROUND((#REF!-TIME(0,0,0))*1440,0)&lt;tbl_Case_mins[[#This Row],[AnaesthStart]],tbl_Case_mins[[#This Row],[Surgery End Date]]&gt;tbl_Case_mins[[#This Row],[Surgery Start Date]]),ROUND((#REF!-TIME(0,0,0))*1440,0)+1440,ROUND((#REF!-TIME(0,0,0))*1440,0))</f>
        <v>#REF!</v>
      </c>
      <c r="S153" s="9" t="e">
        <f>IF(AND(ROUND((#REF!-TIME(0,0,0))*1440,0),ROUND((#REF!-TIME(0,0,0))*1440,0)&lt;tbl_Case_mins[[#This Row],[Surgery Start]],tbl_Case_mins[[#This Row],[Surgery End Date]]&gt;tbl_Case_mins[[#This Row],[Surgery Start Date]]),ROUND((#REF!-TIME(0,0,0))*1440,0)+1440,ROUND((#REF!-TIME(0,0,0))*1440,0))</f>
        <v>#REF!</v>
      </c>
      <c r="T153" s="9" t="e">
        <f>IF(AND(ROUND((#REF!-TIME(0,0,0))*1440,0)&gt;0,ROUND((#REF!-TIME(0,0,0))*1440,0)&lt;tbl_Case_mins[[#This Row],[Surgery Finish]],tbl_Case_mins[[#This Row],[Surgery End Date]]&gt;tbl_Case_mins[[#This Row],[Surgery Start Date]]),ROUND((#REF!-TIME(0,0,0))*1440,0)+1440,ROUND((#REF!-TIME(0,0,0))*1440,0))</f>
        <v>#REF!</v>
      </c>
      <c r="U153" s="9" t="e">
        <f>IF(AND(ROUND((#REF!-TIME(0,0,0))*1440,0)&gt;0,ROUND((#REF!-TIME(0,0,0))*1440,0)&lt;tbl_Case_mins[[#This Row],[Anaesth End]],tbl_Case_mins[[#This Row],[Surgery End Date]]&gt;tbl_Case_mins[[#This Row],[Surgery Start Date]]),ROUND((#REF!-TIME(0,0,0))*1440,0)+1440,ROUND((#REF!-TIME(0,0,0))*1440,0))</f>
        <v>#REF!</v>
      </c>
      <c r="V153" s="9" t="e">
        <f>IF(AND(ROUND((#REF!-TIME(0,0,0))*1440,0)&gt;0,ROUND((#REF!-TIME(0,0,0))*1440,0)&lt;tbl_Case_mins[[#This Row],[Into Recov]],tbl_Case_mins[[#This Row],[Surgery End Date]]&gt;tbl_Case_mins[[#This Row],[Surgery Start Date]]),ROUND((#REF!-TIME(0,0,0))*1440,0)+1440,ROUND((#REF!-TIME(0,0,0))*1440,0))</f>
        <v>#REF!</v>
      </c>
      <c r="W153" s="9" t="e">
        <f>IF(AND(ROUND((#REF!-TIME(0,0,0))*1440,0)&gt;0,ROUND((#REF!-TIME(0,0,0))*1440,0)&lt;tbl_Case_mins[[#This Row],[Ward Called]],tbl_Case_mins[[#This Row],[Surgery End Date]]&gt;tbl_Case_mins[[#This Row],[Surgery Start Date]]),ROUND((#REF!-TIME(0,0,0))*1440,0)+1440,ROUND((#REF!-TIME(0,0,0))*1440,0))</f>
        <v>#REF!</v>
      </c>
      <c r="X153" s="4" t="e">
        <f>IF(ISBLANK(#REF!),tbl_Case_mins[[#This Row],[Surgery Start Date]],#REF!)</f>
        <v>#REF!</v>
      </c>
      <c r="Y153">
        <f>IFERROR(IF(VLOOKUP(tbl_Case_mins[[#This Row],[Theatre]],'Mng Theatres'!$C$7:$G$12,3,FALSE)="Yes","Yes","No"),0)</f>
        <v>0</v>
      </c>
      <c r="Z153" s="9" t="e" cm="1">
        <f t="array" ref="Z15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3" s="9" t="e" cm="1">
        <f t="array" ref="AA15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3" s="9" t="e">
        <f>IF(tbl_Case_mins[[#This Row],[Case Type]]="Unsch",1,0)</f>
        <v>#REF!</v>
      </c>
      <c r="AD153" s="9" t="e">
        <f>IF(tbl_Case_mins[[#This Row],[Case Type]]="Sch",1,0)</f>
        <v>#REF!</v>
      </c>
      <c r="AE15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3" s="9">
        <f>IFERROR(IF(ISBLANK(INDEX(Am_Close,MATCH(1,INDEX((tbl_Case_mins[[#This Row],[Theatre]]=Theatre_No)*(tbl_Case_mins[[#This Row],[Surgery Start Date]]=Date),0,1),0))*1440),0,INDEX(Am_Close,MATCH(1,INDEX((tbl_Case_mins[[#This Row],[Theatre]]=Theatre_No)*(tbl_Case_mins[[#This Row],[Surgery Start Date]]=Date),0,1),0))*1440),0)</f>
        <v>0</v>
      </c>
      <c r="AG153" s="9">
        <f>IFERROR(IF(ISBLANK(INDEX(PM_Open,MATCH(1,INDEX((tbl_Case_mins[[#This Row],[Theatre]]=Theatre_No)*(tbl_Case_mins[[#This Row],[Surgery Start Date]]=Date),0,1),0))*1440),0,INDEX(PM_Open,MATCH(1,INDEX((tbl_Case_mins[[#This Row],[Theatre]]=Theatre_No)*(tbl_Case_mins[[#This Row],[Surgery Start Date]]=Date),0,1),0))*1440),0)</f>
        <v>0</v>
      </c>
      <c r="AH15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3" s="9" t="e">
        <f>IF(tbl_Case_mins[[#This Row],[ThOpenAm]]=0,tbl_Case_mins[[#This Row],[ThOpenPM]],tbl_Case_mins[[#This Row],[ThOpenAm]])</f>
        <v>#REF!</v>
      </c>
      <c r="AJ153" s="9" t="e">
        <f>IF(tbl_Case_mins[[#This Row],[ThCloseAm]]&gt;0,IF(tbl_Case_mins[[#This Row],[ThOpenPM]]&gt;0,tbl_Case_mins[[#This Row],[ThClosePm]],tbl_Case_mins[[#This Row],[ThCloseAm]]),tbl_Case_mins[[#This Row],[ThClosePm]])</f>
        <v>#REF!</v>
      </c>
      <c r="AK153" s="9" t="e">
        <f>IF(tbl_Case_mins[[#This Row],[TOT]]&gt;0,1,0)</f>
        <v>#REF!</v>
      </c>
      <c r="AL15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3" s="9" t="e">
        <f>IF(AND(tbl_Case_mins[[#This Row],[Surgery Status]]&lt;&gt;2,tbl_Case_mins[[#This Row],[InCoreCase]]=0,tbl_Case_mins[[#This Row],[CancelledCase]]=0),1,0)</f>
        <v>#REF!</v>
      </c>
      <c r="AN153" s="9" t="e">
        <f>IF(tbl_Case_mins[[#This Row],[Surgery Status]]=1,1,0)</f>
        <v>#REF!</v>
      </c>
      <c r="AO15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3" s="9" t="e">
        <f>IF(AND(tbl_Case_mins[[#This Row],[NonCoreCase]]=1,tbl_Case_mins[[#This Row],[NoInCoreTime]]=0),1,0)</f>
        <v>#REF!</v>
      </c>
      <c r="AQ153" s="9" t="e">
        <f>IF(tbl_Case_mins[[#This Row],[Rank_AnaEnd]]&lt;tbl_Case_mins[[#This Row],[Rank_AnaSt]],1,0)</f>
        <v>#REF!</v>
      </c>
      <c r="AR153" s="9" t="e">
        <f>IF(AND(tbl_Case_mins[[#This Row],[InCoreCase]]=1,tbl_Case_mins[[#This Row],[Sch]]=1),1,0)</f>
        <v>#REF!</v>
      </c>
      <c r="AS153" s="9" t="e">
        <f>IF(AND(tbl_Case_mins[[#This Row],[InCoreCase]]=1,tbl_Case_mins[[#This Row],[Unsch]]=1),1,0)</f>
        <v>#REF!</v>
      </c>
      <c r="AT15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3" s="9" t="e">
        <f>IF(tbl_Case_mins[[#This Row],[Surgery Status]]=0,(tbl_Case_mins[[#This Row],[Anaesth End]]-tbl_Case_mins[[#This Row],[AnaesthStart]]),0)</f>
        <v>#REF!</v>
      </c>
      <c r="AX153" s="9" t="e">
        <f>IF(tbl_Case_mins[[#This Row],[Surgery Status]]=0,(tbl_Case_mins[[#This Row],[Surgery Finish]]-tbl_Case_mins[[#This Row],[Surgery Start]]),0)</f>
        <v>#REF!</v>
      </c>
      <c r="AY153" s="9" t="e">
        <f>tbl_Case_mins[[#This Row],[Surgery Start]]-tbl_Case_mins[[#This Row],[AnaesthStart]]</f>
        <v>#REF!</v>
      </c>
      <c r="AZ153" s="9" t="e">
        <f>tbl_Case_mins[[#This Row],[Anaesth End]]-tbl_Case_mins[[#This Row],[Surgery Finish]]</f>
        <v>#REF!</v>
      </c>
      <c r="BA15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3" s="16" cm="1">
        <f t="array" ref="BC15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3" s="16" t="e">
        <f>IF(AND(tbl_Case_mins[[#This Row],[FirstAMCase]]=1,tbl_Case_mins[[#This Row],[CancelledCase]]=0,OR(tbl_Case_mins[[#This Row],[EarlyStartAM]]&gt;0,tbl_Case_mins[[#This Row],[AnaesthStart]]=tbl_Case_mins[[#This Row],[ThOpenAm]])),1,0)</f>
        <v>#REF!</v>
      </c>
      <c r="BE153" s="16" t="e">
        <f>IF(AND(tbl_Case_mins[[#This Row],[Rank_AnaSt]]=tbl_Case_mins[[#This Row],[Min_RankAnaSt]],tbl_Case_mins[[#This Row],[Anaesth End]]&gt;=tbl_Case_mins[[#This Row],[ThOpenAm]],tbl_Case_mins[[#This Row],[PmCase]]=0),1,0)</f>
        <v>#REF!</v>
      </c>
      <c r="BF15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3" s="9" t="e" cm="1">
        <f t="array" ref="BH15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3" s="9" t="e">
        <f>IF(AND(tbl_Case_mins[[#This Row],[ThOpenPM]]&gt;0,tbl_Case_mins[[#This Row],[AnaesthStart]]&gt;tbl_Case_mins[[#This Row],[ThOpenPM]],tbl_Case_mins[[#This Row],[First PM Case]]=1),tbl_Case_mins[[#This Row],[AnaesthStart]]-tbl_Case_mins[[#This Row],[ThOpenPM]],0)</f>
        <v>#REF!</v>
      </c>
      <c r="BL15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3" s="9" t="e" cm="1">
        <f t="array" ref="BN15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3" s="9" t="e">
        <f>IF(AND(tbl_Case_mins[[#This Row],[ThClosePm]]&gt;0,tbl_Case_mins[[#This Row],[Anaesth End]]&gt;tbl_Case_mins[[#This Row],[ThClosePm]],tbl_Case_mins[[#This Row],[AnaesthStart]]&gt;tbl_Case_mins[[#This Row],[ThClosePm]]),tbl_Case_mins[[#This Row],[Into Recov]]-tbl_Case_mins[[#This Row],[AnaesthStart]],0)</f>
        <v>#REF!</v>
      </c>
      <c r="BP153" s="9" t="e">
        <f>IF(AND(tbl_Case_mins[[#This Row],[AnaesthStart]]&lt;tbl_Case_mins[[#This Row],[ThClosePm]],tbl_Case_mins[[#This Row],[Anaesth End]]&gt;tbl_Case_mins[[#This Row],[ThClosePm]]),tbl_Case_mins[[#This Row],[Anaesth End]]-tbl_Case_mins[[#This Row],[ThClosePm]],0)</f>
        <v>#REF!</v>
      </c>
      <c r="BQ153" s="9" t="e" cm="1">
        <f t="array" ref="BQ15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3" s="9" t="e" cm="1">
        <f t="array" ref="BR153">IF(tbl_Case_mins[[#This Row],[Rank_Adjust]]=SUMPRODUCT(-(tbl_Case_mins[Surgery Start Date]=tbl_Case_mins[[#This Row],[Surgery Start Date]]),-(tbl_Case_mins[Theatre]=tbl_Case_mins[[#This Row],[Theatre]])),INDEX(Poss_Time,MATCH(TEXT(tbl_Case_mins[[#This Row],[Surgery Start Date]],"ddd"),Day,0)),0)</f>
        <v>#REF!</v>
      </c>
      <c r="BS153" s="9" t="e">
        <f>tbl_Case_mins[[#This Row],[Core_Time]]*Util_Goal</f>
        <v>#REF!</v>
      </c>
      <c r="BT153" s="9" t="e" cm="1">
        <f t="array" ref="BT1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3" s="9" t="e" cm="1">
        <f t="array" ref="BU1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3" s="9" t="e">
        <f>IF(tbl_Case_mins[[#This Row],[Surgery End Date]]&gt;tbl_Case_mins[[#This Row],[Surgery Start Date]],tbl_Case_mins[[#This Row],[Anaesth End]]-1440,0)</f>
        <v>#REF!</v>
      </c>
      <c r="BY153" s="9" t="e">
        <f>tbl_Case_mins[[#This Row],[Total_NonCore]]-tbl_Case_mins[[#This Row],[NextDay_NonCore]]</f>
        <v>#REF!</v>
      </c>
      <c r="BZ153" s="10" t="e">
        <f>tbl_Case_mins[[#This Row],[InCoreUse]]/60</f>
        <v>#REF!</v>
      </c>
      <c r="CA153" s="10" t="e">
        <f>tbl_Case_mins[[#This Row],[Total_NonCore]]/60</f>
        <v>#REF!</v>
      </c>
      <c r="CB153" t="e" cm="1">
        <f t="array" ref="CB1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3" s="9" t="e" cm="1">
        <f t="array" ref="CC15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3" s="9" t="e" cm="1">
        <f t="array" ref="CD1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3" s="9" t="e" cm="1">
        <f t="array" ref="CE15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3" s="9" cm="1">
        <f t="array" ref="CF153">IFERROR(_xlfn.AGGREGATE(14,6,(tbl_Case_mins[Rank_AnaEnd])/((tbl_Case_mins[Surgery Start Date]=tbl_Case_mins[[#This Row],[Surgery Start Date]])*(tbl_Case_mins[Theatre]=tbl_Case_mins[[#This Row],[Theatre]])*(tbl_Case_mins[NoInCoreTime]=0)),1),-1)</f>
        <v>-1</v>
      </c>
      <c r="CG153" s="9" cm="1">
        <f t="array" ref="CG153">IFERROR(_xlfn.AGGREGATE(15,6,(tbl_Case_mins[Rank_AnaSt])/((tbl_Case_mins[Surgery Start Date]=tbl_Case_mins[[#This Row],[Surgery Start Date]])*(tbl_Case_mins[Theatre]=tbl_Case_mins[[#This Row],[Theatre]])*(tbl_Case_mins[NoInCoreTime]=0)),1),-1)</f>
        <v>-1</v>
      </c>
      <c r="CH15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3" t="e" cm="1">
        <f t="array" ref="CJ15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3" s="9" cm="1">
        <f t="array" ref="CO1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3" s="9" cm="1">
        <f t="array" ref="CP1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3" s="9" cm="1">
        <f t="array" ref="CQ153">IFERROR(IF(AND(tbl_Case_mins[[#This Row],[FirstAMCase]]=0,tbl_Case_mins[[#This Row],[Rank]]=_xlfn.AGGREGATE(14,6,(tbl_Case_mins[Rank])/((tbl_Case_mins[Surgery Start Date]=tbl_Case_mins[[#This Row],[Surgery Start Date]])*(tbl_Case_mins[Theatre]=tbl_Case_mins[[#This Row],[Theatre]])*(tbl_Case_mins[AmCase]=1)),1)),1,0),0)</f>
        <v>0</v>
      </c>
      <c r="CR153" s="9" cm="1">
        <f t="array" ref="CR15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3" s="9" t="e" cm="1">
        <f t="array" ref="CS15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3" s="9" cm="1">
        <f t="array" ref="CT153">IFERROR(IF(tbl_Case_mins[[#This Row],[Rank]]=_xlfn.AGGREGATE(15,6,(tbl_Case_mins[Rank])/((tbl_Case_mins[Surgery Start Date]=tbl_Case_mins[[#This Row],[Surgery Start Date]])*(tbl_Case_mins[Theatre]=tbl_Case_mins[[#This Row],[Theatre]])*(tbl_Case_mins[PmCase]=1)),1),1,0),0)</f>
        <v>0</v>
      </c>
      <c r="CU153">
        <f>IFERROR(#REF!,0)</f>
        <v>0</v>
      </c>
      <c r="CV153" s="9" t="e" cm="1">
        <f t="array" ref="CV15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3" s="9">
        <f>IFERROR(IF(ISBLANK(INDEX(Bay_AmClose,MATCH(1,INDEX((tbl_Case_mins[[#This Row],[Bay]]=BayNo)*(tbl_Case_mins[[#This Row],[Surgery Start Date]]=BDate),0,1),0))*1440),0,INDEX(Bay_AmClose,MATCH(1,INDEX((tbl_Case_mins[[#This Row],[Bay]]=BayNo)*(tbl_Case_mins[[#This Row],[Surgery Start Date]]=BDate),0,1),0))*1440),0)</f>
        <v>0</v>
      </c>
      <c r="CX153" s="9" cm="1">
        <f t="array" ref="CX153">IFERROR(IF(ISBLANK(INDEX(Bay_PmOpen,MATCH(1,INDEX((tbl_Case_mins[[#This Row],[Bay]]=BayNo)*(tbl_Case_mins[[#This Row],[Surgery Start Date]]=BDate),0,1),0))*1440),0,INDEX(Bay_PmOpen,MATCH(1,INDEX((tbl_Case_mins[[#This Row],[Bay]]=BayNo)*(tbl_Case_mins[[#This Row],[Surgery Start Date]]=BDate),0,1),0))*1440),0)</f>
        <v>0</v>
      </c>
      <c r="CY15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3" s="9"/>
    </row>
    <row r="154" spans="1:104" x14ac:dyDescent="0.2">
      <c r="A154">
        <v>153</v>
      </c>
      <c r="B154" t="e">
        <f>#REF!</f>
        <v>#REF!</v>
      </c>
      <c r="C154" t="e">
        <f>#REF!</f>
        <v>#REF!</v>
      </c>
      <c r="D154" t="e">
        <f>#REF!</f>
        <v>#REF!</v>
      </c>
      <c r="E154" t="e">
        <f>#REF!</f>
        <v>#REF!</v>
      </c>
      <c r="F154" t="e">
        <f>#REF!</f>
        <v>#REF!</v>
      </c>
      <c r="G154" t="e">
        <f>#REF!</f>
        <v>#REF!</v>
      </c>
      <c r="H154" t="e">
        <f>#REF!</f>
        <v>#REF!</v>
      </c>
      <c r="I154" t="e">
        <f>IF(#REF!="Case Cancelled",1,IF(#REF!="No Cases",2,0))</f>
        <v>#REF!</v>
      </c>
      <c r="J154" t="e">
        <f>#REF!</f>
        <v>#REF!</v>
      </c>
      <c r="K154" s="4" t="e">
        <f>#REF!</f>
        <v>#REF!</v>
      </c>
      <c r="L154" t="e">
        <f>"Wk "&amp;WEEKNUM(tbl_Case_mins[[#This Row],[Surgery Start Date]],21)</f>
        <v>#REF!</v>
      </c>
      <c r="M154" t="e">
        <f>TEXT(tbl_Case_mins[[#This Row],[Surgery Start Date]],"ddd")</f>
        <v>#REF!</v>
      </c>
      <c r="N154" s="9" t="e">
        <f>(#REF!-TIME(0,0,0))*1440</f>
        <v>#REF!</v>
      </c>
      <c r="O154" t="e">
        <f>IF(AND(ROUND((#REF!-TIME(0,0,0))*1440,0)&gt;0,ROUND((#REF!-TIME(0,0,0))*1440,0)&lt;tbl_Case_mins[[#This Row],[Patient Called]],tbl_Case_mins[[#This Row],[Surgery End Date]]&gt;tbl_Case_mins[[#This Row],[Surgery Start Date]]),ROUND((#REF!-TIME(0,0,0))*1440,0)+1440,ROUND((#REF!-TIME(0,0,0))*1440,0))</f>
        <v>#REF!</v>
      </c>
      <c r="P154" s="9" t="e">
        <f>IF(AND(ROUND((#REF!-TIME(0,0,0))*1440,0)&gt;0,ROUND((#REF!-TIME(0,0,0))*1440,0)&lt;tbl_Case_mins[[#This Row],[Arrival]],tbl_Case_mins[[#This Row],[Surgery End Date]]&gt;tbl_Case_mins[[#This Row],[Surgery Start Date]]),ROUND((#REF!-TIME(0,0,0))*1440,0)+1440,ROUND((#REF!-TIME(0,0,0))*1440,0))</f>
        <v>#REF!</v>
      </c>
      <c r="Q154" s="9" t="e">
        <f>IF(AND(ROUND((#REF!-TIME(0,0,0))*1440,0)&gt;0,ROUND((#REF!-TIME(0,0,0))*1440,0)&lt;tbl_Case_mins[[#This Row],[Into Th or AR]],tbl_Case_mins[[#This Row],[Surgery End Date]]&gt;tbl_Case_mins[[#This Row],[Surgery Start Date]]),ROUND((#REF!-TIME(0,0,0))*1440,0)+1440,ROUND((#REF!-TIME(0,0,0))*1440,0))</f>
        <v>#REF!</v>
      </c>
      <c r="R154" s="9" t="e">
        <f>IF(AND(ROUND((#REF!-TIME(0,0,0))*1440,0)&gt;0,ROUND((#REF!-TIME(0,0,0))*1440,0)&lt;tbl_Case_mins[[#This Row],[AnaesthStart]],tbl_Case_mins[[#This Row],[Surgery End Date]]&gt;tbl_Case_mins[[#This Row],[Surgery Start Date]]),ROUND((#REF!-TIME(0,0,0))*1440,0)+1440,ROUND((#REF!-TIME(0,0,0))*1440,0))</f>
        <v>#REF!</v>
      </c>
      <c r="S154" s="9" t="e">
        <f>IF(AND(ROUND((#REF!-TIME(0,0,0))*1440,0),ROUND((#REF!-TIME(0,0,0))*1440,0)&lt;tbl_Case_mins[[#This Row],[Surgery Start]],tbl_Case_mins[[#This Row],[Surgery End Date]]&gt;tbl_Case_mins[[#This Row],[Surgery Start Date]]),ROUND((#REF!-TIME(0,0,0))*1440,0)+1440,ROUND((#REF!-TIME(0,0,0))*1440,0))</f>
        <v>#REF!</v>
      </c>
      <c r="T154" s="9" t="e">
        <f>IF(AND(ROUND((#REF!-TIME(0,0,0))*1440,0)&gt;0,ROUND((#REF!-TIME(0,0,0))*1440,0)&lt;tbl_Case_mins[[#This Row],[Surgery Finish]],tbl_Case_mins[[#This Row],[Surgery End Date]]&gt;tbl_Case_mins[[#This Row],[Surgery Start Date]]),ROUND((#REF!-TIME(0,0,0))*1440,0)+1440,ROUND((#REF!-TIME(0,0,0))*1440,0))</f>
        <v>#REF!</v>
      </c>
      <c r="U154" s="9" t="e">
        <f>IF(AND(ROUND((#REF!-TIME(0,0,0))*1440,0)&gt;0,ROUND((#REF!-TIME(0,0,0))*1440,0)&lt;tbl_Case_mins[[#This Row],[Anaesth End]],tbl_Case_mins[[#This Row],[Surgery End Date]]&gt;tbl_Case_mins[[#This Row],[Surgery Start Date]]),ROUND((#REF!-TIME(0,0,0))*1440,0)+1440,ROUND((#REF!-TIME(0,0,0))*1440,0))</f>
        <v>#REF!</v>
      </c>
      <c r="V154" s="9" t="e">
        <f>IF(AND(ROUND((#REF!-TIME(0,0,0))*1440,0)&gt;0,ROUND((#REF!-TIME(0,0,0))*1440,0)&lt;tbl_Case_mins[[#This Row],[Into Recov]],tbl_Case_mins[[#This Row],[Surgery End Date]]&gt;tbl_Case_mins[[#This Row],[Surgery Start Date]]),ROUND((#REF!-TIME(0,0,0))*1440,0)+1440,ROUND((#REF!-TIME(0,0,0))*1440,0))</f>
        <v>#REF!</v>
      </c>
      <c r="W154" s="9" t="e">
        <f>IF(AND(ROUND((#REF!-TIME(0,0,0))*1440,0)&gt;0,ROUND((#REF!-TIME(0,0,0))*1440,0)&lt;tbl_Case_mins[[#This Row],[Ward Called]],tbl_Case_mins[[#This Row],[Surgery End Date]]&gt;tbl_Case_mins[[#This Row],[Surgery Start Date]]),ROUND((#REF!-TIME(0,0,0))*1440,0)+1440,ROUND((#REF!-TIME(0,0,0))*1440,0))</f>
        <v>#REF!</v>
      </c>
      <c r="X154" s="4" t="e">
        <f>IF(ISBLANK(#REF!),tbl_Case_mins[[#This Row],[Surgery Start Date]],#REF!)</f>
        <v>#REF!</v>
      </c>
      <c r="Y154">
        <f>IFERROR(IF(VLOOKUP(tbl_Case_mins[[#This Row],[Theatre]],'Mng Theatres'!$C$7:$G$12,3,FALSE)="Yes","Yes","No"),0)</f>
        <v>0</v>
      </c>
      <c r="Z154" s="9" t="e" cm="1">
        <f t="array" ref="Z15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4" s="9" t="e" cm="1">
        <f t="array" ref="AA15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4" s="9" t="e">
        <f>IF(tbl_Case_mins[[#This Row],[Case Type]]="Unsch",1,0)</f>
        <v>#REF!</v>
      </c>
      <c r="AD154" s="9" t="e">
        <f>IF(tbl_Case_mins[[#This Row],[Case Type]]="Sch",1,0)</f>
        <v>#REF!</v>
      </c>
      <c r="AE15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4" s="9">
        <f>IFERROR(IF(ISBLANK(INDEX(Am_Close,MATCH(1,INDEX((tbl_Case_mins[[#This Row],[Theatre]]=Theatre_No)*(tbl_Case_mins[[#This Row],[Surgery Start Date]]=Date),0,1),0))*1440),0,INDEX(Am_Close,MATCH(1,INDEX((tbl_Case_mins[[#This Row],[Theatre]]=Theatre_No)*(tbl_Case_mins[[#This Row],[Surgery Start Date]]=Date),0,1),0))*1440),0)</f>
        <v>0</v>
      </c>
      <c r="AG154" s="9">
        <f>IFERROR(IF(ISBLANK(INDEX(PM_Open,MATCH(1,INDEX((tbl_Case_mins[[#This Row],[Theatre]]=Theatre_No)*(tbl_Case_mins[[#This Row],[Surgery Start Date]]=Date),0,1),0))*1440),0,INDEX(PM_Open,MATCH(1,INDEX((tbl_Case_mins[[#This Row],[Theatre]]=Theatre_No)*(tbl_Case_mins[[#This Row],[Surgery Start Date]]=Date),0,1),0))*1440),0)</f>
        <v>0</v>
      </c>
      <c r="AH15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4" s="9" t="e">
        <f>IF(tbl_Case_mins[[#This Row],[ThOpenAm]]=0,tbl_Case_mins[[#This Row],[ThOpenPM]],tbl_Case_mins[[#This Row],[ThOpenAm]])</f>
        <v>#REF!</v>
      </c>
      <c r="AJ154" s="9" t="e">
        <f>IF(tbl_Case_mins[[#This Row],[ThCloseAm]]&gt;0,IF(tbl_Case_mins[[#This Row],[ThOpenPM]]&gt;0,tbl_Case_mins[[#This Row],[ThClosePm]],tbl_Case_mins[[#This Row],[ThCloseAm]]),tbl_Case_mins[[#This Row],[ThClosePm]])</f>
        <v>#REF!</v>
      </c>
      <c r="AK154" s="9" t="e">
        <f>IF(tbl_Case_mins[[#This Row],[TOT]]&gt;0,1,0)</f>
        <v>#REF!</v>
      </c>
      <c r="AL15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4" s="9" t="e">
        <f>IF(AND(tbl_Case_mins[[#This Row],[Surgery Status]]&lt;&gt;2,tbl_Case_mins[[#This Row],[InCoreCase]]=0,tbl_Case_mins[[#This Row],[CancelledCase]]=0),1,0)</f>
        <v>#REF!</v>
      </c>
      <c r="AN154" s="9" t="e">
        <f>IF(tbl_Case_mins[[#This Row],[Surgery Status]]=1,1,0)</f>
        <v>#REF!</v>
      </c>
      <c r="AO15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4" s="9" t="e">
        <f>IF(AND(tbl_Case_mins[[#This Row],[NonCoreCase]]=1,tbl_Case_mins[[#This Row],[NoInCoreTime]]=0),1,0)</f>
        <v>#REF!</v>
      </c>
      <c r="AQ154" s="9" t="e">
        <f>IF(tbl_Case_mins[[#This Row],[Rank_AnaEnd]]&lt;tbl_Case_mins[[#This Row],[Rank_AnaSt]],1,0)</f>
        <v>#REF!</v>
      </c>
      <c r="AR154" s="9" t="e">
        <f>IF(AND(tbl_Case_mins[[#This Row],[InCoreCase]]=1,tbl_Case_mins[[#This Row],[Sch]]=1),1,0)</f>
        <v>#REF!</v>
      </c>
      <c r="AS154" s="9" t="e">
        <f>IF(AND(tbl_Case_mins[[#This Row],[InCoreCase]]=1,tbl_Case_mins[[#This Row],[Unsch]]=1),1,0)</f>
        <v>#REF!</v>
      </c>
      <c r="AT15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4" s="9" t="e">
        <f>IF(tbl_Case_mins[[#This Row],[Surgery Status]]=0,(tbl_Case_mins[[#This Row],[Anaesth End]]-tbl_Case_mins[[#This Row],[AnaesthStart]]),0)</f>
        <v>#REF!</v>
      </c>
      <c r="AX154" s="9" t="e">
        <f>IF(tbl_Case_mins[[#This Row],[Surgery Status]]=0,(tbl_Case_mins[[#This Row],[Surgery Finish]]-tbl_Case_mins[[#This Row],[Surgery Start]]),0)</f>
        <v>#REF!</v>
      </c>
      <c r="AY154" s="9" t="e">
        <f>tbl_Case_mins[[#This Row],[Surgery Start]]-tbl_Case_mins[[#This Row],[AnaesthStart]]</f>
        <v>#REF!</v>
      </c>
      <c r="AZ154" s="9" t="e">
        <f>tbl_Case_mins[[#This Row],[Anaesth End]]-tbl_Case_mins[[#This Row],[Surgery Finish]]</f>
        <v>#REF!</v>
      </c>
      <c r="BA15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4" s="16" cm="1">
        <f t="array" ref="BC15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4" s="16" t="e">
        <f>IF(AND(tbl_Case_mins[[#This Row],[FirstAMCase]]=1,tbl_Case_mins[[#This Row],[CancelledCase]]=0,OR(tbl_Case_mins[[#This Row],[EarlyStartAM]]&gt;0,tbl_Case_mins[[#This Row],[AnaesthStart]]=tbl_Case_mins[[#This Row],[ThOpenAm]])),1,0)</f>
        <v>#REF!</v>
      </c>
      <c r="BE154" s="16" t="e">
        <f>IF(AND(tbl_Case_mins[[#This Row],[Rank_AnaSt]]=tbl_Case_mins[[#This Row],[Min_RankAnaSt]],tbl_Case_mins[[#This Row],[Anaesth End]]&gt;=tbl_Case_mins[[#This Row],[ThOpenAm]],tbl_Case_mins[[#This Row],[PmCase]]=0),1,0)</f>
        <v>#REF!</v>
      </c>
      <c r="BF15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4" s="9" t="e" cm="1">
        <f t="array" ref="BH15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4" s="9" t="e">
        <f>IF(AND(tbl_Case_mins[[#This Row],[ThOpenPM]]&gt;0,tbl_Case_mins[[#This Row],[AnaesthStart]]&gt;tbl_Case_mins[[#This Row],[ThOpenPM]],tbl_Case_mins[[#This Row],[First PM Case]]=1),tbl_Case_mins[[#This Row],[AnaesthStart]]-tbl_Case_mins[[#This Row],[ThOpenPM]],0)</f>
        <v>#REF!</v>
      </c>
      <c r="BL15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4" s="9" t="e" cm="1">
        <f t="array" ref="BN15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4" s="9" t="e">
        <f>IF(AND(tbl_Case_mins[[#This Row],[ThClosePm]]&gt;0,tbl_Case_mins[[#This Row],[Anaesth End]]&gt;tbl_Case_mins[[#This Row],[ThClosePm]],tbl_Case_mins[[#This Row],[AnaesthStart]]&gt;tbl_Case_mins[[#This Row],[ThClosePm]]),tbl_Case_mins[[#This Row],[Into Recov]]-tbl_Case_mins[[#This Row],[AnaesthStart]],0)</f>
        <v>#REF!</v>
      </c>
      <c r="BP154" s="9" t="e">
        <f>IF(AND(tbl_Case_mins[[#This Row],[AnaesthStart]]&lt;tbl_Case_mins[[#This Row],[ThClosePm]],tbl_Case_mins[[#This Row],[Anaesth End]]&gt;tbl_Case_mins[[#This Row],[ThClosePm]]),tbl_Case_mins[[#This Row],[Anaesth End]]-tbl_Case_mins[[#This Row],[ThClosePm]],0)</f>
        <v>#REF!</v>
      </c>
      <c r="BQ154" s="9" t="e" cm="1">
        <f t="array" ref="BQ15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4" s="9" t="e" cm="1">
        <f t="array" ref="BR154">IF(tbl_Case_mins[[#This Row],[Rank_Adjust]]=SUMPRODUCT(-(tbl_Case_mins[Surgery Start Date]=tbl_Case_mins[[#This Row],[Surgery Start Date]]),-(tbl_Case_mins[Theatre]=tbl_Case_mins[[#This Row],[Theatre]])),INDEX(Poss_Time,MATCH(TEXT(tbl_Case_mins[[#This Row],[Surgery Start Date]],"ddd"),Day,0)),0)</f>
        <v>#REF!</v>
      </c>
      <c r="BS154" s="9" t="e">
        <f>tbl_Case_mins[[#This Row],[Core_Time]]*Util_Goal</f>
        <v>#REF!</v>
      </c>
      <c r="BT154" s="9" t="e" cm="1">
        <f t="array" ref="BT1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4" s="9" t="e" cm="1">
        <f t="array" ref="BU1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4" s="9" t="e">
        <f>IF(tbl_Case_mins[[#This Row],[Surgery End Date]]&gt;tbl_Case_mins[[#This Row],[Surgery Start Date]],tbl_Case_mins[[#This Row],[Anaesth End]]-1440,0)</f>
        <v>#REF!</v>
      </c>
      <c r="BY154" s="9" t="e">
        <f>tbl_Case_mins[[#This Row],[Total_NonCore]]-tbl_Case_mins[[#This Row],[NextDay_NonCore]]</f>
        <v>#REF!</v>
      </c>
      <c r="BZ154" s="10" t="e">
        <f>tbl_Case_mins[[#This Row],[InCoreUse]]/60</f>
        <v>#REF!</v>
      </c>
      <c r="CA154" s="10" t="e">
        <f>tbl_Case_mins[[#This Row],[Total_NonCore]]/60</f>
        <v>#REF!</v>
      </c>
      <c r="CB154" t="e" cm="1">
        <f t="array" ref="CB1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4" s="9" t="e" cm="1">
        <f t="array" ref="CC15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4" s="9" t="e" cm="1">
        <f t="array" ref="CD1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4" s="9" t="e" cm="1">
        <f t="array" ref="CE15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4" s="9" cm="1">
        <f t="array" ref="CF154">IFERROR(_xlfn.AGGREGATE(14,6,(tbl_Case_mins[Rank_AnaEnd])/((tbl_Case_mins[Surgery Start Date]=tbl_Case_mins[[#This Row],[Surgery Start Date]])*(tbl_Case_mins[Theatre]=tbl_Case_mins[[#This Row],[Theatre]])*(tbl_Case_mins[NoInCoreTime]=0)),1),-1)</f>
        <v>-1</v>
      </c>
      <c r="CG154" s="9" cm="1">
        <f t="array" ref="CG154">IFERROR(_xlfn.AGGREGATE(15,6,(tbl_Case_mins[Rank_AnaSt])/((tbl_Case_mins[Surgery Start Date]=tbl_Case_mins[[#This Row],[Surgery Start Date]])*(tbl_Case_mins[Theatre]=tbl_Case_mins[[#This Row],[Theatre]])*(tbl_Case_mins[NoInCoreTime]=0)),1),-1)</f>
        <v>-1</v>
      </c>
      <c r="CH15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4" t="e" cm="1">
        <f t="array" ref="CJ15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4" s="9" cm="1">
        <f t="array" ref="CO1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4" s="9" cm="1">
        <f t="array" ref="CP1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4" s="9" cm="1">
        <f t="array" ref="CQ154">IFERROR(IF(AND(tbl_Case_mins[[#This Row],[FirstAMCase]]=0,tbl_Case_mins[[#This Row],[Rank]]=_xlfn.AGGREGATE(14,6,(tbl_Case_mins[Rank])/((tbl_Case_mins[Surgery Start Date]=tbl_Case_mins[[#This Row],[Surgery Start Date]])*(tbl_Case_mins[Theatre]=tbl_Case_mins[[#This Row],[Theatre]])*(tbl_Case_mins[AmCase]=1)),1)),1,0),0)</f>
        <v>0</v>
      </c>
      <c r="CR154" s="9" cm="1">
        <f t="array" ref="CR15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4" s="9" t="e" cm="1">
        <f t="array" ref="CS15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4" s="9" cm="1">
        <f t="array" ref="CT154">IFERROR(IF(tbl_Case_mins[[#This Row],[Rank]]=_xlfn.AGGREGATE(15,6,(tbl_Case_mins[Rank])/((tbl_Case_mins[Surgery Start Date]=tbl_Case_mins[[#This Row],[Surgery Start Date]])*(tbl_Case_mins[Theatre]=tbl_Case_mins[[#This Row],[Theatre]])*(tbl_Case_mins[PmCase]=1)),1),1,0),0)</f>
        <v>0</v>
      </c>
      <c r="CU154">
        <f>IFERROR(#REF!,0)</f>
        <v>0</v>
      </c>
      <c r="CV154" s="9" t="e" cm="1">
        <f t="array" ref="CV15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4" s="9">
        <f>IFERROR(IF(ISBLANK(INDEX(Bay_AmClose,MATCH(1,INDEX((tbl_Case_mins[[#This Row],[Bay]]=BayNo)*(tbl_Case_mins[[#This Row],[Surgery Start Date]]=BDate),0,1),0))*1440),0,INDEX(Bay_AmClose,MATCH(1,INDEX((tbl_Case_mins[[#This Row],[Bay]]=BayNo)*(tbl_Case_mins[[#This Row],[Surgery Start Date]]=BDate),0,1),0))*1440),0)</f>
        <v>0</v>
      </c>
      <c r="CX154" s="9" cm="1">
        <f t="array" ref="CX154">IFERROR(IF(ISBLANK(INDEX(Bay_PmOpen,MATCH(1,INDEX((tbl_Case_mins[[#This Row],[Bay]]=BayNo)*(tbl_Case_mins[[#This Row],[Surgery Start Date]]=BDate),0,1),0))*1440),0,INDEX(Bay_PmOpen,MATCH(1,INDEX((tbl_Case_mins[[#This Row],[Bay]]=BayNo)*(tbl_Case_mins[[#This Row],[Surgery Start Date]]=BDate),0,1),0))*1440),0)</f>
        <v>0</v>
      </c>
      <c r="CY15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4" s="9"/>
    </row>
    <row r="155" spans="1:104" x14ac:dyDescent="0.2">
      <c r="A155">
        <v>154</v>
      </c>
      <c r="B155" t="e">
        <f>#REF!</f>
        <v>#REF!</v>
      </c>
      <c r="C155" t="e">
        <f>#REF!</f>
        <v>#REF!</v>
      </c>
      <c r="D155" t="e">
        <f>#REF!</f>
        <v>#REF!</v>
      </c>
      <c r="E155" t="e">
        <f>#REF!</f>
        <v>#REF!</v>
      </c>
      <c r="F155" t="e">
        <f>#REF!</f>
        <v>#REF!</v>
      </c>
      <c r="G155" t="e">
        <f>#REF!</f>
        <v>#REF!</v>
      </c>
      <c r="H155" t="e">
        <f>#REF!</f>
        <v>#REF!</v>
      </c>
      <c r="I155" t="e">
        <f>IF(#REF!="Case Cancelled",1,IF(#REF!="No Cases",2,0))</f>
        <v>#REF!</v>
      </c>
      <c r="J155" t="e">
        <f>#REF!</f>
        <v>#REF!</v>
      </c>
      <c r="K155" s="4" t="e">
        <f>#REF!</f>
        <v>#REF!</v>
      </c>
      <c r="L155" t="e">
        <f>"Wk "&amp;WEEKNUM(tbl_Case_mins[[#This Row],[Surgery Start Date]],21)</f>
        <v>#REF!</v>
      </c>
      <c r="M155" t="e">
        <f>TEXT(tbl_Case_mins[[#This Row],[Surgery Start Date]],"ddd")</f>
        <v>#REF!</v>
      </c>
      <c r="N155" s="9" t="e">
        <f>(#REF!-TIME(0,0,0))*1440</f>
        <v>#REF!</v>
      </c>
      <c r="O155" t="e">
        <f>IF(AND(ROUND((#REF!-TIME(0,0,0))*1440,0)&gt;0,ROUND((#REF!-TIME(0,0,0))*1440,0)&lt;tbl_Case_mins[[#This Row],[Patient Called]],tbl_Case_mins[[#This Row],[Surgery End Date]]&gt;tbl_Case_mins[[#This Row],[Surgery Start Date]]),ROUND((#REF!-TIME(0,0,0))*1440,0)+1440,ROUND((#REF!-TIME(0,0,0))*1440,0))</f>
        <v>#REF!</v>
      </c>
      <c r="P155" s="9" t="e">
        <f>IF(AND(ROUND((#REF!-TIME(0,0,0))*1440,0)&gt;0,ROUND((#REF!-TIME(0,0,0))*1440,0)&lt;tbl_Case_mins[[#This Row],[Arrival]],tbl_Case_mins[[#This Row],[Surgery End Date]]&gt;tbl_Case_mins[[#This Row],[Surgery Start Date]]),ROUND((#REF!-TIME(0,0,0))*1440,0)+1440,ROUND((#REF!-TIME(0,0,0))*1440,0))</f>
        <v>#REF!</v>
      </c>
      <c r="Q155" s="9" t="e">
        <f>IF(AND(ROUND((#REF!-TIME(0,0,0))*1440,0)&gt;0,ROUND((#REF!-TIME(0,0,0))*1440,0)&lt;tbl_Case_mins[[#This Row],[Into Th or AR]],tbl_Case_mins[[#This Row],[Surgery End Date]]&gt;tbl_Case_mins[[#This Row],[Surgery Start Date]]),ROUND((#REF!-TIME(0,0,0))*1440,0)+1440,ROUND((#REF!-TIME(0,0,0))*1440,0))</f>
        <v>#REF!</v>
      </c>
      <c r="R155" s="9" t="e">
        <f>IF(AND(ROUND((#REF!-TIME(0,0,0))*1440,0)&gt;0,ROUND((#REF!-TIME(0,0,0))*1440,0)&lt;tbl_Case_mins[[#This Row],[AnaesthStart]],tbl_Case_mins[[#This Row],[Surgery End Date]]&gt;tbl_Case_mins[[#This Row],[Surgery Start Date]]),ROUND((#REF!-TIME(0,0,0))*1440,0)+1440,ROUND((#REF!-TIME(0,0,0))*1440,0))</f>
        <v>#REF!</v>
      </c>
      <c r="S155" s="9" t="e">
        <f>IF(AND(ROUND((#REF!-TIME(0,0,0))*1440,0),ROUND((#REF!-TIME(0,0,0))*1440,0)&lt;tbl_Case_mins[[#This Row],[Surgery Start]],tbl_Case_mins[[#This Row],[Surgery End Date]]&gt;tbl_Case_mins[[#This Row],[Surgery Start Date]]),ROUND((#REF!-TIME(0,0,0))*1440,0)+1440,ROUND((#REF!-TIME(0,0,0))*1440,0))</f>
        <v>#REF!</v>
      </c>
      <c r="T155" s="9" t="e">
        <f>IF(AND(ROUND((#REF!-TIME(0,0,0))*1440,0)&gt;0,ROUND((#REF!-TIME(0,0,0))*1440,0)&lt;tbl_Case_mins[[#This Row],[Surgery Finish]],tbl_Case_mins[[#This Row],[Surgery End Date]]&gt;tbl_Case_mins[[#This Row],[Surgery Start Date]]),ROUND((#REF!-TIME(0,0,0))*1440,0)+1440,ROUND((#REF!-TIME(0,0,0))*1440,0))</f>
        <v>#REF!</v>
      </c>
      <c r="U155" s="9" t="e">
        <f>IF(AND(ROUND((#REF!-TIME(0,0,0))*1440,0)&gt;0,ROUND((#REF!-TIME(0,0,0))*1440,0)&lt;tbl_Case_mins[[#This Row],[Anaesth End]],tbl_Case_mins[[#This Row],[Surgery End Date]]&gt;tbl_Case_mins[[#This Row],[Surgery Start Date]]),ROUND((#REF!-TIME(0,0,0))*1440,0)+1440,ROUND((#REF!-TIME(0,0,0))*1440,0))</f>
        <v>#REF!</v>
      </c>
      <c r="V155" s="9" t="e">
        <f>IF(AND(ROUND((#REF!-TIME(0,0,0))*1440,0)&gt;0,ROUND((#REF!-TIME(0,0,0))*1440,0)&lt;tbl_Case_mins[[#This Row],[Into Recov]],tbl_Case_mins[[#This Row],[Surgery End Date]]&gt;tbl_Case_mins[[#This Row],[Surgery Start Date]]),ROUND((#REF!-TIME(0,0,0))*1440,0)+1440,ROUND((#REF!-TIME(0,0,0))*1440,0))</f>
        <v>#REF!</v>
      </c>
      <c r="W155" s="9" t="e">
        <f>IF(AND(ROUND((#REF!-TIME(0,0,0))*1440,0)&gt;0,ROUND((#REF!-TIME(0,0,0))*1440,0)&lt;tbl_Case_mins[[#This Row],[Ward Called]],tbl_Case_mins[[#This Row],[Surgery End Date]]&gt;tbl_Case_mins[[#This Row],[Surgery Start Date]]),ROUND((#REF!-TIME(0,0,0))*1440,0)+1440,ROUND((#REF!-TIME(0,0,0))*1440,0))</f>
        <v>#REF!</v>
      </c>
      <c r="X155" s="4" t="e">
        <f>IF(ISBLANK(#REF!),tbl_Case_mins[[#This Row],[Surgery Start Date]],#REF!)</f>
        <v>#REF!</v>
      </c>
      <c r="Y155">
        <f>IFERROR(IF(VLOOKUP(tbl_Case_mins[[#This Row],[Theatre]],'Mng Theatres'!$C$7:$G$12,3,FALSE)="Yes","Yes","No"),0)</f>
        <v>0</v>
      </c>
      <c r="Z155" s="9" t="e" cm="1">
        <f t="array" ref="Z15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5" s="9" t="e" cm="1">
        <f t="array" ref="AA15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5" s="9" t="e">
        <f>IF(tbl_Case_mins[[#This Row],[Case Type]]="Unsch",1,0)</f>
        <v>#REF!</v>
      </c>
      <c r="AD155" s="9" t="e">
        <f>IF(tbl_Case_mins[[#This Row],[Case Type]]="Sch",1,0)</f>
        <v>#REF!</v>
      </c>
      <c r="AE15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5" s="9">
        <f>IFERROR(IF(ISBLANK(INDEX(Am_Close,MATCH(1,INDEX((tbl_Case_mins[[#This Row],[Theatre]]=Theatre_No)*(tbl_Case_mins[[#This Row],[Surgery Start Date]]=Date),0,1),0))*1440),0,INDEX(Am_Close,MATCH(1,INDEX((tbl_Case_mins[[#This Row],[Theatre]]=Theatre_No)*(tbl_Case_mins[[#This Row],[Surgery Start Date]]=Date),0,1),0))*1440),0)</f>
        <v>0</v>
      </c>
      <c r="AG155" s="9">
        <f>IFERROR(IF(ISBLANK(INDEX(PM_Open,MATCH(1,INDEX((tbl_Case_mins[[#This Row],[Theatre]]=Theatre_No)*(tbl_Case_mins[[#This Row],[Surgery Start Date]]=Date),0,1),0))*1440),0,INDEX(PM_Open,MATCH(1,INDEX((tbl_Case_mins[[#This Row],[Theatre]]=Theatre_No)*(tbl_Case_mins[[#This Row],[Surgery Start Date]]=Date),0,1),0))*1440),0)</f>
        <v>0</v>
      </c>
      <c r="AH15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5" s="9" t="e">
        <f>IF(tbl_Case_mins[[#This Row],[ThOpenAm]]=0,tbl_Case_mins[[#This Row],[ThOpenPM]],tbl_Case_mins[[#This Row],[ThOpenAm]])</f>
        <v>#REF!</v>
      </c>
      <c r="AJ155" s="9" t="e">
        <f>IF(tbl_Case_mins[[#This Row],[ThCloseAm]]&gt;0,IF(tbl_Case_mins[[#This Row],[ThOpenPM]]&gt;0,tbl_Case_mins[[#This Row],[ThClosePm]],tbl_Case_mins[[#This Row],[ThCloseAm]]),tbl_Case_mins[[#This Row],[ThClosePm]])</f>
        <v>#REF!</v>
      </c>
      <c r="AK155" s="9" t="e">
        <f>IF(tbl_Case_mins[[#This Row],[TOT]]&gt;0,1,0)</f>
        <v>#REF!</v>
      </c>
      <c r="AL15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5" s="9" t="e">
        <f>IF(AND(tbl_Case_mins[[#This Row],[Surgery Status]]&lt;&gt;2,tbl_Case_mins[[#This Row],[InCoreCase]]=0,tbl_Case_mins[[#This Row],[CancelledCase]]=0),1,0)</f>
        <v>#REF!</v>
      </c>
      <c r="AN155" s="9" t="e">
        <f>IF(tbl_Case_mins[[#This Row],[Surgery Status]]=1,1,0)</f>
        <v>#REF!</v>
      </c>
      <c r="AO15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5" s="9" t="e">
        <f>IF(AND(tbl_Case_mins[[#This Row],[NonCoreCase]]=1,tbl_Case_mins[[#This Row],[NoInCoreTime]]=0),1,0)</f>
        <v>#REF!</v>
      </c>
      <c r="AQ155" s="9" t="e">
        <f>IF(tbl_Case_mins[[#This Row],[Rank_AnaEnd]]&lt;tbl_Case_mins[[#This Row],[Rank_AnaSt]],1,0)</f>
        <v>#REF!</v>
      </c>
      <c r="AR155" s="9" t="e">
        <f>IF(AND(tbl_Case_mins[[#This Row],[InCoreCase]]=1,tbl_Case_mins[[#This Row],[Sch]]=1),1,0)</f>
        <v>#REF!</v>
      </c>
      <c r="AS155" s="9" t="e">
        <f>IF(AND(tbl_Case_mins[[#This Row],[InCoreCase]]=1,tbl_Case_mins[[#This Row],[Unsch]]=1),1,0)</f>
        <v>#REF!</v>
      </c>
      <c r="AT15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5" s="9" t="e">
        <f>IF(tbl_Case_mins[[#This Row],[Surgery Status]]=0,(tbl_Case_mins[[#This Row],[Anaesth End]]-tbl_Case_mins[[#This Row],[AnaesthStart]]),0)</f>
        <v>#REF!</v>
      </c>
      <c r="AX155" s="9" t="e">
        <f>IF(tbl_Case_mins[[#This Row],[Surgery Status]]=0,(tbl_Case_mins[[#This Row],[Surgery Finish]]-tbl_Case_mins[[#This Row],[Surgery Start]]),0)</f>
        <v>#REF!</v>
      </c>
      <c r="AY155" s="9" t="e">
        <f>tbl_Case_mins[[#This Row],[Surgery Start]]-tbl_Case_mins[[#This Row],[AnaesthStart]]</f>
        <v>#REF!</v>
      </c>
      <c r="AZ155" s="9" t="e">
        <f>tbl_Case_mins[[#This Row],[Anaesth End]]-tbl_Case_mins[[#This Row],[Surgery Finish]]</f>
        <v>#REF!</v>
      </c>
      <c r="BA15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5" s="16" cm="1">
        <f t="array" ref="BC15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5" s="16" t="e">
        <f>IF(AND(tbl_Case_mins[[#This Row],[FirstAMCase]]=1,tbl_Case_mins[[#This Row],[CancelledCase]]=0,OR(tbl_Case_mins[[#This Row],[EarlyStartAM]]&gt;0,tbl_Case_mins[[#This Row],[AnaesthStart]]=tbl_Case_mins[[#This Row],[ThOpenAm]])),1,0)</f>
        <v>#REF!</v>
      </c>
      <c r="BE155" s="16" t="e">
        <f>IF(AND(tbl_Case_mins[[#This Row],[Rank_AnaSt]]=tbl_Case_mins[[#This Row],[Min_RankAnaSt]],tbl_Case_mins[[#This Row],[Anaesth End]]&gt;=tbl_Case_mins[[#This Row],[ThOpenAm]],tbl_Case_mins[[#This Row],[PmCase]]=0),1,0)</f>
        <v>#REF!</v>
      </c>
      <c r="BF15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5" s="9" t="e" cm="1">
        <f t="array" ref="BH15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5" s="9" t="e">
        <f>IF(AND(tbl_Case_mins[[#This Row],[ThOpenPM]]&gt;0,tbl_Case_mins[[#This Row],[AnaesthStart]]&gt;tbl_Case_mins[[#This Row],[ThOpenPM]],tbl_Case_mins[[#This Row],[First PM Case]]=1),tbl_Case_mins[[#This Row],[AnaesthStart]]-tbl_Case_mins[[#This Row],[ThOpenPM]],0)</f>
        <v>#REF!</v>
      </c>
      <c r="BL15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5" s="9" t="e" cm="1">
        <f t="array" ref="BN15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5" s="9" t="e">
        <f>IF(AND(tbl_Case_mins[[#This Row],[ThClosePm]]&gt;0,tbl_Case_mins[[#This Row],[Anaesth End]]&gt;tbl_Case_mins[[#This Row],[ThClosePm]],tbl_Case_mins[[#This Row],[AnaesthStart]]&gt;tbl_Case_mins[[#This Row],[ThClosePm]]),tbl_Case_mins[[#This Row],[Into Recov]]-tbl_Case_mins[[#This Row],[AnaesthStart]],0)</f>
        <v>#REF!</v>
      </c>
      <c r="BP155" s="9" t="e">
        <f>IF(AND(tbl_Case_mins[[#This Row],[AnaesthStart]]&lt;tbl_Case_mins[[#This Row],[ThClosePm]],tbl_Case_mins[[#This Row],[Anaesth End]]&gt;tbl_Case_mins[[#This Row],[ThClosePm]]),tbl_Case_mins[[#This Row],[Anaesth End]]-tbl_Case_mins[[#This Row],[ThClosePm]],0)</f>
        <v>#REF!</v>
      </c>
      <c r="BQ155" s="9" t="e" cm="1">
        <f t="array" ref="BQ15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5" s="9" t="e" cm="1">
        <f t="array" ref="BR155">IF(tbl_Case_mins[[#This Row],[Rank_Adjust]]=SUMPRODUCT(-(tbl_Case_mins[Surgery Start Date]=tbl_Case_mins[[#This Row],[Surgery Start Date]]),-(tbl_Case_mins[Theatre]=tbl_Case_mins[[#This Row],[Theatre]])),INDEX(Poss_Time,MATCH(TEXT(tbl_Case_mins[[#This Row],[Surgery Start Date]],"ddd"),Day,0)),0)</f>
        <v>#REF!</v>
      </c>
      <c r="BS155" s="9" t="e">
        <f>tbl_Case_mins[[#This Row],[Core_Time]]*Util_Goal</f>
        <v>#REF!</v>
      </c>
      <c r="BT155" s="9" t="e" cm="1">
        <f t="array" ref="BT1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5" s="9" t="e" cm="1">
        <f t="array" ref="BU1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5" s="9" t="e">
        <f>IF(tbl_Case_mins[[#This Row],[Surgery End Date]]&gt;tbl_Case_mins[[#This Row],[Surgery Start Date]],tbl_Case_mins[[#This Row],[Anaesth End]]-1440,0)</f>
        <v>#REF!</v>
      </c>
      <c r="BY155" s="9" t="e">
        <f>tbl_Case_mins[[#This Row],[Total_NonCore]]-tbl_Case_mins[[#This Row],[NextDay_NonCore]]</f>
        <v>#REF!</v>
      </c>
      <c r="BZ155" s="10" t="e">
        <f>tbl_Case_mins[[#This Row],[InCoreUse]]/60</f>
        <v>#REF!</v>
      </c>
      <c r="CA155" s="10" t="e">
        <f>tbl_Case_mins[[#This Row],[Total_NonCore]]/60</f>
        <v>#REF!</v>
      </c>
      <c r="CB155" t="e" cm="1">
        <f t="array" ref="CB1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5" s="9" t="e" cm="1">
        <f t="array" ref="CC15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5" s="9" t="e" cm="1">
        <f t="array" ref="CD1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5" s="9" t="e" cm="1">
        <f t="array" ref="CE15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5" s="9" cm="1">
        <f t="array" ref="CF155">IFERROR(_xlfn.AGGREGATE(14,6,(tbl_Case_mins[Rank_AnaEnd])/((tbl_Case_mins[Surgery Start Date]=tbl_Case_mins[[#This Row],[Surgery Start Date]])*(tbl_Case_mins[Theatre]=tbl_Case_mins[[#This Row],[Theatre]])*(tbl_Case_mins[NoInCoreTime]=0)),1),-1)</f>
        <v>-1</v>
      </c>
      <c r="CG155" s="9" cm="1">
        <f t="array" ref="CG155">IFERROR(_xlfn.AGGREGATE(15,6,(tbl_Case_mins[Rank_AnaSt])/((tbl_Case_mins[Surgery Start Date]=tbl_Case_mins[[#This Row],[Surgery Start Date]])*(tbl_Case_mins[Theatre]=tbl_Case_mins[[#This Row],[Theatre]])*(tbl_Case_mins[NoInCoreTime]=0)),1),-1)</f>
        <v>-1</v>
      </c>
      <c r="CH15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5" t="e" cm="1">
        <f t="array" ref="CJ15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5" s="9" cm="1">
        <f t="array" ref="CO1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5" s="9" cm="1">
        <f t="array" ref="CP1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5" s="9" cm="1">
        <f t="array" ref="CQ155">IFERROR(IF(AND(tbl_Case_mins[[#This Row],[FirstAMCase]]=0,tbl_Case_mins[[#This Row],[Rank]]=_xlfn.AGGREGATE(14,6,(tbl_Case_mins[Rank])/((tbl_Case_mins[Surgery Start Date]=tbl_Case_mins[[#This Row],[Surgery Start Date]])*(tbl_Case_mins[Theatre]=tbl_Case_mins[[#This Row],[Theatre]])*(tbl_Case_mins[AmCase]=1)),1)),1,0),0)</f>
        <v>0</v>
      </c>
      <c r="CR155" s="9" cm="1">
        <f t="array" ref="CR15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5" s="9" t="e" cm="1">
        <f t="array" ref="CS15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5" s="9" cm="1">
        <f t="array" ref="CT155">IFERROR(IF(tbl_Case_mins[[#This Row],[Rank]]=_xlfn.AGGREGATE(15,6,(tbl_Case_mins[Rank])/((tbl_Case_mins[Surgery Start Date]=tbl_Case_mins[[#This Row],[Surgery Start Date]])*(tbl_Case_mins[Theatre]=tbl_Case_mins[[#This Row],[Theatre]])*(tbl_Case_mins[PmCase]=1)),1),1,0),0)</f>
        <v>0</v>
      </c>
      <c r="CU155">
        <f>IFERROR(#REF!,0)</f>
        <v>0</v>
      </c>
      <c r="CV155" s="9" t="e" cm="1">
        <f t="array" ref="CV15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5" s="9">
        <f>IFERROR(IF(ISBLANK(INDEX(Bay_AmClose,MATCH(1,INDEX((tbl_Case_mins[[#This Row],[Bay]]=BayNo)*(tbl_Case_mins[[#This Row],[Surgery Start Date]]=BDate),0,1),0))*1440),0,INDEX(Bay_AmClose,MATCH(1,INDEX((tbl_Case_mins[[#This Row],[Bay]]=BayNo)*(tbl_Case_mins[[#This Row],[Surgery Start Date]]=BDate),0,1),0))*1440),0)</f>
        <v>0</v>
      </c>
      <c r="CX155" s="9" cm="1">
        <f t="array" ref="CX155">IFERROR(IF(ISBLANK(INDEX(Bay_PmOpen,MATCH(1,INDEX((tbl_Case_mins[[#This Row],[Bay]]=BayNo)*(tbl_Case_mins[[#This Row],[Surgery Start Date]]=BDate),0,1),0))*1440),0,INDEX(Bay_PmOpen,MATCH(1,INDEX((tbl_Case_mins[[#This Row],[Bay]]=BayNo)*(tbl_Case_mins[[#This Row],[Surgery Start Date]]=BDate),0,1),0))*1440),0)</f>
        <v>0</v>
      </c>
      <c r="CY15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5" s="9"/>
    </row>
    <row r="156" spans="1:104" x14ac:dyDescent="0.2">
      <c r="A156">
        <v>155</v>
      </c>
      <c r="B156" t="e">
        <f>#REF!</f>
        <v>#REF!</v>
      </c>
      <c r="C156" t="e">
        <f>#REF!</f>
        <v>#REF!</v>
      </c>
      <c r="D156" t="e">
        <f>#REF!</f>
        <v>#REF!</v>
      </c>
      <c r="E156" t="e">
        <f>#REF!</f>
        <v>#REF!</v>
      </c>
      <c r="F156" t="e">
        <f>#REF!</f>
        <v>#REF!</v>
      </c>
      <c r="G156" t="e">
        <f>#REF!</f>
        <v>#REF!</v>
      </c>
      <c r="H156" t="e">
        <f>#REF!</f>
        <v>#REF!</v>
      </c>
      <c r="I156" t="e">
        <f>IF(#REF!="Case Cancelled",1,IF(#REF!="No Cases",2,0))</f>
        <v>#REF!</v>
      </c>
      <c r="J156" t="e">
        <f>#REF!</f>
        <v>#REF!</v>
      </c>
      <c r="K156" s="4" t="e">
        <f>#REF!</f>
        <v>#REF!</v>
      </c>
      <c r="L156" t="e">
        <f>"Wk "&amp;WEEKNUM(tbl_Case_mins[[#This Row],[Surgery Start Date]],21)</f>
        <v>#REF!</v>
      </c>
      <c r="M156" t="e">
        <f>TEXT(tbl_Case_mins[[#This Row],[Surgery Start Date]],"ddd")</f>
        <v>#REF!</v>
      </c>
      <c r="N156" s="9" t="e">
        <f>(#REF!-TIME(0,0,0))*1440</f>
        <v>#REF!</v>
      </c>
      <c r="O156" t="e">
        <f>IF(AND(ROUND((#REF!-TIME(0,0,0))*1440,0)&gt;0,ROUND((#REF!-TIME(0,0,0))*1440,0)&lt;tbl_Case_mins[[#This Row],[Patient Called]],tbl_Case_mins[[#This Row],[Surgery End Date]]&gt;tbl_Case_mins[[#This Row],[Surgery Start Date]]),ROUND((#REF!-TIME(0,0,0))*1440,0)+1440,ROUND((#REF!-TIME(0,0,0))*1440,0))</f>
        <v>#REF!</v>
      </c>
      <c r="P156" s="9" t="e">
        <f>IF(AND(ROUND((#REF!-TIME(0,0,0))*1440,0)&gt;0,ROUND((#REF!-TIME(0,0,0))*1440,0)&lt;tbl_Case_mins[[#This Row],[Arrival]],tbl_Case_mins[[#This Row],[Surgery End Date]]&gt;tbl_Case_mins[[#This Row],[Surgery Start Date]]),ROUND((#REF!-TIME(0,0,0))*1440,0)+1440,ROUND((#REF!-TIME(0,0,0))*1440,0))</f>
        <v>#REF!</v>
      </c>
      <c r="Q156" s="9" t="e">
        <f>IF(AND(ROUND((#REF!-TIME(0,0,0))*1440,0)&gt;0,ROUND((#REF!-TIME(0,0,0))*1440,0)&lt;tbl_Case_mins[[#This Row],[Into Th or AR]],tbl_Case_mins[[#This Row],[Surgery End Date]]&gt;tbl_Case_mins[[#This Row],[Surgery Start Date]]),ROUND((#REF!-TIME(0,0,0))*1440,0)+1440,ROUND((#REF!-TIME(0,0,0))*1440,0))</f>
        <v>#REF!</v>
      </c>
      <c r="R156" s="9" t="e">
        <f>IF(AND(ROUND((#REF!-TIME(0,0,0))*1440,0)&gt;0,ROUND((#REF!-TIME(0,0,0))*1440,0)&lt;tbl_Case_mins[[#This Row],[AnaesthStart]],tbl_Case_mins[[#This Row],[Surgery End Date]]&gt;tbl_Case_mins[[#This Row],[Surgery Start Date]]),ROUND((#REF!-TIME(0,0,0))*1440,0)+1440,ROUND((#REF!-TIME(0,0,0))*1440,0))</f>
        <v>#REF!</v>
      </c>
      <c r="S156" s="9" t="e">
        <f>IF(AND(ROUND((#REF!-TIME(0,0,0))*1440,0),ROUND((#REF!-TIME(0,0,0))*1440,0)&lt;tbl_Case_mins[[#This Row],[Surgery Start]],tbl_Case_mins[[#This Row],[Surgery End Date]]&gt;tbl_Case_mins[[#This Row],[Surgery Start Date]]),ROUND((#REF!-TIME(0,0,0))*1440,0)+1440,ROUND((#REF!-TIME(0,0,0))*1440,0))</f>
        <v>#REF!</v>
      </c>
      <c r="T156" s="9" t="e">
        <f>IF(AND(ROUND((#REF!-TIME(0,0,0))*1440,0)&gt;0,ROUND((#REF!-TIME(0,0,0))*1440,0)&lt;tbl_Case_mins[[#This Row],[Surgery Finish]],tbl_Case_mins[[#This Row],[Surgery End Date]]&gt;tbl_Case_mins[[#This Row],[Surgery Start Date]]),ROUND((#REF!-TIME(0,0,0))*1440,0)+1440,ROUND((#REF!-TIME(0,0,0))*1440,0))</f>
        <v>#REF!</v>
      </c>
      <c r="U156" s="9" t="e">
        <f>IF(AND(ROUND((#REF!-TIME(0,0,0))*1440,0)&gt;0,ROUND((#REF!-TIME(0,0,0))*1440,0)&lt;tbl_Case_mins[[#This Row],[Anaesth End]],tbl_Case_mins[[#This Row],[Surgery End Date]]&gt;tbl_Case_mins[[#This Row],[Surgery Start Date]]),ROUND((#REF!-TIME(0,0,0))*1440,0)+1440,ROUND((#REF!-TIME(0,0,0))*1440,0))</f>
        <v>#REF!</v>
      </c>
      <c r="V156" s="9" t="e">
        <f>IF(AND(ROUND((#REF!-TIME(0,0,0))*1440,0)&gt;0,ROUND((#REF!-TIME(0,0,0))*1440,0)&lt;tbl_Case_mins[[#This Row],[Into Recov]],tbl_Case_mins[[#This Row],[Surgery End Date]]&gt;tbl_Case_mins[[#This Row],[Surgery Start Date]]),ROUND((#REF!-TIME(0,0,0))*1440,0)+1440,ROUND((#REF!-TIME(0,0,0))*1440,0))</f>
        <v>#REF!</v>
      </c>
      <c r="W156" s="9" t="e">
        <f>IF(AND(ROUND((#REF!-TIME(0,0,0))*1440,0)&gt;0,ROUND((#REF!-TIME(0,0,0))*1440,0)&lt;tbl_Case_mins[[#This Row],[Ward Called]],tbl_Case_mins[[#This Row],[Surgery End Date]]&gt;tbl_Case_mins[[#This Row],[Surgery Start Date]]),ROUND((#REF!-TIME(0,0,0))*1440,0)+1440,ROUND((#REF!-TIME(0,0,0))*1440,0))</f>
        <v>#REF!</v>
      </c>
      <c r="X156" s="4" t="e">
        <f>IF(ISBLANK(#REF!),tbl_Case_mins[[#This Row],[Surgery Start Date]],#REF!)</f>
        <v>#REF!</v>
      </c>
      <c r="Y156">
        <f>IFERROR(IF(VLOOKUP(tbl_Case_mins[[#This Row],[Theatre]],'Mng Theatres'!$C$7:$G$12,3,FALSE)="Yes","Yes","No"),0)</f>
        <v>0</v>
      </c>
      <c r="Z156" s="9" t="e" cm="1">
        <f t="array" ref="Z15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6" s="9" t="e" cm="1">
        <f t="array" ref="AA15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6" s="9" t="e">
        <f>IF(tbl_Case_mins[[#This Row],[Case Type]]="Unsch",1,0)</f>
        <v>#REF!</v>
      </c>
      <c r="AD156" s="9" t="e">
        <f>IF(tbl_Case_mins[[#This Row],[Case Type]]="Sch",1,0)</f>
        <v>#REF!</v>
      </c>
      <c r="AE15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6" s="9">
        <f>IFERROR(IF(ISBLANK(INDEX(Am_Close,MATCH(1,INDEX((tbl_Case_mins[[#This Row],[Theatre]]=Theatre_No)*(tbl_Case_mins[[#This Row],[Surgery Start Date]]=Date),0,1),0))*1440),0,INDEX(Am_Close,MATCH(1,INDEX((tbl_Case_mins[[#This Row],[Theatre]]=Theatre_No)*(tbl_Case_mins[[#This Row],[Surgery Start Date]]=Date),0,1),0))*1440),0)</f>
        <v>0</v>
      </c>
      <c r="AG156" s="9">
        <f>IFERROR(IF(ISBLANK(INDEX(PM_Open,MATCH(1,INDEX((tbl_Case_mins[[#This Row],[Theatre]]=Theatre_No)*(tbl_Case_mins[[#This Row],[Surgery Start Date]]=Date),0,1),0))*1440),0,INDEX(PM_Open,MATCH(1,INDEX((tbl_Case_mins[[#This Row],[Theatre]]=Theatre_No)*(tbl_Case_mins[[#This Row],[Surgery Start Date]]=Date),0,1),0))*1440),0)</f>
        <v>0</v>
      </c>
      <c r="AH15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6" s="9" t="e">
        <f>IF(tbl_Case_mins[[#This Row],[ThOpenAm]]=0,tbl_Case_mins[[#This Row],[ThOpenPM]],tbl_Case_mins[[#This Row],[ThOpenAm]])</f>
        <v>#REF!</v>
      </c>
      <c r="AJ156" s="9" t="e">
        <f>IF(tbl_Case_mins[[#This Row],[ThCloseAm]]&gt;0,IF(tbl_Case_mins[[#This Row],[ThOpenPM]]&gt;0,tbl_Case_mins[[#This Row],[ThClosePm]],tbl_Case_mins[[#This Row],[ThCloseAm]]),tbl_Case_mins[[#This Row],[ThClosePm]])</f>
        <v>#REF!</v>
      </c>
      <c r="AK156" s="9" t="e">
        <f>IF(tbl_Case_mins[[#This Row],[TOT]]&gt;0,1,0)</f>
        <v>#REF!</v>
      </c>
      <c r="AL15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6" s="9" t="e">
        <f>IF(AND(tbl_Case_mins[[#This Row],[Surgery Status]]&lt;&gt;2,tbl_Case_mins[[#This Row],[InCoreCase]]=0,tbl_Case_mins[[#This Row],[CancelledCase]]=0),1,0)</f>
        <v>#REF!</v>
      </c>
      <c r="AN156" s="9" t="e">
        <f>IF(tbl_Case_mins[[#This Row],[Surgery Status]]=1,1,0)</f>
        <v>#REF!</v>
      </c>
      <c r="AO15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6" s="9" t="e">
        <f>IF(AND(tbl_Case_mins[[#This Row],[NonCoreCase]]=1,tbl_Case_mins[[#This Row],[NoInCoreTime]]=0),1,0)</f>
        <v>#REF!</v>
      </c>
      <c r="AQ156" s="9" t="e">
        <f>IF(tbl_Case_mins[[#This Row],[Rank_AnaEnd]]&lt;tbl_Case_mins[[#This Row],[Rank_AnaSt]],1,0)</f>
        <v>#REF!</v>
      </c>
      <c r="AR156" s="9" t="e">
        <f>IF(AND(tbl_Case_mins[[#This Row],[InCoreCase]]=1,tbl_Case_mins[[#This Row],[Sch]]=1),1,0)</f>
        <v>#REF!</v>
      </c>
      <c r="AS156" s="9" t="e">
        <f>IF(AND(tbl_Case_mins[[#This Row],[InCoreCase]]=1,tbl_Case_mins[[#This Row],[Unsch]]=1),1,0)</f>
        <v>#REF!</v>
      </c>
      <c r="AT15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6" s="9" t="e">
        <f>IF(tbl_Case_mins[[#This Row],[Surgery Status]]=0,(tbl_Case_mins[[#This Row],[Anaesth End]]-tbl_Case_mins[[#This Row],[AnaesthStart]]),0)</f>
        <v>#REF!</v>
      </c>
      <c r="AX156" s="9" t="e">
        <f>IF(tbl_Case_mins[[#This Row],[Surgery Status]]=0,(tbl_Case_mins[[#This Row],[Surgery Finish]]-tbl_Case_mins[[#This Row],[Surgery Start]]),0)</f>
        <v>#REF!</v>
      </c>
      <c r="AY156" s="9" t="e">
        <f>tbl_Case_mins[[#This Row],[Surgery Start]]-tbl_Case_mins[[#This Row],[AnaesthStart]]</f>
        <v>#REF!</v>
      </c>
      <c r="AZ156" s="9" t="e">
        <f>tbl_Case_mins[[#This Row],[Anaesth End]]-tbl_Case_mins[[#This Row],[Surgery Finish]]</f>
        <v>#REF!</v>
      </c>
      <c r="BA15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6" s="16" cm="1">
        <f t="array" ref="BC15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6" s="16" t="e">
        <f>IF(AND(tbl_Case_mins[[#This Row],[FirstAMCase]]=1,tbl_Case_mins[[#This Row],[CancelledCase]]=0,OR(tbl_Case_mins[[#This Row],[EarlyStartAM]]&gt;0,tbl_Case_mins[[#This Row],[AnaesthStart]]=tbl_Case_mins[[#This Row],[ThOpenAm]])),1,0)</f>
        <v>#REF!</v>
      </c>
      <c r="BE156" s="16" t="e">
        <f>IF(AND(tbl_Case_mins[[#This Row],[Rank_AnaSt]]=tbl_Case_mins[[#This Row],[Min_RankAnaSt]],tbl_Case_mins[[#This Row],[Anaesth End]]&gt;=tbl_Case_mins[[#This Row],[ThOpenAm]],tbl_Case_mins[[#This Row],[PmCase]]=0),1,0)</f>
        <v>#REF!</v>
      </c>
      <c r="BF15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6" s="9" t="e" cm="1">
        <f t="array" ref="BH15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6" s="9" t="e">
        <f>IF(AND(tbl_Case_mins[[#This Row],[ThOpenPM]]&gt;0,tbl_Case_mins[[#This Row],[AnaesthStart]]&gt;tbl_Case_mins[[#This Row],[ThOpenPM]],tbl_Case_mins[[#This Row],[First PM Case]]=1),tbl_Case_mins[[#This Row],[AnaesthStart]]-tbl_Case_mins[[#This Row],[ThOpenPM]],0)</f>
        <v>#REF!</v>
      </c>
      <c r="BL15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6" s="9" t="e" cm="1">
        <f t="array" ref="BN15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6" s="9" t="e">
        <f>IF(AND(tbl_Case_mins[[#This Row],[ThClosePm]]&gt;0,tbl_Case_mins[[#This Row],[Anaesth End]]&gt;tbl_Case_mins[[#This Row],[ThClosePm]],tbl_Case_mins[[#This Row],[AnaesthStart]]&gt;tbl_Case_mins[[#This Row],[ThClosePm]]),tbl_Case_mins[[#This Row],[Into Recov]]-tbl_Case_mins[[#This Row],[AnaesthStart]],0)</f>
        <v>#REF!</v>
      </c>
      <c r="BP156" s="9" t="e">
        <f>IF(AND(tbl_Case_mins[[#This Row],[AnaesthStart]]&lt;tbl_Case_mins[[#This Row],[ThClosePm]],tbl_Case_mins[[#This Row],[Anaesth End]]&gt;tbl_Case_mins[[#This Row],[ThClosePm]]),tbl_Case_mins[[#This Row],[Anaesth End]]-tbl_Case_mins[[#This Row],[ThClosePm]],0)</f>
        <v>#REF!</v>
      </c>
      <c r="BQ156" s="9" t="e" cm="1">
        <f t="array" ref="BQ15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6" s="9" t="e" cm="1">
        <f t="array" ref="BR156">IF(tbl_Case_mins[[#This Row],[Rank_Adjust]]=SUMPRODUCT(-(tbl_Case_mins[Surgery Start Date]=tbl_Case_mins[[#This Row],[Surgery Start Date]]),-(tbl_Case_mins[Theatre]=tbl_Case_mins[[#This Row],[Theatre]])),INDEX(Poss_Time,MATCH(TEXT(tbl_Case_mins[[#This Row],[Surgery Start Date]],"ddd"),Day,0)),0)</f>
        <v>#REF!</v>
      </c>
      <c r="BS156" s="9" t="e">
        <f>tbl_Case_mins[[#This Row],[Core_Time]]*Util_Goal</f>
        <v>#REF!</v>
      </c>
      <c r="BT156" s="9" t="e" cm="1">
        <f t="array" ref="BT1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6" s="9" t="e" cm="1">
        <f t="array" ref="BU1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6" s="9" t="e">
        <f>IF(tbl_Case_mins[[#This Row],[Surgery End Date]]&gt;tbl_Case_mins[[#This Row],[Surgery Start Date]],tbl_Case_mins[[#This Row],[Anaesth End]]-1440,0)</f>
        <v>#REF!</v>
      </c>
      <c r="BY156" s="9" t="e">
        <f>tbl_Case_mins[[#This Row],[Total_NonCore]]-tbl_Case_mins[[#This Row],[NextDay_NonCore]]</f>
        <v>#REF!</v>
      </c>
      <c r="BZ156" s="10" t="e">
        <f>tbl_Case_mins[[#This Row],[InCoreUse]]/60</f>
        <v>#REF!</v>
      </c>
      <c r="CA156" s="10" t="e">
        <f>tbl_Case_mins[[#This Row],[Total_NonCore]]/60</f>
        <v>#REF!</v>
      </c>
      <c r="CB156" t="e" cm="1">
        <f t="array" ref="CB1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6" s="9" t="e" cm="1">
        <f t="array" ref="CC15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6" s="9" t="e" cm="1">
        <f t="array" ref="CD1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6" s="9" t="e" cm="1">
        <f t="array" ref="CE15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6" s="9" cm="1">
        <f t="array" ref="CF156">IFERROR(_xlfn.AGGREGATE(14,6,(tbl_Case_mins[Rank_AnaEnd])/((tbl_Case_mins[Surgery Start Date]=tbl_Case_mins[[#This Row],[Surgery Start Date]])*(tbl_Case_mins[Theatre]=tbl_Case_mins[[#This Row],[Theatre]])*(tbl_Case_mins[NoInCoreTime]=0)),1),-1)</f>
        <v>-1</v>
      </c>
      <c r="CG156" s="9" cm="1">
        <f t="array" ref="CG156">IFERROR(_xlfn.AGGREGATE(15,6,(tbl_Case_mins[Rank_AnaSt])/((tbl_Case_mins[Surgery Start Date]=tbl_Case_mins[[#This Row],[Surgery Start Date]])*(tbl_Case_mins[Theatre]=tbl_Case_mins[[#This Row],[Theatre]])*(tbl_Case_mins[NoInCoreTime]=0)),1),-1)</f>
        <v>-1</v>
      </c>
      <c r="CH15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6" t="e" cm="1">
        <f t="array" ref="CJ15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6" s="9" cm="1">
        <f t="array" ref="CO1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6" s="9" cm="1">
        <f t="array" ref="CP1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6" s="9" cm="1">
        <f t="array" ref="CQ156">IFERROR(IF(AND(tbl_Case_mins[[#This Row],[FirstAMCase]]=0,tbl_Case_mins[[#This Row],[Rank]]=_xlfn.AGGREGATE(14,6,(tbl_Case_mins[Rank])/((tbl_Case_mins[Surgery Start Date]=tbl_Case_mins[[#This Row],[Surgery Start Date]])*(tbl_Case_mins[Theatre]=tbl_Case_mins[[#This Row],[Theatre]])*(tbl_Case_mins[AmCase]=1)),1)),1,0),0)</f>
        <v>0</v>
      </c>
      <c r="CR156" s="9" cm="1">
        <f t="array" ref="CR15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6" s="9" t="e" cm="1">
        <f t="array" ref="CS15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6" s="9" cm="1">
        <f t="array" ref="CT156">IFERROR(IF(tbl_Case_mins[[#This Row],[Rank]]=_xlfn.AGGREGATE(15,6,(tbl_Case_mins[Rank])/((tbl_Case_mins[Surgery Start Date]=tbl_Case_mins[[#This Row],[Surgery Start Date]])*(tbl_Case_mins[Theatre]=tbl_Case_mins[[#This Row],[Theatre]])*(tbl_Case_mins[PmCase]=1)),1),1,0),0)</f>
        <v>0</v>
      </c>
      <c r="CU156">
        <f>IFERROR(#REF!,0)</f>
        <v>0</v>
      </c>
      <c r="CV156" s="9" t="e" cm="1">
        <f t="array" ref="CV15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6" s="9">
        <f>IFERROR(IF(ISBLANK(INDEX(Bay_AmClose,MATCH(1,INDEX((tbl_Case_mins[[#This Row],[Bay]]=BayNo)*(tbl_Case_mins[[#This Row],[Surgery Start Date]]=BDate),0,1),0))*1440),0,INDEX(Bay_AmClose,MATCH(1,INDEX((tbl_Case_mins[[#This Row],[Bay]]=BayNo)*(tbl_Case_mins[[#This Row],[Surgery Start Date]]=BDate),0,1),0))*1440),0)</f>
        <v>0</v>
      </c>
      <c r="CX156" s="9" cm="1">
        <f t="array" ref="CX156">IFERROR(IF(ISBLANK(INDEX(Bay_PmOpen,MATCH(1,INDEX((tbl_Case_mins[[#This Row],[Bay]]=BayNo)*(tbl_Case_mins[[#This Row],[Surgery Start Date]]=BDate),0,1),0))*1440),0,INDEX(Bay_PmOpen,MATCH(1,INDEX((tbl_Case_mins[[#This Row],[Bay]]=BayNo)*(tbl_Case_mins[[#This Row],[Surgery Start Date]]=BDate),0,1),0))*1440),0)</f>
        <v>0</v>
      </c>
      <c r="CY15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6" s="9"/>
    </row>
    <row r="157" spans="1:104" x14ac:dyDescent="0.2">
      <c r="A157">
        <v>156</v>
      </c>
      <c r="B157" t="e">
        <f>#REF!</f>
        <v>#REF!</v>
      </c>
      <c r="C157" t="e">
        <f>#REF!</f>
        <v>#REF!</v>
      </c>
      <c r="D157" t="e">
        <f>#REF!</f>
        <v>#REF!</v>
      </c>
      <c r="E157" t="e">
        <f>#REF!</f>
        <v>#REF!</v>
      </c>
      <c r="F157" t="e">
        <f>#REF!</f>
        <v>#REF!</v>
      </c>
      <c r="G157" t="e">
        <f>#REF!</f>
        <v>#REF!</v>
      </c>
      <c r="H157" t="e">
        <f>#REF!</f>
        <v>#REF!</v>
      </c>
      <c r="I157" t="e">
        <f>IF(#REF!="Case Cancelled",1,IF(#REF!="No Cases",2,0))</f>
        <v>#REF!</v>
      </c>
      <c r="J157" t="e">
        <f>#REF!</f>
        <v>#REF!</v>
      </c>
      <c r="K157" s="4" t="e">
        <f>#REF!</f>
        <v>#REF!</v>
      </c>
      <c r="L157" t="e">
        <f>"Wk "&amp;WEEKNUM(tbl_Case_mins[[#This Row],[Surgery Start Date]],21)</f>
        <v>#REF!</v>
      </c>
      <c r="M157" t="e">
        <f>TEXT(tbl_Case_mins[[#This Row],[Surgery Start Date]],"ddd")</f>
        <v>#REF!</v>
      </c>
      <c r="N157" s="9" t="e">
        <f>(#REF!-TIME(0,0,0))*1440</f>
        <v>#REF!</v>
      </c>
      <c r="O157" t="e">
        <f>IF(AND(ROUND((#REF!-TIME(0,0,0))*1440,0)&gt;0,ROUND((#REF!-TIME(0,0,0))*1440,0)&lt;tbl_Case_mins[[#This Row],[Patient Called]],tbl_Case_mins[[#This Row],[Surgery End Date]]&gt;tbl_Case_mins[[#This Row],[Surgery Start Date]]),ROUND((#REF!-TIME(0,0,0))*1440,0)+1440,ROUND((#REF!-TIME(0,0,0))*1440,0))</f>
        <v>#REF!</v>
      </c>
      <c r="P157" s="9" t="e">
        <f>IF(AND(ROUND((#REF!-TIME(0,0,0))*1440,0)&gt;0,ROUND((#REF!-TIME(0,0,0))*1440,0)&lt;tbl_Case_mins[[#This Row],[Arrival]],tbl_Case_mins[[#This Row],[Surgery End Date]]&gt;tbl_Case_mins[[#This Row],[Surgery Start Date]]),ROUND((#REF!-TIME(0,0,0))*1440,0)+1440,ROUND((#REF!-TIME(0,0,0))*1440,0))</f>
        <v>#REF!</v>
      </c>
      <c r="Q157" s="9" t="e">
        <f>IF(AND(ROUND((#REF!-TIME(0,0,0))*1440,0)&gt;0,ROUND((#REF!-TIME(0,0,0))*1440,0)&lt;tbl_Case_mins[[#This Row],[Into Th or AR]],tbl_Case_mins[[#This Row],[Surgery End Date]]&gt;tbl_Case_mins[[#This Row],[Surgery Start Date]]),ROUND((#REF!-TIME(0,0,0))*1440,0)+1440,ROUND((#REF!-TIME(0,0,0))*1440,0))</f>
        <v>#REF!</v>
      </c>
      <c r="R157" s="9" t="e">
        <f>IF(AND(ROUND((#REF!-TIME(0,0,0))*1440,0)&gt;0,ROUND((#REF!-TIME(0,0,0))*1440,0)&lt;tbl_Case_mins[[#This Row],[AnaesthStart]],tbl_Case_mins[[#This Row],[Surgery End Date]]&gt;tbl_Case_mins[[#This Row],[Surgery Start Date]]),ROUND((#REF!-TIME(0,0,0))*1440,0)+1440,ROUND((#REF!-TIME(0,0,0))*1440,0))</f>
        <v>#REF!</v>
      </c>
      <c r="S157" s="9" t="e">
        <f>IF(AND(ROUND((#REF!-TIME(0,0,0))*1440,0),ROUND((#REF!-TIME(0,0,0))*1440,0)&lt;tbl_Case_mins[[#This Row],[Surgery Start]],tbl_Case_mins[[#This Row],[Surgery End Date]]&gt;tbl_Case_mins[[#This Row],[Surgery Start Date]]),ROUND((#REF!-TIME(0,0,0))*1440,0)+1440,ROUND((#REF!-TIME(0,0,0))*1440,0))</f>
        <v>#REF!</v>
      </c>
      <c r="T157" s="9" t="e">
        <f>IF(AND(ROUND((#REF!-TIME(0,0,0))*1440,0)&gt;0,ROUND((#REF!-TIME(0,0,0))*1440,0)&lt;tbl_Case_mins[[#This Row],[Surgery Finish]],tbl_Case_mins[[#This Row],[Surgery End Date]]&gt;tbl_Case_mins[[#This Row],[Surgery Start Date]]),ROUND((#REF!-TIME(0,0,0))*1440,0)+1440,ROUND((#REF!-TIME(0,0,0))*1440,0))</f>
        <v>#REF!</v>
      </c>
      <c r="U157" s="9" t="e">
        <f>IF(AND(ROUND((#REF!-TIME(0,0,0))*1440,0)&gt;0,ROUND((#REF!-TIME(0,0,0))*1440,0)&lt;tbl_Case_mins[[#This Row],[Anaesth End]],tbl_Case_mins[[#This Row],[Surgery End Date]]&gt;tbl_Case_mins[[#This Row],[Surgery Start Date]]),ROUND((#REF!-TIME(0,0,0))*1440,0)+1440,ROUND((#REF!-TIME(0,0,0))*1440,0))</f>
        <v>#REF!</v>
      </c>
      <c r="V157" s="9" t="e">
        <f>IF(AND(ROUND((#REF!-TIME(0,0,0))*1440,0)&gt;0,ROUND((#REF!-TIME(0,0,0))*1440,0)&lt;tbl_Case_mins[[#This Row],[Into Recov]],tbl_Case_mins[[#This Row],[Surgery End Date]]&gt;tbl_Case_mins[[#This Row],[Surgery Start Date]]),ROUND((#REF!-TIME(0,0,0))*1440,0)+1440,ROUND((#REF!-TIME(0,0,0))*1440,0))</f>
        <v>#REF!</v>
      </c>
      <c r="W157" s="9" t="e">
        <f>IF(AND(ROUND((#REF!-TIME(0,0,0))*1440,0)&gt;0,ROUND((#REF!-TIME(0,0,0))*1440,0)&lt;tbl_Case_mins[[#This Row],[Ward Called]],tbl_Case_mins[[#This Row],[Surgery End Date]]&gt;tbl_Case_mins[[#This Row],[Surgery Start Date]]),ROUND((#REF!-TIME(0,0,0))*1440,0)+1440,ROUND((#REF!-TIME(0,0,0))*1440,0))</f>
        <v>#REF!</v>
      </c>
      <c r="X157" s="4" t="e">
        <f>IF(ISBLANK(#REF!),tbl_Case_mins[[#This Row],[Surgery Start Date]],#REF!)</f>
        <v>#REF!</v>
      </c>
      <c r="Y157">
        <f>IFERROR(IF(VLOOKUP(tbl_Case_mins[[#This Row],[Theatre]],'Mng Theatres'!$C$7:$G$12,3,FALSE)="Yes","Yes","No"),0)</f>
        <v>0</v>
      </c>
      <c r="Z157" s="9" t="e" cm="1">
        <f t="array" ref="Z15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7" s="9" t="e" cm="1">
        <f t="array" ref="AA15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7" s="9" t="e">
        <f>IF(tbl_Case_mins[[#This Row],[Case Type]]="Unsch",1,0)</f>
        <v>#REF!</v>
      </c>
      <c r="AD157" s="9" t="e">
        <f>IF(tbl_Case_mins[[#This Row],[Case Type]]="Sch",1,0)</f>
        <v>#REF!</v>
      </c>
      <c r="AE15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7" s="9">
        <f>IFERROR(IF(ISBLANK(INDEX(Am_Close,MATCH(1,INDEX((tbl_Case_mins[[#This Row],[Theatre]]=Theatre_No)*(tbl_Case_mins[[#This Row],[Surgery Start Date]]=Date),0,1),0))*1440),0,INDEX(Am_Close,MATCH(1,INDEX((tbl_Case_mins[[#This Row],[Theatre]]=Theatre_No)*(tbl_Case_mins[[#This Row],[Surgery Start Date]]=Date),0,1),0))*1440),0)</f>
        <v>0</v>
      </c>
      <c r="AG157" s="9">
        <f>IFERROR(IF(ISBLANK(INDEX(PM_Open,MATCH(1,INDEX((tbl_Case_mins[[#This Row],[Theatre]]=Theatre_No)*(tbl_Case_mins[[#This Row],[Surgery Start Date]]=Date),0,1),0))*1440),0,INDEX(PM_Open,MATCH(1,INDEX((tbl_Case_mins[[#This Row],[Theatre]]=Theatre_No)*(tbl_Case_mins[[#This Row],[Surgery Start Date]]=Date),0,1),0))*1440),0)</f>
        <v>0</v>
      </c>
      <c r="AH15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7" s="9" t="e">
        <f>IF(tbl_Case_mins[[#This Row],[ThOpenAm]]=0,tbl_Case_mins[[#This Row],[ThOpenPM]],tbl_Case_mins[[#This Row],[ThOpenAm]])</f>
        <v>#REF!</v>
      </c>
      <c r="AJ157" s="9" t="e">
        <f>IF(tbl_Case_mins[[#This Row],[ThCloseAm]]&gt;0,IF(tbl_Case_mins[[#This Row],[ThOpenPM]]&gt;0,tbl_Case_mins[[#This Row],[ThClosePm]],tbl_Case_mins[[#This Row],[ThCloseAm]]),tbl_Case_mins[[#This Row],[ThClosePm]])</f>
        <v>#REF!</v>
      </c>
      <c r="AK157" s="9" t="e">
        <f>IF(tbl_Case_mins[[#This Row],[TOT]]&gt;0,1,0)</f>
        <v>#REF!</v>
      </c>
      <c r="AL15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7" s="9" t="e">
        <f>IF(AND(tbl_Case_mins[[#This Row],[Surgery Status]]&lt;&gt;2,tbl_Case_mins[[#This Row],[InCoreCase]]=0,tbl_Case_mins[[#This Row],[CancelledCase]]=0),1,0)</f>
        <v>#REF!</v>
      </c>
      <c r="AN157" s="9" t="e">
        <f>IF(tbl_Case_mins[[#This Row],[Surgery Status]]=1,1,0)</f>
        <v>#REF!</v>
      </c>
      <c r="AO15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7" s="9" t="e">
        <f>IF(AND(tbl_Case_mins[[#This Row],[NonCoreCase]]=1,tbl_Case_mins[[#This Row],[NoInCoreTime]]=0),1,0)</f>
        <v>#REF!</v>
      </c>
      <c r="AQ157" s="9" t="e">
        <f>IF(tbl_Case_mins[[#This Row],[Rank_AnaEnd]]&lt;tbl_Case_mins[[#This Row],[Rank_AnaSt]],1,0)</f>
        <v>#REF!</v>
      </c>
      <c r="AR157" s="9" t="e">
        <f>IF(AND(tbl_Case_mins[[#This Row],[InCoreCase]]=1,tbl_Case_mins[[#This Row],[Sch]]=1),1,0)</f>
        <v>#REF!</v>
      </c>
      <c r="AS157" s="9" t="e">
        <f>IF(AND(tbl_Case_mins[[#This Row],[InCoreCase]]=1,tbl_Case_mins[[#This Row],[Unsch]]=1),1,0)</f>
        <v>#REF!</v>
      </c>
      <c r="AT15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7" s="9" t="e">
        <f>IF(tbl_Case_mins[[#This Row],[Surgery Status]]=0,(tbl_Case_mins[[#This Row],[Anaesth End]]-tbl_Case_mins[[#This Row],[AnaesthStart]]),0)</f>
        <v>#REF!</v>
      </c>
      <c r="AX157" s="9" t="e">
        <f>IF(tbl_Case_mins[[#This Row],[Surgery Status]]=0,(tbl_Case_mins[[#This Row],[Surgery Finish]]-tbl_Case_mins[[#This Row],[Surgery Start]]),0)</f>
        <v>#REF!</v>
      </c>
      <c r="AY157" s="9" t="e">
        <f>tbl_Case_mins[[#This Row],[Surgery Start]]-tbl_Case_mins[[#This Row],[AnaesthStart]]</f>
        <v>#REF!</v>
      </c>
      <c r="AZ157" s="9" t="e">
        <f>tbl_Case_mins[[#This Row],[Anaesth End]]-tbl_Case_mins[[#This Row],[Surgery Finish]]</f>
        <v>#REF!</v>
      </c>
      <c r="BA15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7" s="16" cm="1">
        <f t="array" ref="BC15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7" s="16" t="e">
        <f>IF(AND(tbl_Case_mins[[#This Row],[FirstAMCase]]=1,tbl_Case_mins[[#This Row],[CancelledCase]]=0,OR(tbl_Case_mins[[#This Row],[EarlyStartAM]]&gt;0,tbl_Case_mins[[#This Row],[AnaesthStart]]=tbl_Case_mins[[#This Row],[ThOpenAm]])),1,0)</f>
        <v>#REF!</v>
      </c>
      <c r="BE157" s="16" t="e">
        <f>IF(AND(tbl_Case_mins[[#This Row],[Rank_AnaSt]]=tbl_Case_mins[[#This Row],[Min_RankAnaSt]],tbl_Case_mins[[#This Row],[Anaesth End]]&gt;=tbl_Case_mins[[#This Row],[ThOpenAm]],tbl_Case_mins[[#This Row],[PmCase]]=0),1,0)</f>
        <v>#REF!</v>
      </c>
      <c r="BF15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7" s="9" t="e" cm="1">
        <f t="array" ref="BH15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7" s="9" t="e">
        <f>IF(AND(tbl_Case_mins[[#This Row],[ThOpenPM]]&gt;0,tbl_Case_mins[[#This Row],[AnaesthStart]]&gt;tbl_Case_mins[[#This Row],[ThOpenPM]],tbl_Case_mins[[#This Row],[First PM Case]]=1),tbl_Case_mins[[#This Row],[AnaesthStart]]-tbl_Case_mins[[#This Row],[ThOpenPM]],0)</f>
        <v>#REF!</v>
      </c>
      <c r="BL15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7" s="9" t="e" cm="1">
        <f t="array" ref="BN15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7" s="9" t="e">
        <f>IF(AND(tbl_Case_mins[[#This Row],[ThClosePm]]&gt;0,tbl_Case_mins[[#This Row],[Anaesth End]]&gt;tbl_Case_mins[[#This Row],[ThClosePm]],tbl_Case_mins[[#This Row],[AnaesthStart]]&gt;tbl_Case_mins[[#This Row],[ThClosePm]]),tbl_Case_mins[[#This Row],[Into Recov]]-tbl_Case_mins[[#This Row],[AnaesthStart]],0)</f>
        <v>#REF!</v>
      </c>
      <c r="BP157" s="9" t="e">
        <f>IF(AND(tbl_Case_mins[[#This Row],[AnaesthStart]]&lt;tbl_Case_mins[[#This Row],[ThClosePm]],tbl_Case_mins[[#This Row],[Anaesth End]]&gt;tbl_Case_mins[[#This Row],[ThClosePm]]),tbl_Case_mins[[#This Row],[Anaesth End]]-tbl_Case_mins[[#This Row],[ThClosePm]],0)</f>
        <v>#REF!</v>
      </c>
      <c r="BQ157" s="9" t="e" cm="1">
        <f t="array" ref="BQ15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7" s="9" t="e" cm="1">
        <f t="array" ref="BR157">IF(tbl_Case_mins[[#This Row],[Rank_Adjust]]=SUMPRODUCT(-(tbl_Case_mins[Surgery Start Date]=tbl_Case_mins[[#This Row],[Surgery Start Date]]),-(tbl_Case_mins[Theatre]=tbl_Case_mins[[#This Row],[Theatre]])),INDEX(Poss_Time,MATCH(TEXT(tbl_Case_mins[[#This Row],[Surgery Start Date]],"ddd"),Day,0)),0)</f>
        <v>#REF!</v>
      </c>
      <c r="BS157" s="9" t="e">
        <f>tbl_Case_mins[[#This Row],[Core_Time]]*Util_Goal</f>
        <v>#REF!</v>
      </c>
      <c r="BT157" s="9" t="e" cm="1">
        <f t="array" ref="BT1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7" s="9" t="e" cm="1">
        <f t="array" ref="BU1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7" s="9" t="e">
        <f>IF(tbl_Case_mins[[#This Row],[Surgery End Date]]&gt;tbl_Case_mins[[#This Row],[Surgery Start Date]],tbl_Case_mins[[#This Row],[Anaesth End]]-1440,0)</f>
        <v>#REF!</v>
      </c>
      <c r="BY157" s="9" t="e">
        <f>tbl_Case_mins[[#This Row],[Total_NonCore]]-tbl_Case_mins[[#This Row],[NextDay_NonCore]]</f>
        <v>#REF!</v>
      </c>
      <c r="BZ157" s="10" t="e">
        <f>tbl_Case_mins[[#This Row],[InCoreUse]]/60</f>
        <v>#REF!</v>
      </c>
      <c r="CA157" s="10" t="e">
        <f>tbl_Case_mins[[#This Row],[Total_NonCore]]/60</f>
        <v>#REF!</v>
      </c>
      <c r="CB157" t="e" cm="1">
        <f t="array" ref="CB1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7" s="9" t="e" cm="1">
        <f t="array" ref="CC15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7" s="9" t="e" cm="1">
        <f t="array" ref="CD1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7" s="9" t="e" cm="1">
        <f t="array" ref="CE15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7" s="9" cm="1">
        <f t="array" ref="CF157">IFERROR(_xlfn.AGGREGATE(14,6,(tbl_Case_mins[Rank_AnaEnd])/((tbl_Case_mins[Surgery Start Date]=tbl_Case_mins[[#This Row],[Surgery Start Date]])*(tbl_Case_mins[Theatre]=tbl_Case_mins[[#This Row],[Theatre]])*(tbl_Case_mins[NoInCoreTime]=0)),1),-1)</f>
        <v>-1</v>
      </c>
      <c r="CG157" s="9" cm="1">
        <f t="array" ref="CG157">IFERROR(_xlfn.AGGREGATE(15,6,(tbl_Case_mins[Rank_AnaSt])/((tbl_Case_mins[Surgery Start Date]=tbl_Case_mins[[#This Row],[Surgery Start Date]])*(tbl_Case_mins[Theatre]=tbl_Case_mins[[#This Row],[Theatre]])*(tbl_Case_mins[NoInCoreTime]=0)),1),-1)</f>
        <v>-1</v>
      </c>
      <c r="CH15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7" t="e" cm="1">
        <f t="array" ref="CJ15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7" s="9" cm="1">
        <f t="array" ref="CO1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7" s="9" cm="1">
        <f t="array" ref="CP1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7" s="9" cm="1">
        <f t="array" ref="CQ157">IFERROR(IF(AND(tbl_Case_mins[[#This Row],[FirstAMCase]]=0,tbl_Case_mins[[#This Row],[Rank]]=_xlfn.AGGREGATE(14,6,(tbl_Case_mins[Rank])/((tbl_Case_mins[Surgery Start Date]=tbl_Case_mins[[#This Row],[Surgery Start Date]])*(tbl_Case_mins[Theatre]=tbl_Case_mins[[#This Row],[Theatre]])*(tbl_Case_mins[AmCase]=1)),1)),1,0),0)</f>
        <v>0</v>
      </c>
      <c r="CR157" s="9" cm="1">
        <f t="array" ref="CR15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7" s="9" t="e" cm="1">
        <f t="array" ref="CS15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7" s="9" cm="1">
        <f t="array" ref="CT157">IFERROR(IF(tbl_Case_mins[[#This Row],[Rank]]=_xlfn.AGGREGATE(15,6,(tbl_Case_mins[Rank])/((tbl_Case_mins[Surgery Start Date]=tbl_Case_mins[[#This Row],[Surgery Start Date]])*(tbl_Case_mins[Theatre]=tbl_Case_mins[[#This Row],[Theatre]])*(tbl_Case_mins[PmCase]=1)),1),1,0),0)</f>
        <v>0</v>
      </c>
      <c r="CU157">
        <f>IFERROR(#REF!,0)</f>
        <v>0</v>
      </c>
      <c r="CV157" s="9" t="e" cm="1">
        <f t="array" ref="CV15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7" s="9">
        <f>IFERROR(IF(ISBLANK(INDEX(Bay_AmClose,MATCH(1,INDEX((tbl_Case_mins[[#This Row],[Bay]]=BayNo)*(tbl_Case_mins[[#This Row],[Surgery Start Date]]=BDate),0,1),0))*1440),0,INDEX(Bay_AmClose,MATCH(1,INDEX((tbl_Case_mins[[#This Row],[Bay]]=BayNo)*(tbl_Case_mins[[#This Row],[Surgery Start Date]]=BDate),0,1),0))*1440),0)</f>
        <v>0</v>
      </c>
      <c r="CX157" s="9" cm="1">
        <f t="array" ref="CX157">IFERROR(IF(ISBLANK(INDEX(Bay_PmOpen,MATCH(1,INDEX((tbl_Case_mins[[#This Row],[Bay]]=BayNo)*(tbl_Case_mins[[#This Row],[Surgery Start Date]]=BDate),0,1),0))*1440),0,INDEX(Bay_PmOpen,MATCH(1,INDEX((tbl_Case_mins[[#This Row],[Bay]]=BayNo)*(tbl_Case_mins[[#This Row],[Surgery Start Date]]=BDate),0,1),0))*1440),0)</f>
        <v>0</v>
      </c>
      <c r="CY15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7" s="9"/>
    </row>
    <row r="158" spans="1:104" x14ac:dyDescent="0.2">
      <c r="A158">
        <v>157</v>
      </c>
      <c r="B158" t="e">
        <f>#REF!</f>
        <v>#REF!</v>
      </c>
      <c r="C158" t="e">
        <f>#REF!</f>
        <v>#REF!</v>
      </c>
      <c r="D158" t="e">
        <f>#REF!</f>
        <v>#REF!</v>
      </c>
      <c r="E158" t="e">
        <f>#REF!</f>
        <v>#REF!</v>
      </c>
      <c r="F158" t="e">
        <f>#REF!</f>
        <v>#REF!</v>
      </c>
      <c r="G158" t="e">
        <f>#REF!</f>
        <v>#REF!</v>
      </c>
      <c r="H158" t="e">
        <f>#REF!</f>
        <v>#REF!</v>
      </c>
      <c r="I158" t="e">
        <f>IF(#REF!="Case Cancelled",1,IF(#REF!="No Cases",2,0))</f>
        <v>#REF!</v>
      </c>
      <c r="J158" t="e">
        <f>#REF!</f>
        <v>#REF!</v>
      </c>
      <c r="K158" s="4" t="e">
        <f>#REF!</f>
        <v>#REF!</v>
      </c>
      <c r="L158" t="e">
        <f>"Wk "&amp;WEEKNUM(tbl_Case_mins[[#This Row],[Surgery Start Date]],21)</f>
        <v>#REF!</v>
      </c>
      <c r="M158" t="e">
        <f>TEXT(tbl_Case_mins[[#This Row],[Surgery Start Date]],"ddd")</f>
        <v>#REF!</v>
      </c>
      <c r="N158" s="9" t="e">
        <f>(#REF!-TIME(0,0,0))*1440</f>
        <v>#REF!</v>
      </c>
      <c r="O158" t="e">
        <f>IF(AND(ROUND((#REF!-TIME(0,0,0))*1440,0)&gt;0,ROUND((#REF!-TIME(0,0,0))*1440,0)&lt;tbl_Case_mins[[#This Row],[Patient Called]],tbl_Case_mins[[#This Row],[Surgery End Date]]&gt;tbl_Case_mins[[#This Row],[Surgery Start Date]]),ROUND((#REF!-TIME(0,0,0))*1440,0)+1440,ROUND((#REF!-TIME(0,0,0))*1440,0))</f>
        <v>#REF!</v>
      </c>
      <c r="P158" s="9" t="e">
        <f>IF(AND(ROUND((#REF!-TIME(0,0,0))*1440,0)&gt;0,ROUND((#REF!-TIME(0,0,0))*1440,0)&lt;tbl_Case_mins[[#This Row],[Arrival]],tbl_Case_mins[[#This Row],[Surgery End Date]]&gt;tbl_Case_mins[[#This Row],[Surgery Start Date]]),ROUND((#REF!-TIME(0,0,0))*1440,0)+1440,ROUND((#REF!-TIME(0,0,0))*1440,0))</f>
        <v>#REF!</v>
      </c>
      <c r="Q158" s="9" t="e">
        <f>IF(AND(ROUND((#REF!-TIME(0,0,0))*1440,0)&gt;0,ROUND((#REF!-TIME(0,0,0))*1440,0)&lt;tbl_Case_mins[[#This Row],[Into Th or AR]],tbl_Case_mins[[#This Row],[Surgery End Date]]&gt;tbl_Case_mins[[#This Row],[Surgery Start Date]]),ROUND((#REF!-TIME(0,0,0))*1440,0)+1440,ROUND((#REF!-TIME(0,0,0))*1440,0))</f>
        <v>#REF!</v>
      </c>
      <c r="R158" s="9" t="e">
        <f>IF(AND(ROUND((#REF!-TIME(0,0,0))*1440,0)&gt;0,ROUND((#REF!-TIME(0,0,0))*1440,0)&lt;tbl_Case_mins[[#This Row],[AnaesthStart]],tbl_Case_mins[[#This Row],[Surgery End Date]]&gt;tbl_Case_mins[[#This Row],[Surgery Start Date]]),ROUND((#REF!-TIME(0,0,0))*1440,0)+1440,ROUND((#REF!-TIME(0,0,0))*1440,0))</f>
        <v>#REF!</v>
      </c>
      <c r="S158" s="9" t="e">
        <f>IF(AND(ROUND((#REF!-TIME(0,0,0))*1440,0),ROUND((#REF!-TIME(0,0,0))*1440,0)&lt;tbl_Case_mins[[#This Row],[Surgery Start]],tbl_Case_mins[[#This Row],[Surgery End Date]]&gt;tbl_Case_mins[[#This Row],[Surgery Start Date]]),ROUND((#REF!-TIME(0,0,0))*1440,0)+1440,ROUND((#REF!-TIME(0,0,0))*1440,0))</f>
        <v>#REF!</v>
      </c>
      <c r="T158" s="9" t="e">
        <f>IF(AND(ROUND((#REF!-TIME(0,0,0))*1440,0)&gt;0,ROUND((#REF!-TIME(0,0,0))*1440,0)&lt;tbl_Case_mins[[#This Row],[Surgery Finish]],tbl_Case_mins[[#This Row],[Surgery End Date]]&gt;tbl_Case_mins[[#This Row],[Surgery Start Date]]),ROUND((#REF!-TIME(0,0,0))*1440,0)+1440,ROUND((#REF!-TIME(0,0,0))*1440,0))</f>
        <v>#REF!</v>
      </c>
      <c r="U158" s="9" t="e">
        <f>IF(AND(ROUND((#REF!-TIME(0,0,0))*1440,0)&gt;0,ROUND((#REF!-TIME(0,0,0))*1440,0)&lt;tbl_Case_mins[[#This Row],[Anaesth End]],tbl_Case_mins[[#This Row],[Surgery End Date]]&gt;tbl_Case_mins[[#This Row],[Surgery Start Date]]),ROUND((#REF!-TIME(0,0,0))*1440,0)+1440,ROUND((#REF!-TIME(0,0,0))*1440,0))</f>
        <v>#REF!</v>
      </c>
      <c r="V158" s="9" t="e">
        <f>IF(AND(ROUND((#REF!-TIME(0,0,0))*1440,0)&gt;0,ROUND((#REF!-TIME(0,0,0))*1440,0)&lt;tbl_Case_mins[[#This Row],[Into Recov]],tbl_Case_mins[[#This Row],[Surgery End Date]]&gt;tbl_Case_mins[[#This Row],[Surgery Start Date]]),ROUND((#REF!-TIME(0,0,0))*1440,0)+1440,ROUND((#REF!-TIME(0,0,0))*1440,0))</f>
        <v>#REF!</v>
      </c>
      <c r="W158" s="9" t="e">
        <f>IF(AND(ROUND((#REF!-TIME(0,0,0))*1440,0)&gt;0,ROUND((#REF!-TIME(0,0,0))*1440,0)&lt;tbl_Case_mins[[#This Row],[Ward Called]],tbl_Case_mins[[#This Row],[Surgery End Date]]&gt;tbl_Case_mins[[#This Row],[Surgery Start Date]]),ROUND((#REF!-TIME(0,0,0))*1440,0)+1440,ROUND((#REF!-TIME(0,0,0))*1440,0))</f>
        <v>#REF!</v>
      </c>
      <c r="X158" s="4" t="e">
        <f>IF(ISBLANK(#REF!),tbl_Case_mins[[#This Row],[Surgery Start Date]],#REF!)</f>
        <v>#REF!</v>
      </c>
      <c r="Y158">
        <f>IFERROR(IF(VLOOKUP(tbl_Case_mins[[#This Row],[Theatre]],'Mng Theatres'!$C$7:$G$12,3,FALSE)="Yes","Yes","No"),0)</f>
        <v>0</v>
      </c>
      <c r="Z158" s="9" t="e" cm="1">
        <f t="array" ref="Z15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8" s="9" t="e" cm="1">
        <f t="array" ref="AA15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8" s="9" t="e">
        <f>IF(tbl_Case_mins[[#This Row],[Case Type]]="Unsch",1,0)</f>
        <v>#REF!</v>
      </c>
      <c r="AD158" s="9" t="e">
        <f>IF(tbl_Case_mins[[#This Row],[Case Type]]="Sch",1,0)</f>
        <v>#REF!</v>
      </c>
      <c r="AE15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8" s="9">
        <f>IFERROR(IF(ISBLANK(INDEX(Am_Close,MATCH(1,INDEX((tbl_Case_mins[[#This Row],[Theatre]]=Theatre_No)*(tbl_Case_mins[[#This Row],[Surgery Start Date]]=Date),0,1),0))*1440),0,INDEX(Am_Close,MATCH(1,INDEX((tbl_Case_mins[[#This Row],[Theatre]]=Theatre_No)*(tbl_Case_mins[[#This Row],[Surgery Start Date]]=Date),0,1),0))*1440),0)</f>
        <v>0</v>
      </c>
      <c r="AG158" s="9">
        <f>IFERROR(IF(ISBLANK(INDEX(PM_Open,MATCH(1,INDEX((tbl_Case_mins[[#This Row],[Theatre]]=Theatre_No)*(tbl_Case_mins[[#This Row],[Surgery Start Date]]=Date),0,1),0))*1440),0,INDEX(PM_Open,MATCH(1,INDEX((tbl_Case_mins[[#This Row],[Theatre]]=Theatre_No)*(tbl_Case_mins[[#This Row],[Surgery Start Date]]=Date),0,1),0))*1440),0)</f>
        <v>0</v>
      </c>
      <c r="AH15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8" s="9" t="e">
        <f>IF(tbl_Case_mins[[#This Row],[ThOpenAm]]=0,tbl_Case_mins[[#This Row],[ThOpenPM]],tbl_Case_mins[[#This Row],[ThOpenAm]])</f>
        <v>#REF!</v>
      </c>
      <c r="AJ158" s="9" t="e">
        <f>IF(tbl_Case_mins[[#This Row],[ThCloseAm]]&gt;0,IF(tbl_Case_mins[[#This Row],[ThOpenPM]]&gt;0,tbl_Case_mins[[#This Row],[ThClosePm]],tbl_Case_mins[[#This Row],[ThCloseAm]]),tbl_Case_mins[[#This Row],[ThClosePm]])</f>
        <v>#REF!</v>
      </c>
      <c r="AK158" s="9" t="e">
        <f>IF(tbl_Case_mins[[#This Row],[TOT]]&gt;0,1,0)</f>
        <v>#REF!</v>
      </c>
      <c r="AL15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8" s="9" t="e">
        <f>IF(AND(tbl_Case_mins[[#This Row],[Surgery Status]]&lt;&gt;2,tbl_Case_mins[[#This Row],[InCoreCase]]=0,tbl_Case_mins[[#This Row],[CancelledCase]]=0),1,0)</f>
        <v>#REF!</v>
      </c>
      <c r="AN158" s="9" t="e">
        <f>IF(tbl_Case_mins[[#This Row],[Surgery Status]]=1,1,0)</f>
        <v>#REF!</v>
      </c>
      <c r="AO15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8" s="9" t="e">
        <f>IF(AND(tbl_Case_mins[[#This Row],[NonCoreCase]]=1,tbl_Case_mins[[#This Row],[NoInCoreTime]]=0),1,0)</f>
        <v>#REF!</v>
      </c>
      <c r="AQ158" s="9" t="e">
        <f>IF(tbl_Case_mins[[#This Row],[Rank_AnaEnd]]&lt;tbl_Case_mins[[#This Row],[Rank_AnaSt]],1,0)</f>
        <v>#REF!</v>
      </c>
      <c r="AR158" s="9" t="e">
        <f>IF(AND(tbl_Case_mins[[#This Row],[InCoreCase]]=1,tbl_Case_mins[[#This Row],[Sch]]=1),1,0)</f>
        <v>#REF!</v>
      </c>
      <c r="AS158" s="9" t="e">
        <f>IF(AND(tbl_Case_mins[[#This Row],[InCoreCase]]=1,tbl_Case_mins[[#This Row],[Unsch]]=1),1,0)</f>
        <v>#REF!</v>
      </c>
      <c r="AT15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8" s="9" t="e">
        <f>IF(tbl_Case_mins[[#This Row],[Surgery Status]]=0,(tbl_Case_mins[[#This Row],[Anaesth End]]-tbl_Case_mins[[#This Row],[AnaesthStart]]),0)</f>
        <v>#REF!</v>
      </c>
      <c r="AX158" s="9" t="e">
        <f>IF(tbl_Case_mins[[#This Row],[Surgery Status]]=0,(tbl_Case_mins[[#This Row],[Surgery Finish]]-tbl_Case_mins[[#This Row],[Surgery Start]]),0)</f>
        <v>#REF!</v>
      </c>
      <c r="AY158" s="9" t="e">
        <f>tbl_Case_mins[[#This Row],[Surgery Start]]-tbl_Case_mins[[#This Row],[AnaesthStart]]</f>
        <v>#REF!</v>
      </c>
      <c r="AZ158" s="9" t="e">
        <f>tbl_Case_mins[[#This Row],[Anaesth End]]-tbl_Case_mins[[#This Row],[Surgery Finish]]</f>
        <v>#REF!</v>
      </c>
      <c r="BA15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8" s="16" cm="1">
        <f t="array" ref="BC15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8" s="16" t="e">
        <f>IF(AND(tbl_Case_mins[[#This Row],[FirstAMCase]]=1,tbl_Case_mins[[#This Row],[CancelledCase]]=0,OR(tbl_Case_mins[[#This Row],[EarlyStartAM]]&gt;0,tbl_Case_mins[[#This Row],[AnaesthStart]]=tbl_Case_mins[[#This Row],[ThOpenAm]])),1,0)</f>
        <v>#REF!</v>
      </c>
      <c r="BE158" s="16" t="e">
        <f>IF(AND(tbl_Case_mins[[#This Row],[Rank_AnaSt]]=tbl_Case_mins[[#This Row],[Min_RankAnaSt]],tbl_Case_mins[[#This Row],[Anaesth End]]&gt;=tbl_Case_mins[[#This Row],[ThOpenAm]],tbl_Case_mins[[#This Row],[PmCase]]=0),1,0)</f>
        <v>#REF!</v>
      </c>
      <c r="BF15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8" s="9" t="e" cm="1">
        <f t="array" ref="BH15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8" s="9" t="e">
        <f>IF(AND(tbl_Case_mins[[#This Row],[ThOpenPM]]&gt;0,tbl_Case_mins[[#This Row],[AnaesthStart]]&gt;tbl_Case_mins[[#This Row],[ThOpenPM]],tbl_Case_mins[[#This Row],[First PM Case]]=1),tbl_Case_mins[[#This Row],[AnaesthStart]]-tbl_Case_mins[[#This Row],[ThOpenPM]],0)</f>
        <v>#REF!</v>
      </c>
      <c r="BL15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8" s="9" t="e" cm="1">
        <f t="array" ref="BN15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8" s="9" t="e">
        <f>IF(AND(tbl_Case_mins[[#This Row],[ThClosePm]]&gt;0,tbl_Case_mins[[#This Row],[Anaesth End]]&gt;tbl_Case_mins[[#This Row],[ThClosePm]],tbl_Case_mins[[#This Row],[AnaesthStart]]&gt;tbl_Case_mins[[#This Row],[ThClosePm]]),tbl_Case_mins[[#This Row],[Into Recov]]-tbl_Case_mins[[#This Row],[AnaesthStart]],0)</f>
        <v>#REF!</v>
      </c>
      <c r="BP158" s="9" t="e">
        <f>IF(AND(tbl_Case_mins[[#This Row],[AnaesthStart]]&lt;tbl_Case_mins[[#This Row],[ThClosePm]],tbl_Case_mins[[#This Row],[Anaesth End]]&gt;tbl_Case_mins[[#This Row],[ThClosePm]]),tbl_Case_mins[[#This Row],[Anaesth End]]-tbl_Case_mins[[#This Row],[ThClosePm]],0)</f>
        <v>#REF!</v>
      </c>
      <c r="BQ158" s="9" t="e" cm="1">
        <f t="array" ref="BQ15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8" s="9" t="e" cm="1">
        <f t="array" ref="BR158">IF(tbl_Case_mins[[#This Row],[Rank_Adjust]]=SUMPRODUCT(-(tbl_Case_mins[Surgery Start Date]=tbl_Case_mins[[#This Row],[Surgery Start Date]]),-(tbl_Case_mins[Theatre]=tbl_Case_mins[[#This Row],[Theatre]])),INDEX(Poss_Time,MATCH(TEXT(tbl_Case_mins[[#This Row],[Surgery Start Date]],"ddd"),Day,0)),0)</f>
        <v>#REF!</v>
      </c>
      <c r="BS158" s="9" t="e">
        <f>tbl_Case_mins[[#This Row],[Core_Time]]*Util_Goal</f>
        <v>#REF!</v>
      </c>
      <c r="BT158" s="9" t="e" cm="1">
        <f t="array" ref="BT1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8" s="9" t="e" cm="1">
        <f t="array" ref="BU1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8" s="9" t="e">
        <f>IF(tbl_Case_mins[[#This Row],[Surgery End Date]]&gt;tbl_Case_mins[[#This Row],[Surgery Start Date]],tbl_Case_mins[[#This Row],[Anaesth End]]-1440,0)</f>
        <v>#REF!</v>
      </c>
      <c r="BY158" s="9" t="e">
        <f>tbl_Case_mins[[#This Row],[Total_NonCore]]-tbl_Case_mins[[#This Row],[NextDay_NonCore]]</f>
        <v>#REF!</v>
      </c>
      <c r="BZ158" s="10" t="e">
        <f>tbl_Case_mins[[#This Row],[InCoreUse]]/60</f>
        <v>#REF!</v>
      </c>
      <c r="CA158" s="10" t="e">
        <f>tbl_Case_mins[[#This Row],[Total_NonCore]]/60</f>
        <v>#REF!</v>
      </c>
      <c r="CB158" t="e" cm="1">
        <f t="array" ref="CB1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8" s="9" t="e" cm="1">
        <f t="array" ref="CC15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8" s="9" t="e" cm="1">
        <f t="array" ref="CD1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8" s="9" t="e" cm="1">
        <f t="array" ref="CE15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8" s="9" cm="1">
        <f t="array" ref="CF158">IFERROR(_xlfn.AGGREGATE(14,6,(tbl_Case_mins[Rank_AnaEnd])/((tbl_Case_mins[Surgery Start Date]=tbl_Case_mins[[#This Row],[Surgery Start Date]])*(tbl_Case_mins[Theatre]=tbl_Case_mins[[#This Row],[Theatre]])*(tbl_Case_mins[NoInCoreTime]=0)),1),-1)</f>
        <v>-1</v>
      </c>
      <c r="CG158" s="9" cm="1">
        <f t="array" ref="CG158">IFERROR(_xlfn.AGGREGATE(15,6,(tbl_Case_mins[Rank_AnaSt])/((tbl_Case_mins[Surgery Start Date]=tbl_Case_mins[[#This Row],[Surgery Start Date]])*(tbl_Case_mins[Theatre]=tbl_Case_mins[[#This Row],[Theatre]])*(tbl_Case_mins[NoInCoreTime]=0)),1),-1)</f>
        <v>-1</v>
      </c>
      <c r="CH15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8" t="e" cm="1">
        <f t="array" ref="CJ15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8" s="9" cm="1">
        <f t="array" ref="CO1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8" s="9" cm="1">
        <f t="array" ref="CP1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8" s="9" cm="1">
        <f t="array" ref="CQ158">IFERROR(IF(AND(tbl_Case_mins[[#This Row],[FirstAMCase]]=0,tbl_Case_mins[[#This Row],[Rank]]=_xlfn.AGGREGATE(14,6,(tbl_Case_mins[Rank])/((tbl_Case_mins[Surgery Start Date]=tbl_Case_mins[[#This Row],[Surgery Start Date]])*(tbl_Case_mins[Theatre]=tbl_Case_mins[[#This Row],[Theatre]])*(tbl_Case_mins[AmCase]=1)),1)),1,0),0)</f>
        <v>0</v>
      </c>
      <c r="CR158" s="9" cm="1">
        <f t="array" ref="CR15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8" s="9" t="e" cm="1">
        <f t="array" ref="CS15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8" s="9" cm="1">
        <f t="array" ref="CT158">IFERROR(IF(tbl_Case_mins[[#This Row],[Rank]]=_xlfn.AGGREGATE(15,6,(tbl_Case_mins[Rank])/((tbl_Case_mins[Surgery Start Date]=tbl_Case_mins[[#This Row],[Surgery Start Date]])*(tbl_Case_mins[Theatre]=tbl_Case_mins[[#This Row],[Theatre]])*(tbl_Case_mins[PmCase]=1)),1),1,0),0)</f>
        <v>0</v>
      </c>
      <c r="CU158">
        <f>IFERROR(#REF!,0)</f>
        <v>0</v>
      </c>
      <c r="CV158" s="9" t="e" cm="1">
        <f t="array" ref="CV15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8" s="9">
        <f>IFERROR(IF(ISBLANK(INDEX(Bay_AmClose,MATCH(1,INDEX((tbl_Case_mins[[#This Row],[Bay]]=BayNo)*(tbl_Case_mins[[#This Row],[Surgery Start Date]]=BDate),0,1),0))*1440),0,INDEX(Bay_AmClose,MATCH(1,INDEX((tbl_Case_mins[[#This Row],[Bay]]=BayNo)*(tbl_Case_mins[[#This Row],[Surgery Start Date]]=BDate),0,1),0))*1440),0)</f>
        <v>0</v>
      </c>
      <c r="CX158" s="9" cm="1">
        <f t="array" ref="CX158">IFERROR(IF(ISBLANK(INDEX(Bay_PmOpen,MATCH(1,INDEX((tbl_Case_mins[[#This Row],[Bay]]=BayNo)*(tbl_Case_mins[[#This Row],[Surgery Start Date]]=BDate),0,1),0))*1440),0,INDEX(Bay_PmOpen,MATCH(1,INDEX((tbl_Case_mins[[#This Row],[Bay]]=BayNo)*(tbl_Case_mins[[#This Row],[Surgery Start Date]]=BDate),0,1),0))*1440),0)</f>
        <v>0</v>
      </c>
      <c r="CY15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8" s="9"/>
    </row>
    <row r="159" spans="1:104" x14ac:dyDescent="0.2">
      <c r="A159">
        <v>158</v>
      </c>
      <c r="B159" t="e">
        <f>#REF!</f>
        <v>#REF!</v>
      </c>
      <c r="C159" t="e">
        <f>#REF!</f>
        <v>#REF!</v>
      </c>
      <c r="D159" t="e">
        <f>#REF!</f>
        <v>#REF!</v>
      </c>
      <c r="E159" t="e">
        <f>#REF!</f>
        <v>#REF!</v>
      </c>
      <c r="F159" t="e">
        <f>#REF!</f>
        <v>#REF!</v>
      </c>
      <c r="G159" t="e">
        <f>#REF!</f>
        <v>#REF!</v>
      </c>
      <c r="H159" t="e">
        <f>#REF!</f>
        <v>#REF!</v>
      </c>
      <c r="I159" t="e">
        <f>IF(#REF!="Case Cancelled",1,IF(#REF!="No Cases",2,0))</f>
        <v>#REF!</v>
      </c>
      <c r="J159" t="e">
        <f>#REF!</f>
        <v>#REF!</v>
      </c>
      <c r="K159" s="4" t="e">
        <f>#REF!</f>
        <v>#REF!</v>
      </c>
      <c r="L159" t="e">
        <f>"Wk "&amp;WEEKNUM(tbl_Case_mins[[#This Row],[Surgery Start Date]],21)</f>
        <v>#REF!</v>
      </c>
      <c r="M159" t="e">
        <f>TEXT(tbl_Case_mins[[#This Row],[Surgery Start Date]],"ddd")</f>
        <v>#REF!</v>
      </c>
      <c r="N159" s="9" t="e">
        <f>(#REF!-TIME(0,0,0))*1440</f>
        <v>#REF!</v>
      </c>
      <c r="O159" t="e">
        <f>IF(AND(ROUND((#REF!-TIME(0,0,0))*1440,0)&gt;0,ROUND((#REF!-TIME(0,0,0))*1440,0)&lt;tbl_Case_mins[[#This Row],[Patient Called]],tbl_Case_mins[[#This Row],[Surgery End Date]]&gt;tbl_Case_mins[[#This Row],[Surgery Start Date]]),ROUND((#REF!-TIME(0,0,0))*1440,0)+1440,ROUND((#REF!-TIME(0,0,0))*1440,0))</f>
        <v>#REF!</v>
      </c>
      <c r="P159" s="9" t="e">
        <f>IF(AND(ROUND((#REF!-TIME(0,0,0))*1440,0)&gt;0,ROUND((#REF!-TIME(0,0,0))*1440,0)&lt;tbl_Case_mins[[#This Row],[Arrival]],tbl_Case_mins[[#This Row],[Surgery End Date]]&gt;tbl_Case_mins[[#This Row],[Surgery Start Date]]),ROUND((#REF!-TIME(0,0,0))*1440,0)+1440,ROUND((#REF!-TIME(0,0,0))*1440,0))</f>
        <v>#REF!</v>
      </c>
      <c r="Q159" s="9" t="e">
        <f>IF(AND(ROUND((#REF!-TIME(0,0,0))*1440,0)&gt;0,ROUND((#REF!-TIME(0,0,0))*1440,0)&lt;tbl_Case_mins[[#This Row],[Into Th or AR]],tbl_Case_mins[[#This Row],[Surgery End Date]]&gt;tbl_Case_mins[[#This Row],[Surgery Start Date]]),ROUND((#REF!-TIME(0,0,0))*1440,0)+1440,ROUND((#REF!-TIME(0,0,0))*1440,0))</f>
        <v>#REF!</v>
      </c>
      <c r="R159" s="9" t="e">
        <f>IF(AND(ROUND((#REF!-TIME(0,0,0))*1440,0)&gt;0,ROUND((#REF!-TIME(0,0,0))*1440,0)&lt;tbl_Case_mins[[#This Row],[AnaesthStart]],tbl_Case_mins[[#This Row],[Surgery End Date]]&gt;tbl_Case_mins[[#This Row],[Surgery Start Date]]),ROUND((#REF!-TIME(0,0,0))*1440,0)+1440,ROUND((#REF!-TIME(0,0,0))*1440,0))</f>
        <v>#REF!</v>
      </c>
      <c r="S159" s="9" t="e">
        <f>IF(AND(ROUND((#REF!-TIME(0,0,0))*1440,0),ROUND((#REF!-TIME(0,0,0))*1440,0)&lt;tbl_Case_mins[[#This Row],[Surgery Start]],tbl_Case_mins[[#This Row],[Surgery End Date]]&gt;tbl_Case_mins[[#This Row],[Surgery Start Date]]),ROUND((#REF!-TIME(0,0,0))*1440,0)+1440,ROUND((#REF!-TIME(0,0,0))*1440,0))</f>
        <v>#REF!</v>
      </c>
      <c r="T159" s="9" t="e">
        <f>IF(AND(ROUND((#REF!-TIME(0,0,0))*1440,0)&gt;0,ROUND((#REF!-TIME(0,0,0))*1440,0)&lt;tbl_Case_mins[[#This Row],[Surgery Finish]],tbl_Case_mins[[#This Row],[Surgery End Date]]&gt;tbl_Case_mins[[#This Row],[Surgery Start Date]]),ROUND((#REF!-TIME(0,0,0))*1440,0)+1440,ROUND((#REF!-TIME(0,0,0))*1440,0))</f>
        <v>#REF!</v>
      </c>
      <c r="U159" s="9" t="e">
        <f>IF(AND(ROUND((#REF!-TIME(0,0,0))*1440,0)&gt;0,ROUND((#REF!-TIME(0,0,0))*1440,0)&lt;tbl_Case_mins[[#This Row],[Anaesth End]],tbl_Case_mins[[#This Row],[Surgery End Date]]&gt;tbl_Case_mins[[#This Row],[Surgery Start Date]]),ROUND((#REF!-TIME(0,0,0))*1440,0)+1440,ROUND((#REF!-TIME(0,0,0))*1440,0))</f>
        <v>#REF!</v>
      </c>
      <c r="V159" s="9" t="e">
        <f>IF(AND(ROUND((#REF!-TIME(0,0,0))*1440,0)&gt;0,ROUND((#REF!-TIME(0,0,0))*1440,0)&lt;tbl_Case_mins[[#This Row],[Into Recov]],tbl_Case_mins[[#This Row],[Surgery End Date]]&gt;tbl_Case_mins[[#This Row],[Surgery Start Date]]),ROUND((#REF!-TIME(0,0,0))*1440,0)+1440,ROUND((#REF!-TIME(0,0,0))*1440,0))</f>
        <v>#REF!</v>
      </c>
      <c r="W159" s="9" t="e">
        <f>IF(AND(ROUND((#REF!-TIME(0,0,0))*1440,0)&gt;0,ROUND((#REF!-TIME(0,0,0))*1440,0)&lt;tbl_Case_mins[[#This Row],[Ward Called]],tbl_Case_mins[[#This Row],[Surgery End Date]]&gt;tbl_Case_mins[[#This Row],[Surgery Start Date]]),ROUND((#REF!-TIME(0,0,0))*1440,0)+1440,ROUND((#REF!-TIME(0,0,0))*1440,0))</f>
        <v>#REF!</v>
      </c>
      <c r="X159" s="4" t="e">
        <f>IF(ISBLANK(#REF!),tbl_Case_mins[[#This Row],[Surgery Start Date]],#REF!)</f>
        <v>#REF!</v>
      </c>
      <c r="Y159">
        <f>IFERROR(IF(VLOOKUP(tbl_Case_mins[[#This Row],[Theatre]],'Mng Theatres'!$C$7:$G$12,3,FALSE)="Yes","Yes","No"),0)</f>
        <v>0</v>
      </c>
      <c r="Z159" s="9" t="e" cm="1">
        <f t="array" ref="Z15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59" s="9" t="e" cm="1">
        <f t="array" ref="AA15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5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59" s="9" t="e">
        <f>IF(tbl_Case_mins[[#This Row],[Case Type]]="Unsch",1,0)</f>
        <v>#REF!</v>
      </c>
      <c r="AD159" s="9" t="e">
        <f>IF(tbl_Case_mins[[#This Row],[Case Type]]="Sch",1,0)</f>
        <v>#REF!</v>
      </c>
      <c r="AE15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59" s="9">
        <f>IFERROR(IF(ISBLANK(INDEX(Am_Close,MATCH(1,INDEX((tbl_Case_mins[[#This Row],[Theatre]]=Theatre_No)*(tbl_Case_mins[[#This Row],[Surgery Start Date]]=Date),0,1),0))*1440),0,INDEX(Am_Close,MATCH(1,INDEX((tbl_Case_mins[[#This Row],[Theatre]]=Theatre_No)*(tbl_Case_mins[[#This Row],[Surgery Start Date]]=Date),0,1),0))*1440),0)</f>
        <v>0</v>
      </c>
      <c r="AG159" s="9">
        <f>IFERROR(IF(ISBLANK(INDEX(PM_Open,MATCH(1,INDEX((tbl_Case_mins[[#This Row],[Theatre]]=Theatre_No)*(tbl_Case_mins[[#This Row],[Surgery Start Date]]=Date),0,1),0))*1440),0,INDEX(PM_Open,MATCH(1,INDEX((tbl_Case_mins[[#This Row],[Theatre]]=Theatre_No)*(tbl_Case_mins[[#This Row],[Surgery Start Date]]=Date),0,1),0))*1440),0)</f>
        <v>0</v>
      </c>
      <c r="AH15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59" s="9" t="e">
        <f>IF(tbl_Case_mins[[#This Row],[ThOpenAm]]=0,tbl_Case_mins[[#This Row],[ThOpenPM]],tbl_Case_mins[[#This Row],[ThOpenAm]])</f>
        <v>#REF!</v>
      </c>
      <c r="AJ159" s="9" t="e">
        <f>IF(tbl_Case_mins[[#This Row],[ThCloseAm]]&gt;0,IF(tbl_Case_mins[[#This Row],[ThOpenPM]]&gt;0,tbl_Case_mins[[#This Row],[ThClosePm]],tbl_Case_mins[[#This Row],[ThCloseAm]]),tbl_Case_mins[[#This Row],[ThClosePm]])</f>
        <v>#REF!</v>
      </c>
      <c r="AK159" s="9" t="e">
        <f>IF(tbl_Case_mins[[#This Row],[TOT]]&gt;0,1,0)</f>
        <v>#REF!</v>
      </c>
      <c r="AL15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59" s="9" t="e">
        <f>IF(AND(tbl_Case_mins[[#This Row],[Surgery Status]]&lt;&gt;2,tbl_Case_mins[[#This Row],[InCoreCase]]=0,tbl_Case_mins[[#This Row],[CancelledCase]]=0),1,0)</f>
        <v>#REF!</v>
      </c>
      <c r="AN159" s="9" t="e">
        <f>IF(tbl_Case_mins[[#This Row],[Surgery Status]]=1,1,0)</f>
        <v>#REF!</v>
      </c>
      <c r="AO15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59" s="9" t="e">
        <f>IF(AND(tbl_Case_mins[[#This Row],[NonCoreCase]]=1,tbl_Case_mins[[#This Row],[NoInCoreTime]]=0),1,0)</f>
        <v>#REF!</v>
      </c>
      <c r="AQ159" s="9" t="e">
        <f>IF(tbl_Case_mins[[#This Row],[Rank_AnaEnd]]&lt;tbl_Case_mins[[#This Row],[Rank_AnaSt]],1,0)</f>
        <v>#REF!</v>
      </c>
      <c r="AR159" s="9" t="e">
        <f>IF(AND(tbl_Case_mins[[#This Row],[InCoreCase]]=1,tbl_Case_mins[[#This Row],[Sch]]=1),1,0)</f>
        <v>#REF!</v>
      </c>
      <c r="AS159" s="9" t="e">
        <f>IF(AND(tbl_Case_mins[[#This Row],[InCoreCase]]=1,tbl_Case_mins[[#This Row],[Unsch]]=1),1,0)</f>
        <v>#REF!</v>
      </c>
      <c r="AT15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5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5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59" s="9" t="e">
        <f>IF(tbl_Case_mins[[#This Row],[Surgery Status]]=0,(tbl_Case_mins[[#This Row],[Anaesth End]]-tbl_Case_mins[[#This Row],[AnaesthStart]]),0)</f>
        <v>#REF!</v>
      </c>
      <c r="AX159" s="9" t="e">
        <f>IF(tbl_Case_mins[[#This Row],[Surgery Status]]=0,(tbl_Case_mins[[#This Row],[Surgery Finish]]-tbl_Case_mins[[#This Row],[Surgery Start]]),0)</f>
        <v>#REF!</v>
      </c>
      <c r="AY159" s="9" t="e">
        <f>tbl_Case_mins[[#This Row],[Surgery Start]]-tbl_Case_mins[[#This Row],[AnaesthStart]]</f>
        <v>#REF!</v>
      </c>
      <c r="AZ159" s="9" t="e">
        <f>tbl_Case_mins[[#This Row],[Anaesth End]]-tbl_Case_mins[[#This Row],[Surgery Finish]]</f>
        <v>#REF!</v>
      </c>
      <c r="BA15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5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59" s="16" cm="1">
        <f t="array" ref="BC15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59" s="16" t="e">
        <f>IF(AND(tbl_Case_mins[[#This Row],[FirstAMCase]]=1,tbl_Case_mins[[#This Row],[CancelledCase]]=0,OR(tbl_Case_mins[[#This Row],[EarlyStartAM]]&gt;0,tbl_Case_mins[[#This Row],[AnaesthStart]]=tbl_Case_mins[[#This Row],[ThOpenAm]])),1,0)</f>
        <v>#REF!</v>
      </c>
      <c r="BE159" s="16" t="e">
        <f>IF(AND(tbl_Case_mins[[#This Row],[Rank_AnaSt]]=tbl_Case_mins[[#This Row],[Min_RankAnaSt]],tbl_Case_mins[[#This Row],[Anaesth End]]&gt;=tbl_Case_mins[[#This Row],[ThOpenAm]],tbl_Case_mins[[#This Row],[PmCase]]=0),1,0)</f>
        <v>#REF!</v>
      </c>
      <c r="BF15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5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59" s="9" t="e" cm="1">
        <f t="array" ref="BH15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5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5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59" s="9" t="e">
        <f>IF(AND(tbl_Case_mins[[#This Row],[ThOpenPM]]&gt;0,tbl_Case_mins[[#This Row],[AnaesthStart]]&gt;tbl_Case_mins[[#This Row],[ThOpenPM]],tbl_Case_mins[[#This Row],[First PM Case]]=1),tbl_Case_mins[[#This Row],[AnaesthStart]]-tbl_Case_mins[[#This Row],[ThOpenPM]],0)</f>
        <v>#REF!</v>
      </c>
      <c r="BL15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5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59" s="9" t="e" cm="1">
        <f t="array" ref="BN15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59" s="9" t="e">
        <f>IF(AND(tbl_Case_mins[[#This Row],[ThClosePm]]&gt;0,tbl_Case_mins[[#This Row],[Anaesth End]]&gt;tbl_Case_mins[[#This Row],[ThClosePm]],tbl_Case_mins[[#This Row],[AnaesthStart]]&gt;tbl_Case_mins[[#This Row],[ThClosePm]]),tbl_Case_mins[[#This Row],[Into Recov]]-tbl_Case_mins[[#This Row],[AnaesthStart]],0)</f>
        <v>#REF!</v>
      </c>
      <c r="BP159" s="9" t="e">
        <f>IF(AND(tbl_Case_mins[[#This Row],[AnaesthStart]]&lt;tbl_Case_mins[[#This Row],[ThClosePm]],tbl_Case_mins[[#This Row],[Anaesth End]]&gt;tbl_Case_mins[[#This Row],[ThClosePm]]),tbl_Case_mins[[#This Row],[Anaesth End]]-tbl_Case_mins[[#This Row],[ThClosePm]],0)</f>
        <v>#REF!</v>
      </c>
      <c r="BQ159" s="9" t="e" cm="1">
        <f t="array" ref="BQ15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59" s="9" t="e" cm="1">
        <f t="array" ref="BR159">IF(tbl_Case_mins[[#This Row],[Rank_Adjust]]=SUMPRODUCT(-(tbl_Case_mins[Surgery Start Date]=tbl_Case_mins[[#This Row],[Surgery Start Date]]),-(tbl_Case_mins[Theatre]=tbl_Case_mins[[#This Row],[Theatre]])),INDEX(Poss_Time,MATCH(TEXT(tbl_Case_mins[[#This Row],[Surgery Start Date]],"ddd"),Day,0)),0)</f>
        <v>#REF!</v>
      </c>
      <c r="BS159" s="9" t="e">
        <f>tbl_Case_mins[[#This Row],[Core_Time]]*Util_Goal</f>
        <v>#REF!</v>
      </c>
      <c r="BT159" s="9" t="e" cm="1">
        <f t="array" ref="BT1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59" s="9" t="e" cm="1">
        <f t="array" ref="BU1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5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5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59" s="9" t="e">
        <f>IF(tbl_Case_mins[[#This Row],[Surgery End Date]]&gt;tbl_Case_mins[[#This Row],[Surgery Start Date]],tbl_Case_mins[[#This Row],[Anaesth End]]-1440,0)</f>
        <v>#REF!</v>
      </c>
      <c r="BY159" s="9" t="e">
        <f>tbl_Case_mins[[#This Row],[Total_NonCore]]-tbl_Case_mins[[#This Row],[NextDay_NonCore]]</f>
        <v>#REF!</v>
      </c>
      <c r="BZ159" s="10" t="e">
        <f>tbl_Case_mins[[#This Row],[InCoreUse]]/60</f>
        <v>#REF!</v>
      </c>
      <c r="CA159" s="10" t="e">
        <f>tbl_Case_mins[[#This Row],[Total_NonCore]]/60</f>
        <v>#REF!</v>
      </c>
      <c r="CB159" t="e" cm="1">
        <f t="array" ref="CB1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59" s="9" t="e" cm="1">
        <f t="array" ref="CC15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59" s="9" t="e" cm="1">
        <f t="array" ref="CD1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59" s="9" t="e" cm="1">
        <f t="array" ref="CE15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59" s="9" cm="1">
        <f t="array" ref="CF159">IFERROR(_xlfn.AGGREGATE(14,6,(tbl_Case_mins[Rank_AnaEnd])/((tbl_Case_mins[Surgery Start Date]=tbl_Case_mins[[#This Row],[Surgery Start Date]])*(tbl_Case_mins[Theatre]=tbl_Case_mins[[#This Row],[Theatre]])*(tbl_Case_mins[NoInCoreTime]=0)),1),-1)</f>
        <v>-1</v>
      </c>
      <c r="CG159" s="9" cm="1">
        <f t="array" ref="CG159">IFERROR(_xlfn.AGGREGATE(15,6,(tbl_Case_mins[Rank_AnaSt])/((tbl_Case_mins[Surgery Start Date]=tbl_Case_mins[[#This Row],[Surgery Start Date]])*(tbl_Case_mins[Theatre]=tbl_Case_mins[[#This Row],[Theatre]])*(tbl_Case_mins[NoInCoreTime]=0)),1),-1)</f>
        <v>-1</v>
      </c>
      <c r="CH15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5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59" t="e" cm="1">
        <f t="array" ref="CJ15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5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5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59" s="9" cm="1">
        <f t="array" ref="CO1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59" s="9" cm="1">
        <f t="array" ref="CP1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59" s="9" cm="1">
        <f t="array" ref="CQ159">IFERROR(IF(AND(tbl_Case_mins[[#This Row],[FirstAMCase]]=0,tbl_Case_mins[[#This Row],[Rank]]=_xlfn.AGGREGATE(14,6,(tbl_Case_mins[Rank])/((tbl_Case_mins[Surgery Start Date]=tbl_Case_mins[[#This Row],[Surgery Start Date]])*(tbl_Case_mins[Theatre]=tbl_Case_mins[[#This Row],[Theatre]])*(tbl_Case_mins[AmCase]=1)),1)),1,0),0)</f>
        <v>0</v>
      </c>
      <c r="CR159" s="9" cm="1">
        <f t="array" ref="CR15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59" s="9" t="e" cm="1">
        <f t="array" ref="CS15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59" s="9" cm="1">
        <f t="array" ref="CT159">IFERROR(IF(tbl_Case_mins[[#This Row],[Rank]]=_xlfn.AGGREGATE(15,6,(tbl_Case_mins[Rank])/((tbl_Case_mins[Surgery Start Date]=tbl_Case_mins[[#This Row],[Surgery Start Date]])*(tbl_Case_mins[Theatre]=tbl_Case_mins[[#This Row],[Theatre]])*(tbl_Case_mins[PmCase]=1)),1),1,0),0)</f>
        <v>0</v>
      </c>
      <c r="CU159">
        <f>IFERROR(#REF!,0)</f>
        <v>0</v>
      </c>
      <c r="CV159" s="9" t="e" cm="1">
        <f t="array" ref="CV15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59" s="9">
        <f>IFERROR(IF(ISBLANK(INDEX(Bay_AmClose,MATCH(1,INDEX((tbl_Case_mins[[#This Row],[Bay]]=BayNo)*(tbl_Case_mins[[#This Row],[Surgery Start Date]]=BDate),0,1),0))*1440),0,INDEX(Bay_AmClose,MATCH(1,INDEX((tbl_Case_mins[[#This Row],[Bay]]=BayNo)*(tbl_Case_mins[[#This Row],[Surgery Start Date]]=BDate),0,1),0))*1440),0)</f>
        <v>0</v>
      </c>
      <c r="CX159" s="9" cm="1">
        <f t="array" ref="CX159">IFERROR(IF(ISBLANK(INDEX(Bay_PmOpen,MATCH(1,INDEX((tbl_Case_mins[[#This Row],[Bay]]=BayNo)*(tbl_Case_mins[[#This Row],[Surgery Start Date]]=BDate),0,1),0))*1440),0,INDEX(Bay_PmOpen,MATCH(1,INDEX((tbl_Case_mins[[#This Row],[Bay]]=BayNo)*(tbl_Case_mins[[#This Row],[Surgery Start Date]]=BDate),0,1),0))*1440),0)</f>
        <v>0</v>
      </c>
      <c r="CY15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59" s="9"/>
    </row>
    <row r="160" spans="1:104" x14ac:dyDescent="0.2">
      <c r="A160">
        <v>159</v>
      </c>
      <c r="B160" t="e">
        <f>#REF!</f>
        <v>#REF!</v>
      </c>
      <c r="C160" t="e">
        <f>#REF!</f>
        <v>#REF!</v>
      </c>
      <c r="D160" t="e">
        <f>#REF!</f>
        <v>#REF!</v>
      </c>
      <c r="E160" t="e">
        <f>#REF!</f>
        <v>#REF!</v>
      </c>
      <c r="F160" t="e">
        <f>#REF!</f>
        <v>#REF!</v>
      </c>
      <c r="G160" t="e">
        <f>#REF!</f>
        <v>#REF!</v>
      </c>
      <c r="H160" t="e">
        <f>#REF!</f>
        <v>#REF!</v>
      </c>
      <c r="I160" t="e">
        <f>IF(#REF!="Case Cancelled",1,IF(#REF!="No Cases",2,0))</f>
        <v>#REF!</v>
      </c>
      <c r="J160" t="e">
        <f>#REF!</f>
        <v>#REF!</v>
      </c>
      <c r="K160" s="4" t="e">
        <f>#REF!</f>
        <v>#REF!</v>
      </c>
      <c r="L160" t="e">
        <f>"Wk "&amp;WEEKNUM(tbl_Case_mins[[#This Row],[Surgery Start Date]],21)</f>
        <v>#REF!</v>
      </c>
      <c r="M160" t="e">
        <f>TEXT(tbl_Case_mins[[#This Row],[Surgery Start Date]],"ddd")</f>
        <v>#REF!</v>
      </c>
      <c r="N160" s="9" t="e">
        <f>(#REF!-TIME(0,0,0))*1440</f>
        <v>#REF!</v>
      </c>
      <c r="O160" t="e">
        <f>IF(AND(ROUND((#REF!-TIME(0,0,0))*1440,0)&gt;0,ROUND((#REF!-TIME(0,0,0))*1440,0)&lt;tbl_Case_mins[[#This Row],[Patient Called]],tbl_Case_mins[[#This Row],[Surgery End Date]]&gt;tbl_Case_mins[[#This Row],[Surgery Start Date]]),ROUND((#REF!-TIME(0,0,0))*1440,0)+1440,ROUND((#REF!-TIME(0,0,0))*1440,0))</f>
        <v>#REF!</v>
      </c>
      <c r="P160" s="9" t="e">
        <f>IF(AND(ROUND((#REF!-TIME(0,0,0))*1440,0)&gt;0,ROUND((#REF!-TIME(0,0,0))*1440,0)&lt;tbl_Case_mins[[#This Row],[Arrival]],tbl_Case_mins[[#This Row],[Surgery End Date]]&gt;tbl_Case_mins[[#This Row],[Surgery Start Date]]),ROUND((#REF!-TIME(0,0,0))*1440,0)+1440,ROUND((#REF!-TIME(0,0,0))*1440,0))</f>
        <v>#REF!</v>
      </c>
      <c r="Q160" s="9" t="e">
        <f>IF(AND(ROUND((#REF!-TIME(0,0,0))*1440,0)&gt;0,ROUND((#REF!-TIME(0,0,0))*1440,0)&lt;tbl_Case_mins[[#This Row],[Into Th or AR]],tbl_Case_mins[[#This Row],[Surgery End Date]]&gt;tbl_Case_mins[[#This Row],[Surgery Start Date]]),ROUND((#REF!-TIME(0,0,0))*1440,0)+1440,ROUND((#REF!-TIME(0,0,0))*1440,0))</f>
        <v>#REF!</v>
      </c>
      <c r="R160" s="9" t="e">
        <f>IF(AND(ROUND((#REF!-TIME(0,0,0))*1440,0)&gt;0,ROUND((#REF!-TIME(0,0,0))*1440,0)&lt;tbl_Case_mins[[#This Row],[AnaesthStart]],tbl_Case_mins[[#This Row],[Surgery End Date]]&gt;tbl_Case_mins[[#This Row],[Surgery Start Date]]),ROUND((#REF!-TIME(0,0,0))*1440,0)+1440,ROUND((#REF!-TIME(0,0,0))*1440,0))</f>
        <v>#REF!</v>
      </c>
      <c r="S160" s="9" t="e">
        <f>IF(AND(ROUND((#REF!-TIME(0,0,0))*1440,0),ROUND((#REF!-TIME(0,0,0))*1440,0)&lt;tbl_Case_mins[[#This Row],[Surgery Start]],tbl_Case_mins[[#This Row],[Surgery End Date]]&gt;tbl_Case_mins[[#This Row],[Surgery Start Date]]),ROUND((#REF!-TIME(0,0,0))*1440,0)+1440,ROUND((#REF!-TIME(0,0,0))*1440,0))</f>
        <v>#REF!</v>
      </c>
      <c r="T160" s="9" t="e">
        <f>IF(AND(ROUND((#REF!-TIME(0,0,0))*1440,0)&gt;0,ROUND((#REF!-TIME(0,0,0))*1440,0)&lt;tbl_Case_mins[[#This Row],[Surgery Finish]],tbl_Case_mins[[#This Row],[Surgery End Date]]&gt;tbl_Case_mins[[#This Row],[Surgery Start Date]]),ROUND((#REF!-TIME(0,0,0))*1440,0)+1440,ROUND((#REF!-TIME(0,0,0))*1440,0))</f>
        <v>#REF!</v>
      </c>
      <c r="U160" s="9" t="e">
        <f>IF(AND(ROUND((#REF!-TIME(0,0,0))*1440,0)&gt;0,ROUND((#REF!-TIME(0,0,0))*1440,0)&lt;tbl_Case_mins[[#This Row],[Anaesth End]],tbl_Case_mins[[#This Row],[Surgery End Date]]&gt;tbl_Case_mins[[#This Row],[Surgery Start Date]]),ROUND((#REF!-TIME(0,0,0))*1440,0)+1440,ROUND((#REF!-TIME(0,0,0))*1440,0))</f>
        <v>#REF!</v>
      </c>
      <c r="V160" s="9" t="e">
        <f>IF(AND(ROUND((#REF!-TIME(0,0,0))*1440,0)&gt;0,ROUND((#REF!-TIME(0,0,0))*1440,0)&lt;tbl_Case_mins[[#This Row],[Into Recov]],tbl_Case_mins[[#This Row],[Surgery End Date]]&gt;tbl_Case_mins[[#This Row],[Surgery Start Date]]),ROUND((#REF!-TIME(0,0,0))*1440,0)+1440,ROUND((#REF!-TIME(0,0,0))*1440,0))</f>
        <v>#REF!</v>
      </c>
      <c r="W160" s="9" t="e">
        <f>IF(AND(ROUND((#REF!-TIME(0,0,0))*1440,0)&gt;0,ROUND((#REF!-TIME(0,0,0))*1440,0)&lt;tbl_Case_mins[[#This Row],[Ward Called]],tbl_Case_mins[[#This Row],[Surgery End Date]]&gt;tbl_Case_mins[[#This Row],[Surgery Start Date]]),ROUND((#REF!-TIME(0,0,0))*1440,0)+1440,ROUND((#REF!-TIME(0,0,0))*1440,0))</f>
        <v>#REF!</v>
      </c>
      <c r="X160" s="4" t="e">
        <f>IF(ISBLANK(#REF!),tbl_Case_mins[[#This Row],[Surgery Start Date]],#REF!)</f>
        <v>#REF!</v>
      </c>
      <c r="Y160">
        <f>IFERROR(IF(VLOOKUP(tbl_Case_mins[[#This Row],[Theatre]],'Mng Theatres'!$C$7:$G$12,3,FALSE)="Yes","Yes","No"),0)</f>
        <v>0</v>
      </c>
      <c r="Z160" s="9" t="e" cm="1">
        <f t="array" ref="Z16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0" s="9" t="e" cm="1">
        <f t="array" ref="AA16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0" s="9" t="e">
        <f>IF(tbl_Case_mins[[#This Row],[Case Type]]="Unsch",1,0)</f>
        <v>#REF!</v>
      </c>
      <c r="AD160" s="9" t="e">
        <f>IF(tbl_Case_mins[[#This Row],[Case Type]]="Sch",1,0)</f>
        <v>#REF!</v>
      </c>
      <c r="AE16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0" s="9">
        <f>IFERROR(IF(ISBLANK(INDEX(Am_Close,MATCH(1,INDEX((tbl_Case_mins[[#This Row],[Theatre]]=Theatre_No)*(tbl_Case_mins[[#This Row],[Surgery Start Date]]=Date),0,1),0))*1440),0,INDEX(Am_Close,MATCH(1,INDEX((tbl_Case_mins[[#This Row],[Theatre]]=Theatre_No)*(tbl_Case_mins[[#This Row],[Surgery Start Date]]=Date),0,1),0))*1440),0)</f>
        <v>0</v>
      </c>
      <c r="AG160" s="9">
        <f>IFERROR(IF(ISBLANK(INDEX(PM_Open,MATCH(1,INDEX((tbl_Case_mins[[#This Row],[Theatre]]=Theatre_No)*(tbl_Case_mins[[#This Row],[Surgery Start Date]]=Date),0,1),0))*1440),0,INDEX(PM_Open,MATCH(1,INDEX((tbl_Case_mins[[#This Row],[Theatre]]=Theatre_No)*(tbl_Case_mins[[#This Row],[Surgery Start Date]]=Date),0,1),0))*1440),0)</f>
        <v>0</v>
      </c>
      <c r="AH16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0" s="9" t="e">
        <f>IF(tbl_Case_mins[[#This Row],[ThOpenAm]]=0,tbl_Case_mins[[#This Row],[ThOpenPM]],tbl_Case_mins[[#This Row],[ThOpenAm]])</f>
        <v>#REF!</v>
      </c>
      <c r="AJ160" s="9" t="e">
        <f>IF(tbl_Case_mins[[#This Row],[ThCloseAm]]&gt;0,IF(tbl_Case_mins[[#This Row],[ThOpenPM]]&gt;0,tbl_Case_mins[[#This Row],[ThClosePm]],tbl_Case_mins[[#This Row],[ThCloseAm]]),tbl_Case_mins[[#This Row],[ThClosePm]])</f>
        <v>#REF!</v>
      </c>
      <c r="AK160" s="9" t="e">
        <f>IF(tbl_Case_mins[[#This Row],[TOT]]&gt;0,1,0)</f>
        <v>#REF!</v>
      </c>
      <c r="AL16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0" s="9" t="e">
        <f>IF(AND(tbl_Case_mins[[#This Row],[Surgery Status]]&lt;&gt;2,tbl_Case_mins[[#This Row],[InCoreCase]]=0,tbl_Case_mins[[#This Row],[CancelledCase]]=0),1,0)</f>
        <v>#REF!</v>
      </c>
      <c r="AN160" s="9" t="e">
        <f>IF(tbl_Case_mins[[#This Row],[Surgery Status]]=1,1,0)</f>
        <v>#REF!</v>
      </c>
      <c r="AO16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0" s="9" t="e">
        <f>IF(AND(tbl_Case_mins[[#This Row],[NonCoreCase]]=1,tbl_Case_mins[[#This Row],[NoInCoreTime]]=0),1,0)</f>
        <v>#REF!</v>
      </c>
      <c r="AQ160" s="9" t="e">
        <f>IF(tbl_Case_mins[[#This Row],[Rank_AnaEnd]]&lt;tbl_Case_mins[[#This Row],[Rank_AnaSt]],1,0)</f>
        <v>#REF!</v>
      </c>
      <c r="AR160" s="9" t="e">
        <f>IF(AND(tbl_Case_mins[[#This Row],[InCoreCase]]=1,tbl_Case_mins[[#This Row],[Sch]]=1),1,0)</f>
        <v>#REF!</v>
      </c>
      <c r="AS160" s="9" t="e">
        <f>IF(AND(tbl_Case_mins[[#This Row],[InCoreCase]]=1,tbl_Case_mins[[#This Row],[Unsch]]=1),1,0)</f>
        <v>#REF!</v>
      </c>
      <c r="AT16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0" s="9" t="e">
        <f>IF(tbl_Case_mins[[#This Row],[Surgery Status]]=0,(tbl_Case_mins[[#This Row],[Anaesth End]]-tbl_Case_mins[[#This Row],[AnaesthStart]]),0)</f>
        <v>#REF!</v>
      </c>
      <c r="AX160" s="9" t="e">
        <f>IF(tbl_Case_mins[[#This Row],[Surgery Status]]=0,(tbl_Case_mins[[#This Row],[Surgery Finish]]-tbl_Case_mins[[#This Row],[Surgery Start]]),0)</f>
        <v>#REF!</v>
      </c>
      <c r="AY160" s="9" t="e">
        <f>tbl_Case_mins[[#This Row],[Surgery Start]]-tbl_Case_mins[[#This Row],[AnaesthStart]]</f>
        <v>#REF!</v>
      </c>
      <c r="AZ160" s="9" t="e">
        <f>tbl_Case_mins[[#This Row],[Anaesth End]]-tbl_Case_mins[[#This Row],[Surgery Finish]]</f>
        <v>#REF!</v>
      </c>
      <c r="BA16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0" s="16" cm="1">
        <f t="array" ref="BC16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0" s="16" t="e">
        <f>IF(AND(tbl_Case_mins[[#This Row],[FirstAMCase]]=1,tbl_Case_mins[[#This Row],[CancelledCase]]=0,OR(tbl_Case_mins[[#This Row],[EarlyStartAM]]&gt;0,tbl_Case_mins[[#This Row],[AnaesthStart]]=tbl_Case_mins[[#This Row],[ThOpenAm]])),1,0)</f>
        <v>#REF!</v>
      </c>
      <c r="BE160" s="16" t="e">
        <f>IF(AND(tbl_Case_mins[[#This Row],[Rank_AnaSt]]=tbl_Case_mins[[#This Row],[Min_RankAnaSt]],tbl_Case_mins[[#This Row],[Anaesth End]]&gt;=tbl_Case_mins[[#This Row],[ThOpenAm]],tbl_Case_mins[[#This Row],[PmCase]]=0),1,0)</f>
        <v>#REF!</v>
      </c>
      <c r="BF16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0" s="9" t="e" cm="1">
        <f t="array" ref="BH16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0" s="9" t="e">
        <f>IF(AND(tbl_Case_mins[[#This Row],[ThOpenPM]]&gt;0,tbl_Case_mins[[#This Row],[AnaesthStart]]&gt;tbl_Case_mins[[#This Row],[ThOpenPM]],tbl_Case_mins[[#This Row],[First PM Case]]=1),tbl_Case_mins[[#This Row],[AnaesthStart]]-tbl_Case_mins[[#This Row],[ThOpenPM]],0)</f>
        <v>#REF!</v>
      </c>
      <c r="BL16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0" s="9" t="e" cm="1">
        <f t="array" ref="BN16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0" s="9" t="e">
        <f>IF(AND(tbl_Case_mins[[#This Row],[ThClosePm]]&gt;0,tbl_Case_mins[[#This Row],[Anaesth End]]&gt;tbl_Case_mins[[#This Row],[ThClosePm]],tbl_Case_mins[[#This Row],[AnaesthStart]]&gt;tbl_Case_mins[[#This Row],[ThClosePm]]),tbl_Case_mins[[#This Row],[Into Recov]]-tbl_Case_mins[[#This Row],[AnaesthStart]],0)</f>
        <v>#REF!</v>
      </c>
      <c r="BP160" s="9" t="e">
        <f>IF(AND(tbl_Case_mins[[#This Row],[AnaesthStart]]&lt;tbl_Case_mins[[#This Row],[ThClosePm]],tbl_Case_mins[[#This Row],[Anaesth End]]&gt;tbl_Case_mins[[#This Row],[ThClosePm]]),tbl_Case_mins[[#This Row],[Anaesth End]]-tbl_Case_mins[[#This Row],[ThClosePm]],0)</f>
        <v>#REF!</v>
      </c>
      <c r="BQ160" s="9" t="e" cm="1">
        <f t="array" ref="BQ16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0" s="9" t="e" cm="1">
        <f t="array" ref="BR160">IF(tbl_Case_mins[[#This Row],[Rank_Adjust]]=SUMPRODUCT(-(tbl_Case_mins[Surgery Start Date]=tbl_Case_mins[[#This Row],[Surgery Start Date]]),-(tbl_Case_mins[Theatre]=tbl_Case_mins[[#This Row],[Theatre]])),INDEX(Poss_Time,MATCH(TEXT(tbl_Case_mins[[#This Row],[Surgery Start Date]],"ddd"),Day,0)),0)</f>
        <v>#REF!</v>
      </c>
      <c r="BS160" s="9" t="e">
        <f>tbl_Case_mins[[#This Row],[Core_Time]]*Util_Goal</f>
        <v>#REF!</v>
      </c>
      <c r="BT160" s="9" t="e" cm="1">
        <f t="array" ref="BT1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0" s="9" t="e" cm="1">
        <f t="array" ref="BU1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0" s="9" t="e">
        <f>IF(tbl_Case_mins[[#This Row],[Surgery End Date]]&gt;tbl_Case_mins[[#This Row],[Surgery Start Date]],tbl_Case_mins[[#This Row],[Anaesth End]]-1440,0)</f>
        <v>#REF!</v>
      </c>
      <c r="BY160" s="9" t="e">
        <f>tbl_Case_mins[[#This Row],[Total_NonCore]]-tbl_Case_mins[[#This Row],[NextDay_NonCore]]</f>
        <v>#REF!</v>
      </c>
      <c r="BZ160" s="10" t="e">
        <f>tbl_Case_mins[[#This Row],[InCoreUse]]/60</f>
        <v>#REF!</v>
      </c>
      <c r="CA160" s="10" t="e">
        <f>tbl_Case_mins[[#This Row],[Total_NonCore]]/60</f>
        <v>#REF!</v>
      </c>
      <c r="CB160" t="e" cm="1">
        <f t="array" ref="CB1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0" s="9" t="e" cm="1">
        <f t="array" ref="CC16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0" s="9" t="e" cm="1">
        <f t="array" ref="CD1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0" s="9" t="e" cm="1">
        <f t="array" ref="CE16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0" s="9" cm="1">
        <f t="array" ref="CF160">IFERROR(_xlfn.AGGREGATE(14,6,(tbl_Case_mins[Rank_AnaEnd])/((tbl_Case_mins[Surgery Start Date]=tbl_Case_mins[[#This Row],[Surgery Start Date]])*(tbl_Case_mins[Theatre]=tbl_Case_mins[[#This Row],[Theatre]])*(tbl_Case_mins[NoInCoreTime]=0)),1),-1)</f>
        <v>-1</v>
      </c>
      <c r="CG160" s="9" cm="1">
        <f t="array" ref="CG160">IFERROR(_xlfn.AGGREGATE(15,6,(tbl_Case_mins[Rank_AnaSt])/((tbl_Case_mins[Surgery Start Date]=tbl_Case_mins[[#This Row],[Surgery Start Date]])*(tbl_Case_mins[Theatre]=tbl_Case_mins[[#This Row],[Theatre]])*(tbl_Case_mins[NoInCoreTime]=0)),1),-1)</f>
        <v>-1</v>
      </c>
      <c r="CH16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0" t="e" cm="1">
        <f t="array" ref="CJ16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0" s="9" cm="1">
        <f t="array" ref="CO1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0" s="9" cm="1">
        <f t="array" ref="CP1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0" s="9" cm="1">
        <f t="array" ref="CQ160">IFERROR(IF(AND(tbl_Case_mins[[#This Row],[FirstAMCase]]=0,tbl_Case_mins[[#This Row],[Rank]]=_xlfn.AGGREGATE(14,6,(tbl_Case_mins[Rank])/((tbl_Case_mins[Surgery Start Date]=tbl_Case_mins[[#This Row],[Surgery Start Date]])*(tbl_Case_mins[Theatre]=tbl_Case_mins[[#This Row],[Theatre]])*(tbl_Case_mins[AmCase]=1)),1)),1,0),0)</f>
        <v>0</v>
      </c>
      <c r="CR160" s="9" cm="1">
        <f t="array" ref="CR16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0" s="9" t="e" cm="1">
        <f t="array" ref="CS16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0" s="9" cm="1">
        <f t="array" ref="CT160">IFERROR(IF(tbl_Case_mins[[#This Row],[Rank]]=_xlfn.AGGREGATE(15,6,(tbl_Case_mins[Rank])/((tbl_Case_mins[Surgery Start Date]=tbl_Case_mins[[#This Row],[Surgery Start Date]])*(tbl_Case_mins[Theatre]=tbl_Case_mins[[#This Row],[Theatre]])*(tbl_Case_mins[PmCase]=1)),1),1,0),0)</f>
        <v>0</v>
      </c>
      <c r="CU160">
        <f>IFERROR(#REF!,0)</f>
        <v>0</v>
      </c>
      <c r="CV160" s="9" t="e" cm="1">
        <f t="array" ref="CV16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0" s="9">
        <f>IFERROR(IF(ISBLANK(INDEX(Bay_AmClose,MATCH(1,INDEX((tbl_Case_mins[[#This Row],[Bay]]=BayNo)*(tbl_Case_mins[[#This Row],[Surgery Start Date]]=BDate),0,1),0))*1440),0,INDEX(Bay_AmClose,MATCH(1,INDEX((tbl_Case_mins[[#This Row],[Bay]]=BayNo)*(tbl_Case_mins[[#This Row],[Surgery Start Date]]=BDate),0,1),0))*1440),0)</f>
        <v>0</v>
      </c>
      <c r="CX160" s="9" cm="1">
        <f t="array" ref="CX160">IFERROR(IF(ISBLANK(INDEX(Bay_PmOpen,MATCH(1,INDEX((tbl_Case_mins[[#This Row],[Bay]]=BayNo)*(tbl_Case_mins[[#This Row],[Surgery Start Date]]=BDate),0,1),0))*1440),0,INDEX(Bay_PmOpen,MATCH(1,INDEX((tbl_Case_mins[[#This Row],[Bay]]=BayNo)*(tbl_Case_mins[[#This Row],[Surgery Start Date]]=BDate),0,1),0))*1440),0)</f>
        <v>0</v>
      </c>
      <c r="CY16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0" s="9"/>
    </row>
    <row r="161" spans="1:104" x14ac:dyDescent="0.2">
      <c r="A161">
        <v>160</v>
      </c>
      <c r="B161" t="e">
        <f>#REF!</f>
        <v>#REF!</v>
      </c>
      <c r="C161" t="e">
        <f>#REF!</f>
        <v>#REF!</v>
      </c>
      <c r="D161" t="e">
        <f>#REF!</f>
        <v>#REF!</v>
      </c>
      <c r="E161" t="e">
        <f>#REF!</f>
        <v>#REF!</v>
      </c>
      <c r="F161" t="e">
        <f>#REF!</f>
        <v>#REF!</v>
      </c>
      <c r="G161" t="e">
        <f>#REF!</f>
        <v>#REF!</v>
      </c>
      <c r="H161" t="e">
        <f>#REF!</f>
        <v>#REF!</v>
      </c>
      <c r="I161" t="e">
        <f>IF(#REF!="Case Cancelled",1,IF(#REF!="No Cases",2,0))</f>
        <v>#REF!</v>
      </c>
      <c r="J161" t="e">
        <f>#REF!</f>
        <v>#REF!</v>
      </c>
      <c r="K161" s="4" t="e">
        <f>#REF!</f>
        <v>#REF!</v>
      </c>
      <c r="L161" t="e">
        <f>"Wk "&amp;WEEKNUM(tbl_Case_mins[[#This Row],[Surgery Start Date]],21)</f>
        <v>#REF!</v>
      </c>
      <c r="M161" t="e">
        <f>TEXT(tbl_Case_mins[[#This Row],[Surgery Start Date]],"ddd")</f>
        <v>#REF!</v>
      </c>
      <c r="N161" s="9" t="e">
        <f>(#REF!-TIME(0,0,0))*1440</f>
        <v>#REF!</v>
      </c>
      <c r="O161" t="e">
        <f>IF(AND(ROUND((#REF!-TIME(0,0,0))*1440,0)&gt;0,ROUND((#REF!-TIME(0,0,0))*1440,0)&lt;tbl_Case_mins[[#This Row],[Patient Called]],tbl_Case_mins[[#This Row],[Surgery End Date]]&gt;tbl_Case_mins[[#This Row],[Surgery Start Date]]),ROUND((#REF!-TIME(0,0,0))*1440,0)+1440,ROUND((#REF!-TIME(0,0,0))*1440,0))</f>
        <v>#REF!</v>
      </c>
      <c r="P161" s="9" t="e">
        <f>IF(AND(ROUND((#REF!-TIME(0,0,0))*1440,0)&gt;0,ROUND((#REF!-TIME(0,0,0))*1440,0)&lt;tbl_Case_mins[[#This Row],[Arrival]],tbl_Case_mins[[#This Row],[Surgery End Date]]&gt;tbl_Case_mins[[#This Row],[Surgery Start Date]]),ROUND((#REF!-TIME(0,0,0))*1440,0)+1440,ROUND((#REF!-TIME(0,0,0))*1440,0))</f>
        <v>#REF!</v>
      </c>
      <c r="Q161" s="9" t="e">
        <f>IF(AND(ROUND((#REF!-TIME(0,0,0))*1440,0)&gt;0,ROUND((#REF!-TIME(0,0,0))*1440,0)&lt;tbl_Case_mins[[#This Row],[Into Th or AR]],tbl_Case_mins[[#This Row],[Surgery End Date]]&gt;tbl_Case_mins[[#This Row],[Surgery Start Date]]),ROUND((#REF!-TIME(0,0,0))*1440,0)+1440,ROUND((#REF!-TIME(0,0,0))*1440,0))</f>
        <v>#REF!</v>
      </c>
      <c r="R161" s="9" t="e">
        <f>IF(AND(ROUND((#REF!-TIME(0,0,0))*1440,0)&gt;0,ROUND((#REF!-TIME(0,0,0))*1440,0)&lt;tbl_Case_mins[[#This Row],[AnaesthStart]],tbl_Case_mins[[#This Row],[Surgery End Date]]&gt;tbl_Case_mins[[#This Row],[Surgery Start Date]]),ROUND((#REF!-TIME(0,0,0))*1440,0)+1440,ROUND((#REF!-TIME(0,0,0))*1440,0))</f>
        <v>#REF!</v>
      </c>
      <c r="S161" s="9" t="e">
        <f>IF(AND(ROUND((#REF!-TIME(0,0,0))*1440,0),ROUND((#REF!-TIME(0,0,0))*1440,0)&lt;tbl_Case_mins[[#This Row],[Surgery Start]],tbl_Case_mins[[#This Row],[Surgery End Date]]&gt;tbl_Case_mins[[#This Row],[Surgery Start Date]]),ROUND((#REF!-TIME(0,0,0))*1440,0)+1440,ROUND((#REF!-TIME(0,0,0))*1440,0))</f>
        <v>#REF!</v>
      </c>
      <c r="T161" s="9" t="e">
        <f>IF(AND(ROUND((#REF!-TIME(0,0,0))*1440,0)&gt;0,ROUND((#REF!-TIME(0,0,0))*1440,0)&lt;tbl_Case_mins[[#This Row],[Surgery Finish]],tbl_Case_mins[[#This Row],[Surgery End Date]]&gt;tbl_Case_mins[[#This Row],[Surgery Start Date]]),ROUND((#REF!-TIME(0,0,0))*1440,0)+1440,ROUND((#REF!-TIME(0,0,0))*1440,0))</f>
        <v>#REF!</v>
      </c>
      <c r="U161" s="9" t="e">
        <f>IF(AND(ROUND((#REF!-TIME(0,0,0))*1440,0)&gt;0,ROUND((#REF!-TIME(0,0,0))*1440,0)&lt;tbl_Case_mins[[#This Row],[Anaesth End]],tbl_Case_mins[[#This Row],[Surgery End Date]]&gt;tbl_Case_mins[[#This Row],[Surgery Start Date]]),ROUND((#REF!-TIME(0,0,0))*1440,0)+1440,ROUND((#REF!-TIME(0,0,0))*1440,0))</f>
        <v>#REF!</v>
      </c>
      <c r="V161" s="9" t="e">
        <f>IF(AND(ROUND((#REF!-TIME(0,0,0))*1440,0)&gt;0,ROUND((#REF!-TIME(0,0,0))*1440,0)&lt;tbl_Case_mins[[#This Row],[Into Recov]],tbl_Case_mins[[#This Row],[Surgery End Date]]&gt;tbl_Case_mins[[#This Row],[Surgery Start Date]]),ROUND((#REF!-TIME(0,0,0))*1440,0)+1440,ROUND((#REF!-TIME(0,0,0))*1440,0))</f>
        <v>#REF!</v>
      </c>
      <c r="W161" s="9" t="e">
        <f>IF(AND(ROUND((#REF!-TIME(0,0,0))*1440,0)&gt;0,ROUND((#REF!-TIME(0,0,0))*1440,0)&lt;tbl_Case_mins[[#This Row],[Ward Called]],tbl_Case_mins[[#This Row],[Surgery End Date]]&gt;tbl_Case_mins[[#This Row],[Surgery Start Date]]),ROUND((#REF!-TIME(0,0,0))*1440,0)+1440,ROUND((#REF!-TIME(0,0,0))*1440,0))</f>
        <v>#REF!</v>
      </c>
      <c r="X161" s="4" t="e">
        <f>IF(ISBLANK(#REF!),tbl_Case_mins[[#This Row],[Surgery Start Date]],#REF!)</f>
        <v>#REF!</v>
      </c>
      <c r="Y161">
        <f>IFERROR(IF(VLOOKUP(tbl_Case_mins[[#This Row],[Theatre]],'Mng Theatres'!$C$7:$G$12,3,FALSE)="Yes","Yes","No"),0)</f>
        <v>0</v>
      </c>
      <c r="Z161" s="9" t="e" cm="1">
        <f t="array" ref="Z16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1" s="9" t="e" cm="1">
        <f t="array" ref="AA16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1" s="9" t="e">
        <f>IF(tbl_Case_mins[[#This Row],[Case Type]]="Unsch",1,0)</f>
        <v>#REF!</v>
      </c>
      <c r="AD161" s="9" t="e">
        <f>IF(tbl_Case_mins[[#This Row],[Case Type]]="Sch",1,0)</f>
        <v>#REF!</v>
      </c>
      <c r="AE16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1" s="9">
        <f>IFERROR(IF(ISBLANK(INDEX(Am_Close,MATCH(1,INDEX((tbl_Case_mins[[#This Row],[Theatre]]=Theatre_No)*(tbl_Case_mins[[#This Row],[Surgery Start Date]]=Date),0,1),0))*1440),0,INDEX(Am_Close,MATCH(1,INDEX((tbl_Case_mins[[#This Row],[Theatre]]=Theatre_No)*(tbl_Case_mins[[#This Row],[Surgery Start Date]]=Date),0,1),0))*1440),0)</f>
        <v>0</v>
      </c>
      <c r="AG161" s="9">
        <f>IFERROR(IF(ISBLANK(INDEX(PM_Open,MATCH(1,INDEX((tbl_Case_mins[[#This Row],[Theatre]]=Theatre_No)*(tbl_Case_mins[[#This Row],[Surgery Start Date]]=Date),0,1),0))*1440),0,INDEX(PM_Open,MATCH(1,INDEX((tbl_Case_mins[[#This Row],[Theatre]]=Theatre_No)*(tbl_Case_mins[[#This Row],[Surgery Start Date]]=Date),0,1),0))*1440),0)</f>
        <v>0</v>
      </c>
      <c r="AH16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1" s="9" t="e">
        <f>IF(tbl_Case_mins[[#This Row],[ThOpenAm]]=0,tbl_Case_mins[[#This Row],[ThOpenPM]],tbl_Case_mins[[#This Row],[ThOpenAm]])</f>
        <v>#REF!</v>
      </c>
      <c r="AJ161" s="9" t="e">
        <f>IF(tbl_Case_mins[[#This Row],[ThCloseAm]]&gt;0,IF(tbl_Case_mins[[#This Row],[ThOpenPM]]&gt;0,tbl_Case_mins[[#This Row],[ThClosePm]],tbl_Case_mins[[#This Row],[ThCloseAm]]),tbl_Case_mins[[#This Row],[ThClosePm]])</f>
        <v>#REF!</v>
      </c>
      <c r="AK161" s="9" t="e">
        <f>IF(tbl_Case_mins[[#This Row],[TOT]]&gt;0,1,0)</f>
        <v>#REF!</v>
      </c>
      <c r="AL16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1" s="9" t="e">
        <f>IF(AND(tbl_Case_mins[[#This Row],[Surgery Status]]&lt;&gt;2,tbl_Case_mins[[#This Row],[InCoreCase]]=0,tbl_Case_mins[[#This Row],[CancelledCase]]=0),1,0)</f>
        <v>#REF!</v>
      </c>
      <c r="AN161" s="9" t="e">
        <f>IF(tbl_Case_mins[[#This Row],[Surgery Status]]=1,1,0)</f>
        <v>#REF!</v>
      </c>
      <c r="AO16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1" s="9" t="e">
        <f>IF(AND(tbl_Case_mins[[#This Row],[NonCoreCase]]=1,tbl_Case_mins[[#This Row],[NoInCoreTime]]=0),1,0)</f>
        <v>#REF!</v>
      </c>
      <c r="AQ161" s="9" t="e">
        <f>IF(tbl_Case_mins[[#This Row],[Rank_AnaEnd]]&lt;tbl_Case_mins[[#This Row],[Rank_AnaSt]],1,0)</f>
        <v>#REF!</v>
      </c>
      <c r="AR161" s="9" t="e">
        <f>IF(AND(tbl_Case_mins[[#This Row],[InCoreCase]]=1,tbl_Case_mins[[#This Row],[Sch]]=1),1,0)</f>
        <v>#REF!</v>
      </c>
      <c r="AS161" s="9" t="e">
        <f>IF(AND(tbl_Case_mins[[#This Row],[InCoreCase]]=1,tbl_Case_mins[[#This Row],[Unsch]]=1),1,0)</f>
        <v>#REF!</v>
      </c>
      <c r="AT16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1" s="9" t="e">
        <f>IF(tbl_Case_mins[[#This Row],[Surgery Status]]=0,(tbl_Case_mins[[#This Row],[Anaesth End]]-tbl_Case_mins[[#This Row],[AnaesthStart]]),0)</f>
        <v>#REF!</v>
      </c>
      <c r="AX161" s="9" t="e">
        <f>IF(tbl_Case_mins[[#This Row],[Surgery Status]]=0,(tbl_Case_mins[[#This Row],[Surgery Finish]]-tbl_Case_mins[[#This Row],[Surgery Start]]),0)</f>
        <v>#REF!</v>
      </c>
      <c r="AY161" s="9" t="e">
        <f>tbl_Case_mins[[#This Row],[Surgery Start]]-tbl_Case_mins[[#This Row],[AnaesthStart]]</f>
        <v>#REF!</v>
      </c>
      <c r="AZ161" s="9" t="e">
        <f>tbl_Case_mins[[#This Row],[Anaesth End]]-tbl_Case_mins[[#This Row],[Surgery Finish]]</f>
        <v>#REF!</v>
      </c>
      <c r="BA16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1" s="16" cm="1">
        <f t="array" ref="BC16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1" s="16" t="e">
        <f>IF(AND(tbl_Case_mins[[#This Row],[FirstAMCase]]=1,tbl_Case_mins[[#This Row],[CancelledCase]]=0,OR(tbl_Case_mins[[#This Row],[EarlyStartAM]]&gt;0,tbl_Case_mins[[#This Row],[AnaesthStart]]=tbl_Case_mins[[#This Row],[ThOpenAm]])),1,0)</f>
        <v>#REF!</v>
      </c>
      <c r="BE161" s="16" t="e">
        <f>IF(AND(tbl_Case_mins[[#This Row],[Rank_AnaSt]]=tbl_Case_mins[[#This Row],[Min_RankAnaSt]],tbl_Case_mins[[#This Row],[Anaesth End]]&gt;=tbl_Case_mins[[#This Row],[ThOpenAm]],tbl_Case_mins[[#This Row],[PmCase]]=0),1,0)</f>
        <v>#REF!</v>
      </c>
      <c r="BF16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1" s="9" t="e" cm="1">
        <f t="array" ref="BH16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1" s="9" t="e">
        <f>IF(AND(tbl_Case_mins[[#This Row],[ThOpenPM]]&gt;0,tbl_Case_mins[[#This Row],[AnaesthStart]]&gt;tbl_Case_mins[[#This Row],[ThOpenPM]],tbl_Case_mins[[#This Row],[First PM Case]]=1),tbl_Case_mins[[#This Row],[AnaesthStart]]-tbl_Case_mins[[#This Row],[ThOpenPM]],0)</f>
        <v>#REF!</v>
      </c>
      <c r="BL16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1" s="9" t="e" cm="1">
        <f t="array" ref="BN16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1" s="9" t="e">
        <f>IF(AND(tbl_Case_mins[[#This Row],[ThClosePm]]&gt;0,tbl_Case_mins[[#This Row],[Anaesth End]]&gt;tbl_Case_mins[[#This Row],[ThClosePm]],tbl_Case_mins[[#This Row],[AnaesthStart]]&gt;tbl_Case_mins[[#This Row],[ThClosePm]]),tbl_Case_mins[[#This Row],[Into Recov]]-tbl_Case_mins[[#This Row],[AnaesthStart]],0)</f>
        <v>#REF!</v>
      </c>
      <c r="BP161" s="9" t="e">
        <f>IF(AND(tbl_Case_mins[[#This Row],[AnaesthStart]]&lt;tbl_Case_mins[[#This Row],[ThClosePm]],tbl_Case_mins[[#This Row],[Anaesth End]]&gt;tbl_Case_mins[[#This Row],[ThClosePm]]),tbl_Case_mins[[#This Row],[Anaesth End]]-tbl_Case_mins[[#This Row],[ThClosePm]],0)</f>
        <v>#REF!</v>
      </c>
      <c r="BQ161" s="9" t="e" cm="1">
        <f t="array" ref="BQ16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1" s="9" t="e" cm="1">
        <f t="array" ref="BR161">IF(tbl_Case_mins[[#This Row],[Rank_Adjust]]=SUMPRODUCT(-(tbl_Case_mins[Surgery Start Date]=tbl_Case_mins[[#This Row],[Surgery Start Date]]),-(tbl_Case_mins[Theatre]=tbl_Case_mins[[#This Row],[Theatre]])),INDEX(Poss_Time,MATCH(TEXT(tbl_Case_mins[[#This Row],[Surgery Start Date]],"ddd"),Day,0)),0)</f>
        <v>#REF!</v>
      </c>
      <c r="BS161" s="9" t="e">
        <f>tbl_Case_mins[[#This Row],[Core_Time]]*Util_Goal</f>
        <v>#REF!</v>
      </c>
      <c r="BT161" s="9" t="e" cm="1">
        <f t="array" ref="BT1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1" s="9" t="e" cm="1">
        <f t="array" ref="BU1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1" s="9" t="e">
        <f>IF(tbl_Case_mins[[#This Row],[Surgery End Date]]&gt;tbl_Case_mins[[#This Row],[Surgery Start Date]],tbl_Case_mins[[#This Row],[Anaesth End]]-1440,0)</f>
        <v>#REF!</v>
      </c>
      <c r="BY161" s="9" t="e">
        <f>tbl_Case_mins[[#This Row],[Total_NonCore]]-tbl_Case_mins[[#This Row],[NextDay_NonCore]]</f>
        <v>#REF!</v>
      </c>
      <c r="BZ161" s="10" t="e">
        <f>tbl_Case_mins[[#This Row],[InCoreUse]]/60</f>
        <v>#REF!</v>
      </c>
      <c r="CA161" s="10" t="e">
        <f>tbl_Case_mins[[#This Row],[Total_NonCore]]/60</f>
        <v>#REF!</v>
      </c>
      <c r="CB161" t="e" cm="1">
        <f t="array" ref="CB1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1" s="9" t="e" cm="1">
        <f t="array" ref="CC16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1" s="9" t="e" cm="1">
        <f t="array" ref="CD1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1" s="9" t="e" cm="1">
        <f t="array" ref="CE16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1" s="9" cm="1">
        <f t="array" ref="CF161">IFERROR(_xlfn.AGGREGATE(14,6,(tbl_Case_mins[Rank_AnaEnd])/((tbl_Case_mins[Surgery Start Date]=tbl_Case_mins[[#This Row],[Surgery Start Date]])*(tbl_Case_mins[Theatre]=tbl_Case_mins[[#This Row],[Theatre]])*(tbl_Case_mins[NoInCoreTime]=0)),1),-1)</f>
        <v>-1</v>
      </c>
      <c r="CG161" s="9" cm="1">
        <f t="array" ref="CG161">IFERROR(_xlfn.AGGREGATE(15,6,(tbl_Case_mins[Rank_AnaSt])/((tbl_Case_mins[Surgery Start Date]=tbl_Case_mins[[#This Row],[Surgery Start Date]])*(tbl_Case_mins[Theatre]=tbl_Case_mins[[#This Row],[Theatre]])*(tbl_Case_mins[NoInCoreTime]=0)),1),-1)</f>
        <v>-1</v>
      </c>
      <c r="CH16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1" t="e" cm="1">
        <f t="array" ref="CJ16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1" s="9" cm="1">
        <f t="array" ref="CO1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1" s="9" cm="1">
        <f t="array" ref="CP1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1" s="9" cm="1">
        <f t="array" ref="CQ161">IFERROR(IF(AND(tbl_Case_mins[[#This Row],[FirstAMCase]]=0,tbl_Case_mins[[#This Row],[Rank]]=_xlfn.AGGREGATE(14,6,(tbl_Case_mins[Rank])/((tbl_Case_mins[Surgery Start Date]=tbl_Case_mins[[#This Row],[Surgery Start Date]])*(tbl_Case_mins[Theatre]=tbl_Case_mins[[#This Row],[Theatre]])*(tbl_Case_mins[AmCase]=1)),1)),1,0),0)</f>
        <v>0</v>
      </c>
      <c r="CR161" s="9" cm="1">
        <f t="array" ref="CR16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1" s="9" t="e" cm="1">
        <f t="array" ref="CS16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1" s="9" cm="1">
        <f t="array" ref="CT161">IFERROR(IF(tbl_Case_mins[[#This Row],[Rank]]=_xlfn.AGGREGATE(15,6,(tbl_Case_mins[Rank])/((tbl_Case_mins[Surgery Start Date]=tbl_Case_mins[[#This Row],[Surgery Start Date]])*(tbl_Case_mins[Theatre]=tbl_Case_mins[[#This Row],[Theatre]])*(tbl_Case_mins[PmCase]=1)),1),1,0),0)</f>
        <v>0</v>
      </c>
      <c r="CU161">
        <f>IFERROR(#REF!,0)</f>
        <v>0</v>
      </c>
      <c r="CV161" s="9" t="e" cm="1">
        <f t="array" ref="CV16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1" s="9">
        <f>IFERROR(IF(ISBLANK(INDEX(Bay_AmClose,MATCH(1,INDEX((tbl_Case_mins[[#This Row],[Bay]]=BayNo)*(tbl_Case_mins[[#This Row],[Surgery Start Date]]=BDate),0,1),0))*1440),0,INDEX(Bay_AmClose,MATCH(1,INDEX((tbl_Case_mins[[#This Row],[Bay]]=BayNo)*(tbl_Case_mins[[#This Row],[Surgery Start Date]]=BDate),0,1),0))*1440),0)</f>
        <v>0</v>
      </c>
      <c r="CX161" s="9" cm="1">
        <f t="array" ref="CX161">IFERROR(IF(ISBLANK(INDEX(Bay_PmOpen,MATCH(1,INDEX((tbl_Case_mins[[#This Row],[Bay]]=BayNo)*(tbl_Case_mins[[#This Row],[Surgery Start Date]]=BDate),0,1),0))*1440),0,INDEX(Bay_PmOpen,MATCH(1,INDEX((tbl_Case_mins[[#This Row],[Bay]]=BayNo)*(tbl_Case_mins[[#This Row],[Surgery Start Date]]=BDate),0,1),0))*1440),0)</f>
        <v>0</v>
      </c>
      <c r="CY16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1" s="9"/>
    </row>
    <row r="162" spans="1:104" x14ac:dyDescent="0.2">
      <c r="A162">
        <v>161</v>
      </c>
      <c r="B162" t="e">
        <f>#REF!</f>
        <v>#REF!</v>
      </c>
      <c r="C162" t="e">
        <f>#REF!</f>
        <v>#REF!</v>
      </c>
      <c r="D162" t="e">
        <f>#REF!</f>
        <v>#REF!</v>
      </c>
      <c r="E162" t="e">
        <f>#REF!</f>
        <v>#REF!</v>
      </c>
      <c r="F162" t="e">
        <f>#REF!</f>
        <v>#REF!</v>
      </c>
      <c r="G162" t="e">
        <f>#REF!</f>
        <v>#REF!</v>
      </c>
      <c r="H162" t="e">
        <f>#REF!</f>
        <v>#REF!</v>
      </c>
      <c r="I162" t="e">
        <f>IF(#REF!="Case Cancelled",1,IF(#REF!="No Cases",2,0))</f>
        <v>#REF!</v>
      </c>
      <c r="J162" t="e">
        <f>#REF!</f>
        <v>#REF!</v>
      </c>
      <c r="K162" s="4" t="e">
        <f>#REF!</f>
        <v>#REF!</v>
      </c>
      <c r="L162" t="e">
        <f>"Wk "&amp;WEEKNUM(tbl_Case_mins[[#This Row],[Surgery Start Date]],21)</f>
        <v>#REF!</v>
      </c>
      <c r="M162" t="e">
        <f>TEXT(tbl_Case_mins[[#This Row],[Surgery Start Date]],"ddd")</f>
        <v>#REF!</v>
      </c>
      <c r="N162" s="9" t="e">
        <f>(#REF!-TIME(0,0,0))*1440</f>
        <v>#REF!</v>
      </c>
      <c r="O162" t="e">
        <f>IF(AND(ROUND((#REF!-TIME(0,0,0))*1440,0)&gt;0,ROUND((#REF!-TIME(0,0,0))*1440,0)&lt;tbl_Case_mins[[#This Row],[Patient Called]],tbl_Case_mins[[#This Row],[Surgery End Date]]&gt;tbl_Case_mins[[#This Row],[Surgery Start Date]]),ROUND((#REF!-TIME(0,0,0))*1440,0)+1440,ROUND((#REF!-TIME(0,0,0))*1440,0))</f>
        <v>#REF!</v>
      </c>
      <c r="P162" s="9" t="e">
        <f>IF(AND(ROUND((#REF!-TIME(0,0,0))*1440,0)&gt;0,ROUND((#REF!-TIME(0,0,0))*1440,0)&lt;tbl_Case_mins[[#This Row],[Arrival]],tbl_Case_mins[[#This Row],[Surgery End Date]]&gt;tbl_Case_mins[[#This Row],[Surgery Start Date]]),ROUND((#REF!-TIME(0,0,0))*1440,0)+1440,ROUND((#REF!-TIME(0,0,0))*1440,0))</f>
        <v>#REF!</v>
      </c>
      <c r="Q162" s="9" t="e">
        <f>IF(AND(ROUND((#REF!-TIME(0,0,0))*1440,0)&gt;0,ROUND((#REF!-TIME(0,0,0))*1440,0)&lt;tbl_Case_mins[[#This Row],[Into Th or AR]],tbl_Case_mins[[#This Row],[Surgery End Date]]&gt;tbl_Case_mins[[#This Row],[Surgery Start Date]]),ROUND((#REF!-TIME(0,0,0))*1440,0)+1440,ROUND((#REF!-TIME(0,0,0))*1440,0))</f>
        <v>#REF!</v>
      </c>
      <c r="R162" s="9" t="e">
        <f>IF(AND(ROUND((#REF!-TIME(0,0,0))*1440,0)&gt;0,ROUND((#REF!-TIME(0,0,0))*1440,0)&lt;tbl_Case_mins[[#This Row],[AnaesthStart]],tbl_Case_mins[[#This Row],[Surgery End Date]]&gt;tbl_Case_mins[[#This Row],[Surgery Start Date]]),ROUND((#REF!-TIME(0,0,0))*1440,0)+1440,ROUND((#REF!-TIME(0,0,0))*1440,0))</f>
        <v>#REF!</v>
      </c>
      <c r="S162" s="9" t="e">
        <f>IF(AND(ROUND((#REF!-TIME(0,0,0))*1440,0),ROUND((#REF!-TIME(0,0,0))*1440,0)&lt;tbl_Case_mins[[#This Row],[Surgery Start]],tbl_Case_mins[[#This Row],[Surgery End Date]]&gt;tbl_Case_mins[[#This Row],[Surgery Start Date]]),ROUND((#REF!-TIME(0,0,0))*1440,0)+1440,ROUND((#REF!-TIME(0,0,0))*1440,0))</f>
        <v>#REF!</v>
      </c>
      <c r="T162" s="9" t="e">
        <f>IF(AND(ROUND((#REF!-TIME(0,0,0))*1440,0)&gt;0,ROUND((#REF!-TIME(0,0,0))*1440,0)&lt;tbl_Case_mins[[#This Row],[Surgery Finish]],tbl_Case_mins[[#This Row],[Surgery End Date]]&gt;tbl_Case_mins[[#This Row],[Surgery Start Date]]),ROUND((#REF!-TIME(0,0,0))*1440,0)+1440,ROUND((#REF!-TIME(0,0,0))*1440,0))</f>
        <v>#REF!</v>
      </c>
      <c r="U162" s="9" t="e">
        <f>IF(AND(ROUND((#REF!-TIME(0,0,0))*1440,0)&gt;0,ROUND((#REF!-TIME(0,0,0))*1440,0)&lt;tbl_Case_mins[[#This Row],[Anaesth End]],tbl_Case_mins[[#This Row],[Surgery End Date]]&gt;tbl_Case_mins[[#This Row],[Surgery Start Date]]),ROUND((#REF!-TIME(0,0,0))*1440,0)+1440,ROUND((#REF!-TIME(0,0,0))*1440,0))</f>
        <v>#REF!</v>
      </c>
      <c r="V162" s="9" t="e">
        <f>IF(AND(ROUND((#REF!-TIME(0,0,0))*1440,0)&gt;0,ROUND((#REF!-TIME(0,0,0))*1440,0)&lt;tbl_Case_mins[[#This Row],[Into Recov]],tbl_Case_mins[[#This Row],[Surgery End Date]]&gt;tbl_Case_mins[[#This Row],[Surgery Start Date]]),ROUND((#REF!-TIME(0,0,0))*1440,0)+1440,ROUND((#REF!-TIME(0,0,0))*1440,0))</f>
        <v>#REF!</v>
      </c>
      <c r="W162" s="9" t="e">
        <f>IF(AND(ROUND((#REF!-TIME(0,0,0))*1440,0)&gt;0,ROUND((#REF!-TIME(0,0,0))*1440,0)&lt;tbl_Case_mins[[#This Row],[Ward Called]],tbl_Case_mins[[#This Row],[Surgery End Date]]&gt;tbl_Case_mins[[#This Row],[Surgery Start Date]]),ROUND((#REF!-TIME(0,0,0))*1440,0)+1440,ROUND((#REF!-TIME(0,0,0))*1440,0))</f>
        <v>#REF!</v>
      </c>
      <c r="X162" s="4" t="e">
        <f>IF(ISBLANK(#REF!),tbl_Case_mins[[#This Row],[Surgery Start Date]],#REF!)</f>
        <v>#REF!</v>
      </c>
      <c r="Y162">
        <f>IFERROR(IF(VLOOKUP(tbl_Case_mins[[#This Row],[Theatre]],'Mng Theatres'!$C$7:$G$12,3,FALSE)="Yes","Yes","No"),0)</f>
        <v>0</v>
      </c>
      <c r="Z162" s="9" t="e" cm="1">
        <f t="array" ref="Z16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2" s="9" t="e" cm="1">
        <f t="array" ref="AA16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2" s="9" t="e">
        <f>IF(tbl_Case_mins[[#This Row],[Case Type]]="Unsch",1,0)</f>
        <v>#REF!</v>
      </c>
      <c r="AD162" s="9" t="e">
        <f>IF(tbl_Case_mins[[#This Row],[Case Type]]="Sch",1,0)</f>
        <v>#REF!</v>
      </c>
      <c r="AE16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2" s="9">
        <f>IFERROR(IF(ISBLANK(INDEX(Am_Close,MATCH(1,INDEX((tbl_Case_mins[[#This Row],[Theatre]]=Theatre_No)*(tbl_Case_mins[[#This Row],[Surgery Start Date]]=Date),0,1),0))*1440),0,INDEX(Am_Close,MATCH(1,INDEX((tbl_Case_mins[[#This Row],[Theatre]]=Theatre_No)*(tbl_Case_mins[[#This Row],[Surgery Start Date]]=Date),0,1),0))*1440),0)</f>
        <v>0</v>
      </c>
      <c r="AG162" s="9">
        <f>IFERROR(IF(ISBLANK(INDEX(PM_Open,MATCH(1,INDEX((tbl_Case_mins[[#This Row],[Theatre]]=Theatre_No)*(tbl_Case_mins[[#This Row],[Surgery Start Date]]=Date),0,1),0))*1440),0,INDEX(PM_Open,MATCH(1,INDEX((tbl_Case_mins[[#This Row],[Theatre]]=Theatre_No)*(tbl_Case_mins[[#This Row],[Surgery Start Date]]=Date),0,1),0))*1440),0)</f>
        <v>0</v>
      </c>
      <c r="AH16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2" s="9" t="e">
        <f>IF(tbl_Case_mins[[#This Row],[ThOpenAm]]=0,tbl_Case_mins[[#This Row],[ThOpenPM]],tbl_Case_mins[[#This Row],[ThOpenAm]])</f>
        <v>#REF!</v>
      </c>
      <c r="AJ162" s="9" t="e">
        <f>IF(tbl_Case_mins[[#This Row],[ThCloseAm]]&gt;0,IF(tbl_Case_mins[[#This Row],[ThOpenPM]]&gt;0,tbl_Case_mins[[#This Row],[ThClosePm]],tbl_Case_mins[[#This Row],[ThCloseAm]]),tbl_Case_mins[[#This Row],[ThClosePm]])</f>
        <v>#REF!</v>
      </c>
      <c r="AK162" s="9" t="e">
        <f>IF(tbl_Case_mins[[#This Row],[TOT]]&gt;0,1,0)</f>
        <v>#REF!</v>
      </c>
      <c r="AL16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2" s="9" t="e">
        <f>IF(AND(tbl_Case_mins[[#This Row],[Surgery Status]]&lt;&gt;2,tbl_Case_mins[[#This Row],[InCoreCase]]=0,tbl_Case_mins[[#This Row],[CancelledCase]]=0),1,0)</f>
        <v>#REF!</v>
      </c>
      <c r="AN162" s="9" t="e">
        <f>IF(tbl_Case_mins[[#This Row],[Surgery Status]]=1,1,0)</f>
        <v>#REF!</v>
      </c>
      <c r="AO16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2" s="9" t="e">
        <f>IF(AND(tbl_Case_mins[[#This Row],[NonCoreCase]]=1,tbl_Case_mins[[#This Row],[NoInCoreTime]]=0),1,0)</f>
        <v>#REF!</v>
      </c>
      <c r="AQ162" s="9" t="e">
        <f>IF(tbl_Case_mins[[#This Row],[Rank_AnaEnd]]&lt;tbl_Case_mins[[#This Row],[Rank_AnaSt]],1,0)</f>
        <v>#REF!</v>
      </c>
      <c r="AR162" s="9" t="e">
        <f>IF(AND(tbl_Case_mins[[#This Row],[InCoreCase]]=1,tbl_Case_mins[[#This Row],[Sch]]=1),1,0)</f>
        <v>#REF!</v>
      </c>
      <c r="AS162" s="9" t="e">
        <f>IF(AND(tbl_Case_mins[[#This Row],[InCoreCase]]=1,tbl_Case_mins[[#This Row],[Unsch]]=1),1,0)</f>
        <v>#REF!</v>
      </c>
      <c r="AT16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2" s="9" t="e">
        <f>IF(tbl_Case_mins[[#This Row],[Surgery Status]]=0,(tbl_Case_mins[[#This Row],[Anaesth End]]-tbl_Case_mins[[#This Row],[AnaesthStart]]),0)</f>
        <v>#REF!</v>
      </c>
      <c r="AX162" s="9" t="e">
        <f>IF(tbl_Case_mins[[#This Row],[Surgery Status]]=0,(tbl_Case_mins[[#This Row],[Surgery Finish]]-tbl_Case_mins[[#This Row],[Surgery Start]]),0)</f>
        <v>#REF!</v>
      </c>
      <c r="AY162" s="9" t="e">
        <f>tbl_Case_mins[[#This Row],[Surgery Start]]-tbl_Case_mins[[#This Row],[AnaesthStart]]</f>
        <v>#REF!</v>
      </c>
      <c r="AZ162" s="9" t="e">
        <f>tbl_Case_mins[[#This Row],[Anaesth End]]-tbl_Case_mins[[#This Row],[Surgery Finish]]</f>
        <v>#REF!</v>
      </c>
      <c r="BA16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2" s="16" cm="1">
        <f t="array" ref="BC16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2" s="16" t="e">
        <f>IF(AND(tbl_Case_mins[[#This Row],[FirstAMCase]]=1,tbl_Case_mins[[#This Row],[CancelledCase]]=0,OR(tbl_Case_mins[[#This Row],[EarlyStartAM]]&gt;0,tbl_Case_mins[[#This Row],[AnaesthStart]]=tbl_Case_mins[[#This Row],[ThOpenAm]])),1,0)</f>
        <v>#REF!</v>
      </c>
      <c r="BE162" s="16" t="e">
        <f>IF(AND(tbl_Case_mins[[#This Row],[Rank_AnaSt]]=tbl_Case_mins[[#This Row],[Min_RankAnaSt]],tbl_Case_mins[[#This Row],[Anaesth End]]&gt;=tbl_Case_mins[[#This Row],[ThOpenAm]],tbl_Case_mins[[#This Row],[PmCase]]=0),1,0)</f>
        <v>#REF!</v>
      </c>
      <c r="BF16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2" s="9" t="e" cm="1">
        <f t="array" ref="BH16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2" s="9" t="e">
        <f>IF(AND(tbl_Case_mins[[#This Row],[ThOpenPM]]&gt;0,tbl_Case_mins[[#This Row],[AnaesthStart]]&gt;tbl_Case_mins[[#This Row],[ThOpenPM]],tbl_Case_mins[[#This Row],[First PM Case]]=1),tbl_Case_mins[[#This Row],[AnaesthStart]]-tbl_Case_mins[[#This Row],[ThOpenPM]],0)</f>
        <v>#REF!</v>
      </c>
      <c r="BL16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2" s="9" t="e" cm="1">
        <f t="array" ref="BN16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2" s="9" t="e">
        <f>IF(AND(tbl_Case_mins[[#This Row],[ThClosePm]]&gt;0,tbl_Case_mins[[#This Row],[Anaesth End]]&gt;tbl_Case_mins[[#This Row],[ThClosePm]],tbl_Case_mins[[#This Row],[AnaesthStart]]&gt;tbl_Case_mins[[#This Row],[ThClosePm]]),tbl_Case_mins[[#This Row],[Into Recov]]-tbl_Case_mins[[#This Row],[AnaesthStart]],0)</f>
        <v>#REF!</v>
      </c>
      <c r="BP162" s="9" t="e">
        <f>IF(AND(tbl_Case_mins[[#This Row],[AnaesthStart]]&lt;tbl_Case_mins[[#This Row],[ThClosePm]],tbl_Case_mins[[#This Row],[Anaesth End]]&gt;tbl_Case_mins[[#This Row],[ThClosePm]]),tbl_Case_mins[[#This Row],[Anaesth End]]-tbl_Case_mins[[#This Row],[ThClosePm]],0)</f>
        <v>#REF!</v>
      </c>
      <c r="BQ162" s="9" t="e" cm="1">
        <f t="array" ref="BQ16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2" s="9" t="e" cm="1">
        <f t="array" ref="BR162">IF(tbl_Case_mins[[#This Row],[Rank_Adjust]]=SUMPRODUCT(-(tbl_Case_mins[Surgery Start Date]=tbl_Case_mins[[#This Row],[Surgery Start Date]]),-(tbl_Case_mins[Theatre]=tbl_Case_mins[[#This Row],[Theatre]])),INDEX(Poss_Time,MATCH(TEXT(tbl_Case_mins[[#This Row],[Surgery Start Date]],"ddd"),Day,0)),0)</f>
        <v>#REF!</v>
      </c>
      <c r="BS162" s="9" t="e">
        <f>tbl_Case_mins[[#This Row],[Core_Time]]*Util_Goal</f>
        <v>#REF!</v>
      </c>
      <c r="BT162" s="9" t="e" cm="1">
        <f t="array" ref="BT1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2" s="9" t="e" cm="1">
        <f t="array" ref="BU1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2" s="9" t="e">
        <f>IF(tbl_Case_mins[[#This Row],[Surgery End Date]]&gt;tbl_Case_mins[[#This Row],[Surgery Start Date]],tbl_Case_mins[[#This Row],[Anaesth End]]-1440,0)</f>
        <v>#REF!</v>
      </c>
      <c r="BY162" s="9" t="e">
        <f>tbl_Case_mins[[#This Row],[Total_NonCore]]-tbl_Case_mins[[#This Row],[NextDay_NonCore]]</f>
        <v>#REF!</v>
      </c>
      <c r="BZ162" s="10" t="e">
        <f>tbl_Case_mins[[#This Row],[InCoreUse]]/60</f>
        <v>#REF!</v>
      </c>
      <c r="CA162" s="10" t="e">
        <f>tbl_Case_mins[[#This Row],[Total_NonCore]]/60</f>
        <v>#REF!</v>
      </c>
      <c r="CB162" t="e" cm="1">
        <f t="array" ref="CB1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2" s="9" t="e" cm="1">
        <f t="array" ref="CC16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2" s="9" t="e" cm="1">
        <f t="array" ref="CD1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2" s="9" t="e" cm="1">
        <f t="array" ref="CE16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2" s="9" cm="1">
        <f t="array" ref="CF162">IFERROR(_xlfn.AGGREGATE(14,6,(tbl_Case_mins[Rank_AnaEnd])/((tbl_Case_mins[Surgery Start Date]=tbl_Case_mins[[#This Row],[Surgery Start Date]])*(tbl_Case_mins[Theatre]=tbl_Case_mins[[#This Row],[Theatre]])*(tbl_Case_mins[NoInCoreTime]=0)),1),-1)</f>
        <v>-1</v>
      </c>
      <c r="CG162" s="9" cm="1">
        <f t="array" ref="CG162">IFERROR(_xlfn.AGGREGATE(15,6,(tbl_Case_mins[Rank_AnaSt])/((tbl_Case_mins[Surgery Start Date]=tbl_Case_mins[[#This Row],[Surgery Start Date]])*(tbl_Case_mins[Theatre]=tbl_Case_mins[[#This Row],[Theatre]])*(tbl_Case_mins[NoInCoreTime]=0)),1),-1)</f>
        <v>-1</v>
      </c>
      <c r="CH16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2" t="e" cm="1">
        <f t="array" ref="CJ16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2" s="9" cm="1">
        <f t="array" ref="CO1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2" s="9" cm="1">
        <f t="array" ref="CP1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2" s="9" cm="1">
        <f t="array" ref="CQ162">IFERROR(IF(AND(tbl_Case_mins[[#This Row],[FirstAMCase]]=0,tbl_Case_mins[[#This Row],[Rank]]=_xlfn.AGGREGATE(14,6,(tbl_Case_mins[Rank])/((tbl_Case_mins[Surgery Start Date]=tbl_Case_mins[[#This Row],[Surgery Start Date]])*(tbl_Case_mins[Theatre]=tbl_Case_mins[[#This Row],[Theatre]])*(tbl_Case_mins[AmCase]=1)),1)),1,0),0)</f>
        <v>0</v>
      </c>
      <c r="CR162" s="9" cm="1">
        <f t="array" ref="CR16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2" s="9" t="e" cm="1">
        <f t="array" ref="CS16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2" s="9" cm="1">
        <f t="array" ref="CT162">IFERROR(IF(tbl_Case_mins[[#This Row],[Rank]]=_xlfn.AGGREGATE(15,6,(tbl_Case_mins[Rank])/((tbl_Case_mins[Surgery Start Date]=tbl_Case_mins[[#This Row],[Surgery Start Date]])*(tbl_Case_mins[Theatre]=tbl_Case_mins[[#This Row],[Theatre]])*(tbl_Case_mins[PmCase]=1)),1),1,0),0)</f>
        <v>0</v>
      </c>
      <c r="CU162">
        <f>IFERROR(#REF!,0)</f>
        <v>0</v>
      </c>
      <c r="CV162" s="9" t="e" cm="1">
        <f t="array" ref="CV16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2" s="9">
        <f>IFERROR(IF(ISBLANK(INDEX(Bay_AmClose,MATCH(1,INDEX((tbl_Case_mins[[#This Row],[Bay]]=BayNo)*(tbl_Case_mins[[#This Row],[Surgery Start Date]]=BDate),0,1),0))*1440),0,INDEX(Bay_AmClose,MATCH(1,INDEX((tbl_Case_mins[[#This Row],[Bay]]=BayNo)*(tbl_Case_mins[[#This Row],[Surgery Start Date]]=BDate),0,1),0))*1440),0)</f>
        <v>0</v>
      </c>
      <c r="CX162" s="9" cm="1">
        <f t="array" ref="CX162">IFERROR(IF(ISBLANK(INDEX(Bay_PmOpen,MATCH(1,INDEX((tbl_Case_mins[[#This Row],[Bay]]=BayNo)*(tbl_Case_mins[[#This Row],[Surgery Start Date]]=BDate),0,1),0))*1440),0,INDEX(Bay_PmOpen,MATCH(1,INDEX((tbl_Case_mins[[#This Row],[Bay]]=BayNo)*(tbl_Case_mins[[#This Row],[Surgery Start Date]]=BDate),0,1),0))*1440),0)</f>
        <v>0</v>
      </c>
      <c r="CY16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2" s="9"/>
    </row>
    <row r="163" spans="1:104" x14ac:dyDescent="0.2">
      <c r="A163">
        <v>162</v>
      </c>
      <c r="B163" t="e">
        <f>#REF!</f>
        <v>#REF!</v>
      </c>
      <c r="C163" t="e">
        <f>#REF!</f>
        <v>#REF!</v>
      </c>
      <c r="D163" t="e">
        <f>#REF!</f>
        <v>#REF!</v>
      </c>
      <c r="E163" t="e">
        <f>#REF!</f>
        <v>#REF!</v>
      </c>
      <c r="F163" t="e">
        <f>#REF!</f>
        <v>#REF!</v>
      </c>
      <c r="G163" t="e">
        <f>#REF!</f>
        <v>#REF!</v>
      </c>
      <c r="H163" t="e">
        <f>#REF!</f>
        <v>#REF!</v>
      </c>
      <c r="I163" t="e">
        <f>IF(#REF!="Case Cancelled",1,IF(#REF!="No Cases",2,0))</f>
        <v>#REF!</v>
      </c>
      <c r="J163" t="e">
        <f>#REF!</f>
        <v>#REF!</v>
      </c>
      <c r="K163" s="4" t="e">
        <f>#REF!</f>
        <v>#REF!</v>
      </c>
      <c r="L163" t="e">
        <f>"Wk "&amp;WEEKNUM(tbl_Case_mins[[#This Row],[Surgery Start Date]],21)</f>
        <v>#REF!</v>
      </c>
      <c r="M163" t="e">
        <f>TEXT(tbl_Case_mins[[#This Row],[Surgery Start Date]],"ddd")</f>
        <v>#REF!</v>
      </c>
      <c r="N163" s="9" t="e">
        <f>(#REF!-TIME(0,0,0))*1440</f>
        <v>#REF!</v>
      </c>
      <c r="O163" t="e">
        <f>IF(AND(ROUND((#REF!-TIME(0,0,0))*1440,0)&gt;0,ROUND((#REF!-TIME(0,0,0))*1440,0)&lt;tbl_Case_mins[[#This Row],[Patient Called]],tbl_Case_mins[[#This Row],[Surgery End Date]]&gt;tbl_Case_mins[[#This Row],[Surgery Start Date]]),ROUND((#REF!-TIME(0,0,0))*1440,0)+1440,ROUND((#REF!-TIME(0,0,0))*1440,0))</f>
        <v>#REF!</v>
      </c>
      <c r="P163" s="9" t="e">
        <f>IF(AND(ROUND((#REF!-TIME(0,0,0))*1440,0)&gt;0,ROUND((#REF!-TIME(0,0,0))*1440,0)&lt;tbl_Case_mins[[#This Row],[Arrival]],tbl_Case_mins[[#This Row],[Surgery End Date]]&gt;tbl_Case_mins[[#This Row],[Surgery Start Date]]),ROUND((#REF!-TIME(0,0,0))*1440,0)+1440,ROUND((#REF!-TIME(0,0,0))*1440,0))</f>
        <v>#REF!</v>
      </c>
      <c r="Q163" s="9" t="e">
        <f>IF(AND(ROUND((#REF!-TIME(0,0,0))*1440,0)&gt;0,ROUND((#REF!-TIME(0,0,0))*1440,0)&lt;tbl_Case_mins[[#This Row],[Into Th or AR]],tbl_Case_mins[[#This Row],[Surgery End Date]]&gt;tbl_Case_mins[[#This Row],[Surgery Start Date]]),ROUND((#REF!-TIME(0,0,0))*1440,0)+1440,ROUND((#REF!-TIME(0,0,0))*1440,0))</f>
        <v>#REF!</v>
      </c>
      <c r="R163" s="9" t="e">
        <f>IF(AND(ROUND((#REF!-TIME(0,0,0))*1440,0)&gt;0,ROUND((#REF!-TIME(0,0,0))*1440,0)&lt;tbl_Case_mins[[#This Row],[AnaesthStart]],tbl_Case_mins[[#This Row],[Surgery End Date]]&gt;tbl_Case_mins[[#This Row],[Surgery Start Date]]),ROUND((#REF!-TIME(0,0,0))*1440,0)+1440,ROUND((#REF!-TIME(0,0,0))*1440,0))</f>
        <v>#REF!</v>
      </c>
      <c r="S163" s="9" t="e">
        <f>IF(AND(ROUND((#REF!-TIME(0,0,0))*1440,0),ROUND((#REF!-TIME(0,0,0))*1440,0)&lt;tbl_Case_mins[[#This Row],[Surgery Start]],tbl_Case_mins[[#This Row],[Surgery End Date]]&gt;tbl_Case_mins[[#This Row],[Surgery Start Date]]),ROUND((#REF!-TIME(0,0,0))*1440,0)+1440,ROUND((#REF!-TIME(0,0,0))*1440,0))</f>
        <v>#REF!</v>
      </c>
      <c r="T163" s="9" t="e">
        <f>IF(AND(ROUND((#REF!-TIME(0,0,0))*1440,0)&gt;0,ROUND((#REF!-TIME(0,0,0))*1440,0)&lt;tbl_Case_mins[[#This Row],[Surgery Finish]],tbl_Case_mins[[#This Row],[Surgery End Date]]&gt;tbl_Case_mins[[#This Row],[Surgery Start Date]]),ROUND((#REF!-TIME(0,0,0))*1440,0)+1440,ROUND((#REF!-TIME(0,0,0))*1440,0))</f>
        <v>#REF!</v>
      </c>
      <c r="U163" s="9" t="e">
        <f>IF(AND(ROUND((#REF!-TIME(0,0,0))*1440,0)&gt;0,ROUND((#REF!-TIME(0,0,0))*1440,0)&lt;tbl_Case_mins[[#This Row],[Anaesth End]],tbl_Case_mins[[#This Row],[Surgery End Date]]&gt;tbl_Case_mins[[#This Row],[Surgery Start Date]]),ROUND((#REF!-TIME(0,0,0))*1440,0)+1440,ROUND((#REF!-TIME(0,0,0))*1440,0))</f>
        <v>#REF!</v>
      </c>
      <c r="V163" s="9" t="e">
        <f>IF(AND(ROUND((#REF!-TIME(0,0,0))*1440,0)&gt;0,ROUND((#REF!-TIME(0,0,0))*1440,0)&lt;tbl_Case_mins[[#This Row],[Into Recov]],tbl_Case_mins[[#This Row],[Surgery End Date]]&gt;tbl_Case_mins[[#This Row],[Surgery Start Date]]),ROUND((#REF!-TIME(0,0,0))*1440,0)+1440,ROUND((#REF!-TIME(0,0,0))*1440,0))</f>
        <v>#REF!</v>
      </c>
      <c r="W163" s="9" t="e">
        <f>IF(AND(ROUND((#REF!-TIME(0,0,0))*1440,0)&gt;0,ROUND((#REF!-TIME(0,0,0))*1440,0)&lt;tbl_Case_mins[[#This Row],[Ward Called]],tbl_Case_mins[[#This Row],[Surgery End Date]]&gt;tbl_Case_mins[[#This Row],[Surgery Start Date]]),ROUND((#REF!-TIME(0,0,0))*1440,0)+1440,ROUND((#REF!-TIME(0,0,0))*1440,0))</f>
        <v>#REF!</v>
      </c>
      <c r="X163" s="4" t="e">
        <f>IF(ISBLANK(#REF!),tbl_Case_mins[[#This Row],[Surgery Start Date]],#REF!)</f>
        <v>#REF!</v>
      </c>
      <c r="Y163">
        <f>IFERROR(IF(VLOOKUP(tbl_Case_mins[[#This Row],[Theatre]],'Mng Theatres'!$C$7:$G$12,3,FALSE)="Yes","Yes","No"),0)</f>
        <v>0</v>
      </c>
      <c r="Z163" s="9" t="e" cm="1">
        <f t="array" ref="Z16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3" s="9" t="e" cm="1">
        <f t="array" ref="AA16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3" s="9" t="e">
        <f>IF(tbl_Case_mins[[#This Row],[Case Type]]="Unsch",1,0)</f>
        <v>#REF!</v>
      </c>
      <c r="AD163" s="9" t="e">
        <f>IF(tbl_Case_mins[[#This Row],[Case Type]]="Sch",1,0)</f>
        <v>#REF!</v>
      </c>
      <c r="AE16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3" s="9">
        <f>IFERROR(IF(ISBLANK(INDEX(Am_Close,MATCH(1,INDEX((tbl_Case_mins[[#This Row],[Theatre]]=Theatre_No)*(tbl_Case_mins[[#This Row],[Surgery Start Date]]=Date),0,1),0))*1440),0,INDEX(Am_Close,MATCH(1,INDEX((tbl_Case_mins[[#This Row],[Theatre]]=Theatre_No)*(tbl_Case_mins[[#This Row],[Surgery Start Date]]=Date),0,1),0))*1440),0)</f>
        <v>0</v>
      </c>
      <c r="AG163" s="9">
        <f>IFERROR(IF(ISBLANK(INDEX(PM_Open,MATCH(1,INDEX((tbl_Case_mins[[#This Row],[Theatre]]=Theatre_No)*(tbl_Case_mins[[#This Row],[Surgery Start Date]]=Date),0,1),0))*1440),0,INDEX(PM_Open,MATCH(1,INDEX((tbl_Case_mins[[#This Row],[Theatre]]=Theatre_No)*(tbl_Case_mins[[#This Row],[Surgery Start Date]]=Date),0,1),0))*1440),0)</f>
        <v>0</v>
      </c>
      <c r="AH16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3" s="9" t="e">
        <f>IF(tbl_Case_mins[[#This Row],[ThOpenAm]]=0,tbl_Case_mins[[#This Row],[ThOpenPM]],tbl_Case_mins[[#This Row],[ThOpenAm]])</f>
        <v>#REF!</v>
      </c>
      <c r="AJ163" s="9" t="e">
        <f>IF(tbl_Case_mins[[#This Row],[ThCloseAm]]&gt;0,IF(tbl_Case_mins[[#This Row],[ThOpenPM]]&gt;0,tbl_Case_mins[[#This Row],[ThClosePm]],tbl_Case_mins[[#This Row],[ThCloseAm]]),tbl_Case_mins[[#This Row],[ThClosePm]])</f>
        <v>#REF!</v>
      </c>
      <c r="AK163" s="9" t="e">
        <f>IF(tbl_Case_mins[[#This Row],[TOT]]&gt;0,1,0)</f>
        <v>#REF!</v>
      </c>
      <c r="AL16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3" s="9" t="e">
        <f>IF(AND(tbl_Case_mins[[#This Row],[Surgery Status]]&lt;&gt;2,tbl_Case_mins[[#This Row],[InCoreCase]]=0,tbl_Case_mins[[#This Row],[CancelledCase]]=0),1,0)</f>
        <v>#REF!</v>
      </c>
      <c r="AN163" s="9" t="e">
        <f>IF(tbl_Case_mins[[#This Row],[Surgery Status]]=1,1,0)</f>
        <v>#REF!</v>
      </c>
      <c r="AO16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3" s="9" t="e">
        <f>IF(AND(tbl_Case_mins[[#This Row],[NonCoreCase]]=1,tbl_Case_mins[[#This Row],[NoInCoreTime]]=0),1,0)</f>
        <v>#REF!</v>
      </c>
      <c r="AQ163" s="9" t="e">
        <f>IF(tbl_Case_mins[[#This Row],[Rank_AnaEnd]]&lt;tbl_Case_mins[[#This Row],[Rank_AnaSt]],1,0)</f>
        <v>#REF!</v>
      </c>
      <c r="AR163" s="9" t="e">
        <f>IF(AND(tbl_Case_mins[[#This Row],[InCoreCase]]=1,tbl_Case_mins[[#This Row],[Sch]]=1),1,0)</f>
        <v>#REF!</v>
      </c>
      <c r="AS163" s="9" t="e">
        <f>IF(AND(tbl_Case_mins[[#This Row],[InCoreCase]]=1,tbl_Case_mins[[#This Row],[Unsch]]=1),1,0)</f>
        <v>#REF!</v>
      </c>
      <c r="AT16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3" s="9" t="e">
        <f>IF(tbl_Case_mins[[#This Row],[Surgery Status]]=0,(tbl_Case_mins[[#This Row],[Anaesth End]]-tbl_Case_mins[[#This Row],[AnaesthStart]]),0)</f>
        <v>#REF!</v>
      </c>
      <c r="AX163" s="9" t="e">
        <f>IF(tbl_Case_mins[[#This Row],[Surgery Status]]=0,(tbl_Case_mins[[#This Row],[Surgery Finish]]-tbl_Case_mins[[#This Row],[Surgery Start]]),0)</f>
        <v>#REF!</v>
      </c>
      <c r="AY163" s="9" t="e">
        <f>tbl_Case_mins[[#This Row],[Surgery Start]]-tbl_Case_mins[[#This Row],[AnaesthStart]]</f>
        <v>#REF!</v>
      </c>
      <c r="AZ163" s="9" t="e">
        <f>tbl_Case_mins[[#This Row],[Anaesth End]]-tbl_Case_mins[[#This Row],[Surgery Finish]]</f>
        <v>#REF!</v>
      </c>
      <c r="BA16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3" s="16" cm="1">
        <f t="array" ref="BC16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3" s="16" t="e">
        <f>IF(AND(tbl_Case_mins[[#This Row],[FirstAMCase]]=1,tbl_Case_mins[[#This Row],[CancelledCase]]=0,OR(tbl_Case_mins[[#This Row],[EarlyStartAM]]&gt;0,tbl_Case_mins[[#This Row],[AnaesthStart]]=tbl_Case_mins[[#This Row],[ThOpenAm]])),1,0)</f>
        <v>#REF!</v>
      </c>
      <c r="BE163" s="16" t="e">
        <f>IF(AND(tbl_Case_mins[[#This Row],[Rank_AnaSt]]=tbl_Case_mins[[#This Row],[Min_RankAnaSt]],tbl_Case_mins[[#This Row],[Anaesth End]]&gt;=tbl_Case_mins[[#This Row],[ThOpenAm]],tbl_Case_mins[[#This Row],[PmCase]]=0),1,0)</f>
        <v>#REF!</v>
      </c>
      <c r="BF16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3" s="9" t="e" cm="1">
        <f t="array" ref="BH16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3" s="9" t="e">
        <f>IF(AND(tbl_Case_mins[[#This Row],[ThOpenPM]]&gt;0,tbl_Case_mins[[#This Row],[AnaesthStart]]&gt;tbl_Case_mins[[#This Row],[ThOpenPM]],tbl_Case_mins[[#This Row],[First PM Case]]=1),tbl_Case_mins[[#This Row],[AnaesthStart]]-tbl_Case_mins[[#This Row],[ThOpenPM]],0)</f>
        <v>#REF!</v>
      </c>
      <c r="BL16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3" s="9" t="e" cm="1">
        <f t="array" ref="BN16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3" s="9" t="e">
        <f>IF(AND(tbl_Case_mins[[#This Row],[ThClosePm]]&gt;0,tbl_Case_mins[[#This Row],[Anaesth End]]&gt;tbl_Case_mins[[#This Row],[ThClosePm]],tbl_Case_mins[[#This Row],[AnaesthStart]]&gt;tbl_Case_mins[[#This Row],[ThClosePm]]),tbl_Case_mins[[#This Row],[Into Recov]]-tbl_Case_mins[[#This Row],[AnaesthStart]],0)</f>
        <v>#REF!</v>
      </c>
      <c r="BP163" s="9" t="e">
        <f>IF(AND(tbl_Case_mins[[#This Row],[AnaesthStart]]&lt;tbl_Case_mins[[#This Row],[ThClosePm]],tbl_Case_mins[[#This Row],[Anaesth End]]&gt;tbl_Case_mins[[#This Row],[ThClosePm]]),tbl_Case_mins[[#This Row],[Anaesth End]]-tbl_Case_mins[[#This Row],[ThClosePm]],0)</f>
        <v>#REF!</v>
      </c>
      <c r="BQ163" s="9" t="e" cm="1">
        <f t="array" ref="BQ16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3" s="9" t="e" cm="1">
        <f t="array" ref="BR163">IF(tbl_Case_mins[[#This Row],[Rank_Adjust]]=SUMPRODUCT(-(tbl_Case_mins[Surgery Start Date]=tbl_Case_mins[[#This Row],[Surgery Start Date]]),-(tbl_Case_mins[Theatre]=tbl_Case_mins[[#This Row],[Theatre]])),INDEX(Poss_Time,MATCH(TEXT(tbl_Case_mins[[#This Row],[Surgery Start Date]],"ddd"),Day,0)),0)</f>
        <v>#REF!</v>
      </c>
      <c r="BS163" s="9" t="e">
        <f>tbl_Case_mins[[#This Row],[Core_Time]]*Util_Goal</f>
        <v>#REF!</v>
      </c>
      <c r="BT163" s="9" t="e" cm="1">
        <f t="array" ref="BT1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3" s="9" t="e" cm="1">
        <f t="array" ref="BU1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3" s="9" t="e">
        <f>IF(tbl_Case_mins[[#This Row],[Surgery End Date]]&gt;tbl_Case_mins[[#This Row],[Surgery Start Date]],tbl_Case_mins[[#This Row],[Anaesth End]]-1440,0)</f>
        <v>#REF!</v>
      </c>
      <c r="BY163" s="9" t="e">
        <f>tbl_Case_mins[[#This Row],[Total_NonCore]]-tbl_Case_mins[[#This Row],[NextDay_NonCore]]</f>
        <v>#REF!</v>
      </c>
      <c r="BZ163" s="10" t="e">
        <f>tbl_Case_mins[[#This Row],[InCoreUse]]/60</f>
        <v>#REF!</v>
      </c>
      <c r="CA163" s="10" t="e">
        <f>tbl_Case_mins[[#This Row],[Total_NonCore]]/60</f>
        <v>#REF!</v>
      </c>
      <c r="CB163" t="e" cm="1">
        <f t="array" ref="CB1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3" s="9" t="e" cm="1">
        <f t="array" ref="CC16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3" s="9" t="e" cm="1">
        <f t="array" ref="CD1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3" s="9" t="e" cm="1">
        <f t="array" ref="CE16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3" s="9" cm="1">
        <f t="array" ref="CF163">IFERROR(_xlfn.AGGREGATE(14,6,(tbl_Case_mins[Rank_AnaEnd])/((tbl_Case_mins[Surgery Start Date]=tbl_Case_mins[[#This Row],[Surgery Start Date]])*(tbl_Case_mins[Theatre]=tbl_Case_mins[[#This Row],[Theatre]])*(tbl_Case_mins[NoInCoreTime]=0)),1),-1)</f>
        <v>-1</v>
      </c>
      <c r="CG163" s="9" cm="1">
        <f t="array" ref="CG163">IFERROR(_xlfn.AGGREGATE(15,6,(tbl_Case_mins[Rank_AnaSt])/((tbl_Case_mins[Surgery Start Date]=tbl_Case_mins[[#This Row],[Surgery Start Date]])*(tbl_Case_mins[Theatre]=tbl_Case_mins[[#This Row],[Theatre]])*(tbl_Case_mins[NoInCoreTime]=0)),1),-1)</f>
        <v>-1</v>
      </c>
      <c r="CH16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3" t="e" cm="1">
        <f t="array" ref="CJ16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3" s="9" cm="1">
        <f t="array" ref="CO1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3" s="9" cm="1">
        <f t="array" ref="CP1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3" s="9" cm="1">
        <f t="array" ref="CQ163">IFERROR(IF(AND(tbl_Case_mins[[#This Row],[FirstAMCase]]=0,tbl_Case_mins[[#This Row],[Rank]]=_xlfn.AGGREGATE(14,6,(tbl_Case_mins[Rank])/((tbl_Case_mins[Surgery Start Date]=tbl_Case_mins[[#This Row],[Surgery Start Date]])*(tbl_Case_mins[Theatre]=tbl_Case_mins[[#This Row],[Theatre]])*(tbl_Case_mins[AmCase]=1)),1)),1,0),0)</f>
        <v>0</v>
      </c>
      <c r="CR163" s="9" cm="1">
        <f t="array" ref="CR16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3" s="9" t="e" cm="1">
        <f t="array" ref="CS16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3" s="9" cm="1">
        <f t="array" ref="CT163">IFERROR(IF(tbl_Case_mins[[#This Row],[Rank]]=_xlfn.AGGREGATE(15,6,(tbl_Case_mins[Rank])/((tbl_Case_mins[Surgery Start Date]=tbl_Case_mins[[#This Row],[Surgery Start Date]])*(tbl_Case_mins[Theatre]=tbl_Case_mins[[#This Row],[Theatre]])*(tbl_Case_mins[PmCase]=1)),1),1,0),0)</f>
        <v>0</v>
      </c>
      <c r="CU163">
        <f>IFERROR(#REF!,0)</f>
        <v>0</v>
      </c>
      <c r="CV163" s="9" t="e" cm="1">
        <f t="array" ref="CV16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3" s="9">
        <f>IFERROR(IF(ISBLANK(INDEX(Bay_AmClose,MATCH(1,INDEX((tbl_Case_mins[[#This Row],[Bay]]=BayNo)*(tbl_Case_mins[[#This Row],[Surgery Start Date]]=BDate),0,1),0))*1440),0,INDEX(Bay_AmClose,MATCH(1,INDEX((tbl_Case_mins[[#This Row],[Bay]]=BayNo)*(tbl_Case_mins[[#This Row],[Surgery Start Date]]=BDate),0,1),0))*1440),0)</f>
        <v>0</v>
      </c>
      <c r="CX163" s="9" cm="1">
        <f t="array" ref="CX163">IFERROR(IF(ISBLANK(INDEX(Bay_PmOpen,MATCH(1,INDEX((tbl_Case_mins[[#This Row],[Bay]]=BayNo)*(tbl_Case_mins[[#This Row],[Surgery Start Date]]=BDate),0,1),0))*1440),0,INDEX(Bay_PmOpen,MATCH(1,INDEX((tbl_Case_mins[[#This Row],[Bay]]=BayNo)*(tbl_Case_mins[[#This Row],[Surgery Start Date]]=BDate),0,1),0))*1440),0)</f>
        <v>0</v>
      </c>
      <c r="CY16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3" s="9"/>
    </row>
    <row r="164" spans="1:104" x14ac:dyDescent="0.2">
      <c r="A164">
        <v>163</v>
      </c>
      <c r="B164" t="e">
        <f>#REF!</f>
        <v>#REF!</v>
      </c>
      <c r="C164" t="e">
        <f>#REF!</f>
        <v>#REF!</v>
      </c>
      <c r="D164" t="e">
        <f>#REF!</f>
        <v>#REF!</v>
      </c>
      <c r="E164" t="e">
        <f>#REF!</f>
        <v>#REF!</v>
      </c>
      <c r="F164" t="e">
        <f>#REF!</f>
        <v>#REF!</v>
      </c>
      <c r="G164" t="e">
        <f>#REF!</f>
        <v>#REF!</v>
      </c>
      <c r="H164" t="e">
        <f>#REF!</f>
        <v>#REF!</v>
      </c>
      <c r="I164" t="e">
        <f>IF(#REF!="Case Cancelled",1,IF(#REF!="No Cases",2,0))</f>
        <v>#REF!</v>
      </c>
      <c r="J164" t="e">
        <f>#REF!</f>
        <v>#REF!</v>
      </c>
      <c r="K164" s="4" t="e">
        <f>#REF!</f>
        <v>#REF!</v>
      </c>
      <c r="L164" t="e">
        <f>"Wk "&amp;WEEKNUM(tbl_Case_mins[[#This Row],[Surgery Start Date]],21)</f>
        <v>#REF!</v>
      </c>
      <c r="M164" t="e">
        <f>TEXT(tbl_Case_mins[[#This Row],[Surgery Start Date]],"ddd")</f>
        <v>#REF!</v>
      </c>
      <c r="N164" s="9" t="e">
        <f>(#REF!-TIME(0,0,0))*1440</f>
        <v>#REF!</v>
      </c>
      <c r="O164" t="e">
        <f>IF(AND(ROUND((#REF!-TIME(0,0,0))*1440,0)&gt;0,ROUND((#REF!-TIME(0,0,0))*1440,0)&lt;tbl_Case_mins[[#This Row],[Patient Called]],tbl_Case_mins[[#This Row],[Surgery End Date]]&gt;tbl_Case_mins[[#This Row],[Surgery Start Date]]),ROUND((#REF!-TIME(0,0,0))*1440,0)+1440,ROUND((#REF!-TIME(0,0,0))*1440,0))</f>
        <v>#REF!</v>
      </c>
      <c r="P164" s="9" t="e">
        <f>IF(AND(ROUND((#REF!-TIME(0,0,0))*1440,0)&gt;0,ROUND((#REF!-TIME(0,0,0))*1440,0)&lt;tbl_Case_mins[[#This Row],[Arrival]],tbl_Case_mins[[#This Row],[Surgery End Date]]&gt;tbl_Case_mins[[#This Row],[Surgery Start Date]]),ROUND((#REF!-TIME(0,0,0))*1440,0)+1440,ROUND((#REF!-TIME(0,0,0))*1440,0))</f>
        <v>#REF!</v>
      </c>
      <c r="Q164" s="9" t="e">
        <f>IF(AND(ROUND((#REF!-TIME(0,0,0))*1440,0)&gt;0,ROUND((#REF!-TIME(0,0,0))*1440,0)&lt;tbl_Case_mins[[#This Row],[Into Th or AR]],tbl_Case_mins[[#This Row],[Surgery End Date]]&gt;tbl_Case_mins[[#This Row],[Surgery Start Date]]),ROUND((#REF!-TIME(0,0,0))*1440,0)+1440,ROUND((#REF!-TIME(0,0,0))*1440,0))</f>
        <v>#REF!</v>
      </c>
      <c r="R164" s="9" t="e">
        <f>IF(AND(ROUND((#REF!-TIME(0,0,0))*1440,0)&gt;0,ROUND((#REF!-TIME(0,0,0))*1440,0)&lt;tbl_Case_mins[[#This Row],[AnaesthStart]],tbl_Case_mins[[#This Row],[Surgery End Date]]&gt;tbl_Case_mins[[#This Row],[Surgery Start Date]]),ROUND((#REF!-TIME(0,0,0))*1440,0)+1440,ROUND((#REF!-TIME(0,0,0))*1440,0))</f>
        <v>#REF!</v>
      </c>
      <c r="S164" s="9" t="e">
        <f>IF(AND(ROUND((#REF!-TIME(0,0,0))*1440,0),ROUND((#REF!-TIME(0,0,0))*1440,0)&lt;tbl_Case_mins[[#This Row],[Surgery Start]],tbl_Case_mins[[#This Row],[Surgery End Date]]&gt;tbl_Case_mins[[#This Row],[Surgery Start Date]]),ROUND((#REF!-TIME(0,0,0))*1440,0)+1440,ROUND((#REF!-TIME(0,0,0))*1440,0))</f>
        <v>#REF!</v>
      </c>
      <c r="T164" s="9" t="e">
        <f>IF(AND(ROUND((#REF!-TIME(0,0,0))*1440,0)&gt;0,ROUND((#REF!-TIME(0,0,0))*1440,0)&lt;tbl_Case_mins[[#This Row],[Surgery Finish]],tbl_Case_mins[[#This Row],[Surgery End Date]]&gt;tbl_Case_mins[[#This Row],[Surgery Start Date]]),ROUND((#REF!-TIME(0,0,0))*1440,0)+1440,ROUND((#REF!-TIME(0,0,0))*1440,0))</f>
        <v>#REF!</v>
      </c>
      <c r="U164" s="9" t="e">
        <f>IF(AND(ROUND((#REF!-TIME(0,0,0))*1440,0)&gt;0,ROUND((#REF!-TIME(0,0,0))*1440,0)&lt;tbl_Case_mins[[#This Row],[Anaesth End]],tbl_Case_mins[[#This Row],[Surgery End Date]]&gt;tbl_Case_mins[[#This Row],[Surgery Start Date]]),ROUND((#REF!-TIME(0,0,0))*1440,0)+1440,ROUND((#REF!-TIME(0,0,0))*1440,0))</f>
        <v>#REF!</v>
      </c>
      <c r="V164" s="9" t="e">
        <f>IF(AND(ROUND((#REF!-TIME(0,0,0))*1440,0)&gt;0,ROUND((#REF!-TIME(0,0,0))*1440,0)&lt;tbl_Case_mins[[#This Row],[Into Recov]],tbl_Case_mins[[#This Row],[Surgery End Date]]&gt;tbl_Case_mins[[#This Row],[Surgery Start Date]]),ROUND((#REF!-TIME(0,0,0))*1440,0)+1440,ROUND((#REF!-TIME(0,0,0))*1440,0))</f>
        <v>#REF!</v>
      </c>
      <c r="W164" s="9" t="e">
        <f>IF(AND(ROUND((#REF!-TIME(0,0,0))*1440,0)&gt;0,ROUND((#REF!-TIME(0,0,0))*1440,0)&lt;tbl_Case_mins[[#This Row],[Ward Called]],tbl_Case_mins[[#This Row],[Surgery End Date]]&gt;tbl_Case_mins[[#This Row],[Surgery Start Date]]),ROUND((#REF!-TIME(0,0,0))*1440,0)+1440,ROUND((#REF!-TIME(0,0,0))*1440,0))</f>
        <v>#REF!</v>
      </c>
      <c r="X164" s="4" t="e">
        <f>IF(ISBLANK(#REF!),tbl_Case_mins[[#This Row],[Surgery Start Date]],#REF!)</f>
        <v>#REF!</v>
      </c>
      <c r="Y164">
        <f>IFERROR(IF(VLOOKUP(tbl_Case_mins[[#This Row],[Theatre]],'Mng Theatres'!$C$7:$G$12,3,FALSE)="Yes","Yes","No"),0)</f>
        <v>0</v>
      </c>
      <c r="Z164" s="9" t="e" cm="1">
        <f t="array" ref="Z16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4" s="9" t="e" cm="1">
        <f t="array" ref="AA16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4" s="9" t="e">
        <f>IF(tbl_Case_mins[[#This Row],[Case Type]]="Unsch",1,0)</f>
        <v>#REF!</v>
      </c>
      <c r="AD164" s="9" t="e">
        <f>IF(tbl_Case_mins[[#This Row],[Case Type]]="Sch",1,0)</f>
        <v>#REF!</v>
      </c>
      <c r="AE16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4" s="9">
        <f>IFERROR(IF(ISBLANK(INDEX(Am_Close,MATCH(1,INDEX((tbl_Case_mins[[#This Row],[Theatre]]=Theatre_No)*(tbl_Case_mins[[#This Row],[Surgery Start Date]]=Date),0,1),0))*1440),0,INDEX(Am_Close,MATCH(1,INDEX((tbl_Case_mins[[#This Row],[Theatre]]=Theatre_No)*(tbl_Case_mins[[#This Row],[Surgery Start Date]]=Date),0,1),0))*1440),0)</f>
        <v>0</v>
      </c>
      <c r="AG164" s="9">
        <f>IFERROR(IF(ISBLANK(INDEX(PM_Open,MATCH(1,INDEX((tbl_Case_mins[[#This Row],[Theatre]]=Theatre_No)*(tbl_Case_mins[[#This Row],[Surgery Start Date]]=Date),0,1),0))*1440),0,INDEX(PM_Open,MATCH(1,INDEX((tbl_Case_mins[[#This Row],[Theatre]]=Theatre_No)*(tbl_Case_mins[[#This Row],[Surgery Start Date]]=Date),0,1),0))*1440),0)</f>
        <v>0</v>
      </c>
      <c r="AH16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4" s="9" t="e">
        <f>IF(tbl_Case_mins[[#This Row],[ThOpenAm]]=0,tbl_Case_mins[[#This Row],[ThOpenPM]],tbl_Case_mins[[#This Row],[ThOpenAm]])</f>
        <v>#REF!</v>
      </c>
      <c r="AJ164" s="9" t="e">
        <f>IF(tbl_Case_mins[[#This Row],[ThCloseAm]]&gt;0,IF(tbl_Case_mins[[#This Row],[ThOpenPM]]&gt;0,tbl_Case_mins[[#This Row],[ThClosePm]],tbl_Case_mins[[#This Row],[ThCloseAm]]),tbl_Case_mins[[#This Row],[ThClosePm]])</f>
        <v>#REF!</v>
      </c>
      <c r="AK164" s="9" t="e">
        <f>IF(tbl_Case_mins[[#This Row],[TOT]]&gt;0,1,0)</f>
        <v>#REF!</v>
      </c>
      <c r="AL16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4" s="9" t="e">
        <f>IF(AND(tbl_Case_mins[[#This Row],[Surgery Status]]&lt;&gt;2,tbl_Case_mins[[#This Row],[InCoreCase]]=0,tbl_Case_mins[[#This Row],[CancelledCase]]=0),1,0)</f>
        <v>#REF!</v>
      </c>
      <c r="AN164" s="9" t="e">
        <f>IF(tbl_Case_mins[[#This Row],[Surgery Status]]=1,1,0)</f>
        <v>#REF!</v>
      </c>
      <c r="AO16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4" s="9" t="e">
        <f>IF(AND(tbl_Case_mins[[#This Row],[NonCoreCase]]=1,tbl_Case_mins[[#This Row],[NoInCoreTime]]=0),1,0)</f>
        <v>#REF!</v>
      </c>
      <c r="AQ164" s="9" t="e">
        <f>IF(tbl_Case_mins[[#This Row],[Rank_AnaEnd]]&lt;tbl_Case_mins[[#This Row],[Rank_AnaSt]],1,0)</f>
        <v>#REF!</v>
      </c>
      <c r="AR164" s="9" t="e">
        <f>IF(AND(tbl_Case_mins[[#This Row],[InCoreCase]]=1,tbl_Case_mins[[#This Row],[Sch]]=1),1,0)</f>
        <v>#REF!</v>
      </c>
      <c r="AS164" s="9" t="e">
        <f>IF(AND(tbl_Case_mins[[#This Row],[InCoreCase]]=1,tbl_Case_mins[[#This Row],[Unsch]]=1),1,0)</f>
        <v>#REF!</v>
      </c>
      <c r="AT16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4" s="9" t="e">
        <f>IF(tbl_Case_mins[[#This Row],[Surgery Status]]=0,(tbl_Case_mins[[#This Row],[Anaesth End]]-tbl_Case_mins[[#This Row],[AnaesthStart]]),0)</f>
        <v>#REF!</v>
      </c>
      <c r="AX164" s="9" t="e">
        <f>IF(tbl_Case_mins[[#This Row],[Surgery Status]]=0,(tbl_Case_mins[[#This Row],[Surgery Finish]]-tbl_Case_mins[[#This Row],[Surgery Start]]),0)</f>
        <v>#REF!</v>
      </c>
      <c r="AY164" s="9" t="e">
        <f>tbl_Case_mins[[#This Row],[Surgery Start]]-tbl_Case_mins[[#This Row],[AnaesthStart]]</f>
        <v>#REF!</v>
      </c>
      <c r="AZ164" s="9" t="e">
        <f>tbl_Case_mins[[#This Row],[Anaesth End]]-tbl_Case_mins[[#This Row],[Surgery Finish]]</f>
        <v>#REF!</v>
      </c>
      <c r="BA16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4" s="16" cm="1">
        <f t="array" ref="BC16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4" s="16" t="e">
        <f>IF(AND(tbl_Case_mins[[#This Row],[FirstAMCase]]=1,tbl_Case_mins[[#This Row],[CancelledCase]]=0,OR(tbl_Case_mins[[#This Row],[EarlyStartAM]]&gt;0,tbl_Case_mins[[#This Row],[AnaesthStart]]=tbl_Case_mins[[#This Row],[ThOpenAm]])),1,0)</f>
        <v>#REF!</v>
      </c>
      <c r="BE164" s="16" t="e">
        <f>IF(AND(tbl_Case_mins[[#This Row],[Rank_AnaSt]]=tbl_Case_mins[[#This Row],[Min_RankAnaSt]],tbl_Case_mins[[#This Row],[Anaesth End]]&gt;=tbl_Case_mins[[#This Row],[ThOpenAm]],tbl_Case_mins[[#This Row],[PmCase]]=0),1,0)</f>
        <v>#REF!</v>
      </c>
      <c r="BF16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4" s="9" t="e" cm="1">
        <f t="array" ref="BH16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4" s="9" t="e">
        <f>IF(AND(tbl_Case_mins[[#This Row],[ThOpenPM]]&gt;0,tbl_Case_mins[[#This Row],[AnaesthStart]]&gt;tbl_Case_mins[[#This Row],[ThOpenPM]],tbl_Case_mins[[#This Row],[First PM Case]]=1),tbl_Case_mins[[#This Row],[AnaesthStart]]-tbl_Case_mins[[#This Row],[ThOpenPM]],0)</f>
        <v>#REF!</v>
      </c>
      <c r="BL16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4" s="9" t="e" cm="1">
        <f t="array" ref="BN16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4" s="9" t="e">
        <f>IF(AND(tbl_Case_mins[[#This Row],[ThClosePm]]&gt;0,tbl_Case_mins[[#This Row],[Anaesth End]]&gt;tbl_Case_mins[[#This Row],[ThClosePm]],tbl_Case_mins[[#This Row],[AnaesthStart]]&gt;tbl_Case_mins[[#This Row],[ThClosePm]]),tbl_Case_mins[[#This Row],[Into Recov]]-tbl_Case_mins[[#This Row],[AnaesthStart]],0)</f>
        <v>#REF!</v>
      </c>
      <c r="BP164" s="9" t="e">
        <f>IF(AND(tbl_Case_mins[[#This Row],[AnaesthStart]]&lt;tbl_Case_mins[[#This Row],[ThClosePm]],tbl_Case_mins[[#This Row],[Anaesth End]]&gt;tbl_Case_mins[[#This Row],[ThClosePm]]),tbl_Case_mins[[#This Row],[Anaesth End]]-tbl_Case_mins[[#This Row],[ThClosePm]],0)</f>
        <v>#REF!</v>
      </c>
      <c r="BQ164" s="9" t="e" cm="1">
        <f t="array" ref="BQ16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4" s="9" t="e" cm="1">
        <f t="array" ref="BR164">IF(tbl_Case_mins[[#This Row],[Rank_Adjust]]=SUMPRODUCT(-(tbl_Case_mins[Surgery Start Date]=tbl_Case_mins[[#This Row],[Surgery Start Date]]),-(tbl_Case_mins[Theatre]=tbl_Case_mins[[#This Row],[Theatre]])),INDEX(Poss_Time,MATCH(TEXT(tbl_Case_mins[[#This Row],[Surgery Start Date]],"ddd"),Day,0)),0)</f>
        <v>#REF!</v>
      </c>
      <c r="BS164" s="9" t="e">
        <f>tbl_Case_mins[[#This Row],[Core_Time]]*Util_Goal</f>
        <v>#REF!</v>
      </c>
      <c r="BT164" s="9" t="e" cm="1">
        <f t="array" ref="BT1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4" s="9" t="e" cm="1">
        <f t="array" ref="BU1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4" s="9" t="e">
        <f>IF(tbl_Case_mins[[#This Row],[Surgery End Date]]&gt;tbl_Case_mins[[#This Row],[Surgery Start Date]],tbl_Case_mins[[#This Row],[Anaesth End]]-1440,0)</f>
        <v>#REF!</v>
      </c>
      <c r="BY164" s="9" t="e">
        <f>tbl_Case_mins[[#This Row],[Total_NonCore]]-tbl_Case_mins[[#This Row],[NextDay_NonCore]]</f>
        <v>#REF!</v>
      </c>
      <c r="BZ164" s="10" t="e">
        <f>tbl_Case_mins[[#This Row],[InCoreUse]]/60</f>
        <v>#REF!</v>
      </c>
      <c r="CA164" s="10" t="e">
        <f>tbl_Case_mins[[#This Row],[Total_NonCore]]/60</f>
        <v>#REF!</v>
      </c>
      <c r="CB164" t="e" cm="1">
        <f t="array" ref="CB1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4" s="9" t="e" cm="1">
        <f t="array" ref="CC16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4" s="9" t="e" cm="1">
        <f t="array" ref="CD1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4" s="9" t="e" cm="1">
        <f t="array" ref="CE16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4" s="9" cm="1">
        <f t="array" ref="CF164">IFERROR(_xlfn.AGGREGATE(14,6,(tbl_Case_mins[Rank_AnaEnd])/((tbl_Case_mins[Surgery Start Date]=tbl_Case_mins[[#This Row],[Surgery Start Date]])*(tbl_Case_mins[Theatre]=tbl_Case_mins[[#This Row],[Theatre]])*(tbl_Case_mins[NoInCoreTime]=0)),1),-1)</f>
        <v>-1</v>
      </c>
      <c r="CG164" s="9" cm="1">
        <f t="array" ref="CG164">IFERROR(_xlfn.AGGREGATE(15,6,(tbl_Case_mins[Rank_AnaSt])/((tbl_Case_mins[Surgery Start Date]=tbl_Case_mins[[#This Row],[Surgery Start Date]])*(tbl_Case_mins[Theatre]=tbl_Case_mins[[#This Row],[Theatre]])*(tbl_Case_mins[NoInCoreTime]=0)),1),-1)</f>
        <v>-1</v>
      </c>
      <c r="CH16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4" t="e" cm="1">
        <f t="array" ref="CJ16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4" s="9" cm="1">
        <f t="array" ref="CO1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4" s="9" cm="1">
        <f t="array" ref="CP1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4" s="9" cm="1">
        <f t="array" ref="CQ164">IFERROR(IF(AND(tbl_Case_mins[[#This Row],[FirstAMCase]]=0,tbl_Case_mins[[#This Row],[Rank]]=_xlfn.AGGREGATE(14,6,(tbl_Case_mins[Rank])/((tbl_Case_mins[Surgery Start Date]=tbl_Case_mins[[#This Row],[Surgery Start Date]])*(tbl_Case_mins[Theatre]=tbl_Case_mins[[#This Row],[Theatre]])*(tbl_Case_mins[AmCase]=1)),1)),1,0),0)</f>
        <v>0</v>
      </c>
      <c r="CR164" s="9" cm="1">
        <f t="array" ref="CR16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4" s="9" t="e" cm="1">
        <f t="array" ref="CS16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4" s="9" cm="1">
        <f t="array" ref="CT164">IFERROR(IF(tbl_Case_mins[[#This Row],[Rank]]=_xlfn.AGGREGATE(15,6,(tbl_Case_mins[Rank])/((tbl_Case_mins[Surgery Start Date]=tbl_Case_mins[[#This Row],[Surgery Start Date]])*(tbl_Case_mins[Theatre]=tbl_Case_mins[[#This Row],[Theatre]])*(tbl_Case_mins[PmCase]=1)),1),1,0),0)</f>
        <v>0</v>
      </c>
      <c r="CU164">
        <f>IFERROR(#REF!,0)</f>
        <v>0</v>
      </c>
      <c r="CV164" s="9" t="e" cm="1">
        <f t="array" ref="CV16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4" s="9">
        <f>IFERROR(IF(ISBLANK(INDEX(Bay_AmClose,MATCH(1,INDEX((tbl_Case_mins[[#This Row],[Bay]]=BayNo)*(tbl_Case_mins[[#This Row],[Surgery Start Date]]=BDate),0,1),0))*1440),0,INDEX(Bay_AmClose,MATCH(1,INDEX((tbl_Case_mins[[#This Row],[Bay]]=BayNo)*(tbl_Case_mins[[#This Row],[Surgery Start Date]]=BDate),0,1),0))*1440),0)</f>
        <v>0</v>
      </c>
      <c r="CX164" s="9" cm="1">
        <f t="array" ref="CX164">IFERROR(IF(ISBLANK(INDEX(Bay_PmOpen,MATCH(1,INDEX((tbl_Case_mins[[#This Row],[Bay]]=BayNo)*(tbl_Case_mins[[#This Row],[Surgery Start Date]]=BDate),0,1),0))*1440),0,INDEX(Bay_PmOpen,MATCH(1,INDEX((tbl_Case_mins[[#This Row],[Bay]]=BayNo)*(tbl_Case_mins[[#This Row],[Surgery Start Date]]=BDate),0,1),0))*1440),0)</f>
        <v>0</v>
      </c>
      <c r="CY16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4" s="9"/>
    </row>
    <row r="165" spans="1:104" x14ac:dyDescent="0.2">
      <c r="A165">
        <v>164</v>
      </c>
      <c r="B165" t="e">
        <f>#REF!</f>
        <v>#REF!</v>
      </c>
      <c r="C165" t="e">
        <f>#REF!</f>
        <v>#REF!</v>
      </c>
      <c r="D165" t="e">
        <f>#REF!</f>
        <v>#REF!</v>
      </c>
      <c r="E165" t="e">
        <f>#REF!</f>
        <v>#REF!</v>
      </c>
      <c r="F165" t="e">
        <f>#REF!</f>
        <v>#REF!</v>
      </c>
      <c r="G165" t="e">
        <f>#REF!</f>
        <v>#REF!</v>
      </c>
      <c r="H165" t="e">
        <f>#REF!</f>
        <v>#REF!</v>
      </c>
      <c r="I165" t="e">
        <f>IF(#REF!="Case Cancelled",1,IF(#REF!="No Cases",2,0))</f>
        <v>#REF!</v>
      </c>
      <c r="J165" t="e">
        <f>#REF!</f>
        <v>#REF!</v>
      </c>
      <c r="K165" s="4" t="e">
        <f>#REF!</f>
        <v>#REF!</v>
      </c>
      <c r="L165" t="e">
        <f>"Wk "&amp;WEEKNUM(tbl_Case_mins[[#This Row],[Surgery Start Date]],21)</f>
        <v>#REF!</v>
      </c>
      <c r="M165" t="e">
        <f>TEXT(tbl_Case_mins[[#This Row],[Surgery Start Date]],"ddd")</f>
        <v>#REF!</v>
      </c>
      <c r="N165" s="9" t="e">
        <f>(#REF!-TIME(0,0,0))*1440</f>
        <v>#REF!</v>
      </c>
      <c r="O165" t="e">
        <f>IF(AND(ROUND((#REF!-TIME(0,0,0))*1440,0)&gt;0,ROUND((#REF!-TIME(0,0,0))*1440,0)&lt;tbl_Case_mins[[#This Row],[Patient Called]],tbl_Case_mins[[#This Row],[Surgery End Date]]&gt;tbl_Case_mins[[#This Row],[Surgery Start Date]]),ROUND((#REF!-TIME(0,0,0))*1440,0)+1440,ROUND((#REF!-TIME(0,0,0))*1440,0))</f>
        <v>#REF!</v>
      </c>
      <c r="P165" s="9" t="e">
        <f>IF(AND(ROUND((#REF!-TIME(0,0,0))*1440,0)&gt;0,ROUND((#REF!-TIME(0,0,0))*1440,0)&lt;tbl_Case_mins[[#This Row],[Arrival]],tbl_Case_mins[[#This Row],[Surgery End Date]]&gt;tbl_Case_mins[[#This Row],[Surgery Start Date]]),ROUND((#REF!-TIME(0,0,0))*1440,0)+1440,ROUND((#REF!-TIME(0,0,0))*1440,0))</f>
        <v>#REF!</v>
      </c>
      <c r="Q165" s="9" t="e">
        <f>IF(AND(ROUND((#REF!-TIME(0,0,0))*1440,0)&gt;0,ROUND((#REF!-TIME(0,0,0))*1440,0)&lt;tbl_Case_mins[[#This Row],[Into Th or AR]],tbl_Case_mins[[#This Row],[Surgery End Date]]&gt;tbl_Case_mins[[#This Row],[Surgery Start Date]]),ROUND((#REF!-TIME(0,0,0))*1440,0)+1440,ROUND((#REF!-TIME(0,0,0))*1440,0))</f>
        <v>#REF!</v>
      </c>
      <c r="R165" s="9" t="e">
        <f>IF(AND(ROUND((#REF!-TIME(0,0,0))*1440,0)&gt;0,ROUND((#REF!-TIME(0,0,0))*1440,0)&lt;tbl_Case_mins[[#This Row],[AnaesthStart]],tbl_Case_mins[[#This Row],[Surgery End Date]]&gt;tbl_Case_mins[[#This Row],[Surgery Start Date]]),ROUND((#REF!-TIME(0,0,0))*1440,0)+1440,ROUND((#REF!-TIME(0,0,0))*1440,0))</f>
        <v>#REF!</v>
      </c>
      <c r="S165" s="9" t="e">
        <f>IF(AND(ROUND((#REF!-TIME(0,0,0))*1440,0),ROUND((#REF!-TIME(0,0,0))*1440,0)&lt;tbl_Case_mins[[#This Row],[Surgery Start]],tbl_Case_mins[[#This Row],[Surgery End Date]]&gt;tbl_Case_mins[[#This Row],[Surgery Start Date]]),ROUND((#REF!-TIME(0,0,0))*1440,0)+1440,ROUND((#REF!-TIME(0,0,0))*1440,0))</f>
        <v>#REF!</v>
      </c>
      <c r="T165" s="9" t="e">
        <f>IF(AND(ROUND((#REF!-TIME(0,0,0))*1440,0)&gt;0,ROUND((#REF!-TIME(0,0,0))*1440,0)&lt;tbl_Case_mins[[#This Row],[Surgery Finish]],tbl_Case_mins[[#This Row],[Surgery End Date]]&gt;tbl_Case_mins[[#This Row],[Surgery Start Date]]),ROUND((#REF!-TIME(0,0,0))*1440,0)+1440,ROUND((#REF!-TIME(0,0,0))*1440,0))</f>
        <v>#REF!</v>
      </c>
      <c r="U165" s="9" t="e">
        <f>IF(AND(ROUND((#REF!-TIME(0,0,0))*1440,0)&gt;0,ROUND((#REF!-TIME(0,0,0))*1440,0)&lt;tbl_Case_mins[[#This Row],[Anaesth End]],tbl_Case_mins[[#This Row],[Surgery End Date]]&gt;tbl_Case_mins[[#This Row],[Surgery Start Date]]),ROUND((#REF!-TIME(0,0,0))*1440,0)+1440,ROUND((#REF!-TIME(0,0,0))*1440,0))</f>
        <v>#REF!</v>
      </c>
      <c r="V165" s="9" t="e">
        <f>IF(AND(ROUND((#REF!-TIME(0,0,0))*1440,0)&gt;0,ROUND((#REF!-TIME(0,0,0))*1440,0)&lt;tbl_Case_mins[[#This Row],[Into Recov]],tbl_Case_mins[[#This Row],[Surgery End Date]]&gt;tbl_Case_mins[[#This Row],[Surgery Start Date]]),ROUND((#REF!-TIME(0,0,0))*1440,0)+1440,ROUND((#REF!-TIME(0,0,0))*1440,0))</f>
        <v>#REF!</v>
      </c>
      <c r="W165" s="9" t="e">
        <f>IF(AND(ROUND((#REF!-TIME(0,0,0))*1440,0)&gt;0,ROUND((#REF!-TIME(0,0,0))*1440,0)&lt;tbl_Case_mins[[#This Row],[Ward Called]],tbl_Case_mins[[#This Row],[Surgery End Date]]&gt;tbl_Case_mins[[#This Row],[Surgery Start Date]]),ROUND((#REF!-TIME(0,0,0))*1440,0)+1440,ROUND((#REF!-TIME(0,0,0))*1440,0))</f>
        <v>#REF!</v>
      </c>
      <c r="X165" s="4" t="e">
        <f>IF(ISBLANK(#REF!),tbl_Case_mins[[#This Row],[Surgery Start Date]],#REF!)</f>
        <v>#REF!</v>
      </c>
      <c r="Y165">
        <f>IFERROR(IF(VLOOKUP(tbl_Case_mins[[#This Row],[Theatre]],'Mng Theatres'!$C$7:$G$12,3,FALSE)="Yes","Yes","No"),0)</f>
        <v>0</v>
      </c>
      <c r="Z165" s="9" t="e" cm="1">
        <f t="array" ref="Z16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5" s="9" t="e" cm="1">
        <f t="array" ref="AA16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5" s="9" t="e">
        <f>IF(tbl_Case_mins[[#This Row],[Case Type]]="Unsch",1,0)</f>
        <v>#REF!</v>
      </c>
      <c r="AD165" s="9" t="e">
        <f>IF(tbl_Case_mins[[#This Row],[Case Type]]="Sch",1,0)</f>
        <v>#REF!</v>
      </c>
      <c r="AE16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5" s="9">
        <f>IFERROR(IF(ISBLANK(INDEX(Am_Close,MATCH(1,INDEX((tbl_Case_mins[[#This Row],[Theatre]]=Theatre_No)*(tbl_Case_mins[[#This Row],[Surgery Start Date]]=Date),0,1),0))*1440),0,INDEX(Am_Close,MATCH(1,INDEX((tbl_Case_mins[[#This Row],[Theatre]]=Theatre_No)*(tbl_Case_mins[[#This Row],[Surgery Start Date]]=Date),0,1),0))*1440),0)</f>
        <v>0</v>
      </c>
      <c r="AG165" s="9">
        <f>IFERROR(IF(ISBLANK(INDEX(PM_Open,MATCH(1,INDEX((tbl_Case_mins[[#This Row],[Theatre]]=Theatre_No)*(tbl_Case_mins[[#This Row],[Surgery Start Date]]=Date),0,1),0))*1440),0,INDEX(PM_Open,MATCH(1,INDEX((tbl_Case_mins[[#This Row],[Theatre]]=Theatre_No)*(tbl_Case_mins[[#This Row],[Surgery Start Date]]=Date),0,1),0))*1440),0)</f>
        <v>0</v>
      </c>
      <c r="AH16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5" s="9" t="e">
        <f>IF(tbl_Case_mins[[#This Row],[ThOpenAm]]=0,tbl_Case_mins[[#This Row],[ThOpenPM]],tbl_Case_mins[[#This Row],[ThOpenAm]])</f>
        <v>#REF!</v>
      </c>
      <c r="AJ165" s="9" t="e">
        <f>IF(tbl_Case_mins[[#This Row],[ThCloseAm]]&gt;0,IF(tbl_Case_mins[[#This Row],[ThOpenPM]]&gt;0,tbl_Case_mins[[#This Row],[ThClosePm]],tbl_Case_mins[[#This Row],[ThCloseAm]]),tbl_Case_mins[[#This Row],[ThClosePm]])</f>
        <v>#REF!</v>
      </c>
      <c r="AK165" s="9" t="e">
        <f>IF(tbl_Case_mins[[#This Row],[TOT]]&gt;0,1,0)</f>
        <v>#REF!</v>
      </c>
      <c r="AL16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5" s="9" t="e">
        <f>IF(AND(tbl_Case_mins[[#This Row],[Surgery Status]]&lt;&gt;2,tbl_Case_mins[[#This Row],[InCoreCase]]=0,tbl_Case_mins[[#This Row],[CancelledCase]]=0),1,0)</f>
        <v>#REF!</v>
      </c>
      <c r="AN165" s="9" t="e">
        <f>IF(tbl_Case_mins[[#This Row],[Surgery Status]]=1,1,0)</f>
        <v>#REF!</v>
      </c>
      <c r="AO16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5" s="9" t="e">
        <f>IF(AND(tbl_Case_mins[[#This Row],[NonCoreCase]]=1,tbl_Case_mins[[#This Row],[NoInCoreTime]]=0),1,0)</f>
        <v>#REF!</v>
      </c>
      <c r="AQ165" s="9" t="e">
        <f>IF(tbl_Case_mins[[#This Row],[Rank_AnaEnd]]&lt;tbl_Case_mins[[#This Row],[Rank_AnaSt]],1,0)</f>
        <v>#REF!</v>
      </c>
      <c r="AR165" s="9" t="e">
        <f>IF(AND(tbl_Case_mins[[#This Row],[InCoreCase]]=1,tbl_Case_mins[[#This Row],[Sch]]=1),1,0)</f>
        <v>#REF!</v>
      </c>
      <c r="AS165" s="9" t="e">
        <f>IF(AND(tbl_Case_mins[[#This Row],[InCoreCase]]=1,tbl_Case_mins[[#This Row],[Unsch]]=1),1,0)</f>
        <v>#REF!</v>
      </c>
      <c r="AT16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5" s="9" t="e">
        <f>IF(tbl_Case_mins[[#This Row],[Surgery Status]]=0,(tbl_Case_mins[[#This Row],[Anaesth End]]-tbl_Case_mins[[#This Row],[AnaesthStart]]),0)</f>
        <v>#REF!</v>
      </c>
      <c r="AX165" s="9" t="e">
        <f>IF(tbl_Case_mins[[#This Row],[Surgery Status]]=0,(tbl_Case_mins[[#This Row],[Surgery Finish]]-tbl_Case_mins[[#This Row],[Surgery Start]]),0)</f>
        <v>#REF!</v>
      </c>
      <c r="AY165" s="9" t="e">
        <f>tbl_Case_mins[[#This Row],[Surgery Start]]-tbl_Case_mins[[#This Row],[AnaesthStart]]</f>
        <v>#REF!</v>
      </c>
      <c r="AZ165" s="9" t="e">
        <f>tbl_Case_mins[[#This Row],[Anaesth End]]-tbl_Case_mins[[#This Row],[Surgery Finish]]</f>
        <v>#REF!</v>
      </c>
      <c r="BA16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5" s="16" cm="1">
        <f t="array" ref="BC16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5" s="16" t="e">
        <f>IF(AND(tbl_Case_mins[[#This Row],[FirstAMCase]]=1,tbl_Case_mins[[#This Row],[CancelledCase]]=0,OR(tbl_Case_mins[[#This Row],[EarlyStartAM]]&gt;0,tbl_Case_mins[[#This Row],[AnaesthStart]]=tbl_Case_mins[[#This Row],[ThOpenAm]])),1,0)</f>
        <v>#REF!</v>
      </c>
      <c r="BE165" s="16" t="e">
        <f>IF(AND(tbl_Case_mins[[#This Row],[Rank_AnaSt]]=tbl_Case_mins[[#This Row],[Min_RankAnaSt]],tbl_Case_mins[[#This Row],[Anaesth End]]&gt;=tbl_Case_mins[[#This Row],[ThOpenAm]],tbl_Case_mins[[#This Row],[PmCase]]=0),1,0)</f>
        <v>#REF!</v>
      </c>
      <c r="BF16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5" s="9" t="e" cm="1">
        <f t="array" ref="BH16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5" s="9" t="e">
        <f>IF(AND(tbl_Case_mins[[#This Row],[ThOpenPM]]&gt;0,tbl_Case_mins[[#This Row],[AnaesthStart]]&gt;tbl_Case_mins[[#This Row],[ThOpenPM]],tbl_Case_mins[[#This Row],[First PM Case]]=1),tbl_Case_mins[[#This Row],[AnaesthStart]]-tbl_Case_mins[[#This Row],[ThOpenPM]],0)</f>
        <v>#REF!</v>
      </c>
      <c r="BL16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5" s="9" t="e" cm="1">
        <f t="array" ref="BN16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5" s="9" t="e">
        <f>IF(AND(tbl_Case_mins[[#This Row],[ThClosePm]]&gt;0,tbl_Case_mins[[#This Row],[Anaesth End]]&gt;tbl_Case_mins[[#This Row],[ThClosePm]],tbl_Case_mins[[#This Row],[AnaesthStart]]&gt;tbl_Case_mins[[#This Row],[ThClosePm]]),tbl_Case_mins[[#This Row],[Into Recov]]-tbl_Case_mins[[#This Row],[AnaesthStart]],0)</f>
        <v>#REF!</v>
      </c>
      <c r="BP165" s="9" t="e">
        <f>IF(AND(tbl_Case_mins[[#This Row],[AnaesthStart]]&lt;tbl_Case_mins[[#This Row],[ThClosePm]],tbl_Case_mins[[#This Row],[Anaesth End]]&gt;tbl_Case_mins[[#This Row],[ThClosePm]]),tbl_Case_mins[[#This Row],[Anaesth End]]-tbl_Case_mins[[#This Row],[ThClosePm]],0)</f>
        <v>#REF!</v>
      </c>
      <c r="BQ165" s="9" t="e" cm="1">
        <f t="array" ref="BQ16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5" s="9" t="e" cm="1">
        <f t="array" ref="BR165">IF(tbl_Case_mins[[#This Row],[Rank_Adjust]]=SUMPRODUCT(-(tbl_Case_mins[Surgery Start Date]=tbl_Case_mins[[#This Row],[Surgery Start Date]]),-(tbl_Case_mins[Theatre]=tbl_Case_mins[[#This Row],[Theatre]])),INDEX(Poss_Time,MATCH(TEXT(tbl_Case_mins[[#This Row],[Surgery Start Date]],"ddd"),Day,0)),0)</f>
        <v>#REF!</v>
      </c>
      <c r="BS165" s="9" t="e">
        <f>tbl_Case_mins[[#This Row],[Core_Time]]*Util_Goal</f>
        <v>#REF!</v>
      </c>
      <c r="BT165" s="9" t="e" cm="1">
        <f t="array" ref="BT1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5" s="9" t="e" cm="1">
        <f t="array" ref="BU1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5" s="9" t="e">
        <f>IF(tbl_Case_mins[[#This Row],[Surgery End Date]]&gt;tbl_Case_mins[[#This Row],[Surgery Start Date]],tbl_Case_mins[[#This Row],[Anaesth End]]-1440,0)</f>
        <v>#REF!</v>
      </c>
      <c r="BY165" s="9" t="e">
        <f>tbl_Case_mins[[#This Row],[Total_NonCore]]-tbl_Case_mins[[#This Row],[NextDay_NonCore]]</f>
        <v>#REF!</v>
      </c>
      <c r="BZ165" s="10" t="e">
        <f>tbl_Case_mins[[#This Row],[InCoreUse]]/60</f>
        <v>#REF!</v>
      </c>
      <c r="CA165" s="10" t="e">
        <f>tbl_Case_mins[[#This Row],[Total_NonCore]]/60</f>
        <v>#REF!</v>
      </c>
      <c r="CB165" t="e" cm="1">
        <f t="array" ref="CB1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5" s="9" t="e" cm="1">
        <f t="array" ref="CC16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5" s="9" t="e" cm="1">
        <f t="array" ref="CD1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5" s="9" t="e" cm="1">
        <f t="array" ref="CE16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5" s="9" cm="1">
        <f t="array" ref="CF165">IFERROR(_xlfn.AGGREGATE(14,6,(tbl_Case_mins[Rank_AnaEnd])/((tbl_Case_mins[Surgery Start Date]=tbl_Case_mins[[#This Row],[Surgery Start Date]])*(tbl_Case_mins[Theatre]=tbl_Case_mins[[#This Row],[Theatre]])*(tbl_Case_mins[NoInCoreTime]=0)),1),-1)</f>
        <v>-1</v>
      </c>
      <c r="CG165" s="9" cm="1">
        <f t="array" ref="CG165">IFERROR(_xlfn.AGGREGATE(15,6,(tbl_Case_mins[Rank_AnaSt])/((tbl_Case_mins[Surgery Start Date]=tbl_Case_mins[[#This Row],[Surgery Start Date]])*(tbl_Case_mins[Theatre]=tbl_Case_mins[[#This Row],[Theatre]])*(tbl_Case_mins[NoInCoreTime]=0)),1),-1)</f>
        <v>-1</v>
      </c>
      <c r="CH16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5" t="e" cm="1">
        <f t="array" ref="CJ16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5" s="9" cm="1">
        <f t="array" ref="CO1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5" s="9" cm="1">
        <f t="array" ref="CP1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5" s="9" cm="1">
        <f t="array" ref="CQ165">IFERROR(IF(AND(tbl_Case_mins[[#This Row],[FirstAMCase]]=0,tbl_Case_mins[[#This Row],[Rank]]=_xlfn.AGGREGATE(14,6,(tbl_Case_mins[Rank])/((tbl_Case_mins[Surgery Start Date]=tbl_Case_mins[[#This Row],[Surgery Start Date]])*(tbl_Case_mins[Theatre]=tbl_Case_mins[[#This Row],[Theatre]])*(tbl_Case_mins[AmCase]=1)),1)),1,0),0)</f>
        <v>0</v>
      </c>
      <c r="CR165" s="9" cm="1">
        <f t="array" ref="CR16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5" s="9" t="e" cm="1">
        <f t="array" ref="CS16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5" s="9" cm="1">
        <f t="array" ref="CT165">IFERROR(IF(tbl_Case_mins[[#This Row],[Rank]]=_xlfn.AGGREGATE(15,6,(tbl_Case_mins[Rank])/((tbl_Case_mins[Surgery Start Date]=tbl_Case_mins[[#This Row],[Surgery Start Date]])*(tbl_Case_mins[Theatre]=tbl_Case_mins[[#This Row],[Theatre]])*(tbl_Case_mins[PmCase]=1)),1),1,0),0)</f>
        <v>0</v>
      </c>
      <c r="CU165">
        <f>IFERROR(#REF!,0)</f>
        <v>0</v>
      </c>
      <c r="CV165" s="9" t="e" cm="1">
        <f t="array" ref="CV16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5" s="9">
        <f>IFERROR(IF(ISBLANK(INDEX(Bay_AmClose,MATCH(1,INDEX((tbl_Case_mins[[#This Row],[Bay]]=BayNo)*(tbl_Case_mins[[#This Row],[Surgery Start Date]]=BDate),0,1),0))*1440),0,INDEX(Bay_AmClose,MATCH(1,INDEX((tbl_Case_mins[[#This Row],[Bay]]=BayNo)*(tbl_Case_mins[[#This Row],[Surgery Start Date]]=BDate),0,1),0))*1440),0)</f>
        <v>0</v>
      </c>
      <c r="CX165" s="9" cm="1">
        <f t="array" ref="CX165">IFERROR(IF(ISBLANK(INDEX(Bay_PmOpen,MATCH(1,INDEX((tbl_Case_mins[[#This Row],[Bay]]=BayNo)*(tbl_Case_mins[[#This Row],[Surgery Start Date]]=BDate),0,1),0))*1440),0,INDEX(Bay_PmOpen,MATCH(1,INDEX((tbl_Case_mins[[#This Row],[Bay]]=BayNo)*(tbl_Case_mins[[#This Row],[Surgery Start Date]]=BDate),0,1),0))*1440),0)</f>
        <v>0</v>
      </c>
      <c r="CY16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5" s="9"/>
    </row>
    <row r="166" spans="1:104" x14ac:dyDescent="0.2">
      <c r="A166">
        <v>165</v>
      </c>
      <c r="B166" t="e">
        <f>#REF!</f>
        <v>#REF!</v>
      </c>
      <c r="C166" t="e">
        <f>#REF!</f>
        <v>#REF!</v>
      </c>
      <c r="D166" t="e">
        <f>#REF!</f>
        <v>#REF!</v>
      </c>
      <c r="E166" t="e">
        <f>#REF!</f>
        <v>#REF!</v>
      </c>
      <c r="F166" t="e">
        <f>#REF!</f>
        <v>#REF!</v>
      </c>
      <c r="G166" t="e">
        <f>#REF!</f>
        <v>#REF!</v>
      </c>
      <c r="H166" t="e">
        <f>#REF!</f>
        <v>#REF!</v>
      </c>
      <c r="I166" t="e">
        <f>IF(#REF!="Case Cancelled",1,IF(#REF!="No Cases",2,0))</f>
        <v>#REF!</v>
      </c>
      <c r="J166" t="e">
        <f>#REF!</f>
        <v>#REF!</v>
      </c>
      <c r="K166" s="4" t="e">
        <f>#REF!</f>
        <v>#REF!</v>
      </c>
      <c r="L166" t="e">
        <f>"Wk "&amp;WEEKNUM(tbl_Case_mins[[#This Row],[Surgery Start Date]],21)</f>
        <v>#REF!</v>
      </c>
      <c r="M166" t="e">
        <f>TEXT(tbl_Case_mins[[#This Row],[Surgery Start Date]],"ddd")</f>
        <v>#REF!</v>
      </c>
      <c r="N166" s="9" t="e">
        <f>(#REF!-TIME(0,0,0))*1440</f>
        <v>#REF!</v>
      </c>
      <c r="O166" t="e">
        <f>IF(AND(ROUND((#REF!-TIME(0,0,0))*1440,0)&gt;0,ROUND((#REF!-TIME(0,0,0))*1440,0)&lt;tbl_Case_mins[[#This Row],[Patient Called]],tbl_Case_mins[[#This Row],[Surgery End Date]]&gt;tbl_Case_mins[[#This Row],[Surgery Start Date]]),ROUND((#REF!-TIME(0,0,0))*1440,0)+1440,ROUND((#REF!-TIME(0,0,0))*1440,0))</f>
        <v>#REF!</v>
      </c>
      <c r="P166" s="9" t="e">
        <f>IF(AND(ROUND((#REF!-TIME(0,0,0))*1440,0)&gt;0,ROUND((#REF!-TIME(0,0,0))*1440,0)&lt;tbl_Case_mins[[#This Row],[Arrival]],tbl_Case_mins[[#This Row],[Surgery End Date]]&gt;tbl_Case_mins[[#This Row],[Surgery Start Date]]),ROUND((#REF!-TIME(0,0,0))*1440,0)+1440,ROUND((#REF!-TIME(0,0,0))*1440,0))</f>
        <v>#REF!</v>
      </c>
      <c r="Q166" s="9" t="e">
        <f>IF(AND(ROUND((#REF!-TIME(0,0,0))*1440,0)&gt;0,ROUND((#REF!-TIME(0,0,0))*1440,0)&lt;tbl_Case_mins[[#This Row],[Into Th or AR]],tbl_Case_mins[[#This Row],[Surgery End Date]]&gt;tbl_Case_mins[[#This Row],[Surgery Start Date]]),ROUND((#REF!-TIME(0,0,0))*1440,0)+1440,ROUND((#REF!-TIME(0,0,0))*1440,0))</f>
        <v>#REF!</v>
      </c>
      <c r="R166" s="9" t="e">
        <f>IF(AND(ROUND((#REF!-TIME(0,0,0))*1440,0)&gt;0,ROUND((#REF!-TIME(0,0,0))*1440,0)&lt;tbl_Case_mins[[#This Row],[AnaesthStart]],tbl_Case_mins[[#This Row],[Surgery End Date]]&gt;tbl_Case_mins[[#This Row],[Surgery Start Date]]),ROUND((#REF!-TIME(0,0,0))*1440,0)+1440,ROUND((#REF!-TIME(0,0,0))*1440,0))</f>
        <v>#REF!</v>
      </c>
      <c r="S166" s="9" t="e">
        <f>IF(AND(ROUND((#REF!-TIME(0,0,0))*1440,0),ROUND((#REF!-TIME(0,0,0))*1440,0)&lt;tbl_Case_mins[[#This Row],[Surgery Start]],tbl_Case_mins[[#This Row],[Surgery End Date]]&gt;tbl_Case_mins[[#This Row],[Surgery Start Date]]),ROUND((#REF!-TIME(0,0,0))*1440,0)+1440,ROUND((#REF!-TIME(0,0,0))*1440,0))</f>
        <v>#REF!</v>
      </c>
      <c r="T166" s="9" t="e">
        <f>IF(AND(ROUND((#REF!-TIME(0,0,0))*1440,0)&gt;0,ROUND((#REF!-TIME(0,0,0))*1440,0)&lt;tbl_Case_mins[[#This Row],[Surgery Finish]],tbl_Case_mins[[#This Row],[Surgery End Date]]&gt;tbl_Case_mins[[#This Row],[Surgery Start Date]]),ROUND((#REF!-TIME(0,0,0))*1440,0)+1440,ROUND((#REF!-TIME(0,0,0))*1440,0))</f>
        <v>#REF!</v>
      </c>
      <c r="U166" s="9" t="e">
        <f>IF(AND(ROUND((#REF!-TIME(0,0,0))*1440,0)&gt;0,ROUND((#REF!-TIME(0,0,0))*1440,0)&lt;tbl_Case_mins[[#This Row],[Anaesth End]],tbl_Case_mins[[#This Row],[Surgery End Date]]&gt;tbl_Case_mins[[#This Row],[Surgery Start Date]]),ROUND((#REF!-TIME(0,0,0))*1440,0)+1440,ROUND((#REF!-TIME(0,0,0))*1440,0))</f>
        <v>#REF!</v>
      </c>
      <c r="V166" s="9" t="e">
        <f>IF(AND(ROUND((#REF!-TIME(0,0,0))*1440,0)&gt;0,ROUND((#REF!-TIME(0,0,0))*1440,0)&lt;tbl_Case_mins[[#This Row],[Into Recov]],tbl_Case_mins[[#This Row],[Surgery End Date]]&gt;tbl_Case_mins[[#This Row],[Surgery Start Date]]),ROUND((#REF!-TIME(0,0,0))*1440,0)+1440,ROUND((#REF!-TIME(0,0,0))*1440,0))</f>
        <v>#REF!</v>
      </c>
      <c r="W166" s="9" t="e">
        <f>IF(AND(ROUND((#REF!-TIME(0,0,0))*1440,0)&gt;0,ROUND((#REF!-TIME(0,0,0))*1440,0)&lt;tbl_Case_mins[[#This Row],[Ward Called]],tbl_Case_mins[[#This Row],[Surgery End Date]]&gt;tbl_Case_mins[[#This Row],[Surgery Start Date]]),ROUND((#REF!-TIME(0,0,0))*1440,0)+1440,ROUND((#REF!-TIME(0,0,0))*1440,0))</f>
        <v>#REF!</v>
      </c>
      <c r="X166" s="4" t="e">
        <f>IF(ISBLANK(#REF!),tbl_Case_mins[[#This Row],[Surgery Start Date]],#REF!)</f>
        <v>#REF!</v>
      </c>
      <c r="Y166">
        <f>IFERROR(IF(VLOOKUP(tbl_Case_mins[[#This Row],[Theatre]],'Mng Theatres'!$C$7:$G$12,3,FALSE)="Yes","Yes","No"),0)</f>
        <v>0</v>
      </c>
      <c r="Z166" s="9" t="e" cm="1">
        <f t="array" ref="Z16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6" s="9" t="e" cm="1">
        <f t="array" ref="AA16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6" s="9" t="e">
        <f>IF(tbl_Case_mins[[#This Row],[Case Type]]="Unsch",1,0)</f>
        <v>#REF!</v>
      </c>
      <c r="AD166" s="9" t="e">
        <f>IF(tbl_Case_mins[[#This Row],[Case Type]]="Sch",1,0)</f>
        <v>#REF!</v>
      </c>
      <c r="AE16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6" s="9">
        <f>IFERROR(IF(ISBLANK(INDEX(Am_Close,MATCH(1,INDEX((tbl_Case_mins[[#This Row],[Theatre]]=Theatre_No)*(tbl_Case_mins[[#This Row],[Surgery Start Date]]=Date),0,1),0))*1440),0,INDEX(Am_Close,MATCH(1,INDEX((tbl_Case_mins[[#This Row],[Theatre]]=Theatre_No)*(tbl_Case_mins[[#This Row],[Surgery Start Date]]=Date),0,1),0))*1440),0)</f>
        <v>0</v>
      </c>
      <c r="AG166" s="9">
        <f>IFERROR(IF(ISBLANK(INDEX(PM_Open,MATCH(1,INDEX((tbl_Case_mins[[#This Row],[Theatre]]=Theatre_No)*(tbl_Case_mins[[#This Row],[Surgery Start Date]]=Date),0,1),0))*1440),0,INDEX(PM_Open,MATCH(1,INDEX((tbl_Case_mins[[#This Row],[Theatre]]=Theatre_No)*(tbl_Case_mins[[#This Row],[Surgery Start Date]]=Date),0,1),0))*1440),0)</f>
        <v>0</v>
      </c>
      <c r="AH16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6" s="9" t="e">
        <f>IF(tbl_Case_mins[[#This Row],[ThOpenAm]]=0,tbl_Case_mins[[#This Row],[ThOpenPM]],tbl_Case_mins[[#This Row],[ThOpenAm]])</f>
        <v>#REF!</v>
      </c>
      <c r="AJ166" s="9" t="e">
        <f>IF(tbl_Case_mins[[#This Row],[ThCloseAm]]&gt;0,IF(tbl_Case_mins[[#This Row],[ThOpenPM]]&gt;0,tbl_Case_mins[[#This Row],[ThClosePm]],tbl_Case_mins[[#This Row],[ThCloseAm]]),tbl_Case_mins[[#This Row],[ThClosePm]])</f>
        <v>#REF!</v>
      </c>
      <c r="AK166" s="9" t="e">
        <f>IF(tbl_Case_mins[[#This Row],[TOT]]&gt;0,1,0)</f>
        <v>#REF!</v>
      </c>
      <c r="AL16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6" s="9" t="e">
        <f>IF(AND(tbl_Case_mins[[#This Row],[Surgery Status]]&lt;&gt;2,tbl_Case_mins[[#This Row],[InCoreCase]]=0,tbl_Case_mins[[#This Row],[CancelledCase]]=0),1,0)</f>
        <v>#REF!</v>
      </c>
      <c r="AN166" s="9" t="e">
        <f>IF(tbl_Case_mins[[#This Row],[Surgery Status]]=1,1,0)</f>
        <v>#REF!</v>
      </c>
      <c r="AO16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6" s="9" t="e">
        <f>IF(AND(tbl_Case_mins[[#This Row],[NonCoreCase]]=1,tbl_Case_mins[[#This Row],[NoInCoreTime]]=0),1,0)</f>
        <v>#REF!</v>
      </c>
      <c r="AQ166" s="9" t="e">
        <f>IF(tbl_Case_mins[[#This Row],[Rank_AnaEnd]]&lt;tbl_Case_mins[[#This Row],[Rank_AnaSt]],1,0)</f>
        <v>#REF!</v>
      </c>
      <c r="AR166" s="9" t="e">
        <f>IF(AND(tbl_Case_mins[[#This Row],[InCoreCase]]=1,tbl_Case_mins[[#This Row],[Sch]]=1),1,0)</f>
        <v>#REF!</v>
      </c>
      <c r="AS166" s="9" t="e">
        <f>IF(AND(tbl_Case_mins[[#This Row],[InCoreCase]]=1,tbl_Case_mins[[#This Row],[Unsch]]=1),1,0)</f>
        <v>#REF!</v>
      </c>
      <c r="AT16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6" s="9" t="e">
        <f>IF(tbl_Case_mins[[#This Row],[Surgery Status]]=0,(tbl_Case_mins[[#This Row],[Anaesth End]]-tbl_Case_mins[[#This Row],[AnaesthStart]]),0)</f>
        <v>#REF!</v>
      </c>
      <c r="AX166" s="9" t="e">
        <f>IF(tbl_Case_mins[[#This Row],[Surgery Status]]=0,(tbl_Case_mins[[#This Row],[Surgery Finish]]-tbl_Case_mins[[#This Row],[Surgery Start]]),0)</f>
        <v>#REF!</v>
      </c>
      <c r="AY166" s="9" t="e">
        <f>tbl_Case_mins[[#This Row],[Surgery Start]]-tbl_Case_mins[[#This Row],[AnaesthStart]]</f>
        <v>#REF!</v>
      </c>
      <c r="AZ166" s="9" t="e">
        <f>tbl_Case_mins[[#This Row],[Anaesth End]]-tbl_Case_mins[[#This Row],[Surgery Finish]]</f>
        <v>#REF!</v>
      </c>
      <c r="BA16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6" s="16" cm="1">
        <f t="array" ref="BC16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6" s="16" t="e">
        <f>IF(AND(tbl_Case_mins[[#This Row],[FirstAMCase]]=1,tbl_Case_mins[[#This Row],[CancelledCase]]=0,OR(tbl_Case_mins[[#This Row],[EarlyStartAM]]&gt;0,tbl_Case_mins[[#This Row],[AnaesthStart]]=tbl_Case_mins[[#This Row],[ThOpenAm]])),1,0)</f>
        <v>#REF!</v>
      </c>
      <c r="BE166" s="16" t="e">
        <f>IF(AND(tbl_Case_mins[[#This Row],[Rank_AnaSt]]=tbl_Case_mins[[#This Row],[Min_RankAnaSt]],tbl_Case_mins[[#This Row],[Anaesth End]]&gt;=tbl_Case_mins[[#This Row],[ThOpenAm]],tbl_Case_mins[[#This Row],[PmCase]]=0),1,0)</f>
        <v>#REF!</v>
      </c>
      <c r="BF16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6" s="9" t="e" cm="1">
        <f t="array" ref="BH16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6" s="9" t="e">
        <f>IF(AND(tbl_Case_mins[[#This Row],[ThOpenPM]]&gt;0,tbl_Case_mins[[#This Row],[AnaesthStart]]&gt;tbl_Case_mins[[#This Row],[ThOpenPM]],tbl_Case_mins[[#This Row],[First PM Case]]=1),tbl_Case_mins[[#This Row],[AnaesthStart]]-tbl_Case_mins[[#This Row],[ThOpenPM]],0)</f>
        <v>#REF!</v>
      </c>
      <c r="BL16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6" s="9" t="e" cm="1">
        <f t="array" ref="BN16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6" s="9" t="e">
        <f>IF(AND(tbl_Case_mins[[#This Row],[ThClosePm]]&gt;0,tbl_Case_mins[[#This Row],[Anaesth End]]&gt;tbl_Case_mins[[#This Row],[ThClosePm]],tbl_Case_mins[[#This Row],[AnaesthStart]]&gt;tbl_Case_mins[[#This Row],[ThClosePm]]),tbl_Case_mins[[#This Row],[Into Recov]]-tbl_Case_mins[[#This Row],[AnaesthStart]],0)</f>
        <v>#REF!</v>
      </c>
      <c r="BP166" s="9" t="e">
        <f>IF(AND(tbl_Case_mins[[#This Row],[AnaesthStart]]&lt;tbl_Case_mins[[#This Row],[ThClosePm]],tbl_Case_mins[[#This Row],[Anaesth End]]&gt;tbl_Case_mins[[#This Row],[ThClosePm]]),tbl_Case_mins[[#This Row],[Anaesth End]]-tbl_Case_mins[[#This Row],[ThClosePm]],0)</f>
        <v>#REF!</v>
      </c>
      <c r="BQ166" s="9" t="e" cm="1">
        <f t="array" ref="BQ16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6" s="9" t="e" cm="1">
        <f t="array" ref="BR166">IF(tbl_Case_mins[[#This Row],[Rank_Adjust]]=SUMPRODUCT(-(tbl_Case_mins[Surgery Start Date]=tbl_Case_mins[[#This Row],[Surgery Start Date]]),-(tbl_Case_mins[Theatre]=tbl_Case_mins[[#This Row],[Theatre]])),INDEX(Poss_Time,MATCH(TEXT(tbl_Case_mins[[#This Row],[Surgery Start Date]],"ddd"),Day,0)),0)</f>
        <v>#REF!</v>
      </c>
      <c r="BS166" s="9" t="e">
        <f>tbl_Case_mins[[#This Row],[Core_Time]]*Util_Goal</f>
        <v>#REF!</v>
      </c>
      <c r="BT166" s="9" t="e" cm="1">
        <f t="array" ref="BT1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6" s="9" t="e" cm="1">
        <f t="array" ref="BU1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6" s="9" t="e">
        <f>IF(tbl_Case_mins[[#This Row],[Surgery End Date]]&gt;tbl_Case_mins[[#This Row],[Surgery Start Date]],tbl_Case_mins[[#This Row],[Anaesth End]]-1440,0)</f>
        <v>#REF!</v>
      </c>
      <c r="BY166" s="9" t="e">
        <f>tbl_Case_mins[[#This Row],[Total_NonCore]]-tbl_Case_mins[[#This Row],[NextDay_NonCore]]</f>
        <v>#REF!</v>
      </c>
      <c r="BZ166" s="10" t="e">
        <f>tbl_Case_mins[[#This Row],[InCoreUse]]/60</f>
        <v>#REF!</v>
      </c>
      <c r="CA166" s="10" t="e">
        <f>tbl_Case_mins[[#This Row],[Total_NonCore]]/60</f>
        <v>#REF!</v>
      </c>
      <c r="CB166" t="e" cm="1">
        <f t="array" ref="CB1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6" s="9" t="e" cm="1">
        <f t="array" ref="CC16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6" s="9" t="e" cm="1">
        <f t="array" ref="CD1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6" s="9" t="e" cm="1">
        <f t="array" ref="CE16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6" s="9" cm="1">
        <f t="array" ref="CF166">IFERROR(_xlfn.AGGREGATE(14,6,(tbl_Case_mins[Rank_AnaEnd])/((tbl_Case_mins[Surgery Start Date]=tbl_Case_mins[[#This Row],[Surgery Start Date]])*(tbl_Case_mins[Theatre]=tbl_Case_mins[[#This Row],[Theatre]])*(tbl_Case_mins[NoInCoreTime]=0)),1),-1)</f>
        <v>-1</v>
      </c>
      <c r="CG166" s="9" cm="1">
        <f t="array" ref="CG166">IFERROR(_xlfn.AGGREGATE(15,6,(tbl_Case_mins[Rank_AnaSt])/((tbl_Case_mins[Surgery Start Date]=tbl_Case_mins[[#This Row],[Surgery Start Date]])*(tbl_Case_mins[Theatre]=tbl_Case_mins[[#This Row],[Theatre]])*(tbl_Case_mins[NoInCoreTime]=0)),1),-1)</f>
        <v>-1</v>
      </c>
      <c r="CH16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6" t="e" cm="1">
        <f t="array" ref="CJ16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6" s="9" cm="1">
        <f t="array" ref="CO1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6" s="9" cm="1">
        <f t="array" ref="CP1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6" s="9" cm="1">
        <f t="array" ref="CQ166">IFERROR(IF(AND(tbl_Case_mins[[#This Row],[FirstAMCase]]=0,tbl_Case_mins[[#This Row],[Rank]]=_xlfn.AGGREGATE(14,6,(tbl_Case_mins[Rank])/((tbl_Case_mins[Surgery Start Date]=tbl_Case_mins[[#This Row],[Surgery Start Date]])*(tbl_Case_mins[Theatre]=tbl_Case_mins[[#This Row],[Theatre]])*(tbl_Case_mins[AmCase]=1)),1)),1,0),0)</f>
        <v>0</v>
      </c>
      <c r="CR166" s="9" cm="1">
        <f t="array" ref="CR16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6" s="9" t="e" cm="1">
        <f t="array" ref="CS16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6" s="9" cm="1">
        <f t="array" ref="CT166">IFERROR(IF(tbl_Case_mins[[#This Row],[Rank]]=_xlfn.AGGREGATE(15,6,(tbl_Case_mins[Rank])/((tbl_Case_mins[Surgery Start Date]=tbl_Case_mins[[#This Row],[Surgery Start Date]])*(tbl_Case_mins[Theatre]=tbl_Case_mins[[#This Row],[Theatre]])*(tbl_Case_mins[PmCase]=1)),1),1,0),0)</f>
        <v>0</v>
      </c>
      <c r="CU166">
        <f>IFERROR(#REF!,0)</f>
        <v>0</v>
      </c>
      <c r="CV166" s="9" t="e" cm="1">
        <f t="array" ref="CV16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6" s="9">
        <f>IFERROR(IF(ISBLANK(INDEX(Bay_AmClose,MATCH(1,INDEX((tbl_Case_mins[[#This Row],[Bay]]=BayNo)*(tbl_Case_mins[[#This Row],[Surgery Start Date]]=BDate),0,1),0))*1440),0,INDEX(Bay_AmClose,MATCH(1,INDEX((tbl_Case_mins[[#This Row],[Bay]]=BayNo)*(tbl_Case_mins[[#This Row],[Surgery Start Date]]=BDate),0,1),0))*1440),0)</f>
        <v>0</v>
      </c>
      <c r="CX166" s="9" cm="1">
        <f t="array" ref="CX166">IFERROR(IF(ISBLANK(INDEX(Bay_PmOpen,MATCH(1,INDEX((tbl_Case_mins[[#This Row],[Bay]]=BayNo)*(tbl_Case_mins[[#This Row],[Surgery Start Date]]=BDate),0,1),0))*1440),0,INDEX(Bay_PmOpen,MATCH(1,INDEX((tbl_Case_mins[[#This Row],[Bay]]=BayNo)*(tbl_Case_mins[[#This Row],[Surgery Start Date]]=BDate),0,1),0))*1440),0)</f>
        <v>0</v>
      </c>
      <c r="CY16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6" s="9"/>
    </row>
    <row r="167" spans="1:104" x14ac:dyDescent="0.2">
      <c r="A167">
        <v>166</v>
      </c>
      <c r="B167" t="e">
        <f>#REF!</f>
        <v>#REF!</v>
      </c>
      <c r="C167" t="e">
        <f>#REF!</f>
        <v>#REF!</v>
      </c>
      <c r="D167" t="e">
        <f>#REF!</f>
        <v>#REF!</v>
      </c>
      <c r="E167" t="e">
        <f>#REF!</f>
        <v>#REF!</v>
      </c>
      <c r="F167" t="e">
        <f>#REF!</f>
        <v>#REF!</v>
      </c>
      <c r="G167" t="e">
        <f>#REF!</f>
        <v>#REF!</v>
      </c>
      <c r="H167" t="e">
        <f>#REF!</f>
        <v>#REF!</v>
      </c>
      <c r="I167" t="e">
        <f>IF(#REF!="Case Cancelled",1,IF(#REF!="No Cases",2,0))</f>
        <v>#REF!</v>
      </c>
      <c r="J167" t="e">
        <f>#REF!</f>
        <v>#REF!</v>
      </c>
      <c r="K167" s="4" t="e">
        <f>#REF!</f>
        <v>#REF!</v>
      </c>
      <c r="L167" t="e">
        <f>"Wk "&amp;WEEKNUM(tbl_Case_mins[[#This Row],[Surgery Start Date]],21)</f>
        <v>#REF!</v>
      </c>
      <c r="M167" t="e">
        <f>TEXT(tbl_Case_mins[[#This Row],[Surgery Start Date]],"ddd")</f>
        <v>#REF!</v>
      </c>
      <c r="N167" s="9" t="e">
        <f>(#REF!-TIME(0,0,0))*1440</f>
        <v>#REF!</v>
      </c>
      <c r="O167" t="e">
        <f>IF(AND(ROUND((#REF!-TIME(0,0,0))*1440,0)&gt;0,ROUND((#REF!-TIME(0,0,0))*1440,0)&lt;tbl_Case_mins[[#This Row],[Patient Called]],tbl_Case_mins[[#This Row],[Surgery End Date]]&gt;tbl_Case_mins[[#This Row],[Surgery Start Date]]),ROUND((#REF!-TIME(0,0,0))*1440,0)+1440,ROUND((#REF!-TIME(0,0,0))*1440,0))</f>
        <v>#REF!</v>
      </c>
      <c r="P167" s="9" t="e">
        <f>IF(AND(ROUND((#REF!-TIME(0,0,0))*1440,0)&gt;0,ROUND((#REF!-TIME(0,0,0))*1440,0)&lt;tbl_Case_mins[[#This Row],[Arrival]],tbl_Case_mins[[#This Row],[Surgery End Date]]&gt;tbl_Case_mins[[#This Row],[Surgery Start Date]]),ROUND((#REF!-TIME(0,0,0))*1440,0)+1440,ROUND((#REF!-TIME(0,0,0))*1440,0))</f>
        <v>#REF!</v>
      </c>
      <c r="Q167" s="9" t="e">
        <f>IF(AND(ROUND((#REF!-TIME(0,0,0))*1440,0)&gt;0,ROUND((#REF!-TIME(0,0,0))*1440,0)&lt;tbl_Case_mins[[#This Row],[Into Th or AR]],tbl_Case_mins[[#This Row],[Surgery End Date]]&gt;tbl_Case_mins[[#This Row],[Surgery Start Date]]),ROUND((#REF!-TIME(0,0,0))*1440,0)+1440,ROUND((#REF!-TIME(0,0,0))*1440,0))</f>
        <v>#REF!</v>
      </c>
      <c r="R167" s="9" t="e">
        <f>IF(AND(ROUND((#REF!-TIME(0,0,0))*1440,0)&gt;0,ROUND((#REF!-TIME(0,0,0))*1440,0)&lt;tbl_Case_mins[[#This Row],[AnaesthStart]],tbl_Case_mins[[#This Row],[Surgery End Date]]&gt;tbl_Case_mins[[#This Row],[Surgery Start Date]]),ROUND((#REF!-TIME(0,0,0))*1440,0)+1440,ROUND((#REF!-TIME(0,0,0))*1440,0))</f>
        <v>#REF!</v>
      </c>
      <c r="S167" s="9" t="e">
        <f>IF(AND(ROUND((#REF!-TIME(0,0,0))*1440,0),ROUND((#REF!-TIME(0,0,0))*1440,0)&lt;tbl_Case_mins[[#This Row],[Surgery Start]],tbl_Case_mins[[#This Row],[Surgery End Date]]&gt;tbl_Case_mins[[#This Row],[Surgery Start Date]]),ROUND((#REF!-TIME(0,0,0))*1440,0)+1440,ROUND((#REF!-TIME(0,0,0))*1440,0))</f>
        <v>#REF!</v>
      </c>
      <c r="T167" s="9" t="e">
        <f>IF(AND(ROUND((#REF!-TIME(0,0,0))*1440,0)&gt;0,ROUND((#REF!-TIME(0,0,0))*1440,0)&lt;tbl_Case_mins[[#This Row],[Surgery Finish]],tbl_Case_mins[[#This Row],[Surgery End Date]]&gt;tbl_Case_mins[[#This Row],[Surgery Start Date]]),ROUND((#REF!-TIME(0,0,0))*1440,0)+1440,ROUND((#REF!-TIME(0,0,0))*1440,0))</f>
        <v>#REF!</v>
      </c>
      <c r="U167" s="9" t="e">
        <f>IF(AND(ROUND((#REF!-TIME(0,0,0))*1440,0)&gt;0,ROUND((#REF!-TIME(0,0,0))*1440,0)&lt;tbl_Case_mins[[#This Row],[Anaesth End]],tbl_Case_mins[[#This Row],[Surgery End Date]]&gt;tbl_Case_mins[[#This Row],[Surgery Start Date]]),ROUND((#REF!-TIME(0,0,0))*1440,0)+1440,ROUND((#REF!-TIME(0,0,0))*1440,0))</f>
        <v>#REF!</v>
      </c>
      <c r="V167" s="9" t="e">
        <f>IF(AND(ROUND((#REF!-TIME(0,0,0))*1440,0)&gt;0,ROUND((#REF!-TIME(0,0,0))*1440,0)&lt;tbl_Case_mins[[#This Row],[Into Recov]],tbl_Case_mins[[#This Row],[Surgery End Date]]&gt;tbl_Case_mins[[#This Row],[Surgery Start Date]]),ROUND((#REF!-TIME(0,0,0))*1440,0)+1440,ROUND((#REF!-TIME(0,0,0))*1440,0))</f>
        <v>#REF!</v>
      </c>
      <c r="W167" s="9" t="e">
        <f>IF(AND(ROUND((#REF!-TIME(0,0,0))*1440,0)&gt;0,ROUND((#REF!-TIME(0,0,0))*1440,0)&lt;tbl_Case_mins[[#This Row],[Ward Called]],tbl_Case_mins[[#This Row],[Surgery End Date]]&gt;tbl_Case_mins[[#This Row],[Surgery Start Date]]),ROUND((#REF!-TIME(0,0,0))*1440,0)+1440,ROUND((#REF!-TIME(0,0,0))*1440,0))</f>
        <v>#REF!</v>
      </c>
      <c r="X167" s="4" t="e">
        <f>IF(ISBLANK(#REF!),tbl_Case_mins[[#This Row],[Surgery Start Date]],#REF!)</f>
        <v>#REF!</v>
      </c>
      <c r="Y167">
        <f>IFERROR(IF(VLOOKUP(tbl_Case_mins[[#This Row],[Theatre]],'Mng Theatres'!$C$7:$G$12,3,FALSE)="Yes","Yes","No"),0)</f>
        <v>0</v>
      </c>
      <c r="Z167" s="9" t="e" cm="1">
        <f t="array" ref="Z16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7" s="9" t="e" cm="1">
        <f t="array" ref="AA16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7" s="9" t="e">
        <f>IF(tbl_Case_mins[[#This Row],[Case Type]]="Unsch",1,0)</f>
        <v>#REF!</v>
      </c>
      <c r="AD167" s="9" t="e">
        <f>IF(tbl_Case_mins[[#This Row],[Case Type]]="Sch",1,0)</f>
        <v>#REF!</v>
      </c>
      <c r="AE16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7" s="9">
        <f>IFERROR(IF(ISBLANK(INDEX(Am_Close,MATCH(1,INDEX((tbl_Case_mins[[#This Row],[Theatre]]=Theatre_No)*(tbl_Case_mins[[#This Row],[Surgery Start Date]]=Date),0,1),0))*1440),0,INDEX(Am_Close,MATCH(1,INDEX((tbl_Case_mins[[#This Row],[Theatre]]=Theatre_No)*(tbl_Case_mins[[#This Row],[Surgery Start Date]]=Date),0,1),0))*1440),0)</f>
        <v>0</v>
      </c>
      <c r="AG167" s="9">
        <f>IFERROR(IF(ISBLANK(INDEX(PM_Open,MATCH(1,INDEX((tbl_Case_mins[[#This Row],[Theatre]]=Theatre_No)*(tbl_Case_mins[[#This Row],[Surgery Start Date]]=Date),0,1),0))*1440),0,INDEX(PM_Open,MATCH(1,INDEX((tbl_Case_mins[[#This Row],[Theatre]]=Theatre_No)*(tbl_Case_mins[[#This Row],[Surgery Start Date]]=Date),0,1),0))*1440),0)</f>
        <v>0</v>
      </c>
      <c r="AH16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7" s="9" t="e">
        <f>IF(tbl_Case_mins[[#This Row],[ThOpenAm]]=0,tbl_Case_mins[[#This Row],[ThOpenPM]],tbl_Case_mins[[#This Row],[ThOpenAm]])</f>
        <v>#REF!</v>
      </c>
      <c r="AJ167" s="9" t="e">
        <f>IF(tbl_Case_mins[[#This Row],[ThCloseAm]]&gt;0,IF(tbl_Case_mins[[#This Row],[ThOpenPM]]&gt;0,tbl_Case_mins[[#This Row],[ThClosePm]],tbl_Case_mins[[#This Row],[ThCloseAm]]),tbl_Case_mins[[#This Row],[ThClosePm]])</f>
        <v>#REF!</v>
      </c>
      <c r="AK167" s="9" t="e">
        <f>IF(tbl_Case_mins[[#This Row],[TOT]]&gt;0,1,0)</f>
        <v>#REF!</v>
      </c>
      <c r="AL16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7" s="9" t="e">
        <f>IF(AND(tbl_Case_mins[[#This Row],[Surgery Status]]&lt;&gt;2,tbl_Case_mins[[#This Row],[InCoreCase]]=0,tbl_Case_mins[[#This Row],[CancelledCase]]=0),1,0)</f>
        <v>#REF!</v>
      </c>
      <c r="AN167" s="9" t="e">
        <f>IF(tbl_Case_mins[[#This Row],[Surgery Status]]=1,1,0)</f>
        <v>#REF!</v>
      </c>
      <c r="AO16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7" s="9" t="e">
        <f>IF(AND(tbl_Case_mins[[#This Row],[NonCoreCase]]=1,tbl_Case_mins[[#This Row],[NoInCoreTime]]=0),1,0)</f>
        <v>#REF!</v>
      </c>
      <c r="AQ167" s="9" t="e">
        <f>IF(tbl_Case_mins[[#This Row],[Rank_AnaEnd]]&lt;tbl_Case_mins[[#This Row],[Rank_AnaSt]],1,0)</f>
        <v>#REF!</v>
      </c>
      <c r="AR167" s="9" t="e">
        <f>IF(AND(tbl_Case_mins[[#This Row],[InCoreCase]]=1,tbl_Case_mins[[#This Row],[Sch]]=1),1,0)</f>
        <v>#REF!</v>
      </c>
      <c r="AS167" s="9" t="e">
        <f>IF(AND(tbl_Case_mins[[#This Row],[InCoreCase]]=1,tbl_Case_mins[[#This Row],[Unsch]]=1),1,0)</f>
        <v>#REF!</v>
      </c>
      <c r="AT16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7" s="9" t="e">
        <f>IF(tbl_Case_mins[[#This Row],[Surgery Status]]=0,(tbl_Case_mins[[#This Row],[Anaesth End]]-tbl_Case_mins[[#This Row],[AnaesthStart]]),0)</f>
        <v>#REF!</v>
      </c>
      <c r="AX167" s="9" t="e">
        <f>IF(tbl_Case_mins[[#This Row],[Surgery Status]]=0,(tbl_Case_mins[[#This Row],[Surgery Finish]]-tbl_Case_mins[[#This Row],[Surgery Start]]),0)</f>
        <v>#REF!</v>
      </c>
      <c r="AY167" s="9" t="e">
        <f>tbl_Case_mins[[#This Row],[Surgery Start]]-tbl_Case_mins[[#This Row],[AnaesthStart]]</f>
        <v>#REF!</v>
      </c>
      <c r="AZ167" s="9" t="e">
        <f>tbl_Case_mins[[#This Row],[Anaesth End]]-tbl_Case_mins[[#This Row],[Surgery Finish]]</f>
        <v>#REF!</v>
      </c>
      <c r="BA16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7" s="16" cm="1">
        <f t="array" ref="BC16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7" s="16" t="e">
        <f>IF(AND(tbl_Case_mins[[#This Row],[FirstAMCase]]=1,tbl_Case_mins[[#This Row],[CancelledCase]]=0,OR(tbl_Case_mins[[#This Row],[EarlyStartAM]]&gt;0,tbl_Case_mins[[#This Row],[AnaesthStart]]=tbl_Case_mins[[#This Row],[ThOpenAm]])),1,0)</f>
        <v>#REF!</v>
      </c>
      <c r="BE167" s="16" t="e">
        <f>IF(AND(tbl_Case_mins[[#This Row],[Rank_AnaSt]]=tbl_Case_mins[[#This Row],[Min_RankAnaSt]],tbl_Case_mins[[#This Row],[Anaesth End]]&gt;=tbl_Case_mins[[#This Row],[ThOpenAm]],tbl_Case_mins[[#This Row],[PmCase]]=0),1,0)</f>
        <v>#REF!</v>
      </c>
      <c r="BF16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7" s="9" t="e" cm="1">
        <f t="array" ref="BH16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7" s="9" t="e">
        <f>IF(AND(tbl_Case_mins[[#This Row],[ThOpenPM]]&gt;0,tbl_Case_mins[[#This Row],[AnaesthStart]]&gt;tbl_Case_mins[[#This Row],[ThOpenPM]],tbl_Case_mins[[#This Row],[First PM Case]]=1),tbl_Case_mins[[#This Row],[AnaesthStart]]-tbl_Case_mins[[#This Row],[ThOpenPM]],0)</f>
        <v>#REF!</v>
      </c>
      <c r="BL16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7" s="9" t="e" cm="1">
        <f t="array" ref="BN16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7" s="9" t="e">
        <f>IF(AND(tbl_Case_mins[[#This Row],[ThClosePm]]&gt;0,tbl_Case_mins[[#This Row],[Anaesth End]]&gt;tbl_Case_mins[[#This Row],[ThClosePm]],tbl_Case_mins[[#This Row],[AnaesthStart]]&gt;tbl_Case_mins[[#This Row],[ThClosePm]]),tbl_Case_mins[[#This Row],[Into Recov]]-tbl_Case_mins[[#This Row],[AnaesthStart]],0)</f>
        <v>#REF!</v>
      </c>
      <c r="BP167" s="9" t="e">
        <f>IF(AND(tbl_Case_mins[[#This Row],[AnaesthStart]]&lt;tbl_Case_mins[[#This Row],[ThClosePm]],tbl_Case_mins[[#This Row],[Anaesth End]]&gt;tbl_Case_mins[[#This Row],[ThClosePm]]),tbl_Case_mins[[#This Row],[Anaesth End]]-tbl_Case_mins[[#This Row],[ThClosePm]],0)</f>
        <v>#REF!</v>
      </c>
      <c r="BQ167" s="9" t="e" cm="1">
        <f t="array" ref="BQ16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7" s="9" t="e" cm="1">
        <f t="array" ref="BR167">IF(tbl_Case_mins[[#This Row],[Rank_Adjust]]=SUMPRODUCT(-(tbl_Case_mins[Surgery Start Date]=tbl_Case_mins[[#This Row],[Surgery Start Date]]),-(tbl_Case_mins[Theatre]=tbl_Case_mins[[#This Row],[Theatre]])),INDEX(Poss_Time,MATCH(TEXT(tbl_Case_mins[[#This Row],[Surgery Start Date]],"ddd"),Day,0)),0)</f>
        <v>#REF!</v>
      </c>
      <c r="BS167" s="9" t="e">
        <f>tbl_Case_mins[[#This Row],[Core_Time]]*Util_Goal</f>
        <v>#REF!</v>
      </c>
      <c r="BT167" s="9" t="e" cm="1">
        <f t="array" ref="BT1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7" s="9" t="e" cm="1">
        <f t="array" ref="BU1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7" s="9" t="e">
        <f>IF(tbl_Case_mins[[#This Row],[Surgery End Date]]&gt;tbl_Case_mins[[#This Row],[Surgery Start Date]],tbl_Case_mins[[#This Row],[Anaesth End]]-1440,0)</f>
        <v>#REF!</v>
      </c>
      <c r="BY167" s="9" t="e">
        <f>tbl_Case_mins[[#This Row],[Total_NonCore]]-tbl_Case_mins[[#This Row],[NextDay_NonCore]]</f>
        <v>#REF!</v>
      </c>
      <c r="BZ167" s="10" t="e">
        <f>tbl_Case_mins[[#This Row],[InCoreUse]]/60</f>
        <v>#REF!</v>
      </c>
      <c r="CA167" s="10" t="e">
        <f>tbl_Case_mins[[#This Row],[Total_NonCore]]/60</f>
        <v>#REF!</v>
      </c>
      <c r="CB167" t="e" cm="1">
        <f t="array" ref="CB1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7" s="9" t="e" cm="1">
        <f t="array" ref="CC16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7" s="9" t="e" cm="1">
        <f t="array" ref="CD1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7" s="9" t="e" cm="1">
        <f t="array" ref="CE16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7" s="9" cm="1">
        <f t="array" ref="CF167">IFERROR(_xlfn.AGGREGATE(14,6,(tbl_Case_mins[Rank_AnaEnd])/((tbl_Case_mins[Surgery Start Date]=tbl_Case_mins[[#This Row],[Surgery Start Date]])*(tbl_Case_mins[Theatre]=tbl_Case_mins[[#This Row],[Theatre]])*(tbl_Case_mins[NoInCoreTime]=0)),1),-1)</f>
        <v>-1</v>
      </c>
      <c r="CG167" s="9" cm="1">
        <f t="array" ref="CG167">IFERROR(_xlfn.AGGREGATE(15,6,(tbl_Case_mins[Rank_AnaSt])/((tbl_Case_mins[Surgery Start Date]=tbl_Case_mins[[#This Row],[Surgery Start Date]])*(tbl_Case_mins[Theatre]=tbl_Case_mins[[#This Row],[Theatre]])*(tbl_Case_mins[NoInCoreTime]=0)),1),-1)</f>
        <v>-1</v>
      </c>
      <c r="CH16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7" t="e" cm="1">
        <f t="array" ref="CJ16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7" s="9" cm="1">
        <f t="array" ref="CO1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7" s="9" cm="1">
        <f t="array" ref="CP1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7" s="9" cm="1">
        <f t="array" ref="CQ167">IFERROR(IF(AND(tbl_Case_mins[[#This Row],[FirstAMCase]]=0,tbl_Case_mins[[#This Row],[Rank]]=_xlfn.AGGREGATE(14,6,(tbl_Case_mins[Rank])/((tbl_Case_mins[Surgery Start Date]=tbl_Case_mins[[#This Row],[Surgery Start Date]])*(tbl_Case_mins[Theatre]=tbl_Case_mins[[#This Row],[Theatre]])*(tbl_Case_mins[AmCase]=1)),1)),1,0),0)</f>
        <v>0</v>
      </c>
      <c r="CR167" s="9" cm="1">
        <f t="array" ref="CR16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7" s="9" t="e" cm="1">
        <f t="array" ref="CS16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7" s="9" cm="1">
        <f t="array" ref="CT167">IFERROR(IF(tbl_Case_mins[[#This Row],[Rank]]=_xlfn.AGGREGATE(15,6,(tbl_Case_mins[Rank])/((tbl_Case_mins[Surgery Start Date]=tbl_Case_mins[[#This Row],[Surgery Start Date]])*(tbl_Case_mins[Theatre]=tbl_Case_mins[[#This Row],[Theatre]])*(tbl_Case_mins[PmCase]=1)),1),1,0),0)</f>
        <v>0</v>
      </c>
      <c r="CU167">
        <f>IFERROR(#REF!,0)</f>
        <v>0</v>
      </c>
      <c r="CV167" s="9" t="e" cm="1">
        <f t="array" ref="CV16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7" s="9">
        <f>IFERROR(IF(ISBLANK(INDEX(Bay_AmClose,MATCH(1,INDEX((tbl_Case_mins[[#This Row],[Bay]]=BayNo)*(tbl_Case_mins[[#This Row],[Surgery Start Date]]=BDate),0,1),0))*1440),0,INDEX(Bay_AmClose,MATCH(1,INDEX((tbl_Case_mins[[#This Row],[Bay]]=BayNo)*(tbl_Case_mins[[#This Row],[Surgery Start Date]]=BDate),0,1),0))*1440),0)</f>
        <v>0</v>
      </c>
      <c r="CX167" s="9" cm="1">
        <f t="array" ref="CX167">IFERROR(IF(ISBLANK(INDEX(Bay_PmOpen,MATCH(1,INDEX((tbl_Case_mins[[#This Row],[Bay]]=BayNo)*(tbl_Case_mins[[#This Row],[Surgery Start Date]]=BDate),0,1),0))*1440),0,INDEX(Bay_PmOpen,MATCH(1,INDEX((tbl_Case_mins[[#This Row],[Bay]]=BayNo)*(tbl_Case_mins[[#This Row],[Surgery Start Date]]=BDate),0,1),0))*1440),0)</f>
        <v>0</v>
      </c>
      <c r="CY16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7" s="9"/>
    </row>
    <row r="168" spans="1:104" x14ac:dyDescent="0.2">
      <c r="A168">
        <v>167</v>
      </c>
      <c r="B168" t="e">
        <f>#REF!</f>
        <v>#REF!</v>
      </c>
      <c r="C168" t="e">
        <f>#REF!</f>
        <v>#REF!</v>
      </c>
      <c r="D168" t="e">
        <f>#REF!</f>
        <v>#REF!</v>
      </c>
      <c r="E168" t="e">
        <f>#REF!</f>
        <v>#REF!</v>
      </c>
      <c r="F168" t="e">
        <f>#REF!</f>
        <v>#REF!</v>
      </c>
      <c r="G168" t="e">
        <f>#REF!</f>
        <v>#REF!</v>
      </c>
      <c r="H168" t="e">
        <f>#REF!</f>
        <v>#REF!</v>
      </c>
      <c r="I168" t="e">
        <f>IF(#REF!="Case Cancelled",1,IF(#REF!="No Cases",2,0))</f>
        <v>#REF!</v>
      </c>
      <c r="J168" t="e">
        <f>#REF!</f>
        <v>#REF!</v>
      </c>
      <c r="K168" s="4" t="e">
        <f>#REF!</f>
        <v>#REF!</v>
      </c>
      <c r="L168" t="e">
        <f>"Wk "&amp;WEEKNUM(tbl_Case_mins[[#This Row],[Surgery Start Date]],21)</f>
        <v>#REF!</v>
      </c>
      <c r="M168" t="e">
        <f>TEXT(tbl_Case_mins[[#This Row],[Surgery Start Date]],"ddd")</f>
        <v>#REF!</v>
      </c>
      <c r="N168" s="9" t="e">
        <f>(#REF!-TIME(0,0,0))*1440</f>
        <v>#REF!</v>
      </c>
      <c r="O168" t="e">
        <f>IF(AND(ROUND((#REF!-TIME(0,0,0))*1440,0)&gt;0,ROUND((#REF!-TIME(0,0,0))*1440,0)&lt;tbl_Case_mins[[#This Row],[Patient Called]],tbl_Case_mins[[#This Row],[Surgery End Date]]&gt;tbl_Case_mins[[#This Row],[Surgery Start Date]]),ROUND((#REF!-TIME(0,0,0))*1440,0)+1440,ROUND((#REF!-TIME(0,0,0))*1440,0))</f>
        <v>#REF!</v>
      </c>
      <c r="P168" s="9" t="e">
        <f>IF(AND(ROUND((#REF!-TIME(0,0,0))*1440,0)&gt;0,ROUND((#REF!-TIME(0,0,0))*1440,0)&lt;tbl_Case_mins[[#This Row],[Arrival]],tbl_Case_mins[[#This Row],[Surgery End Date]]&gt;tbl_Case_mins[[#This Row],[Surgery Start Date]]),ROUND((#REF!-TIME(0,0,0))*1440,0)+1440,ROUND((#REF!-TIME(0,0,0))*1440,0))</f>
        <v>#REF!</v>
      </c>
      <c r="Q168" s="9" t="e">
        <f>IF(AND(ROUND((#REF!-TIME(0,0,0))*1440,0)&gt;0,ROUND((#REF!-TIME(0,0,0))*1440,0)&lt;tbl_Case_mins[[#This Row],[Into Th or AR]],tbl_Case_mins[[#This Row],[Surgery End Date]]&gt;tbl_Case_mins[[#This Row],[Surgery Start Date]]),ROUND((#REF!-TIME(0,0,0))*1440,0)+1440,ROUND((#REF!-TIME(0,0,0))*1440,0))</f>
        <v>#REF!</v>
      </c>
      <c r="R168" s="9" t="e">
        <f>IF(AND(ROUND((#REF!-TIME(0,0,0))*1440,0)&gt;0,ROUND((#REF!-TIME(0,0,0))*1440,0)&lt;tbl_Case_mins[[#This Row],[AnaesthStart]],tbl_Case_mins[[#This Row],[Surgery End Date]]&gt;tbl_Case_mins[[#This Row],[Surgery Start Date]]),ROUND((#REF!-TIME(0,0,0))*1440,0)+1440,ROUND((#REF!-TIME(0,0,0))*1440,0))</f>
        <v>#REF!</v>
      </c>
      <c r="S168" s="9" t="e">
        <f>IF(AND(ROUND((#REF!-TIME(0,0,0))*1440,0),ROUND((#REF!-TIME(0,0,0))*1440,0)&lt;tbl_Case_mins[[#This Row],[Surgery Start]],tbl_Case_mins[[#This Row],[Surgery End Date]]&gt;tbl_Case_mins[[#This Row],[Surgery Start Date]]),ROUND((#REF!-TIME(0,0,0))*1440,0)+1440,ROUND((#REF!-TIME(0,0,0))*1440,0))</f>
        <v>#REF!</v>
      </c>
      <c r="T168" s="9" t="e">
        <f>IF(AND(ROUND((#REF!-TIME(0,0,0))*1440,0)&gt;0,ROUND((#REF!-TIME(0,0,0))*1440,0)&lt;tbl_Case_mins[[#This Row],[Surgery Finish]],tbl_Case_mins[[#This Row],[Surgery End Date]]&gt;tbl_Case_mins[[#This Row],[Surgery Start Date]]),ROUND((#REF!-TIME(0,0,0))*1440,0)+1440,ROUND((#REF!-TIME(0,0,0))*1440,0))</f>
        <v>#REF!</v>
      </c>
      <c r="U168" s="9" t="e">
        <f>IF(AND(ROUND((#REF!-TIME(0,0,0))*1440,0)&gt;0,ROUND((#REF!-TIME(0,0,0))*1440,0)&lt;tbl_Case_mins[[#This Row],[Anaesth End]],tbl_Case_mins[[#This Row],[Surgery End Date]]&gt;tbl_Case_mins[[#This Row],[Surgery Start Date]]),ROUND((#REF!-TIME(0,0,0))*1440,0)+1440,ROUND((#REF!-TIME(0,0,0))*1440,0))</f>
        <v>#REF!</v>
      </c>
      <c r="V168" s="9" t="e">
        <f>IF(AND(ROUND((#REF!-TIME(0,0,0))*1440,0)&gt;0,ROUND((#REF!-TIME(0,0,0))*1440,0)&lt;tbl_Case_mins[[#This Row],[Into Recov]],tbl_Case_mins[[#This Row],[Surgery End Date]]&gt;tbl_Case_mins[[#This Row],[Surgery Start Date]]),ROUND((#REF!-TIME(0,0,0))*1440,0)+1440,ROUND((#REF!-TIME(0,0,0))*1440,0))</f>
        <v>#REF!</v>
      </c>
      <c r="W168" s="9" t="e">
        <f>IF(AND(ROUND((#REF!-TIME(0,0,0))*1440,0)&gt;0,ROUND((#REF!-TIME(0,0,0))*1440,0)&lt;tbl_Case_mins[[#This Row],[Ward Called]],tbl_Case_mins[[#This Row],[Surgery End Date]]&gt;tbl_Case_mins[[#This Row],[Surgery Start Date]]),ROUND((#REF!-TIME(0,0,0))*1440,0)+1440,ROUND((#REF!-TIME(0,0,0))*1440,0))</f>
        <v>#REF!</v>
      </c>
      <c r="X168" s="4" t="e">
        <f>IF(ISBLANK(#REF!),tbl_Case_mins[[#This Row],[Surgery Start Date]],#REF!)</f>
        <v>#REF!</v>
      </c>
      <c r="Y168">
        <f>IFERROR(IF(VLOOKUP(tbl_Case_mins[[#This Row],[Theatre]],'Mng Theatres'!$C$7:$G$12,3,FALSE)="Yes","Yes","No"),0)</f>
        <v>0</v>
      </c>
      <c r="Z168" s="9" t="e" cm="1">
        <f t="array" ref="Z16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8" s="9" t="e" cm="1">
        <f t="array" ref="AA16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8" s="9" t="e">
        <f>IF(tbl_Case_mins[[#This Row],[Case Type]]="Unsch",1,0)</f>
        <v>#REF!</v>
      </c>
      <c r="AD168" s="9" t="e">
        <f>IF(tbl_Case_mins[[#This Row],[Case Type]]="Sch",1,0)</f>
        <v>#REF!</v>
      </c>
      <c r="AE16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8" s="9">
        <f>IFERROR(IF(ISBLANK(INDEX(Am_Close,MATCH(1,INDEX((tbl_Case_mins[[#This Row],[Theatre]]=Theatre_No)*(tbl_Case_mins[[#This Row],[Surgery Start Date]]=Date),0,1),0))*1440),0,INDEX(Am_Close,MATCH(1,INDEX((tbl_Case_mins[[#This Row],[Theatre]]=Theatre_No)*(tbl_Case_mins[[#This Row],[Surgery Start Date]]=Date),0,1),0))*1440),0)</f>
        <v>0</v>
      </c>
      <c r="AG168" s="9">
        <f>IFERROR(IF(ISBLANK(INDEX(PM_Open,MATCH(1,INDEX((tbl_Case_mins[[#This Row],[Theatre]]=Theatre_No)*(tbl_Case_mins[[#This Row],[Surgery Start Date]]=Date),0,1),0))*1440),0,INDEX(PM_Open,MATCH(1,INDEX((tbl_Case_mins[[#This Row],[Theatre]]=Theatre_No)*(tbl_Case_mins[[#This Row],[Surgery Start Date]]=Date),0,1),0))*1440),0)</f>
        <v>0</v>
      </c>
      <c r="AH16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8" s="9" t="e">
        <f>IF(tbl_Case_mins[[#This Row],[ThOpenAm]]=0,tbl_Case_mins[[#This Row],[ThOpenPM]],tbl_Case_mins[[#This Row],[ThOpenAm]])</f>
        <v>#REF!</v>
      </c>
      <c r="AJ168" s="9" t="e">
        <f>IF(tbl_Case_mins[[#This Row],[ThCloseAm]]&gt;0,IF(tbl_Case_mins[[#This Row],[ThOpenPM]]&gt;0,tbl_Case_mins[[#This Row],[ThClosePm]],tbl_Case_mins[[#This Row],[ThCloseAm]]),tbl_Case_mins[[#This Row],[ThClosePm]])</f>
        <v>#REF!</v>
      </c>
      <c r="AK168" s="9" t="e">
        <f>IF(tbl_Case_mins[[#This Row],[TOT]]&gt;0,1,0)</f>
        <v>#REF!</v>
      </c>
      <c r="AL16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8" s="9" t="e">
        <f>IF(AND(tbl_Case_mins[[#This Row],[Surgery Status]]&lt;&gt;2,tbl_Case_mins[[#This Row],[InCoreCase]]=0,tbl_Case_mins[[#This Row],[CancelledCase]]=0),1,0)</f>
        <v>#REF!</v>
      </c>
      <c r="AN168" s="9" t="e">
        <f>IF(tbl_Case_mins[[#This Row],[Surgery Status]]=1,1,0)</f>
        <v>#REF!</v>
      </c>
      <c r="AO16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8" s="9" t="e">
        <f>IF(AND(tbl_Case_mins[[#This Row],[NonCoreCase]]=1,tbl_Case_mins[[#This Row],[NoInCoreTime]]=0),1,0)</f>
        <v>#REF!</v>
      </c>
      <c r="AQ168" s="9" t="e">
        <f>IF(tbl_Case_mins[[#This Row],[Rank_AnaEnd]]&lt;tbl_Case_mins[[#This Row],[Rank_AnaSt]],1,0)</f>
        <v>#REF!</v>
      </c>
      <c r="AR168" s="9" t="e">
        <f>IF(AND(tbl_Case_mins[[#This Row],[InCoreCase]]=1,tbl_Case_mins[[#This Row],[Sch]]=1),1,0)</f>
        <v>#REF!</v>
      </c>
      <c r="AS168" s="9" t="e">
        <f>IF(AND(tbl_Case_mins[[#This Row],[InCoreCase]]=1,tbl_Case_mins[[#This Row],[Unsch]]=1),1,0)</f>
        <v>#REF!</v>
      </c>
      <c r="AT16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8" s="9" t="e">
        <f>IF(tbl_Case_mins[[#This Row],[Surgery Status]]=0,(tbl_Case_mins[[#This Row],[Anaesth End]]-tbl_Case_mins[[#This Row],[AnaesthStart]]),0)</f>
        <v>#REF!</v>
      </c>
      <c r="AX168" s="9" t="e">
        <f>IF(tbl_Case_mins[[#This Row],[Surgery Status]]=0,(tbl_Case_mins[[#This Row],[Surgery Finish]]-tbl_Case_mins[[#This Row],[Surgery Start]]),0)</f>
        <v>#REF!</v>
      </c>
      <c r="AY168" s="9" t="e">
        <f>tbl_Case_mins[[#This Row],[Surgery Start]]-tbl_Case_mins[[#This Row],[AnaesthStart]]</f>
        <v>#REF!</v>
      </c>
      <c r="AZ168" s="9" t="e">
        <f>tbl_Case_mins[[#This Row],[Anaesth End]]-tbl_Case_mins[[#This Row],[Surgery Finish]]</f>
        <v>#REF!</v>
      </c>
      <c r="BA16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8" s="16" cm="1">
        <f t="array" ref="BC16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8" s="16" t="e">
        <f>IF(AND(tbl_Case_mins[[#This Row],[FirstAMCase]]=1,tbl_Case_mins[[#This Row],[CancelledCase]]=0,OR(tbl_Case_mins[[#This Row],[EarlyStartAM]]&gt;0,tbl_Case_mins[[#This Row],[AnaesthStart]]=tbl_Case_mins[[#This Row],[ThOpenAm]])),1,0)</f>
        <v>#REF!</v>
      </c>
      <c r="BE168" s="16" t="e">
        <f>IF(AND(tbl_Case_mins[[#This Row],[Rank_AnaSt]]=tbl_Case_mins[[#This Row],[Min_RankAnaSt]],tbl_Case_mins[[#This Row],[Anaesth End]]&gt;=tbl_Case_mins[[#This Row],[ThOpenAm]],tbl_Case_mins[[#This Row],[PmCase]]=0),1,0)</f>
        <v>#REF!</v>
      </c>
      <c r="BF16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8" s="9" t="e" cm="1">
        <f t="array" ref="BH16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8" s="9" t="e">
        <f>IF(AND(tbl_Case_mins[[#This Row],[ThOpenPM]]&gt;0,tbl_Case_mins[[#This Row],[AnaesthStart]]&gt;tbl_Case_mins[[#This Row],[ThOpenPM]],tbl_Case_mins[[#This Row],[First PM Case]]=1),tbl_Case_mins[[#This Row],[AnaesthStart]]-tbl_Case_mins[[#This Row],[ThOpenPM]],0)</f>
        <v>#REF!</v>
      </c>
      <c r="BL16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8" s="9" t="e" cm="1">
        <f t="array" ref="BN16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8" s="9" t="e">
        <f>IF(AND(tbl_Case_mins[[#This Row],[ThClosePm]]&gt;0,tbl_Case_mins[[#This Row],[Anaesth End]]&gt;tbl_Case_mins[[#This Row],[ThClosePm]],tbl_Case_mins[[#This Row],[AnaesthStart]]&gt;tbl_Case_mins[[#This Row],[ThClosePm]]),tbl_Case_mins[[#This Row],[Into Recov]]-tbl_Case_mins[[#This Row],[AnaesthStart]],0)</f>
        <v>#REF!</v>
      </c>
      <c r="BP168" s="9" t="e">
        <f>IF(AND(tbl_Case_mins[[#This Row],[AnaesthStart]]&lt;tbl_Case_mins[[#This Row],[ThClosePm]],tbl_Case_mins[[#This Row],[Anaesth End]]&gt;tbl_Case_mins[[#This Row],[ThClosePm]]),tbl_Case_mins[[#This Row],[Anaesth End]]-tbl_Case_mins[[#This Row],[ThClosePm]],0)</f>
        <v>#REF!</v>
      </c>
      <c r="BQ168" s="9" t="e" cm="1">
        <f t="array" ref="BQ16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8" s="9" t="e" cm="1">
        <f t="array" ref="BR168">IF(tbl_Case_mins[[#This Row],[Rank_Adjust]]=SUMPRODUCT(-(tbl_Case_mins[Surgery Start Date]=tbl_Case_mins[[#This Row],[Surgery Start Date]]),-(tbl_Case_mins[Theatre]=tbl_Case_mins[[#This Row],[Theatre]])),INDEX(Poss_Time,MATCH(TEXT(tbl_Case_mins[[#This Row],[Surgery Start Date]],"ddd"),Day,0)),0)</f>
        <v>#REF!</v>
      </c>
      <c r="BS168" s="9" t="e">
        <f>tbl_Case_mins[[#This Row],[Core_Time]]*Util_Goal</f>
        <v>#REF!</v>
      </c>
      <c r="BT168" s="9" t="e" cm="1">
        <f t="array" ref="BT1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8" s="9" t="e" cm="1">
        <f t="array" ref="BU1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8" s="9" t="e">
        <f>IF(tbl_Case_mins[[#This Row],[Surgery End Date]]&gt;tbl_Case_mins[[#This Row],[Surgery Start Date]],tbl_Case_mins[[#This Row],[Anaesth End]]-1440,0)</f>
        <v>#REF!</v>
      </c>
      <c r="BY168" s="9" t="e">
        <f>tbl_Case_mins[[#This Row],[Total_NonCore]]-tbl_Case_mins[[#This Row],[NextDay_NonCore]]</f>
        <v>#REF!</v>
      </c>
      <c r="BZ168" s="10" t="e">
        <f>tbl_Case_mins[[#This Row],[InCoreUse]]/60</f>
        <v>#REF!</v>
      </c>
      <c r="CA168" s="10" t="e">
        <f>tbl_Case_mins[[#This Row],[Total_NonCore]]/60</f>
        <v>#REF!</v>
      </c>
      <c r="CB168" t="e" cm="1">
        <f t="array" ref="CB1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8" s="9" t="e" cm="1">
        <f t="array" ref="CC16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8" s="9" t="e" cm="1">
        <f t="array" ref="CD1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8" s="9" t="e" cm="1">
        <f t="array" ref="CE16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8" s="9" cm="1">
        <f t="array" ref="CF168">IFERROR(_xlfn.AGGREGATE(14,6,(tbl_Case_mins[Rank_AnaEnd])/((tbl_Case_mins[Surgery Start Date]=tbl_Case_mins[[#This Row],[Surgery Start Date]])*(tbl_Case_mins[Theatre]=tbl_Case_mins[[#This Row],[Theatre]])*(tbl_Case_mins[NoInCoreTime]=0)),1),-1)</f>
        <v>-1</v>
      </c>
      <c r="CG168" s="9" cm="1">
        <f t="array" ref="CG168">IFERROR(_xlfn.AGGREGATE(15,6,(tbl_Case_mins[Rank_AnaSt])/((tbl_Case_mins[Surgery Start Date]=tbl_Case_mins[[#This Row],[Surgery Start Date]])*(tbl_Case_mins[Theatre]=tbl_Case_mins[[#This Row],[Theatre]])*(tbl_Case_mins[NoInCoreTime]=0)),1),-1)</f>
        <v>-1</v>
      </c>
      <c r="CH16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8" t="e" cm="1">
        <f t="array" ref="CJ16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8" s="9" cm="1">
        <f t="array" ref="CO1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8" s="9" cm="1">
        <f t="array" ref="CP1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8" s="9" cm="1">
        <f t="array" ref="CQ168">IFERROR(IF(AND(tbl_Case_mins[[#This Row],[FirstAMCase]]=0,tbl_Case_mins[[#This Row],[Rank]]=_xlfn.AGGREGATE(14,6,(tbl_Case_mins[Rank])/((tbl_Case_mins[Surgery Start Date]=tbl_Case_mins[[#This Row],[Surgery Start Date]])*(tbl_Case_mins[Theatre]=tbl_Case_mins[[#This Row],[Theatre]])*(tbl_Case_mins[AmCase]=1)),1)),1,0),0)</f>
        <v>0</v>
      </c>
      <c r="CR168" s="9" cm="1">
        <f t="array" ref="CR16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8" s="9" t="e" cm="1">
        <f t="array" ref="CS16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8" s="9" cm="1">
        <f t="array" ref="CT168">IFERROR(IF(tbl_Case_mins[[#This Row],[Rank]]=_xlfn.AGGREGATE(15,6,(tbl_Case_mins[Rank])/((tbl_Case_mins[Surgery Start Date]=tbl_Case_mins[[#This Row],[Surgery Start Date]])*(tbl_Case_mins[Theatre]=tbl_Case_mins[[#This Row],[Theatre]])*(tbl_Case_mins[PmCase]=1)),1),1,0),0)</f>
        <v>0</v>
      </c>
      <c r="CU168">
        <f>IFERROR(#REF!,0)</f>
        <v>0</v>
      </c>
      <c r="CV168" s="9" t="e" cm="1">
        <f t="array" ref="CV16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8" s="9">
        <f>IFERROR(IF(ISBLANK(INDEX(Bay_AmClose,MATCH(1,INDEX((tbl_Case_mins[[#This Row],[Bay]]=BayNo)*(tbl_Case_mins[[#This Row],[Surgery Start Date]]=BDate),0,1),0))*1440),0,INDEX(Bay_AmClose,MATCH(1,INDEX((tbl_Case_mins[[#This Row],[Bay]]=BayNo)*(tbl_Case_mins[[#This Row],[Surgery Start Date]]=BDate),0,1),0))*1440),0)</f>
        <v>0</v>
      </c>
      <c r="CX168" s="9" cm="1">
        <f t="array" ref="CX168">IFERROR(IF(ISBLANK(INDEX(Bay_PmOpen,MATCH(1,INDEX((tbl_Case_mins[[#This Row],[Bay]]=BayNo)*(tbl_Case_mins[[#This Row],[Surgery Start Date]]=BDate),0,1),0))*1440),0,INDEX(Bay_PmOpen,MATCH(1,INDEX((tbl_Case_mins[[#This Row],[Bay]]=BayNo)*(tbl_Case_mins[[#This Row],[Surgery Start Date]]=BDate),0,1),0))*1440),0)</f>
        <v>0</v>
      </c>
      <c r="CY16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8" s="9"/>
    </row>
    <row r="169" spans="1:104" x14ac:dyDescent="0.2">
      <c r="A169">
        <v>168</v>
      </c>
      <c r="B169" t="e">
        <f>#REF!</f>
        <v>#REF!</v>
      </c>
      <c r="C169" t="e">
        <f>#REF!</f>
        <v>#REF!</v>
      </c>
      <c r="D169" t="e">
        <f>#REF!</f>
        <v>#REF!</v>
      </c>
      <c r="E169" t="e">
        <f>#REF!</f>
        <v>#REF!</v>
      </c>
      <c r="F169" t="e">
        <f>#REF!</f>
        <v>#REF!</v>
      </c>
      <c r="G169" t="e">
        <f>#REF!</f>
        <v>#REF!</v>
      </c>
      <c r="H169" t="e">
        <f>#REF!</f>
        <v>#REF!</v>
      </c>
      <c r="I169" t="e">
        <f>IF(#REF!="Case Cancelled",1,IF(#REF!="No Cases",2,0))</f>
        <v>#REF!</v>
      </c>
      <c r="J169" t="e">
        <f>#REF!</f>
        <v>#REF!</v>
      </c>
      <c r="K169" s="4" t="e">
        <f>#REF!</f>
        <v>#REF!</v>
      </c>
      <c r="L169" t="e">
        <f>"Wk "&amp;WEEKNUM(tbl_Case_mins[[#This Row],[Surgery Start Date]],21)</f>
        <v>#REF!</v>
      </c>
      <c r="M169" t="e">
        <f>TEXT(tbl_Case_mins[[#This Row],[Surgery Start Date]],"ddd")</f>
        <v>#REF!</v>
      </c>
      <c r="N169" s="9" t="e">
        <f>(#REF!-TIME(0,0,0))*1440</f>
        <v>#REF!</v>
      </c>
      <c r="O169" t="e">
        <f>IF(AND(ROUND((#REF!-TIME(0,0,0))*1440,0)&gt;0,ROUND((#REF!-TIME(0,0,0))*1440,0)&lt;tbl_Case_mins[[#This Row],[Patient Called]],tbl_Case_mins[[#This Row],[Surgery End Date]]&gt;tbl_Case_mins[[#This Row],[Surgery Start Date]]),ROUND((#REF!-TIME(0,0,0))*1440,0)+1440,ROUND((#REF!-TIME(0,0,0))*1440,0))</f>
        <v>#REF!</v>
      </c>
      <c r="P169" s="9" t="e">
        <f>IF(AND(ROUND((#REF!-TIME(0,0,0))*1440,0)&gt;0,ROUND((#REF!-TIME(0,0,0))*1440,0)&lt;tbl_Case_mins[[#This Row],[Arrival]],tbl_Case_mins[[#This Row],[Surgery End Date]]&gt;tbl_Case_mins[[#This Row],[Surgery Start Date]]),ROUND((#REF!-TIME(0,0,0))*1440,0)+1440,ROUND((#REF!-TIME(0,0,0))*1440,0))</f>
        <v>#REF!</v>
      </c>
      <c r="Q169" s="9" t="e">
        <f>IF(AND(ROUND((#REF!-TIME(0,0,0))*1440,0)&gt;0,ROUND((#REF!-TIME(0,0,0))*1440,0)&lt;tbl_Case_mins[[#This Row],[Into Th or AR]],tbl_Case_mins[[#This Row],[Surgery End Date]]&gt;tbl_Case_mins[[#This Row],[Surgery Start Date]]),ROUND((#REF!-TIME(0,0,0))*1440,0)+1440,ROUND((#REF!-TIME(0,0,0))*1440,0))</f>
        <v>#REF!</v>
      </c>
      <c r="R169" s="9" t="e">
        <f>IF(AND(ROUND((#REF!-TIME(0,0,0))*1440,0)&gt;0,ROUND((#REF!-TIME(0,0,0))*1440,0)&lt;tbl_Case_mins[[#This Row],[AnaesthStart]],tbl_Case_mins[[#This Row],[Surgery End Date]]&gt;tbl_Case_mins[[#This Row],[Surgery Start Date]]),ROUND((#REF!-TIME(0,0,0))*1440,0)+1440,ROUND((#REF!-TIME(0,0,0))*1440,0))</f>
        <v>#REF!</v>
      </c>
      <c r="S169" s="9" t="e">
        <f>IF(AND(ROUND((#REF!-TIME(0,0,0))*1440,0),ROUND((#REF!-TIME(0,0,0))*1440,0)&lt;tbl_Case_mins[[#This Row],[Surgery Start]],tbl_Case_mins[[#This Row],[Surgery End Date]]&gt;tbl_Case_mins[[#This Row],[Surgery Start Date]]),ROUND((#REF!-TIME(0,0,0))*1440,0)+1440,ROUND((#REF!-TIME(0,0,0))*1440,0))</f>
        <v>#REF!</v>
      </c>
      <c r="T169" s="9" t="e">
        <f>IF(AND(ROUND((#REF!-TIME(0,0,0))*1440,0)&gt;0,ROUND((#REF!-TIME(0,0,0))*1440,0)&lt;tbl_Case_mins[[#This Row],[Surgery Finish]],tbl_Case_mins[[#This Row],[Surgery End Date]]&gt;tbl_Case_mins[[#This Row],[Surgery Start Date]]),ROUND((#REF!-TIME(0,0,0))*1440,0)+1440,ROUND((#REF!-TIME(0,0,0))*1440,0))</f>
        <v>#REF!</v>
      </c>
      <c r="U169" s="9" t="e">
        <f>IF(AND(ROUND((#REF!-TIME(0,0,0))*1440,0)&gt;0,ROUND((#REF!-TIME(0,0,0))*1440,0)&lt;tbl_Case_mins[[#This Row],[Anaesth End]],tbl_Case_mins[[#This Row],[Surgery End Date]]&gt;tbl_Case_mins[[#This Row],[Surgery Start Date]]),ROUND((#REF!-TIME(0,0,0))*1440,0)+1440,ROUND((#REF!-TIME(0,0,0))*1440,0))</f>
        <v>#REF!</v>
      </c>
      <c r="V169" s="9" t="e">
        <f>IF(AND(ROUND((#REF!-TIME(0,0,0))*1440,0)&gt;0,ROUND((#REF!-TIME(0,0,0))*1440,0)&lt;tbl_Case_mins[[#This Row],[Into Recov]],tbl_Case_mins[[#This Row],[Surgery End Date]]&gt;tbl_Case_mins[[#This Row],[Surgery Start Date]]),ROUND((#REF!-TIME(0,0,0))*1440,0)+1440,ROUND((#REF!-TIME(0,0,0))*1440,0))</f>
        <v>#REF!</v>
      </c>
      <c r="W169" s="9" t="e">
        <f>IF(AND(ROUND((#REF!-TIME(0,0,0))*1440,0)&gt;0,ROUND((#REF!-TIME(0,0,0))*1440,0)&lt;tbl_Case_mins[[#This Row],[Ward Called]],tbl_Case_mins[[#This Row],[Surgery End Date]]&gt;tbl_Case_mins[[#This Row],[Surgery Start Date]]),ROUND((#REF!-TIME(0,0,0))*1440,0)+1440,ROUND((#REF!-TIME(0,0,0))*1440,0))</f>
        <v>#REF!</v>
      </c>
      <c r="X169" s="4" t="e">
        <f>IF(ISBLANK(#REF!),tbl_Case_mins[[#This Row],[Surgery Start Date]],#REF!)</f>
        <v>#REF!</v>
      </c>
      <c r="Y169">
        <f>IFERROR(IF(VLOOKUP(tbl_Case_mins[[#This Row],[Theatre]],'Mng Theatres'!$C$7:$G$12,3,FALSE)="Yes","Yes","No"),0)</f>
        <v>0</v>
      </c>
      <c r="Z169" s="9" t="e" cm="1">
        <f t="array" ref="Z16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69" s="9" t="e" cm="1">
        <f t="array" ref="AA16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6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69" s="9" t="e">
        <f>IF(tbl_Case_mins[[#This Row],[Case Type]]="Unsch",1,0)</f>
        <v>#REF!</v>
      </c>
      <c r="AD169" s="9" t="e">
        <f>IF(tbl_Case_mins[[#This Row],[Case Type]]="Sch",1,0)</f>
        <v>#REF!</v>
      </c>
      <c r="AE16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69" s="9">
        <f>IFERROR(IF(ISBLANK(INDEX(Am_Close,MATCH(1,INDEX((tbl_Case_mins[[#This Row],[Theatre]]=Theatre_No)*(tbl_Case_mins[[#This Row],[Surgery Start Date]]=Date),0,1),0))*1440),0,INDEX(Am_Close,MATCH(1,INDEX((tbl_Case_mins[[#This Row],[Theatre]]=Theatre_No)*(tbl_Case_mins[[#This Row],[Surgery Start Date]]=Date),0,1),0))*1440),0)</f>
        <v>0</v>
      </c>
      <c r="AG169" s="9">
        <f>IFERROR(IF(ISBLANK(INDEX(PM_Open,MATCH(1,INDEX((tbl_Case_mins[[#This Row],[Theatre]]=Theatre_No)*(tbl_Case_mins[[#This Row],[Surgery Start Date]]=Date),0,1),0))*1440),0,INDEX(PM_Open,MATCH(1,INDEX((tbl_Case_mins[[#This Row],[Theatre]]=Theatre_No)*(tbl_Case_mins[[#This Row],[Surgery Start Date]]=Date),0,1),0))*1440),0)</f>
        <v>0</v>
      </c>
      <c r="AH16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69" s="9" t="e">
        <f>IF(tbl_Case_mins[[#This Row],[ThOpenAm]]=0,tbl_Case_mins[[#This Row],[ThOpenPM]],tbl_Case_mins[[#This Row],[ThOpenAm]])</f>
        <v>#REF!</v>
      </c>
      <c r="AJ169" s="9" t="e">
        <f>IF(tbl_Case_mins[[#This Row],[ThCloseAm]]&gt;0,IF(tbl_Case_mins[[#This Row],[ThOpenPM]]&gt;0,tbl_Case_mins[[#This Row],[ThClosePm]],tbl_Case_mins[[#This Row],[ThCloseAm]]),tbl_Case_mins[[#This Row],[ThClosePm]])</f>
        <v>#REF!</v>
      </c>
      <c r="AK169" s="9" t="e">
        <f>IF(tbl_Case_mins[[#This Row],[TOT]]&gt;0,1,0)</f>
        <v>#REF!</v>
      </c>
      <c r="AL16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69" s="9" t="e">
        <f>IF(AND(tbl_Case_mins[[#This Row],[Surgery Status]]&lt;&gt;2,tbl_Case_mins[[#This Row],[InCoreCase]]=0,tbl_Case_mins[[#This Row],[CancelledCase]]=0),1,0)</f>
        <v>#REF!</v>
      </c>
      <c r="AN169" s="9" t="e">
        <f>IF(tbl_Case_mins[[#This Row],[Surgery Status]]=1,1,0)</f>
        <v>#REF!</v>
      </c>
      <c r="AO16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69" s="9" t="e">
        <f>IF(AND(tbl_Case_mins[[#This Row],[NonCoreCase]]=1,tbl_Case_mins[[#This Row],[NoInCoreTime]]=0),1,0)</f>
        <v>#REF!</v>
      </c>
      <c r="AQ169" s="9" t="e">
        <f>IF(tbl_Case_mins[[#This Row],[Rank_AnaEnd]]&lt;tbl_Case_mins[[#This Row],[Rank_AnaSt]],1,0)</f>
        <v>#REF!</v>
      </c>
      <c r="AR169" s="9" t="e">
        <f>IF(AND(tbl_Case_mins[[#This Row],[InCoreCase]]=1,tbl_Case_mins[[#This Row],[Sch]]=1),1,0)</f>
        <v>#REF!</v>
      </c>
      <c r="AS169" s="9" t="e">
        <f>IF(AND(tbl_Case_mins[[#This Row],[InCoreCase]]=1,tbl_Case_mins[[#This Row],[Unsch]]=1),1,0)</f>
        <v>#REF!</v>
      </c>
      <c r="AT16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6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6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69" s="9" t="e">
        <f>IF(tbl_Case_mins[[#This Row],[Surgery Status]]=0,(tbl_Case_mins[[#This Row],[Anaesth End]]-tbl_Case_mins[[#This Row],[AnaesthStart]]),0)</f>
        <v>#REF!</v>
      </c>
      <c r="AX169" s="9" t="e">
        <f>IF(tbl_Case_mins[[#This Row],[Surgery Status]]=0,(tbl_Case_mins[[#This Row],[Surgery Finish]]-tbl_Case_mins[[#This Row],[Surgery Start]]),0)</f>
        <v>#REF!</v>
      </c>
      <c r="AY169" s="9" t="e">
        <f>tbl_Case_mins[[#This Row],[Surgery Start]]-tbl_Case_mins[[#This Row],[AnaesthStart]]</f>
        <v>#REF!</v>
      </c>
      <c r="AZ169" s="9" t="e">
        <f>tbl_Case_mins[[#This Row],[Anaesth End]]-tbl_Case_mins[[#This Row],[Surgery Finish]]</f>
        <v>#REF!</v>
      </c>
      <c r="BA16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6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69" s="16" cm="1">
        <f t="array" ref="BC16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69" s="16" t="e">
        <f>IF(AND(tbl_Case_mins[[#This Row],[FirstAMCase]]=1,tbl_Case_mins[[#This Row],[CancelledCase]]=0,OR(tbl_Case_mins[[#This Row],[EarlyStartAM]]&gt;0,tbl_Case_mins[[#This Row],[AnaesthStart]]=tbl_Case_mins[[#This Row],[ThOpenAm]])),1,0)</f>
        <v>#REF!</v>
      </c>
      <c r="BE169" s="16" t="e">
        <f>IF(AND(tbl_Case_mins[[#This Row],[Rank_AnaSt]]=tbl_Case_mins[[#This Row],[Min_RankAnaSt]],tbl_Case_mins[[#This Row],[Anaesth End]]&gt;=tbl_Case_mins[[#This Row],[ThOpenAm]],tbl_Case_mins[[#This Row],[PmCase]]=0),1,0)</f>
        <v>#REF!</v>
      </c>
      <c r="BF16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6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69" s="9" t="e" cm="1">
        <f t="array" ref="BH16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6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6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69" s="9" t="e">
        <f>IF(AND(tbl_Case_mins[[#This Row],[ThOpenPM]]&gt;0,tbl_Case_mins[[#This Row],[AnaesthStart]]&gt;tbl_Case_mins[[#This Row],[ThOpenPM]],tbl_Case_mins[[#This Row],[First PM Case]]=1),tbl_Case_mins[[#This Row],[AnaesthStart]]-tbl_Case_mins[[#This Row],[ThOpenPM]],0)</f>
        <v>#REF!</v>
      </c>
      <c r="BL16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6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69" s="9" t="e" cm="1">
        <f t="array" ref="BN16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69" s="9" t="e">
        <f>IF(AND(tbl_Case_mins[[#This Row],[ThClosePm]]&gt;0,tbl_Case_mins[[#This Row],[Anaesth End]]&gt;tbl_Case_mins[[#This Row],[ThClosePm]],tbl_Case_mins[[#This Row],[AnaesthStart]]&gt;tbl_Case_mins[[#This Row],[ThClosePm]]),tbl_Case_mins[[#This Row],[Into Recov]]-tbl_Case_mins[[#This Row],[AnaesthStart]],0)</f>
        <v>#REF!</v>
      </c>
      <c r="BP169" s="9" t="e">
        <f>IF(AND(tbl_Case_mins[[#This Row],[AnaesthStart]]&lt;tbl_Case_mins[[#This Row],[ThClosePm]],tbl_Case_mins[[#This Row],[Anaesth End]]&gt;tbl_Case_mins[[#This Row],[ThClosePm]]),tbl_Case_mins[[#This Row],[Anaesth End]]-tbl_Case_mins[[#This Row],[ThClosePm]],0)</f>
        <v>#REF!</v>
      </c>
      <c r="BQ169" s="9" t="e" cm="1">
        <f t="array" ref="BQ16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69" s="9" t="e" cm="1">
        <f t="array" ref="BR169">IF(tbl_Case_mins[[#This Row],[Rank_Adjust]]=SUMPRODUCT(-(tbl_Case_mins[Surgery Start Date]=tbl_Case_mins[[#This Row],[Surgery Start Date]]),-(tbl_Case_mins[Theatre]=tbl_Case_mins[[#This Row],[Theatre]])),INDEX(Poss_Time,MATCH(TEXT(tbl_Case_mins[[#This Row],[Surgery Start Date]],"ddd"),Day,0)),0)</f>
        <v>#REF!</v>
      </c>
      <c r="BS169" s="9" t="e">
        <f>tbl_Case_mins[[#This Row],[Core_Time]]*Util_Goal</f>
        <v>#REF!</v>
      </c>
      <c r="BT169" s="9" t="e" cm="1">
        <f t="array" ref="BT1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69" s="9" t="e" cm="1">
        <f t="array" ref="BU1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6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6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69" s="9" t="e">
        <f>IF(tbl_Case_mins[[#This Row],[Surgery End Date]]&gt;tbl_Case_mins[[#This Row],[Surgery Start Date]],tbl_Case_mins[[#This Row],[Anaesth End]]-1440,0)</f>
        <v>#REF!</v>
      </c>
      <c r="BY169" s="9" t="e">
        <f>tbl_Case_mins[[#This Row],[Total_NonCore]]-tbl_Case_mins[[#This Row],[NextDay_NonCore]]</f>
        <v>#REF!</v>
      </c>
      <c r="BZ169" s="10" t="e">
        <f>tbl_Case_mins[[#This Row],[InCoreUse]]/60</f>
        <v>#REF!</v>
      </c>
      <c r="CA169" s="10" t="e">
        <f>tbl_Case_mins[[#This Row],[Total_NonCore]]/60</f>
        <v>#REF!</v>
      </c>
      <c r="CB169" t="e" cm="1">
        <f t="array" ref="CB1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69" s="9" t="e" cm="1">
        <f t="array" ref="CC16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69" s="9" t="e" cm="1">
        <f t="array" ref="CD1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69" s="9" t="e" cm="1">
        <f t="array" ref="CE16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69" s="9" cm="1">
        <f t="array" ref="CF169">IFERROR(_xlfn.AGGREGATE(14,6,(tbl_Case_mins[Rank_AnaEnd])/((tbl_Case_mins[Surgery Start Date]=tbl_Case_mins[[#This Row],[Surgery Start Date]])*(tbl_Case_mins[Theatre]=tbl_Case_mins[[#This Row],[Theatre]])*(tbl_Case_mins[NoInCoreTime]=0)),1),-1)</f>
        <v>-1</v>
      </c>
      <c r="CG169" s="9" cm="1">
        <f t="array" ref="CG169">IFERROR(_xlfn.AGGREGATE(15,6,(tbl_Case_mins[Rank_AnaSt])/((tbl_Case_mins[Surgery Start Date]=tbl_Case_mins[[#This Row],[Surgery Start Date]])*(tbl_Case_mins[Theatre]=tbl_Case_mins[[#This Row],[Theatre]])*(tbl_Case_mins[NoInCoreTime]=0)),1),-1)</f>
        <v>-1</v>
      </c>
      <c r="CH16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6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69" t="e" cm="1">
        <f t="array" ref="CJ16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6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6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69" s="9" cm="1">
        <f t="array" ref="CO1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69" s="9" cm="1">
        <f t="array" ref="CP1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69" s="9" cm="1">
        <f t="array" ref="CQ169">IFERROR(IF(AND(tbl_Case_mins[[#This Row],[FirstAMCase]]=0,tbl_Case_mins[[#This Row],[Rank]]=_xlfn.AGGREGATE(14,6,(tbl_Case_mins[Rank])/((tbl_Case_mins[Surgery Start Date]=tbl_Case_mins[[#This Row],[Surgery Start Date]])*(tbl_Case_mins[Theatre]=tbl_Case_mins[[#This Row],[Theatre]])*(tbl_Case_mins[AmCase]=1)),1)),1,0),0)</f>
        <v>0</v>
      </c>
      <c r="CR169" s="9" cm="1">
        <f t="array" ref="CR16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69" s="9" t="e" cm="1">
        <f t="array" ref="CS16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69" s="9" cm="1">
        <f t="array" ref="CT169">IFERROR(IF(tbl_Case_mins[[#This Row],[Rank]]=_xlfn.AGGREGATE(15,6,(tbl_Case_mins[Rank])/((tbl_Case_mins[Surgery Start Date]=tbl_Case_mins[[#This Row],[Surgery Start Date]])*(tbl_Case_mins[Theatre]=tbl_Case_mins[[#This Row],[Theatre]])*(tbl_Case_mins[PmCase]=1)),1),1,0),0)</f>
        <v>0</v>
      </c>
      <c r="CU169">
        <f>IFERROR(#REF!,0)</f>
        <v>0</v>
      </c>
      <c r="CV169" s="9" t="e" cm="1">
        <f t="array" ref="CV16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69" s="9">
        <f>IFERROR(IF(ISBLANK(INDEX(Bay_AmClose,MATCH(1,INDEX((tbl_Case_mins[[#This Row],[Bay]]=BayNo)*(tbl_Case_mins[[#This Row],[Surgery Start Date]]=BDate),0,1),0))*1440),0,INDEX(Bay_AmClose,MATCH(1,INDEX((tbl_Case_mins[[#This Row],[Bay]]=BayNo)*(tbl_Case_mins[[#This Row],[Surgery Start Date]]=BDate),0,1),0))*1440),0)</f>
        <v>0</v>
      </c>
      <c r="CX169" s="9" cm="1">
        <f t="array" ref="CX169">IFERROR(IF(ISBLANK(INDEX(Bay_PmOpen,MATCH(1,INDEX((tbl_Case_mins[[#This Row],[Bay]]=BayNo)*(tbl_Case_mins[[#This Row],[Surgery Start Date]]=BDate),0,1),0))*1440),0,INDEX(Bay_PmOpen,MATCH(1,INDEX((tbl_Case_mins[[#This Row],[Bay]]=BayNo)*(tbl_Case_mins[[#This Row],[Surgery Start Date]]=BDate),0,1),0))*1440),0)</f>
        <v>0</v>
      </c>
      <c r="CY16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69" s="9"/>
    </row>
    <row r="170" spans="1:104" x14ac:dyDescent="0.2">
      <c r="A170">
        <v>169</v>
      </c>
      <c r="B170" t="e">
        <f>#REF!</f>
        <v>#REF!</v>
      </c>
      <c r="C170" t="e">
        <f>#REF!</f>
        <v>#REF!</v>
      </c>
      <c r="D170" t="e">
        <f>#REF!</f>
        <v>#REF!</v>
      </c>
      <c r="E170" t="e">
        <f>#REF!</f>
        <v>#REF!</v>
      </c>
      <c r="F170" t="e">
        <f>#REF!</f>
        <v>#REF!</v>
      </c>
      <c r="G170" t="e">
        <f>#REF!</f>
        <v>#REF!</v>
      </c>
      <c r="H170" t="e">
        <f>#REF!</f>
        <v>#REF!</v>
      </c>
      <c r="I170" t="e">
        <f>IF(#REF!="Case Cancelled",1,IF(#REF!="No Cases",2,0))</f>
        <v>#REF!</v>
      </c>
      <c r="J170" t="e">
        <f>#REF!</f>
        <v>#REF!</v>
      </c>
      <c r="K170" s="4" t="e">
        <f>#REF!</f>
        <v>#REF!</v>
      </c>
      <c r="L170" t="e">
        <f>"Wk "&amp;WEEKNUM(tbl_Case_mins[[#This Row],[Surgery Start Date]],21)</f>
        <v>#REF!</v>
      </c>
      <c r="M170" t="e">
        <f>TEXT(tbl_Case_mins[[#This Row],[Surgery Start Date]],"ddd")</f>
        <v>#REF!</v>
      </c>
      <c r="N170" s="9" t="e">
        <f>(#REF!-TIME(0,0,0))*1440</f>
        <v>#REF!</v>
      </c>
      <c r="O170" t="e">
        <f>IF(AND(ROUND((#REF!-TIME(0,0,0))*1440,0)&gt;0,ROUND((#REF!-TIME(0,0,0))*1440,0)&lt;tbl_Case_mins[[#This Row],[Patient Called]],tbl_Case_mins[[#This Row],[Surgery End Date]]&gt;tbl_Case_mins[[#This Row],[Surgery Start Date]]),ROUND((#REF!-TIME(0,0,0))*1440,0)+1440,ROUND((#REF!-TIME(0,0,0))*1440,0))</f>
        <v>#REF!</v>
      </c>
      <c r="P170" s="9" t="e">
        <f>IF(AND(ROUND((#REF!-TIME(0,0,0))*1440,0)&gt;0,ROUND((#REF!-TIME(0,0,0))*1440,0)&lt;tbl_Case_mins[[#This Row],[Arrival]],tbl_Case_mins[[#This Row],[Surgery End Date]]&gt;tbl_Case_mins[[#This Row],[Surgery Start Date]]),ROUND((#REF!-TIME(0,0,0))*1440,0)+1440,ROUND((#REF!-TIME(0,0,0))*1440,0))</f>
        <v>#REF!</v>
      </c>
      <c r="Q170" s="9" t="e">
        <f>IF(AND(ROUND((#REF!-TIME(0,0,0))*1440,0)&gt;0,ROUND((#REF!-TIME(0,0,0))*1440,0)&lt;tbl_Case_mins[[#This Row],[Into Th or AR]],tbl_Case_mins[[#This Row],[Surgery End Date]]&gt;tbl_Case_mins[[#This Row],[Surgery Start Date]]),ROUND((#REF!-TIME(0,0,0))*1440,0)+1440,ROUND((#REF!-TIME(0,0,0))*1440,0))</f>
        <v>#REF!</v>
      </c>
      <c r="R170" s="9" t="e">
        <f>IF(AND(ROUND((#REF!-TIME(0,0,0))*1440,0)&gt;0,ROUND((#REF!-TIME(0,0,0))*1440,0)&lt;tbl_Case_mins[[#This Row],[AnaesthStart]],tbl_Case_mins[[#This Row],[Surgery End Date]]&gt;tbl_Case_mins[[#This Row],[Surgery Start Date]]),ROUND((#REF!-TIME(0,0,0))*1440,0)+1440,ROUND((#REF!-TIME(0,0,0))*1440,0))</f>
        <v>#REF!</v>
      </c>
      <c r="S170" s="9" t="e">
        <f>IF(AND(ROUND((#REF!-TIME(0,0,0))*1440,0),ROUND((#REF!-TIME(0,0,0))*1440,0)&lt;tbl_Case_mins[[#This Row],[Surgery Start]],tbl_Case_mins[[#This Row],[Surgery End Date]]&gt;tbl_Case_mins[[#This Row],[Surgery Start Date]]),ROUND((#REF!-TIME(0,0,0))*1440,0)+1440,ROUND((#REF!-TIME(0,0,0))*1440,0))</f>
        <v>#REF!</v>
      </c>
      <c r="T170" s="9" t="e">
        <f>IF(AND(ROUND((#REF!-TIME(0,0,0))*1440,0)&gt;0,ROUND((#REF!-TIME(0,0,0))*1440,0)&lt;tbl_Case_mins[[#This Row],[Surgery Finish]],tbl_Case_mins[[#This Row],[Surgery End Date]]&gt;tbl_Case_mins[[#This Row],[Surgery Start Date]]),ROUND((#REF!-TIME(0,0,0))*1440,0)+1440,ROUND((#REF!-TIME(0,0,0))*1440,0))</f>
        <v>#REF!</v>
      </c>
      <c r="U170" s="9" t="e">
        <f>IF(AND(ROUND((#REF!-TIME(0,0,0))*1440,0)&gt;0,ROUND((#REF!-TIME(0,0,0))*1440,0)&lt;tbl_Case_mins[[#This Row],[Anaesth End]],tbl_Case_mins[[#This Row],[Surgery End Date]]&gt;tbl_Case_mins[[#This Row],[Surgery Start Date]]),ROUND((#REF!-TIME(0,0,0))*1440,0)+1440,ROUND((#REF!-TIME(0,0,0))*1440,0))</f>
        <v>#REF!</v>
      </c>
      <c r="V170" s="9" t="e">
        <f>IF(AND(ROUND((#REF!-TIME(0,0,0))*1440,0)&gt;0,ROUND((#REF!-TIME(0,0,0))*1440,0)&lt;tbl_Case_mins[[#This Row],[Into Recov]],tbl_Case_mins[[#This Row],[Surgery End Date]]&gt;tbl_Case_mins[[#This Row],[Surgery Start Date]]),ROUND((#REF!-TIME(0,0,0))*1440,0)+1440,ROUND((#REF!-TIME(0,0,0))*1440,0))</f>
        <v>#REF!</v>
      </c>
      <c r="W170" s="9" t="e">
        <f>IF(AND(ROUND((#REF!-TIME(0,0,0))*1440,0)&gt;0,ROUND((#REF!-TIME(0,0,0))*1440,0)&lt;tbl_Case_mins[[#This Row],[Ward Called]],tbl_Case_mins[[#This Row],[Surgery End Date]]&gt;tbl_Case_mins[[#This Row],[Surgery Start Date]]),ROUND((#REF!-TIME(0,0,0))*1440,0)+1440,ROUND((#REF!-TIME(0,0,0))*1440,0))</f>
        <v>#REF!</v>
      </c>
      <c r="X170" s="4" t="e">
        <f>IF(ISBLANK(#REF!),tbl_Case_mins[[#This Row],[Surgery Start Date]],#REF!)</f>
        <v>#REF!</v>
      </c>
      <c r="Y170">
        <f>IFERROR(IF(VLOOKUP(tbl_Case_mins[[#This Row],[Theatre]],'Mng Theatres'!$C$7:$G$12,3,FALSE)="Yes","Yes","No"),0)</f>
        <v>0</v>
      </c>
      <c r="Z170" s="9" t="e" cm="1">
        <f t="array" ref="Z17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0" s="9" t="e" cm="1">
        <f t="array" ref="AA17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0" s="9" t="e">
        <f>IF(tbl_Case_mins[[#This Row],[Case Type]]="Unsch",1,0)</f>
        <v>#REF!</v>
      </c>
      <c r="AD170" s="9" t="e">
        <f>IF(tbl_Case_mins[[#This Row],[Case Type]]="Sch",1,0)</f>
        <v>#REF!</v>
      </c>
      <c r="AE17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0" s="9">
        <f>IFERROR(IF(ISBLANK(INDEX(Am_Close,MATCH(1,INDEX((tbl_Case_mins[[#This Row],[Theatre]]=Theatre_No)*(tbl_Case_mins[[#This Row],[Surgery Start Date]]=Date),0,1),0))*1440),0,INDEX(Am_Close,MATCH(1,INDEX((tbl_Case_mins[[#This Row],[Theatre]]=Theatre_No)*(tbl_Case_mins[[#This Row],[Surgery Start Date]]=Date),0,1),0))*1440),0)</f>
        <v>0</v>
      </c>
      <c r="AG170" s="9">
        <f>IFERROR(IF(ISBLANK(INDEX(PM_Open,MATCH(1,INDEX((tbl_Case_mins[[#This Row],[Theatre]]=Theatre_No)*(tbl_Case_mins[[#This Row],[Surgery Start Date]]=Date),0,1),0))*1440),0,INDEX(PM_Open,MATCH(1,INDEX((tbl_Case_mins[[#This Row],[Theatre]]=Theatre_No)*(tbl_Case_mins[[#This Row],[Surgery Start Date]]=Date),0,1),0))*1440),0)</f>
        <v>0</v>
      </c>
      <c r="AH17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0" s="9" t="e">
        <f>IF(tbl_Case_mins[[#This Row],[ThOpenAm]]=0,tbl_Case_mins[[#This Row],[ThOpenPM]],tbl_Case_mins[[#This Row],[ThOpenAm]])</f>
        <v>#REF!</v>
      </c>
      <c r="AJ170" s="9" t="e">
        <f>IF(tbl_Case_mins[[#This Row],[ThCloseAm]]&gt;0,IF(tbl_Case_mins[[#This Row],[ThOpenPM]]&gt;0,tbl_Case_mins[[#This Row],[ThClosePm]],tbl_Case_mins[[#This Row],[ThCloseAm]]),tbl_Case_mins[[#This Row],[ThClosePm]])</f>
        <v>#REF!</v>
      </c>
      <c r="AK170" s="9" t="e">
        <f>IF(tbl_Case_mins[[#This Row],[TOT]]&gt;0,1,0)</f>
        <v>#REF!</v>
      </c>
      <c r="AL17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0" s="9" t="e">
        <f>IF(AND(tbl_Case_mins[[#This Row],[Surgery Status]]&lt;&gt;2,tbl_Case_mins[[#This Row],[InCoreCase]]=0,tbl_Case_mins[[#This Row],[CancelledCase]]=0),1,0)</f>
        <v>#REF!</v>
      </c>
      <c r="AN170" s="9" t="e">
        <f>IF(tbl_Case_mins[[#This Row],[Surgery Status]]=1,1,0)</f>
        <v>#REF!</v>
      </c>
      <c r="AO17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0" s="9" t="e">
        <f>IF(AND(tbl_Case_mins[[#This Row],[NonCoreCase]]=1,tbl_Case_mins[[#This Row],[NoInCoreTime]]=0),1,0)</f>
        <v>#REF!</v>
      </c>
      <c r="AQ170" s="9" t="e">
        <f>IF(tbl_Case_mins[[#This Row],[Rank_AnaEnd]]&lt;tbl_Case_mins[[#This Row],[Rank_AnaSt]],1,0)</f>
        <v>#REF!</v>
      </c>
      <c r="AR170" s="9" t="e">
        <f>IF(AND(tbl_Case_mins[[#This Row],[InCoreCase]]=1,tbl_Case_mins[[#This Row],[Sch]]=1),1,0)</f>
        <v>#REF!</v>
      </c>
      <c r="AS170" s="9" t="e">
        <f>IF(AND(tbl_Case_mins[[#This Row],[InCoreCase]]=1,tbl_Case_mins[[#This Row],[Unsch]]=1),1,0)</f>
        <v>#REF!</v>
      </c>
      <c r="AT17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0" s="9" t="e">
        <f>IF(tbl_Case_mins[[#This Row],[Surgery Status]]=0,(tbl_Case_mins[[#This Row],[Anaesth End]]-tbl_Case_mins[[#This Row],[AnaesthStart]]),0)</f>
        <v>#REF!</v>
      </c>
      <c r="AX170" s="9" t="e">
        <f>IF(tbl_Case_mins[[#This Row],[Surgery Status]]=0,(tbl_Case_mins[[#This Row],[Surgery Finish]]-tbl_Case_mins[[#This Row],[Surgery Start]]),0)</f>
        <v>#REF!</v>
      </c>
      <c r="AY170" s="9" t="e">
        <f>tbl_Case_mins[[#This Row],[Surgery Start]]-tbl_Case_mins[[#This Row],[AnaesthStart]]</f>
        <v>#REF!</v>
      </c>
      <c r="AZ170" s="9" t="e">
        <f>tbl_Case_mins[[#This Row],[Anaesth End]]-tbl_Case_mins[[#This Row],[Surgery Finish]]</f>
        <v>#REF!</v>
      </c>
      <c r="BA17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0" s="16" cm="1">
        <f t="array" ref="BC17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0" s="16" t="e">
        <f>IF(AND(tbl_Case_mins[[#This Row],[FirstAMCase]]=1,tbl_Case_mins[[#This Row],[CancelledCase]]=0,OR(tbl_Case_mins[[#This Row],[EarlyStartAM]]&gt;0,tbl_Case_mins[[#This Row],[AnaesthStart]]=tbl_Case_mins[[#This Row],[ThOpenAm]])),1,0)</f>
        <v>#REF!</v>
      </c>
      <c r="BE170" s="16" t="e">
        <f>IF(AND(tbl_Case_mins[[#This Row],[Rank_AnaSt]]=tbl_Case_mins[[#This Row],[Min_RankAnaSt]],tbl_Case_mins[[#This Row],[Anaesth End]]&gt;=tbl_Case_mins[[#This Row],[ThOpenAm]],tbl_Case_mins[[#This Row],[PmCase]]=0),1,0)</f>
        <v>#REF!</v>
      </c>
      <c r="BF17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0" s="9" t="e" cm="1">
        <f t="array" ref="BH17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0" s="9" t="e">
        <f>IF(AND(tbl_Case_mins[[#This Row],[ThOpenPM]]&gt;0,tbl_Case_mins[[#This Row],[AnaesthStart]]&gt;tbl_Case_mins[[#This Row],[ThOpenPM]],tbl_Case_mins[[#This Row],[First PM Case]]=1),tbl_Case_mins[[#This Row],[AnaesthStart]]-tbl_Case_mins[[#This Row],[ThOpenPM]],0)</f>
        <v>#REF!</v>
      </c>
      <c r="BL17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0" s="9" t="e" cm="1">
        <f t="array" ref="BN17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0" s="9" t="e">
        <f>IF(AND(tbl_Case_mins[[#This Row],[ThClosePm]]&gt;0,tbl_Case_mins[[#This Row],[Anaesth End]]&gt;tbl_Case_mins[[#This Row],[ThClosePm]],tbl_Case_mins[[#This Row],[AnaesthStart]]&gt;tbl_Case_mins[[#This Row],[ThClosePm]]),tbl_Case_mins[[#This Row],[Into Recov]]-tbl_Case_mins[[#This Row],[AnaesthStart]],0)</f>
        <v>#REF!</v>
      </c>
      <c r="BP170" s="9" t="e">
        <f>IF(AND(tbl_Case_mins[[#This Row],[AnaesthStart]]&lt;tbl_Case_mins[[#This Row],[ThClosePm]],tbl_Case_mins[[#This Row],[Anaesth End]]&gt;tbl_Case_mins[[#This Row],[ThClosePm]]),tbl_Case_mins[[#This Row],[Anaesth End]]-tbl_Case_mins[[#This Row],[ThClosePm]],0)</f>
        <v>#REF!</v>
      </c>
      <c r="BQ170" s="9" t="e" cm="1">
        <f t="array" ref="BQ17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0" s="9" t="e" cm="1">
        <f t="array" ref="BR170">IF(tbl_Case_mins[[#This Row],[Rank_Adjust]]=SUMPRODUCT(-(tbl_Case_mins[Surgery Start Date]=tbl_Case_mins[[#This Row],[Surgery Start Date]]),-(tbl_Case_mins[Theatre]=tbl_Case_mins[[#This Row],[Theatre]])),INDEX(Poss_Time,MATCH(TEXT(tbl_Case_mins[[#This Row],[Surgery Start Date]],"ddd"),Day,0)),0)</f>
        <v>#REF!</v>
      </c>
      <c r="BS170" s="9" t="e">
        <f>tbl_Case_mins[[#This Row],[Core_Time]]*Util_Goal</f>
        <v>#REF!</v>
      </c>
      <c r="BT170" s="9" t="e" cm="1">
        <f t="array" ref="BT1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0" s="9" t="e" cm="1">
        <f t="array" ref="BU1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0" s="9" t="e">
        <f>IF(tbl_Case_mins[[#This Row],[Surgery End Date]]&gt;tbl_Case_mins[[#This Row],[Surgery Start Date]],tbl_Case_mins[[#This Row],[Anaesth End]]-1440,0)</f>
        <v>#REF!</v>
      </c>
      <c r="BY170" s="9" t="e">
        <f>tbl_Case_mins[[#This Row],[Total_NonCore]]-tbl_Case_mins[[#This Row],[NextDay_NonCore]]</f>
        <v>#REF!</v>
      </c>
      <c r="BZ170" s="10" t="e">
        <f>tbl_Case_mins[[#This Row],[InCoreUse]]/60</f>
        <v>#REF!</v>
      </c>
      <c r="CA170" s="10" t="e">
        <f>tbl_Case_mins[[#This Row],[Total_NonCore]]/60</f>
        <v>#REF!</v>
      </c>
      <c r="CB170" t="e" cm="1">
        <f t="array" ref="CB1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0" s="9" t="e" cm="1">
        <f t="array" ref="CC17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0" s="9" t="e" cm="1">
        <f t="array" ref="CD1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0" s="9" t="e" cm="1">
        <f t="array" ref="CE17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0" s="9" cm="1">
        <f t="array" ref="CF170">IFERROR(_xlfn.AGGREGATE(14,6,(tbl_Case_mins[Rank_AnaEnd])/((tbl_Case_mins[Surgery Start Date]=tbl_Case_mins[[#This Row],[Surgery Start Date]])*(tbl_Case_mins[Theatre]=tbl_Case_mins[[#This Row],[Theatre]])*(tbl_Case_mins[NoInCoreTime]=0)),1),-1)</f>
        <v>-1</v>
      </c>
      <c r="CG170" s="9" cm="1">
        <f t="array" ref="CG170">IFERROR(_xlfn.AGGREGATE(15,6,(tbl_Case_mins[Rank_AnaSt])/((tbl_Case_mins[Surgery Start Date]=tbl_Case_mins[[#This Row],[Surgery Start Date]])*(tbl_Case_mins[Theatre]=tbl_Case_mins[[#This Row],[Theatre]])*(tbl_Case_mins[NoInCoreTime]=0)),1),-1)</f>
        <v>-1</v>
      </c>
      <c r="CH17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0" t="e" cm="1">
        <f t="array" ref="CJ17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0" s="9" cm="1">
        <f t="array" ref="CO1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0" s="9" cm="1">
        <f t="array" ref="CP1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0" s="9" cm="1">
        <f t="array" ref="CQ170">IFERROR(IF(AND(tbl_Case_mins[[#This Row],[FirstAMCase]]=0,tbl_Case_mins[[#This Row],[Rank]]=_xlfn.AGGREGATE(14,6,(tbl_Case_mins[Rank])/((tbl_Case_mins[Surgery Start Date]=tbl_Case_mins[[#This Row],[Surgery Start Date]])*(tbl_Case_mins[Theatre]=tbl_Case_mins[[#This Row],[Theatre]])*(tbl_Case_mins[AmCase]=1)),1)),1,0),0)</f>
        <v>0</v>
      </c>
      <c r="CR170" s="9" cm="1">
        <f t="array" ref="CR17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0" s="9" t="e" cm="1">
        <f t="array" ref="CS17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0" s="9" cm="1">
        <f t="array" ref="CT170">IFERROR(IF(tbl_Case_mins[[#This Row],[Rank]]=_xlfn.AGGREGATE(15,6,(tbl_Case_mins[Rank])/((tbl_Case_mins[Surgery Start Date]=tbl_Case_mins[[#This Row],[Surgery Start Date]])*(tbl_Case_mins[Theatre]=tbl_Case_mins[[#This Row],[Theatre]])*(tbl_Case_mins[PmCase]=1)),1),1,0),0)</f>
        <v>0</v>
      </c>
      <c r="CU170">
        <f>IFERROR(#REF!,0)</f>
        <v>0</v>
      </c>
      <c r="CV170" s="9" t="e" cm="1">
        <f t="array" ref="CV17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0" s="9">
        <f>IFERROR(IF(ISBLANK(INDEX(Bay_AmClose,MATCH(1,INDEX((tbl_Case_mins[[#This Row],[Bay]]=BayNo)*(tbl_Case_mins[[#This Row],[Surgery Start Date]]=BDate),0,1),0))*1440),0,INDEX(Bay_AmClose,MATCH(1,INDEX((tbl_Case_mins[[#This Row],[Bay]]=BayNo)*(tbl_Case_mins[[#This Row],[Surgery Start Date]]=BDate),0,1),0))*1440),0)</f>
        <v>0</v>
      </c>
      <c r="CX170" s="9" cm="1">
        <f t="array" ref="CX170">IFERROR(IF(ISBLANK(INDEX(Bay_PmOpen,MATCH(1,INDEX((tbl_Case_mins[[#This Row],[Bay]]=BayNo)*(tbl_Case_mins[[#This Row],[Surgery Start Date]]=BDate),0,1),0))*1440),0,INDEX(Bay_PmOpen,MATCH(1,INDEX((tbl_Case_mins[[#This Row],[Bay]]=BayNo)*(tbl_Case_mins[[#This Row],[Surgery Start Date]]=BDate),0,1),0))*1440),0)</f>
        <v>0</v>
      </c>
      <c r="CY17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0" s="9"/>
    </row>
    <row r="171" spans="1:104" x14ac:dyDescent="0.2">
      <c r="A171">
        <v>170</v>
      </c>
      <c r="B171" t="e">
        <f>#REF!</f>
        <v>#REF!</v>
      </c>
      <c r="C171" t="e">
        <f>#REF!</f>
        <v>#REF!</v>
      </c>
      <c r="D171" t="e">
        <f>#REF!</f>
        <v>#REF!</v>
      </c>
      <c r="E171" t="e">
        <f>#REF!</f>
        <v>#REF!</v>
      </c>
      <c r="F171" t="e">
        <f>#REF!</f>
        <v>#REF!</v>
      </c>
      <c r="G171" t="e">
        <f>#REF!</f>
        <v>#REF!</v>
      </c>
      <c r="H171" t="e">
        <f>#REF!</f>
        <v>#REF!</v>
      </c>
      <c r="I171" t="e">
        <f>IF(#REF!="Case Cancelled",1,IF(#REF!="No Cases",2,0))</f>
        <v>#REF!</v>
      </c>
      <c r="J171" t="e">
        <f>#REF!</f>
        <v>#REF!</v>
      </c>
      <c r="K171" s="4" t="e">
        <f>#REF!</f>
        <v>#REF!</v>
      </c>
      <c r="L171" t="e">
        <f>"Wk "&amp;WEEKNUM(tbl_Case_mins[[#This Row],[Surgery Start Date]],21)</f>
        <v>#REF!</v>
      </c>
      <c r="M171" t="e">
        <f>TEXT(tbl_Case_mins[[#This Row],[Surgery Start Date]],"ddd")</f>
        <v>#REF!</v>
      </c>
      <c r="N171" s="9" t="e">
        <f>(#REF!-TIME(0,0,0))*1440</f>
        <v>#REF!</v>
      </c>
      <c r="O171" t="e">
        <f>IF(AND(ROUND((#REF!-TIME(0,0,0))*1440,0)&gt;0,ROUND((#REF!-TIME(0,0,0))*1440,0)&lt;tbl_Case_mins[[#This Row],[Patient Called]],tbl_Case_mins[[#This Row],[Surgery End Date]]&gt;tbl_Case_mins[[#This Row],[Surgery Start Date]]),ROUND((#REF!-TIME(0,0,0))*1440,0)+1440,ROUND((#REF!-TIME(0,0,0))*1440,0))</f>
        <v>#REF!</v>
      </c>
      <c r="P171" s="9" t="e">
        <f>IF(AND(ROUND((#REF!-TIME(0,0,0))*1440,0)&gt;0,ROUND((#REF!-TIME(0,0,0))*1440,0)&lt;tbl_Case_mins[[#This Row],[Arrival]],tbl_Case_mins[[#This Row],[Surgery End Date]]&gt;tbl_Case_mins[[#This Row],[Surgery Start Date]]),ROUND((#REF!-TIME(0,0,0))*1440,0)+1440,ROUND((#REF!-TIME(0,0,0))*1440,0))</f>
        <v>#REF!</v>
      </c>
      <c r="Q171" s="9" t="e">
        <f>IF(AND(ROUND((#REF!-TIME(0,0,0))*1440,0)&gt;0,ROUND((#REF!-TIME(0,0,0))*1440,0)&lt;tbl_Case_mins[[#This Row],[Into Th or AR]],tbl_Case_mins[[#This Row],[Surgery End Date]]&gt;tbl_Case_mins[[#This Row],[Surgery Start Date]]),ROUND((#REF!-TIME(0,0,0))*1440,0)+1440,ROUND((#REF!-TIME(0,0,0))*1440,0))</f>
        <v>#REF!</v>
      </c>
      <c r="R171" s="9" t="e">
        <f>IF(AND(ROUND((#REF!-TIME(0,0,0))*1440,0)&gt;0,ROUND((#REF!-TIME(0,0,0))*1440,0)&lt;tbl_Case_mins[[#This Row],[AnaesthStart]],tbl_Case_mins[[#This Row],[Surgery End Date]]&gt;tbl_Case_mins[[#This Row],[Surgery Start Date]]),ROUND((#REF!-TIME(0,0,0))*1440,0)+1440,ROUND((#REF!-TIME(0,0,0))*1440,0))</f>
        <v>#REF!</v>
      </c>
      <c r="S171" s="9" t="e">
        <f>IF(AND(ROUND((#REF!-TIME(0,0,0))*1440,0),ROUND((#REF!-TIME(0,0,0))*1440,0)&lt;tbl_Case_mins[[#This Row],[Surgery Start]],tbl_Case_mins[[#This Row],[Surgery End Date]]&gt;tbl_Case_mins[[#This Row],[Surgery Start Date]]),ROUND((#REF!-TIME(0,0,0))*1440,0)+1440,ROUND((#REF!-TIME(0,0,0))*1440,0))</f>
        <v>#REF!</v>
      </c>
      <c r="T171" s="9" t="e">
        <f>IF(AND(ROUND((#REF!-TIME(0,0,0))*1440,0)&gt;0,ROUND((#REF!-TIME(0,0,0))*1440,0)&lt;tbl_Case_mins[[#This Row],[Surgery Finish]],tbl_Case_mins[[#This Row],[Surgery End Date]]&gt;tbl_Case_mins[[#This Row],[Surgery Start Date]]),ROUND((#REF!-TIME(0,0,0))*1440,0)+1440,ROUND((#REF!-TIME(0,0,0))*1440,0))</f>
        <v>#REF!</v>
      </c>
      <c r="U171" s="9" t="e">
        <f>IF(AND(ROUND((#REF!-TIME(0,0,0))*1440,0)&gt;0,ROUND((#REF!-TIME(0,0,0))*1440,0)&lt;tbl_Case_mins[[#This Row],[Anaesth End]],tbl_Case_mins[[#This Row],[Surgery End Date]]&gt;tbl_Case_mins[[#This Row],[Surgery Start Date]]),ROUND((#REF!-TIME(0,0,0))*1440,0)+1440,ROUND((#REF!-TIME(0,0,0))*1440,0))</f>
        <v>#REF!</v>
      </c>
      <c r="V171" s="9" t="e">
        <f>IF(AND(ROUND((#REF!-TIME(0,0,0))*1440,0)&gt;0,ROUND((#REF!-TIME(0,0,0))*1440,0)&lt;tbl_Case_mins[[#This Row],[Into Recov]],tbl_Case_mins[[#This Row],[Surgery End Date]]&gt;tbl_Case_mins[[#This Row],[Surgery Start Date]]),ROUND((#REF!-TIME(0,0,0))*1440,0)+1440,ROUND((#REF!-TIME(0,0,0))*1440,0))</f>
        <v>#REF!</v>
      </c>
      <c r="W171" s="9" t="e">
        <f>IF(AND(ROUND((#REF!-TIME(0,0,0))*1440,0)&gt;0,ROUND((#REF!-TIME(0,0,0))*1440,0)&lt;tbl_Case_mins[[#This Row],[Ward Called]],tbl_Case_mins[[#This Row],[Surgery End Date]]&gt;tbl_Case_mins[[#This Row],[Surgery Start Date]]),ROUND((#REF!-TIME(0,0,0))*1440,0)+1440,ROUND((#REF!-TIME(0,0,0))*1440,0))</f>
        <v>#REF!</v>
      </c>
      <c r="X171" s="4" t="e">
        <f>IF(ISBLANK(#REF!),tbl_Case_mins[[#This Row],[Surgery Start Date]],#REF!)</f>
        <v>#REF!</v>
      </c>
      <c r="Y171">
        <f>IFERROR(IF(VLOOKUP(tbl_Case_mins[[#This Row],[Theatre]],'Mng Theatres'!$C$7:$G$12,3,FALSE)="Yes","Yes","No"),0)</f>
        <v>0</v>
      </c>
      <c r="Z171" s="9" t="e" cm="1">
        <f t="array" ref="Z17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1" s="9" t="e" cm="1">
        <f t="array" ref="AA17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1" s="9" t="e">
        <f>IF(tbl_Case_mins[[#This Row],[Case Type]]="Unsch",1,0)</f>
        <v>#REF!</v>
      </c>
      <c r="AD171" s="9" t="e">
        <f>IF(tbl_Case_mins[[#This Row],[Case Type]]="Sch",1,0)</f>
        <v>#REF!</v>
      </c>
      <c r="AE17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1" s="9">
        <f>IFERROR(IF(ISBLANK(INDEX(Am_Close,MATCH(1,INDEX((tbl_Case_mins[[#This Row],[Theatre]]=Theatre_No)*(tbl_Case_mins[[#This Row],[Surgery Start Date]]=Date),0,1),0))*1440),0,INDEX(Am_Close,MATCH(1,INDEX((tbl_Case_mins[[#This Row],[Theatre]]=Theatre_No)*(tbl_Case_mins[[#This Row],[Surgery Start Date]]=Date),0,1),0))*1440),0)</f>
        <v>0</v>
      </c>
      <c r="AG171" s="9">
        <f>IFERROR(IF(ISBLANK(INDEX(PM_Open,MATCH(1,INDEX((tbl_Case_mins[[#This Row],[Theatre]]=Theatre_No)*(tbl_Case_mins[[#This Row],[Surgery Start Date]]=Date),0,1),0))*1440),0,INDEX(PM_Open,MATCH(1,INDEX((tbl_Case_mins[[#This Row],[Theatre]]=Theatre_No)*(tbl_Case_mins[[#This Row],[Surgery Start Date]]=Date),0,1),0))*1440),0)</f>
        <v>0</v>
      </c>
      <c r="AH17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1" s="9" t="e">
        <f>IF(tbl_Case_mins[[#This Row],[ThOpenAm]]=0,tbl_Case_mins[[#This Row],[ThOpenPM]],tbl_Case_mins[[#This Row],[ThOpenAm]])</f>
        <v>#REF!</v>
      </c>
      <c r="AJ171" s="9" t="e">
        <f>IF(tbl_Case_mins[[#This Row],[ThCloseAm]]&gt;0,IF(tbl_Case_mins[[#This Row],[ThOpenPM]]&gt;0,tbl_Case_mins[[#This Row],[ThClosePm]],tbl_Case_mins[[#This Row],[ThCloseAm]]),tbl_Case_mins[[#This Row],[ThClosePm]])</f>
        <v>#REF!</v>
      </c>
      <c r="AK171" s="9" t="e">
        <f>IF(tbl_Case_mins[[#This Row],[TOT]]&gt;0,1,0)</f>
        <v>#REF!</v>
      </c>
      <c r="AL17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1" s="9" t="e">
        <f>IF(AND(tbl_Case_mins[[#This Row],[Surgery Status]]&lt;&gt;2,tbl_Case_mins[[#This Row],[InCoreCase]]=0,tbl_Case_mins[[#This Row],[CancelledCase]]=0),1,0)</f>
        <v>#REF!</v>
      </c>
      <c r="AN171" s="9" t="e">
        <f>IF(tbl_Case_mins[[#This Row],[Surgery Status]]=1,1,0)</f>
        <v>#REF!</v>
      </c>
      <c r="AO17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1" s="9" t="e">
        <f>IF(AND(tbl_Case_mins[[#This Row],[NonCoreCase]]=1,tbl_Case_mins[[#This Row],[NoInCoreTime]]=0),1,0)</f>
        <v>#REF!</v>
      </c>
      <c r="AQ171" s="9" t="e">
        <f>IF(tbl_Case_mins[[#This Row],[Rank_AnaEnd]]&lt;tbl_Case_mins[[#This Row],[Rank_AnaSt]],1,0)</f>
        <v>#REF!</v>
      </c>
      <c r="AR171" s="9" t="e">
        <f>IF(AND(tbl_Case_mins[[#This Row],[InCoreCase]]=1,tbl_Case_mins[[#This Row],[Sch]]=1),1,0)</f>
        <v>#REF!</v>
      </c>
      <c r="AS171" s="9" t="e">
        <f>IF(AND(tbl_Case_mins[[#This Row],[InCoreCase]]=1,tbl_Case_mins[[#This Row],[Unsch]]=1),1,0)</f>
        <v>#REF!</v>
      </c>
      <c r="AT17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1" s="9" t="e">
        <f>IF(tbl_Case_mins[[#This Row],[Surgery Status]]=0,(tbl_Case_mins[[#This Row],[Anaesth End]]-tbl_Case_mins[[#This Row],[AnaesthStart]]),0)</f>
        <v>#REF!</v>
      </c>
      <c r="AX171" s="9" t="e">
        <f>IF(tbl_Case_mins[[#This Row],[Surgery Status]]=0,(tbl_Case_mins[[#This Row],[Surgery Finish]]-tbl_Case_mins[[#This Row],[Surgery Start]]),0)</f>
        <v>#REF!</v>
      </c>
      <c r="AY171" s="9" t="e">
        <f>tbl_Case_mins[[#This Row],[Surgery Start]]-tbl_Case_mins[[#This Row],[AnaesthStart]]</f>
        <v>#REF!</v>
      </c>
      <c r="AZ171" s="9" t="e">
        <f>tbl_Case_mins[[#This Row],[Anaesth End]]-tbl_Case_mins[[#This Row],[Surgery Finish]]</f>
        <v>#REF!</v>
      </c>
      <c r="BA17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1" s="16" cm="1">
        <f t="array" ref="BC17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1" s="16" t="e">
        <f>IF(AND(tbl_Case_mins[[#This Row],[FirstAMCase]]=1,tbl_Case_mins[[#This Row],[CancelledCase]]=0,OR(tbl_Case_mins[[#This Row],[EarlyStartAM]]&gt;0,tbl_Case_mins[[#This Row],[AnaesthStart]]=tbl_Case_mins[[#This Row],[ThOpenAm]])),1,0)</f>
        <v>#REF!</v>
      </c>
      <c r="BE171" s="16" t="e">
        <f>IF(AND(tbl_Case_mins[[#This Row],[Rank_AnaSt]]=tbl_Case_mins[[#This Row],[Min_RankAnaSt]],tbl_Case_mins[[#This Row],[Anaesth End]]&gt;=tbl_Case_mins[[#This Row],[ThOpenAm]],tbl_Case_mins[[#This Row],[PmCase]]=0),1,0)</f>
        <v>#REF!</v>
      </c>
      <c r="BF17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1" s="9" t="e" cm="1">
        <f t="array" ref="BH17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1" s="9" t="e">
        <f>IF(AND(tbl_Case_mins[[#This Row],[ThOpenPM]]&gt;0,tbl_Case_mins[[#This Row],[AnaesthStart]]&gt;tbl_Case_mins[[#This Row],[ThOpenPM]],tbl_Case_mins[[#This Row],[First PM Case]]=1),tbl_Case_mins[[#This Row],[AnaesthStart]]-tbl_Case_mins[[#This Row],[ThOpenPM]],0)</f>
        <v>#REF!</v>
      </c>
      <c r="BL17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1" s="9" t="e" cm="1">
        <f t="array" ref="BN17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1" s="9" t="e">
        <f>IF(AND(tbl_Case_mins[[#This Row],[ThClosePm]]&gt;0,tbl_Case_mins[[#This Row],[Anaesth End]]&gt;tbl_Case_mins[[#This Row],[ThClosePm]],tbl_Case_mins[[#This Row],[AnaesthStart]]&gt;tbl_Case_mins[[#This Row],[ThClosePm]]),tbl_Case_mins[[#This Row],[Into Recov]]-tbl_Case_mins[[#This Row],[AnaesthStart]],0)</f>
        <v>#REF!</v>
      </c>
      <c r="BP171" s="9" t="e">
        <f>IF(AND(tbl_Case_mins[[#This Row],[AnaesthStart]]&lt;tbl_Case_mins[[#This Row],[ThClosePm]],tbl_Case_mins[[#This Row],[Anaesth End]]&gt;tbl_Case_mins[[#This Row],[ThClosePm]]),tbl_Case_mins[[#This Row],[Anaesth End]]-tbl_Case_mins[[#This Row],[ThClosePm]],0)</f>
        <v>#REF!</v>
      </c>
      <c r="BQ171" s="9" t="e" cm="1">
        <f t="array" ref="BQ17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1" s="9" t="e" cm="1">
        <f t="array" ref="BR171">IF(tbl_Case_mins[[#This Row],[Rank_Adjust]]=SUMPRODUCT(-(tbl_Case_mins[Surgery Start Date]=tbl_Case_mins[[#This Row],[Surgery Start Date]]),-(tbl_Case_mins[Theatre]=tbl_Case_mins[[#This Row],[Theatre]])),INDEX(Poss_Time,MATCH(TEXT(tbl_Case_mins[[#This Row],[Surgery Start Date]],"ddd"),Day,0)),0)</f>
        <v>#REF!</v>
      </c>
      <c r="BS171" s="9" t="e">
        <f>tbl_Case_mins[[#This Row],[Core_Time]]*Util_Goal</f>
        <v>#REF!</v>
      </c>
      <c r="BT171" s="9" t="e" cm="1">
        <f t="array" ref="BT1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1" s="9" t="e" cm="1">
        <f t="array" ref="BU1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1" s="9" t="e">
        <f>IF(tbl_Case_mins[[#This Row],[Surgery End Date]]&gt;tbl_Case_mins[[#This Row],[Surgery Start Date]],tbl_Case_mins[[#This Row],[Anaesth End]]-1440,0)</f>
        <v>#REF!</v>
      </c>
      <c r="BY171" s="9" t="e">
        <f>tbl_Case_mins[[#This Row],[Total_NonCore]]-tbl_Case_mins[[#This Row],[NextDay_NonCore]]</f>
        <v>#REF!</v>
      </c>
      <c r="BZ171" s="10" t="e">
        <f>tbl_Case_mins[[#This Row],[InCoreUse]]/60</f>
        <v>#REF!</v>
      </c>
      <c r="CA171" s="10" t="e">
        <f>tbl_Case_mins[[#This Row],[Total_NonCore]]/60</f>
        <v>#REF!</v>
      </c>
      <c r="CB171" t="e" cm="1">
        <f t="array" ref="CB1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1" s="9" t="e" cm="1">
        <f t="array" ref="CC17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1" s="9" t="e" cm="1">
        <f t="array" ref="CD1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1" s="9" t="e" cm="1">
        <f t="array" ref="CE17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1" s="9" cm="1">
        <f t="array" ref="CF171">IFERROR(_xlfn.AGGREGATE(14,6,(tbl_Case_mins[Rank_AnaEnd])/((tbl_Case_mins[Surgery Start Date]=tbl_Case_mins[[#This Row],[Surgery Start Date]])*(tbl_Case_mins[Theatre]=tbl_Case_mins[[#This Row],[Theatre]])*(tbl_Case_mins[NoInCoreTime]=0)),1),-1)</f>
        <v>-1</v>
      </c>
      <c r="CG171" s="9" cm="1">
        <f t="array" ref="CG171">IFERROR(_xlfn.AGGREGATE(15,6,(tbl_Case_mins[Rank_AnaSt])/((tbl_Case_mins[Surgery Start Date]=tbl_Case_mins[[#This Row],[Surgery Start Date]])*(tbl_Case_mins[Theatre]=tbl_Case_mins[[#This Row],[Theatre]])*(tbl_Case_mins[NoInCoreTime]=0)),1),-1)</f>
        <v>-1</v>
      </c>
      <c r="CH17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1" t="e" cm="1">
        <f t="array" ref="CJ17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1" s="9" cm="1">
        <f t="array" ref="CO1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1" s="9" cm="1">
        <f t="array" ref="CP1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1" s="9" cm="1">
        <f t="array" ref="CQ171">IFERROR(IF(AND(tbl_Case_mins[[#This Row],[FirstAMCase]]=0,tbl_Case_mins[[#This Row],[Rank]]=_xlfn.AGGREGATE(14,6,(tbl_Case_mins[Rank])/((tbl_Case_mins[Surgery Start Date]=tbl_Case_mins[[#This Row],[Surgery Start Date]])*(tbl_Case_mins[Theatre]=tbl_Case_mins[[#This Row],[Theatre]])*(tbl_Case_mins[AmCase]=1)),1)),1,0),0)</f>
        <v>0</v>
      </c>
      <c r="CR171" s="9" cm="1">
        <f t="array" ref="CR17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1" s="9" t="e" cm="1">
        <f t="array" ref="CS17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1" s="9" cm="1">
        <f t="array" ref="CT171">IFERROR(IF(tbl_Case_mins[[#This Row],[Rank]]=_xlfn.AGGREGATE(15,6,(tbl_Case_mins[Rank])/((tbl_Case_mins[Surgery Start Date]=tbl_Case_mins[[#This Row],[Surgery Start Date]])*(tbl_Case_mins[Theatre]=tbl_Case_mins[[#This Row],[Theatre]])*(tbl_Case_mins[PmCase]=1)),1),1,0),0)</f>
        <v>0</v>
      </c>
      <c r="CU171">
        <f>IFERROR(#REF!,0)</f>
        <v>0</v>
      </c>
      <c r="CV171" s="9" t="e" cm="1">
        <f t="array" ref="CV17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1" s="9">
        <f>IFERROR(IF(ISBLANK(INDEX(Bay_AmClose,MATCH(1,INDEX((tbl_Case_mins[[#This Row],[Bay]]=BayNo)*(tbl_Case_mins[[#This Row],[Surgery Start Date]]=BDate),0,1),0))*1440),0,INDEX(Bay_AmClose,MATCH(1,INDEX((tbl_Case_mins[[#This Row],[Bay]]=BayNo)*(tbl_Case_mins[[#This Row],[Surgery Start Date]]=BDate),0,1),0))*1440),0)</f>
        <v>0</v>
      </c>
      <c r="CX171" s="9" cm="1">
        <f t="array" ref="CX171">IFERROR(IF(ISBLANK(INDEX(Bay_PmOpen,MATCH(1,INDEX((tbl_Case_mins[[#This Row],[Bay]]=BayNo)*(tbl_Case_mins[[#This Row],[Surgery Start Date]]=BDate),0,1),0))*1440),0,INDEX(Bay_PmOpen,MATCH(1,INDEX((tbl_Case_mins[[#This Row],[Bay]]=BayNo)*(tbl_Case_mins[[#This Row],[Surgery Start Date]]=BDate),0,1),0))*1440),0)</f>
        <v>0</v>
      </c>
      <c r="CY17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1" s="9"/>
    </row>
    <row r="172" spans="1:104" x14ac:dyDescent="0.2">
      <c r="A172">
        <v>171</v>
      </c>
      <c r="B172" t="e">
        <f>#REF!</f>
        <v>#REF!</v>
      </c>
      <c r="C172" t="e">
        <f>#REF!</f>
        <v>#REF!</v>
      </c>
      <c r="D172" t="e">
        <f>#REF!</f>
        <v>#REF!</v>
      </c>
      <c r="E172" t="e">
        <f>#REF!</f>
        <v>#REF!</v>
      </c>
      <c r="F172" t="e">
        <f>#REF!</f>
        <v>#REF!</v>
      </c>
      <c r="G172" t="e">
        <f>#REF!</f>
        <v>#REF!</v>
      </c>
      <c r="H172" t="e">
        <f>#REF!</f>
        <v>#REF!</v>
      </c>
      <c r="I172" t="e">
        <f>IF(#REF!="Case Cancelled",1,IF(#REF!="No Cases",2,0))</f>
        <v>#REF!</v>
      </c>
      <c r="J172" t="e">
        <f>#REF!</f>
        <v>#REF!</v>
      </c>
      <c r="K172" s="4" t="e">
        <f>#REF!</f>
        <v>#REF!</v>
      </c>
      <c r="L172" t="e">
        <f>"Wk "&amp;WEEKNUM(tbl_Case_mins[[#This Row],[Surgery Start Date]],21)</f>
        <v>#REF!</v>
      </c>
      <c r="M172" t="e">
        <f>TEXT(tbl_Case_mins[[#This Row],[Surgery Start Date]],"ddd")</f>
        <v>#REF!</v>
      </c>
      <c r="N172" s="9" t="e">
        <f>(#REF!-TIME(0,0,0))*1440</f>
        <v>#REF!</v>
      </c>
      <c r="O172" t="e">
        <f>IF(AND(ROUND((#REF!-TIME(0,0,0))*1440,0)&gt;0,ROUND((#REF!-TIME(0,0,0))*1440,0)&lt;tbl_Case_mins[[#This Row],[Patient Called]],tbl_Case_mins[[#This Row],[Surgery End Date]]&gt;tbl_Case_mins[[#This Row],[Surgery Start Date]]),ROUND((#REF!-TIME(0,0,0))*1440,0)+1440,ROUND((#REF!-TIME(0,0,0))*1440,0))</f>
        <v>#REF!</v>
      </c>
      <c r="P172" s="9" t="e">
        <f>IF(AND(ROUND((#REF!-TIME(0,0,0))*1440,0)&gt;0,ROUND((#REF!-TIME(0,0,0))*1440,0)&lt;tbl_Case_mins[[#This Row],[Arrival]],tbl_Case_mins[[#This Row],[Surgery End Date]]&gt;tbl_Case_mins[[#This Row],[Surgery Start Date]]),ROUND((#REF!-TIME(0,0,0))*1440,0)+1440,ROUND((#REF!-TIME(0,0,0))*1440,0))</f>
        <v>#REF!</v>
      </c>
      <c r="Q172" s="9" t="e">
        <f>IF(AND(ROUND((#REF!-TIME(0,0,0))*1440,0)&gt;0,ROUND((#REF!-TIME(0,0,0))*1440,0)&lt;tbl_Case_mins[[#This Row],[Into Th or AR]],tbl_Case_mins[[#This Row],[Surgery End Date]]&gt;tbl_Case_mins[[#This Row],[Surgery Start Date]]),ROUND((#REF!-TIME(0,0,0))*1440,0)+1440,ROUND((#REF!-TIME(0,0,0))*1440,0))</f>
        <v>#REF!</v>
      </c>
      <c r="R172" s="9" t="e">
        <f>IF(AND(ROUND((#REF!-TIME(0,0,0))*1440,0)&gt;0,ROUND((#REF!-TIME(0,0,0))*1440,0)&lt;tbl_Case_mins[[#This Row],[AnaesthStart]],tbl_Case_mins[[#This Row],[Surgery End Date]]&gt;tbl_Case_mins[[#This Row],[Surgery Start Date]]),ROUND((#REF!-TIME(0,0,0))*1440,0)+1440,ROUND((#REF!-TIME(0,0,0))*1440,0))</f>
        <v>#REF!</v>
      </c>
      <c r="S172" s="9" t="e">
        <f>IF(AND(ROUND((#REF!-TIME(0,0,0))*1440,0),ROUND((#REF!-TIME(0,0,0))*1440,0)&lt;tbl_Case_mins[[#This Row],[Surgery Start]],tbl_Case_mins[[#This Row],[Surgery End Date]]&gt;tbl_Case_mins[[#This Row],[Surgery Start Date]]),ROUND((#REF!-TIME(0,0,0))*1440,0)+1440,ROUND((#REF!-TIME(0,0,0))*1440,0))</f>
        <v>#REF!</v>
      </c>
      <c r="T172" s="9" t="e">
        <f>IF(AND(ROUND((#REF!-TIME(0,0,0))*1440,0)&gt;0,ROUND((#REF!-TIME(0,0,0))*1440,0)&lt;tbl_Case_mins[[#This Row],[Surgery Finish]],tbl_Case_mins[[#This Row],[Surgery End Date]]&gt;tbl_Case_mins[[#This Row],[Surgery Start Date]]),ROUND((#REF!-TIME(0,0,0))*1440,0)+1440,ROUND((#REF!-TIME(0,0,0))*1440,0))</f>
        <v>#REF!</v>
      </c>
      <c r="U172" s="9" t="e">
        <f>IF(AND(ROUND((#REF!-TIME(0,0,0))*1440,0)&gt;0,ROUND((#REF!-TIME(0,0,0))*1440,0)&lt;tbl_Case_mins[[#This Row],[Anaesth End]],tbl_Case_mins[[#This Row],[Surgery End Date]]&gt;tbl_Case_mins[[#This Row],[Surgery Start Date]]),ROUND((#REF!-TIME(0,0,0))*1440,0)+1440,ROUND((#REF!-TIME(0,0,0))*1440,0))</f>
        <v>#REF!</v>
      </c>
      <c r="V172" s="9" t="e">
        <f>IF(AND(ROUND((#REF!-TIME(0,0,0))*1440,0)&gt;0,ROUND((#REF!-TIME(0,0,0))*1440,0)&lt;tbl_Case_mins[[#This Row],[Into Recov]],tbl_Case_mins[[#This Row],[Surgery End Date]]&gt;tbl_Case_mins[[#This Row],[Surgery Start Date]]),ROUND((#REF!-TIME(0,0,0))*1440,0)+1440,ROUND((#REF!-TIME(0,0,0))*1440,0))</f>
        <v>#REF!</v>
      </c>
      <c r="W172" s="9" t="e">
        <f>IF(AND(ROUND((#REF!-TIME(0,0,0))*1440,0)&gt;0,ROUND((#REF!-TIME(0,0,0))*1440,0)&lt;tbl_Case_mins[[#This Row],[Ward Called]],tbl_Case_mins[[#This Row],[Surgery End Date]]&gt;tbl_Case_mins[[#This Row],[Surgery Start Date]]),ROUND((#REF!-TIME(0,0,0))*1440,0)+1440,ROUND((#REF!-TIME(0,0,0))*1440,0))</f>
        <v>#REF!</v>
      </c>
      <c r="X172" s="4" t="e">
        <f>IF(ISBLANK(#REF!),tbl_Case_mins[[#This Row],[Surgery Start Date]],#REF!)</f>
        <v>#REF!</v>
      </c>
      <c r="Y172">
        <f>IFERROR(IF(VLOOKUP(tbl_Case_mins[[#This Row],[Theatre]],'Mng Theatres'!$C$7:$G$12,3,FALSE)="Yes","Yes","No"),0)</f>
        <v>0</v>
      </c>
      <c r="Z172" s="9" t="e" cm="1">
        <f t="array" ref="Z17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2" s="9" t="e" cm="1">
        <f t="array" ref="AA17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2" s="9" t="e">
        <f>IF(tbl_Case_mins[[#This Row],[Case Type]]="Unsch",1,0)</f>
        <v>#REF!</v>
      </c>
      <c r="AD172" s="9" t="e">
        <f>IF(tbl_Case_mins[[#This Row],[Case Type]]="Sch",1,0)</f>
        <v>#REF!</v>
      </c>
      <c r="AE17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2" s="9">
        <f>IFERROR(IF(ISBLANK(INDEX(Am_Close,MATCH(1,INDEX((tbl_Case_mins[[#This Row],[Theatre]]=Theatre_No)*(tbl_Case_mins[[#This Row],[Surgery Start Date]]=Date),0,1),0))*1440),0,INDEX(Am_Close,MATCH(1,INDEX((tbl_Case_mins[[#This Row],[Theatre]]=Theatre_No)*(tbl_Case_mins[[#This Row],[Surgery Start Date]]=Date),0,1),0))*1440),0)</f>
        <v>0</v>
      </c>
      <c r="AG172" s="9">
        <f>IFERROR(IF(ISBLANK(INDEX(PM_Open,MATCH(1,INDEX((tbl_Case_mins[[#This Row],[Theatre]]=Theatre_No)*(tbl_Case_mins[[#This Row],[Surgery Start Date]]=Date),0,1),0))*1440),0,INDEX(PM_Open,MATCH(1,INDEX((tbl_Case_mins[[#This Row],[Theatre]]=Theatre_No)*(tbl_Case_mins[[#This Row],[Surgery Start Date]]=Date),0,1),0))*1440),0)</f>
        <v>0</v>
      </c>
      <c r="AH17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2" s="9" t="e">
        <f>IF(tbl_Case_mins[[#This Row],[ThOpenAm]]=0,tbl_Case_mins[[#This Row],[ThOpenPM]],tbl_Case_mins[[#This Row],[ThOpenAm]])</f>
        <v>#REF!</v>
      </c>
      <c r="AJ172" s="9" t="e">
        <f>IF(tbl_Case_mins[[#This Row],[ThCloseAm]]&gt;0,IF(tbl_Case_mins[[#This Row],[ThOpenPM]]&gt;0,tbl_Case_mins[[#This Row],[ThClosePm]],tbl_Case_mins[[#This Row],[ThCloseAm]]),tbl_Case_mins[[#This Row],[ThClosePm]])</f>
        <v>#REF!</v>
      </c>
      <c r="AK172" s="9" t="e">
        <f>IF(tbl_Case_mins[[#This Row],[TOT]]&gt;0,1,0)</f>
        <v>#REF!</v>
      </c>
      <c r="AL17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2" s="9" t="e">
        <f>IF(AND(tbl_Case_mins[[#This Row],[Surgery Status]]&lt;&gt;2,tbl_Case_mins[[#This Row],[InCoreCase]]=0,tbl_Case_mins[[#This Row],[CancelledCase]]=0),1,0)</f>
        <v>#REF!</v>
      </c>
      <c r="AN172" s="9" t="e">
        <f>IF(tbl_Case_mins[[#This Row],[Surgery Status]]=1,1,0)</f>
        <v>#REF!</v>
      </c>
      <c r="AO17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2" s="9" t="e">
        <f>IF(AND(tbl_Case_mins[[#This Row],[NonCoreCase]]=1,tbl_Case_mins[[#This Row],[NoInCoreTime]]=0),1,0)</f>
        <v>#REF!</v>
      </c>
      <c r="AQ172" s="9" t="e">
        <f>IF(tbl_Case_mins[[#This Row],[Rank_AnaEnd]]&lt;tbl_Case_mins[[#This Row],[Rank_AnaSt]],1,0)</f>
        <v>#REF!</v>
      </c>
      <c r="AR172" s="9" t="e">
        <f>IF(AND(tbl_Case_mins[[#This Row],[InCoreCase]]=1,tbl_Case_mins[[#This Row],[Sch]]=1),1,0)</f>
        <v>#REF!</v>
      </c>
      <c r="AS172" s="9" t="e">
        <f>IF(AND(tbl_Case_mins[[#This Row],[InCoreCase]]=1,tbl_Case_mins[[#This Row],[Unsch]]=1),1,0)</f>
        <v>#REF!</v>
      </c>
      <c r="AT17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2" s="9" t="e">
        <f>IF(tbl_Case_mins[[#This Row],[Surgery Status]]=0,(tbl_Case_mins[[#This Row],[Anaesth End]]-tbl_Case_mins[[#This Row],[AnaesthStart]]),0)</f>
        <v>#REF!</v>
      </c>
      <c r="AX172" s="9" t="e">
        <f>IF(tbl_Case_mins[[#This Row],[Surgery Status]]=0,(tbl_Case_mins[[#This Row],[Surgery Finish]]-tbl_Case_mins[[#This Row],[Surgery Start]]),0)</f>
        <v>#REF!</v>
      </c>
      <c r="AY172" s="9" t="e">
        <f>tbl_Case_mins[[#This Row],[Surgery Start]]-tbl_Case_mins[[#This Row],[AnaesthStart]]</f>
        <v>#REF!</v>
      </c>
      <c r="AZ172" s="9" t="e">
        <f>tbl_Case_mins[[#This Row],[Anaesth End]]-tbl_Case_mins[[#This Row],[Surgery Finish]]</f>
        <v>#REF!</v>
      </c>
      <c r="BA17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2" s="16" cm="1">
        <f t="array" ref="BC17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2" s="16" t="e">
        <f>IF(AND(tbl_Case_mins[[#This Row],[FirstAMCase]]=1,tbl_Case_mins[[#This Row],[CancelledCase]]=0,OR(tbl_Case_mins[[#This Row],[EarlyStartAM]]&gt;0,tbl_Case_mins[[#This Row],[AnaesthStart]]=tbl_Case_mins[[#This Row],[ThOpenAm]])),1,0)</f>
        <v>#REF!</v>
      </c>
      <c r="BE172" s="16" t="e">
        <f>IF(AND(tbl_Case_mins[[#This Row],[Rank_AnaSt]]=tbl_Case_mins[[#This Row],[Min_RankAnaSt]],tbl_Case_mins[[#This Row],[Anaesth End]]&gt;=tbl_Case_mins[[#This Row],[ThOpenAm]],tbl_Case_mins[[#This Row],[PmCase]]=0),1,0)</f>
        <v>#REF!</v>
      </c>
      <c r="BF17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2" s="9" t="e" cm="1">
        <f t="array" ref="BH17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2" s="9" t="e">
        <f>IF(AND(tbl_Case_mins[[#This Row],[ThOpenPM]]&gt;0,tbl_Case_mins[[#This Row],[AnaesthStart]]&gt;tbl_Case_mins[[#This Row],[ThOpenPM]],tbl_Case_mins[[#This Row],[First PM Case]]=1),tbl_Case_mins[[#This Row],[AnaesthStart]]-tbl_Case_mins[[#This Row],[ThOpenPM]],0)</f>
        <v>#REF!</v>
      </c>
      <c r="BL17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2" s="9" t="e" cm="1">
        <f t="array" ref="BN17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2" s="9" t="e">
        <f>IF(AND(tbl_Case_mins[[#This Row],[ThClosePm]]&gt;0,tbl_Case_mins[[#This Row],[Anaesth End]]&gt;tbl_Case_mins[[#This Row],[ThClosePm]],tbl_Case_mins[[#This Row],[AnaesthStart]]&gt;tbl_Case_mins[[#This Row],[ThClosePm]]),tbl_Case_mins[[#This Row],[Into Recov]]-tbl_Case_mins[[#This Row],[AnaesthStart]],0)</f>
        <v>#REF!</v>
      </c>
      <c r="BP172" s="9" t="e">
        <f>IF(AND(tbl_Case_mins[[#This Row],[AnaesthStart]]&lt;tbl_Case_mins[[#This Row],[ThClosePm]],tbl_Case_mins[[#This Row],[Anaesth End]]&gt;tbl_Case_mins[[#This Row],[ThClosePm]]),tbl_Case_mins[[#This Row],[Anaesth End]]-tbl_Case_mins[[#This Row],[ThClosePm]],0)</f>
        <v>#REF!</v>
      </c>
      <c r="BQ172" s="9" t="e" cm="1">
        <f t="array" ref="BQ17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2" s="9" t="e" cm="1">
        <f t="array" ref="BR172">IF(tbl_Case_mins[[#This Row],[Rank_Adjust]]=SUMPRODUCT(-(tbl_Case_mins[Surgery Start Date]=tbl_Case_mins[[#This Row],[Surgery Start Date]]),-(tbl_Case_mins[Theatre]=tbl_Case_mins[[#This Row],[Theatre]])),INDEX(Poss_Time,MATCH(TEXT(tbl_Case_mins[[#This Row],[Surgery Start Date]],"ddd"),Day,0)),0)</f>
        <v>#REF!</v>
      </c>
      <c r="BS172" s="9" t="e">
        <f>tbl_Case_mins[[#This Row],[Core_Time]]*Util_Goal</f>
        <v>#REF!</v>
      </c>
      <c r="BT172" s="9" t="e" cm="1">
        <f t="array" ref="BT1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2" s="9" t="e" cm="1">
        <f t="array" ref="BU1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2" s="9" t="e">
        <f>IF(tbl_Case_mins[[#This Row],[Surgery End Date]]&gt;tbl_Case_mins[[#This Row],[Surgery Start Date]],tbl_Case_mins[[#This Row],[Anaesth End]]-1440,0)</f>
        <v>#REF!</v>
      </c>
      <c r="BY172" s="9" t="e">
        <f>tbl_Case_mins[[#This Row],[Total_NonCore]]-tbl_Case_mins[[#This Row],[NextDay_NonCore]]</f>
        <v>#REF!</v>
      </c>
      <c r="BZ172" s="10" t="e">
        <f>tbl_Case_mins[[#This Row],[InCoreUse]]/60</f>
        <v>#REF!</v>
      </c>
      <c r="CA172" s="10" t="e">
        <f>tbl_Case_mins[[#This Row],[Total_NonCore]]/60</f>
        <v>#REF!</v>
      </c>
      <c r="CB172" t="e" cm="1">
        <f t="array" ref="CB1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2" s="9" t="e" cm="1">
        <f t="array" ref="CC17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2" s="9" t="e" cm="1">
        <f t="array" ref="CD1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2" s="9" t="e" cm="1">
        <f t="array" ref="CE17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2" s="9" cm="1">
        <f t="array" ref="CF172">IFERROR(_xlfn.AGGREGATE(14,6,(tbl_Case_mins[Rank_AnaEnd])/((tbl_Case_mins[Surgery Start Date]=tbl_Case_mins[[#This Row],[Surgery Start Date]])*(tbl_Case_mins[Theatre]=tbl_Case_mins[[#This Row],[Theatre]])*(tbl_Case_mins[NoInCoreTime]=0)),1),-1)</f>
        <v>-1</v>
      </c>
      <c r="CG172" s="9" cm="1">
        <f t="array" ref="CG172">IFERROR(_xlfn.AGGREGATE(15,6,(tbl_Case_mins[Rank_AnaSt])/((tbl_Case_mins[Surgery Start Date]=tbl_Case_mins[[#This Row],[Surgery Start Date]])*(tbl_Case_mins[Theatre]=tbl_Case_mins[[#This Row],[Theatre]])*(tbl_Case_mins[NoInCoreTime]=0)),1),-1)</f>
        <v>-1</v>
      </c>
      <c r="CH17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2" t="e" cm="1">
        <f t="array" ref="CJ17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2" s="9" cm="1">
        <f t="array" ref="CO1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2" s="9" cm="1">
        <f t="array" ref="CP1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2" s="9" cm="1">
        <f t="array" ref="CQ172">IFERROR(IF(AND(tbl_Case_mins[[#This Row],[FirstAMCase]]=0,tbl_Case_mins[[#This Row],[Rank]]=_xlfn.AGGREGATE(14,6,(tbl_Case_mins[Rank])/((tbl_Case_mins[Surgery Start Date]=tbl_Case_mins[[#This Row],[Surgery Start Date]])*(tbl_Case_mins[Theatre]=tbl_Case_mins[[#This Row],[Theatre]])*(tbl_Case_mins[AmCase]=1)),1)),1,0),0)</f>
        <v>0</v>
      </c>
      <c r="CR172" s="9" cm="1">
        <f t="array" ref="CR17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2" s="9" t="e" cm="1">
        <f t="array" ref="CS17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2" s="9" cm="1">
        <f t="array" ref="CT172">IFERROR(IF(tbl_Case_mins[[#This Row],[Rank]]=_xlfn.AGGREGATE(15,6,(tbl_Case_mins[Rank])/((tbl_Case_mins[Surgery Start Date]=tbl_Case_mins[[#This Row],[Surgery Start Date]])*(tbl_Case_mins[Theatre]=tbl_Case_mins[[#This Row],[Theatre]])*(tbl_Case_mins[PmCase]=1)),1),1,0),0)</f>
        <v>0</v>
      </c>
      <c r="CU172">
        <f>IFERROR(#REF!,0)</f>
        <v>0</v>
      </c>
      <c r="CV172" s="9" t="e" cm="1">
        <f t="array" ref="CV17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2" s="9">
        <f>IFERROR(IF(ISBLANK(INDEX(Bay_AmClose,MATCH(1,INDEX((tbl_Case_mins[[#This Row],[Bay]]=BayNo)*(tbl_Case_mins[[#This Row],[Surgery Start Date]]=BDate),0,1),0))*1440),0,INDEX(Bay_AmClose,MATCH(1,INDEX((tbl_Case_mins[[#This Row],[Bay]]=BayNo)*(tbl_Case_mins[[#This Row],[Surgery Start Date]]=BDate),0,1),0))*1440),0)</f>
        <v>0</v>
      </c>
      <c r="CX172" s="9" cm="1">
        <f t="array" ref="CX172">IFERROR(IF(ISBLANK(INDEX(Bay_PmOpen,MATCH(1,INDEX((tbl_Case_mins[[#This Row],[Bay]]=BayNo)*(tbl_Case_mins[[#This Row],[Surgery Start Date]]=BDate),0,1),0))*1440),0,INDEX(Bay_PmOpen,MATCH(1,INDEX((tbl_Case_mins[[#This Row],[Bay]]=BayNo)*(tbl_Case_mins[[#This Row],[Surgery Start Date]]=BDate),0,1),0))*1440),0)</f>
        <v>0</v>
      </c>
      <c r="CY17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2" s="9"/>
    </row>
    <row r="173" spans="1:104" x14ac:dyDescent="0.2">
      <c r="A173">
        <v>172</v>
      </c>
      <c r="B173" t="e">
        <f>#REF!</f>
        <v>#REF!</v>
      </c>
      <c r="C173" t="e">
        <f>#REF!</f>
        <v>#REF!</v>
      </c>
      <c r="D173" t="e">
        <f>#REF!</f>
        <v>#REF!</v>
      </c>
      <c r="E173" t="e">
        <f>#REF!</f>
        <v>#REF!</v>
      </c>
      <c r="F173" t="e">
        <f>#REF!</f>
        <v>#REF!</v>
      </c>
      <c r="G173" t="e">
        <f>#REF!</f>
        <v>#REF!</v>
      </c>
      <c r="H173" t="e">
        <f>#REF!</f>
        <v>#REF!</v>
      </c>
      <c r="I173" t="e">
        <f>IF(#REF!="Case Cancelled",1,IF(#REF!="No Cases",2,0))</f>
        <v>#REF!</v>
      </c>
      <c r="J173" t="e">
        <f>#REF!</f>
        <v>#REF!</v>
      </c>
      <c r="K173" s="4" t="e">
        <f>#REF!</f>
        <v>#REF!</v>
      </c>
      <c r="L173" t="e">
        <f>"Wk "&amp;WEEKNUM(tbl_Case_mins[[#This Row],[Surgery Start Date]],21)</f>
        <v>#REF!</v>
      </c>
      <c r="M173" t="e">
        <f>TEXT(tbl_Case_mins[[#This Row],[Surgery Start Date]],"ddd")</f>
        <v>#REF!</v>
      </c>
      <c r="N173" s="9" t="e">
        <f>(#REF!-TIME(0,0,0))*1440</f>
        <v>#REF!</v>
      </c>
      <c r="O173" t="e">
        <f>IF(AND(ROUND((#REF!-TIME(0,0,0))*1440,0)&gt;0,ROUND((#REF!-TIME(0,0,0))*1440,0)&lt;tbl_Case_mins[[#This Row],[Patient Called]],tbl_Case_mins[[#This Row],[Surgery End Date]]&gt;tbl_Case_mins[[#This Row],[Surgery Start Date]]),ROUND((#REF!-TIME(0,0,0))*1440,0)+1440,ROUND((#REF!-TIME(0,0,0))*1440,0))</f>
        <v>#REF!</v>
      </c>
      <c r="P173" s="9" t="e">
        <f>IF(AND(ROUND((#REF!-TIME(0,0,0))*1440,0)&gt;0,ROUND((#REF!-TIME(0,0,0))*1440,0)&lt;tbl_Case_mins[[#This Row],[Arrival]],tbl_Case_mins[[#This Row],[Surgery End Date]]&gt;tbl_Case_mins[[#This Row],[Surgery Start Date]]),ROUND((#REF!-TIME(0,0,0))*1440,0)+1440,ROUND((#REF!-TIME(0,0,0))*1440,0))</f>
        <v>#REF!</v>
      </c>
      <c r="Q173" s="9" t="e">
        <f>IF(AND(ROUND((#REF!-TIME(0,0,0))*1440,0)&gt;0,ROUND((#REF!-TIME(0,0,0))*1440,0)&lt;tbl_Case_mins[[#This Row],[Into Th or AR]],tbl_Case_mins[[#This Row],[Surgery End Date]]&gt;tbl_Case_mins[[#This Row],[Surgery Start Date]]),ROUND((#REF!-TIME(0,0,0))*1440,0)+1440,ROUND((#REF!-TIME(0,0,0))*1440,0))</f>
        <v>#REF!</v>
      </c>
      <c r="R173" s="9" t="e">
        <f>IF(AND(ROUND((#REF!-TIME(0,0,0))*1440,0)&gt;0,ROUND((#REF!-TIME(0,0,0))*1440,0)&lt;tbl_Case_mins[[#This Row],[AnaesthStart]],tbl_Case_mins[[#This Row],[Surgery End Date]]&gt;tbl_Case_mins[[#This Row],[Surgery Start Date]]),ROUND((#REF!-TIME(0,0,0))*1440,0)+1440,ROUND((#REF!-TIME(0,0,0))*1440,0))</f>
        <v>#REF!</v>
      </c>
      <c r="S173" s="9" t="e">
        <f>IF(AND(ROUND((#REF!-TIME(0,0,0))*1440,0),ROUND((#REF!-TIME(0,0,0))*1440,0)&lt;tbl_Case_mins[[#This Row],[Surgery Start]],tbl_Case_mins[[#This Row],[Surgery End Date]]&gt;tbl_Case_mins[[#This Row],[Surgery Start Date]]),ROUND((#REF!-TIME(0,0,0))*1440,0)+1440,ROUND((#REF!-TIME(0,0,0))*1440,0))</f>
        <v>#REF!</v>
      </c>
      <c r="T173" s="9" t="e">
        <f>IF(AND(ROUND((#REF!-TIME(0,0,0))*1440,0)&gt;0,ROUND((#REF!-TIME(0,0,0))*1440,0)&lt;tbl_Case_mins[[#This Row],[Surgery Finish]],tbl_Case_mins[[#This Row],[Surgery End Date]]&gt;tbl_Case_mins[[#This Row],[Surgery Start Date]]),ROUND((#REF!-TIME(0,0,0))*1440,0)+1440,ROUND((#REF!-TIME(0,0,0))*1440,0))</f>
        <v>#REF!</v>
      </c>
      <c r="U173" s="9" t="e">
        <f>IF(AND(ROUND((#REF!-TIME(0,0,0))*1440,0)&gt;0,ROUND((#REF!-TIME(0,0,0))*1440,0)&lt;tbl_Case_mins[[#This Row],[Anaesth End]],tbl_Case_mins[[#This Row],[Surgery End Date]]&gt;tbl_Case_mins[[#This Row],[Surgery Start Date]]),ROUND((#REF!-TIME(0,0,0))*1440,0)+1440,ROUND((#REF!-TIME(0,0,0))*1440,0))</f>
        <v>#REF!</v>
      </c>
      <c r="V173" s="9" t="e">
        <f>IF(AND(ROUND((#REF!-TIME(0,0,0))*1440,0)&gt;0,ROUND((#REF!-TIME(0,0,0))*1440,0)&lt;tbl_Case_mins[[#This Row],[Into Recov]],tbl_Case_mins[[#This Row],[Surgery End Date]]&gt;tbl_Case_mins[[#This Row],[Surgery Start Date]]),ROUND((#REF!-TIME(0,0,0))*1440,0)+1440,ROUND((#REF!-TIME(0,0,0))*1440,0))</f>
        <v>#REF!</v>
      </c>
      <c r="W173" s="9" t="e">
        <f>IF(AND(ROUND((#REF!-TIME(0,0,0))*1440,0)&gt;0,ROUND((#REF!-TIME(0,0,0))*1440,0)&lt;tbl_Case_mins[[#This Row],[Ward Called]],tbl_Case_mins[[#This Row],[Surgery End Date]]&gt;tbl_Case_mins[[#This Row],[Surgery Start Date]]),ROUND((#REF!-TIME(0,0,0))*1440,0)+1440,ROUND((#REF!-TIME(0,0,0))*1440,0))</f>
        <v>#REF!</v>
      </c>
      <c r="X173" s="4" t="e">
        <f>IF(ISBLANK(#REF!),tbl_Case_mins[[#This Row],[Surgery Start Date]],#REF!)</f>
        <v>#REF!</v>
      </c>
      <c r="Y173">
        <f>IFERROR(IF(VLOOKUP(tbl_Case_mins[[#This Row],[Theatre]],'Mng Theatres'!$C$7:$G$12,3,FALSE)="Yes","Yes","No"),0)</f>
        <v>0</v>
      </c>
      <c r="Z173" s="9" t="e" cm="1">
        <f t="array" ref="Z17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3" s="9" t="e" cm="1">
        <f t="array" ref="AA17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3" s="9" t="e">
        <f>IF(tbl_Case_mins[[#This Row],[Case Type]]="Unsch",1,0)</f>
        <v>#REF!</v>
      </c>
      <c r="AD173" s="9" t="e">
        <f>IF(tbl_Case_mins[[#This Row],[Case Type]]="Sch",1,0)</f>
        <v>#REF!</v>
      </c>
      <c r="AE17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3" s="9">
        <f>IFERROR(IF(ISBLANK(INDEX(Am_Close,MATCH(1,INDEX((tbl_Case_mins[[#This Row],[Theatre]]=Theatre_No)*(tbl_Case_mins[[#This Row],[Surgery Start Date]]=Date),0,1),0))*1440),0,INDEX(Am_Close,MATCH(1,INDEX((tbl_Case_mins[[#This Row],[Theatre]]=Theatre_No)*(tbl_Case_mins[[#This Row],[Surgery Start Date]]=Date),0,1),0))*1440),0)</f>
        <v>0</v>
      </c>
      <c r="AG173" s="9">
        <f>IFERROR(IF(ISBLANK(INDEX(PM_Open,MATCH(1,INDEX((tbl_Case_mins[[#This Row],[Theatre]]=Theatre_No)*(tbl_Case_mins[[#This Row],[Surgery Start Date]]=Date),0,1),0))*1440),0,INDEX(PM_Open,MATCH(1,INDEX((tbl_Case_mins[[#This Row],[Theatre]]=Theatre_No)*(tbl_Case_mins[[#This Row],[Surgery Start Date]]=Date),0,1),0))*1440),0)</f>
        <v>0</v>
      </c>
      <c r="AH17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3" s="9" t="e">
        <f>IF(tbl_Case_mins[[#This Row],[ThOpenAm]]=0,tbl_Case_mins[[#This Row],[ThOpenPM]],tbl_Case_mins[[#This Row],[ThOpenAm]])</f>
        <v>#REF!</v>
      </c>
      <c r="AJ173" s="9" t="e">
        <f>IF(tbl_Case_mins[[#This Row],[ThCloseAm]]&gt;0,IF(tbl_Case_mins[[#This Row],[ThOpenPM]]&gt;0,tbl_Case_mins[[#This Row],[ThClosePm]],tbl_Case_mins[[#This Row],[ThCloseAm]]),tbl_Case_mins[[#This Row],[ThClosePm]])</f>
        <v>#REF!</v>
      </c>
      <c r="AK173" s="9" t="e">
        <f>IF(tbl_Case_mins[[#This Row],[TOT]]&gt;0,1,0)</f>
        <v>#REF!</v>
      </c>
      <c r="AL17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3" s="9" t="e">
        <f>IF(AND(tbl_Case_mins[[#This Row],[Surgery Status]]&lt;&gt;2,tbl_Case_mins[[#This Row],[InCoreCase]]=0,tbl_Case_mins[[#This Row],[CancelledCase]]=0),1,0)</f>
        <v>#REF!</v>
      </c>
      <c r="AN173" s="9" t="e">
        <f>IF(tbl_Case_mins[[#This Row],[Surgery Status]]=1,1,0)</f>
        <v>#REF!</v>
      </c>
      <c r="AO17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3" s="9" t="e">
        <f>IF(AND(tbl_Case_mins[[#This Row],[NonCoreCase]]=1,tbl_Case_mins[[#This Row],[NoInCoreTime]]=0),1,0)</f>
        <v>#REF!</v>
      </c>
      <c r="AQ173" s="9" t="e">
        <f>IF(tbl_Case_mins[[#This Row],[Rank_AnaEnd]]&lt;tbl_Case_mins[[#This Row],[Rank_AnaSt]],1,0)</f>
        <v>#REF!</v>
      </c>
      <c r="AR173" s="9" t="e">
        <f>IF(AND(tbl_Case_mins[[#This Row],[InCoreCase]]=1,tbl_Case_mins[[#This Row],[Sch]]=1),1,0)</f>
        <v>#REF!</v>
      </c>
      <c r="AS173" s="9" t="e">
        <f>IF(AND(tbl_Case_mins[[#This Row],[InCoreCase]]=1,tbl_Case_mins[[#This Row],[Unsch]]=1),1,0)</f>
        <v>#REF!</v>
      </c>
      <c r="AT17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3" s="9" t="e">
        <f>IF(tbl_Case_mins[[#This Row],[Surgery Status]]=0,(tbl_Case_mins[[#This Row],[Anaesth End]]-tbl_Case_mins[[#This Row],[AnaesthStart]]),0)</f>
        <v>#REF!</v>
      </c>
      <c r="AX173" s="9" t="e">
        <f>IF(tbl_Case_mins[[#This Row],[Surgery Status]]=0,(tbl_Case_mins[[#This Row],[Surgery Finish]]-tbl_Case_mins[[#This Row],[Surgery Start]]),0)</f>
        <v>#REF!</v>
      </c>
      <c r="AY173" s="9" t="e">
        <f>tbl_Case_mins[[#This Row],[Surgery Start]]-tbl_Case_mins[[#This Row],[AnaesthStart]]</f>
        <v>#REF!</v>
      </c>
      <c r="AZ173" s="9" t="e">
        <f>tbl_Case_mins[[#This Row],[Anaesth End]]-tbl_Case_mins[[#This Row],[Surgery Finish]]</f>
        <v>#REF!</v>
      </c>
      <c r="BA17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3" s="16" cm="1">
        <f t="array" ref="BC17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3" s="16" t="e">
        <f>IF(AND(tbl_Case_mins[[#This Row],[FirstAMCase]]=1,tbl_Case_mins[[#This Row],[CancelledCase]]=0,OR(tbl_Case_mins[[#This Row],[EarlyStartAM]]&gt;0,tbl_Case_mins[[#This Row],[AnaesthStart]]=tbl_Case_mins[[#This Row],[ThOpenAm]])),1,0)</f>
        <v>#REF!</v>
      </c>
      <c r="BE173" s="16" t="e">
        <f>IF(AND(tbl_Case_mins[[#This Row],[Rank_AnaSt]]=tbl_Case_mins[[#This Row],[Min_RankAnaSt]],tbl_Case_mins[[#This Row],[Anaesth End]]&gt;=tbl_Case_mins[[#This Row],[ThOpenAm]],tbl_Case_mins[[#This Row],[PmCase]]=0),1,0)</f>
        <v>#REF!</v>
      </c>
      <c r="BF17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3" s="9" t="e" cm="1">
        <f t="array" ref="BH17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3" s="9" t="e">
        <f>IF(AND(tbl_Case_mins[[#This Row],[ThOpenPM]]&gt;0,tbl_Case_mins[[#This Row],[AnaesthStart]]&gt;tbl_Case_mins[[#This Row],[ThOpenPM]],tbl_Case_mins[[#This Row],[First PM Case]]=1),tbl_Case_mins[[#This Row],[AnaesthStart]]-tbl_Case_mins[[#This Row],[ThOpenPM]],0)</f>
        <v>#REF!</v>
      </c>
      <c r="BL17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3" s="9" t="e" cm="1">
        <f t="array" ref="BN17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3" s="9" t="e">
        <f>IF(AND(tbl_Case_mins[[#This Row],[ThClosePm]]&gt;0,tbl_Case_mins[[#This Row],[Anaesth End]]&gt;tbl_Case_mins[[#This Row],[ThClosePm]],tbl_Case_mins[[#This Row],[AnaesthStart]]&gt;tbl_Case_mins[[#This Row],[ThClosePm]]),tbl_Case_mins[[#This Row],[Into Recov]]-tbl_Case_mins[[#This Row],[AnaesthStart]],0)</f>
        <v>#REF!</v>
      </c>
      <c r="BP173" s="9" t="e">
        <f>IF(AND(tbl_Case_mins[[#This Row],[AnaesthStart]]&lt;tbl_Case_mins[[#This Row],[ThClosePm]],tbl_Case_mins[[#This Row],[Anaesth End]]&gt;tbl_Case_mins[[#This Row],[ThClosePm]]),tbl_Case_mins[[#This Row],[Anaesth End]]-tbl_Case_mins[[#This Row],[ThClosePm]],0)</f>
        <v>#REF!</v>
      </c>
      <c r="BQ173" s="9" t="e" cm="1">
        <f t="array" ref="BQ17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3" s="9" t="e" cm="1">
        <f t="array" ref="BR173">IF(tbl_Case_mins[[#This Row],[Rank_Adjust]]=SUMPRODUCT(-(tbl_Case_mins[Surgery Start Date]=tbl_Case_mins[[#This Row],[Surgery Start Date]]),-(tbl_Case_mins[Theatre]=tbl_Case_mins[[#This Row],[Theatre]])),INDEX(Poss_Time,MATCH(TEXT(tbl_Case_mins[[#This Row],[Surgery Start Date]],"ddd"),Day,0)),0)</f>
        <v>#REF!</v>
      </c>
      <c r="BS173" s="9" t="e">
        <f>tbl_Case_mins[[#This Row],[Core_Time]]*Util_Goal</f>
        <v>#REF!</v>
      </c>
      <c r="BT173" s="9" t="e" cm="1">
        <f t="array" ref="BT1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3" s="9" t="e" cm="1">
        <f t="array" ref="BU1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3" s="9" t="e">
        <f>IF(tbl_Case_mins[[#This Row],[Surgery End Date]]&gt;tbl_Case_mins[[#This Row],[Surgery Start Date]],tbl_Case_mins[[#This Row],[Anaesth End]]-1440,0)</f>
        <v>#REF!</v>
      </c>
      <c r="BY173" s="9" t="e">
        <f>tbl_Case_mins[[#This Row],[Total_NonCore]]-tbl_Case_mins[[#This Row],[NextDay_NonCore]]</f>
        <v>#REF!</v>
      </c>
      <c r="BZ173" s="10" t="e">
        <f>tbl_Case_mins[[#This Row],[InCoreUse]]/60</f>
        <v>#REF!</v>
      </c>
      <c r="CA173" s="10" t="e">
        <f>tbl_Case_mins[[#This Row],[Total_NonCore]]/60</f>
        <v>#REF!</v>
      </c>
      <c r="CB173" t="e" cm="1">
        <f t="array" ref="CB1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3" s="9" t="e" cm="1">
        <f t="array" ref="CC17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3" s="9" t="e" cm="1">
        <f t="array" ref="CD1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3" s="9" t="e" cm="1">
        <f t="array" ref="CE17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3" s="9" cm="1">
        <f t="array" ref="CF173">IFERROR(_xlfn.AGGREGATE(14,6,(tbl_Case_mins[Rank_AnaEnd])/((tbl_Case_mins[Surgery Start Date]=tbl_Case_mins[[#This Row],[Surgery Start Date]])*(tbl_Case_mins[Theatre]=tbl_Case_mins[[#This Row],[Theatre]])*(tbl_Case_mins[NoInCoreTime]=0)),1),-1)</f>
        <v>-1</v>
      </c>
      <c r="CG173" s="9" cm="1">
        <f t="array" ref="CG173">IFERROR(_xlfn.AGGREGATE(15,6,(tbl_Case_mins[Rank_AnaSt])/((tbl_Case_mins[Surgery Start Date]=tbl_Case_mins[[#This Row],[Surgery Start Date]])*(tbl_Case_mins[Theatre]=tbl_Case_mins[[#This Row],[Theatre]])*(tbl_Case_mins[NoInCoreTime]=0)),1),-1)</f>
        <v>-1</v>
      </c>
      <c r="CH17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3" t="e" cm="1">
        <f t="array" ref="CJ17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3" s="9" cm="1">
        <f t="array" ref="CO1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3" s="9" cm="1">
        <f t="array" ref="CP1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3" s="9" cm="1">
        <f t="array" ref="CQ173">IFERROR(IF(AND(tbl_Case_mins[[#This Row],[FirstAMCase]]=0,tbl_Case_mins[[#This Row],[Rank]]=_xlfn.AGGREGATE(14,6,(tbl_Case_mins[Rank])/((tbl_Case_mins[Surgery Start Date]=tbl_Case_mins[[#This Row],[Surgery Start Date]])*(tbl_Case_mins[Theatre]=tbl_Case_mins[[#This Row],[Theatre]])*(tbl_Case_mins[AmCase]=1)),1)),1,0),0)</f>
        <v>0</v>
      </c>
      <c r="CR173" s="9" cm="1">
        <f t="array" ref="CR17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3" s="9" t="e" cm="1">
        <f t="array" ref="CS17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3" s="9" cm="1">
        <f t="array" ref="CT173">IFERROR(IF(tbl_Case_mins[[#This Row],[Rank]]=_xlfn.AGGREGATE(15,6,(tbl_Case_mins[Rank])/((tbl_Case_mins[Surgery Start Date]=tbl_Case_mins[[#This Row],[Surgery Start Date]])*(tbl_Case_mins[Theatre]=tbl_Case_mins[[#This Row],[Theatre]])*(tbl_Case_mins[PmCase]=1)),1),1,0),0)</f>
        <v>0</v>
      </c>
      <c r="CU173">
        <f>IFERROR(#REF!,0)</f>
        <v>0</v>
      </c>
      <c r="CV173" s="9" t="e" cm="1">
        <f t="array" ref="CV17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3" s="9">
        <f>IFERROR(IF(ISBLANK(INDEX(Bay_AmClose,MATCH(1,INDEX((tbl_Case_mins[[#This Row],[Bay]]=BayNo)*(tbl_Case_mins[[#This Row],[Surgery Start Date]]=BDate),0,1),0))*1440),0,INDEX(Bay_AmClose,MATCH(1,INDEX((tbl_Case_mins[[#This Row],[Bay]]=BayNo)*(tbl_Case_mins[[#This Row],[Surgery Start Date]]=BDate),0,1),0))*1440),0)</f>
        <v>0</v>
      </c>
      <c r="CX173" s="9" cm="1">
        <f t="array" ref="CX173">IFERROR(IF(ISBLANK(INDEX(Bay_PmOpen,MATCH(1,INDEX((tbl_Case_mins[[#This Row],[Bay]]=BayNo)*(tbl_Case_mins[[#This Row],[Surgery Start Date]]=BDate),0,1),0))*1440),0,INDEX(Bay_PmOpen,MATCH(1,INDEX((tbl_Case_mins[[#This Row],[Bay]]=BayNo)*(tbl_Case_mins[[#This Row],[Surgery Start Date]]=BDate),0,1),0))*1440),0)</f>
        <v>0</v>
      </c>
      <c r="CY17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3" s="9"/>
    </row>
    <row r="174" spans="1:104" x14ac:dyDescent="0.2">
      <c r="A174">
        <v>173</v>
      </c>
      <c r="B174" t="e">
        <f>#REF!</f>
        <v>#REF!</v>
      </c>
      <c r="C174" t="e">
        <f>#REF!</f>
        <v>#REF!</v>
      </c>
      <c r="D174" t="e">
        <f>#REF!</f>
        <v>#REF!</v>
      </c>
      <c r="E174" t="e">
        <f>#REF!</f>
        <v>#REF!</v>
      </c>
      <c r="F174" t="e">
        <f>#REF!</f>
        <v>#REF!</v>
      </c>
      <c r="G174" t="e">
        <f>#REF!</f>
        <v>#REF!</v>
      </c>
      <c r="H174" t="e">
        <f>#REF!</f>
        <v>#REF!</v>
      </c>
      <c r="I174" t="e">
        <f>IF(#REF!="Case Cancelled",1,IF(#REF!="No Cases",2,0))</f>
        <v>#REF!</v>
      </c>
      <c r="J174" t="e">
        <f>#REF!</f>
        <v>#REF!</v>
      </c>
      <c r="K174" s="4" t="e">
        <f>#REF!</f>
        <v>#REF!</v>
      </c>
      <c r="L174" t="e">
        <f>"Wk "&amp;WEEKNUM(tbl_Case_mins[[#This Row],[Surgery Start Date]],21)</f>
        <v>#REF!</v>
      </c>
      <c r="M174" t="e">
        <f>TEXT(tbl_Case_mins[[#This Row],[Surgery Start Date]],"ddd")</f>
        <v>#REF!</v>
      </c>
      <c r="N174" s="9" t="e">
        <f>(#REF!-TIME(0,0,0))*1440</f>
        <v>#REF!</v>
      </c>
      <c r="O174" t="e">
        <f>IF(AND(ROUND((#REF!-TIME(0,0,0))*1440,0)&gt;0,ROUND((#REF!-TIME(0,0,0))*1440,0)&lt;tbl_Case_mins[[#This Row],[Patient Called]],tbl_Case_mins[[#This Row],[Surgery End Date]]&gt;tbl_Case_mins[[#This Row],[Surgery Start Date]]),ROUND((#REF!-TIME(0,0,0))*1440,0)+1440,ROUND((#REF!-TIME(0,0,0))*1440,0))</f>
        <v>#REF!</v>
      </c>
      <c r="P174" s="9" t="e">
        <f>IF(AND(ROUND((#REF!-TIME(0,0,0))*1440,0)&gt;0,ROUND((#REF!-TIME(0,0,0))*1440,0)&lt;tbl_Case_mins[[#This Row],[Arrival]],tbl_Case_mins[[#This Row],[Surgery End Date]]&gt;tbl_Case_mins[[#This Row],[Surgery Start Date]]),ROUND((#REF!-TIME(0,0,0))*1440,0)+1440,ROUND((#REF!-TIME(0,0,0))*1440,0))</f>
        <v>#REF!</v>
      </c>
      <c r="Q174" s="9" t="e">
        <f>IF(AND(ROUND((#REF!-TIME(0,0,0))*1440,0)&gt;0,ROUND((#REF!-TIME(0,0,0))*1440,0)&lt;tbl_Case_mins[[#This Row],[Into Th or AR]],tbl_Case_mins[[#This Row],[Surgery End Date]]&gt;tbl_Case_mins[[#This Row],[Surgery Start Date]]),ROUND((#REF!-TIME(0,0,0))*1440,0)+1440,ROUND((#REF!-TIME(0,0,0))*1440,0))</f>
        <v>#REF!</v>
      </c>
      <c r="R174" s="9" t="e">
        <f>IF(AND(ROUND((#REF!-TIME(0,0,0))*1440,0)&gt;0,ROUND((#REF!-TIME(0,0,0))*1440,0)&lt;tbl_Case_mins[[#This Row],[AnaesthStart]],tbl_Case_mins[[#This Row],[Surgery End Date]]&gt;tbl_Case_mins[[#This Row],[Surgery Start Date]]),ROUND((#REF!-TIME(0,0,0))*1440,0)+1440,ROUND((#REF!-TIME(0,0,0))*1440,0))</f>
        <v>#REF!</v>
      </c>
      <c r="S174" s="9" t="e">
        <f>IF(AND(ROUND((#REF!-TIME(0,0,0))*1440,0),ROUND((#REF!-TIME(0,0,0))*1440,0)&lt;tbl_Case_mins[[#This Row],[Surgery Start]],tbl_Case_mins[[#This Row],[Surgery End Date]]&gt;tbl_Case_mins[[#This Row],[Surgery Start Date]]),ROUND((#REF!-TIME(0,0,0))*1440,0)+1440,ROUND((#REF!-TIME(0,0,0))*1440,0))</f>
        <v>#REF!</v>
      </c>
      <c r="T174" s="9" t="e">
        <f>IF(AND(ROUND((#REF!-TIME(0,0,0))*1440,0)&gt;0,ROUND((#REF!-TIME(0,0,0))*1440,0)&lt;tbl_Case_mins[[#This Row],[Surgery Finish]],tbl_Case_mins[[#This Row],[Surgery End Date]]&gt;tbl_Case_mins[[#This Row],[Surgery Start Date]]),ROUND((#REF!-TIME(0,0,0))*1440,0)+1440,ROUND((#REF!-TIME(0,0,0))*1440,0))</f>
        <v>#REF!</v>
      </c>
      <c r="U174" s="9" t="e">
        <f>IF(AND(ROUND((#REF!-TIME(0,0,0))*1440,0)&gt;0,ROUND((#REF!-TIME(0,0,0))*1440,0)&lt;tbl_Case_mins[[#This Row],[Anaesth End]],tbl_Case_mins[[#This Row],[Surgery End Date]]&gt;tbl_Case_mins[[#This Row],[Surgery Start Date]]),ROUND((#REF!-TIME(0,0,0))*1440,0)+1440,ROUND((#REF!-TIME(0,0,0))*1440,0))</f>
        <v>#REF!</v>
      </c>
      <c r="V174" s="9" t="e">
        <f>IF(AND(ROUND((#REF!-TIME(0,0,0))*1440,0)&gt;0,ROUND((#REF!-TIME(0,0,0))*1440,0)&lt;tbl_Case_mins[[#This Row],[Into Recov]],tbl_Case_mins[[#This Row],[Surgery End Date]]&gt;tbl_Case_mins[[#This Row],[Surgery Start Date]]),ROUND((#REF!-TIME(0,0,0))*1440,0)+1440,ROUND((#REF!-TIME(0,0,0))*1440,0))</f>
        <v>#REF!</v>
      </c>
      <c r="W174" s="9" t="e">
        <f>IF(AND(ROUND((#REF!-TIME(0,0,0))*1440,0)&gt;0,ROUND((#REF!-TIME(0,0,0))*1440,0)&lt;tbl_Case_mins[[#This Row],[Ward Called]],tbl_Case_mins[[#This Row],[Surgery End Date]]&gt;tbl_Case_mins[[#This Row],[Surgery Start Date]]),ROUND((#REF!-TIME(0,0,0))*1440,0)+1440,ROUND((#REF!-TIME(0,0,0))*1440,0))</f>
        <v>#REF!</v>
      </c>
      <c r="X174" s="4" t="e">
        <f>IF(ISBLANK(#REF!),tbl_Case_mins[[#This Row],[Surgery Start Date]],#REF!)</f>
        <v>#REF!</v>
      </c>
      <c r="Y174">
        <f>IFERROR(IF(VLOOKUP(tbl_Case_mins[[#This Row],[Theatre]],'Mng Theatres'!$C$7:$G$12,3,FALSE)="Yes","Yes","No"),0)</f>
        <v>0</v>
      </c>
      <c r="Z174" s="9" t="e" cm="1">
        <f t="array" ref="Z17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4" s="9" t="e" cm="1">
        <f t="array" ref="AA17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4" s="9" t="e">
        <f>IF(tbl_Case_mins[[#This Row],[Case Type]]="Unsch",1,0)</f>
        <v>#REF!</v>
      </c>
      <c r="AD174" s="9" t="e">
        <f>IF(tbl_Case_mins[[#This Row],[Case Type]]="Sch",1,0)</f>
        <v>#REF!</v>
      </c>
      <c r="AE17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4" s="9">
        <f>IFERROR(IF(ISBLANK(INDEX(Am_Close,MATCH(1,INDEX((tbl_Case_mins[[#This Row],[Theatre]]=Theatre_No)*(tbl_Case_mins[[#This Row],[Surgery Start Date]]=Date),0,1),0))*1440),0,INDEX(Am_Close,MATCH(1,INDEX((tbl_Case_mins[[#This Row],[Theatre]]=Theatre_No)*(tbl_Case_mins[[#This Row],[Surgery Start Date]]=Date),0,1),0))*1440),0)</f>
        <v>0</v>
      </c>
      <c r="AG174" s="9">
        <f>IFERROR(IF(ISBLANK(INDEX(PM_Open,MATCH(1,INDEX((tbl_Case_mins[[#This Row],[Theatre]]=Theatre_No)*(tbl_Case_mins[[#This Row],[Surgery Start Date]]=Date),0,1),0))*1440),0,INDEX(PM_Open,MATCH(1,INDEX((tbl_Case_mins[[#This Row],[Theatre]]=Theatre_No)*(tbl_Case_mins[[#This Row],[Surgery Start Date]]=Date),0,1),0))*1440),0)</f>
        <v>0</v>
      </c>
      <c r="AH17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4" s="9" t="e">
        <f>IF(tbl_Case_mins[[#This Row],[ThOpenAm]]=0,tbl_Case_mins[[#This Row],[ThOpenPM]],tbl_Case_mins[[#This Row],[ThOpenAm]])</f>
        <v>#REF!</v>
      </c>
      <c r="AJ174" s="9" t="e">
        <f>IF(tbl_Case_mins[[#This Row],[ThCloseAm]]&gt;0,IF(tbl_Case_mins[[#This Row],[ThOpenPM]]&gt;0,tbl_Case_mins[[#This Row],[ThClosePm]],tbl_Case_mins[[#This Row],[ThCloseAm]]),tbl_Case_mins[[#This Row],[ThClosePm]])</f>
        <v>#REF!</v>
      </c>
      <c r="AK174" s="9" t="e">
        <f>IF(tbl_Case_mins[[#This Row],[TOT]]&gt;0,1,0)</f>
        <v>#REF!</v>
      </c>
      <c r="AL17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4" s="9" t="e">
        <f>IF(AND(tbl_Case_mins[[#This Row],[Surgery Status]]&lt;&gt;2,tbl_Case_mins[[#This Row],[InCoreCase]]=0,tbl_Case_mins[[#This Row],[CancelledCase]]=0),1,0)</f>
        <v>#REF!</v>
      </c>
      <c r="AN174" s="9" t="e">
        <f>IF(tbl_Case_mins[[#This Row],[Surgery Status]]=1,1,0)</f>
        <v>#REF!</v>
      </c>
      <c r="AO17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4" s="9" t="e">
        <f>IF(AND(tbl_Case_mins[[#This Row],[NonCoreCase]]=1,tbl_Case_mins[[#This Row],[NoInCoreTime]]=0),1,0)</f>
        <v>#REF!</v>
      </c>
      <c r="AQ174" s="9" t="e">
        <f>IF(tbl_Case_mins[[#This Row],[Rank_AnaEnd]]&lt;tbl_Case_mins[[#This Row],[Rank_AnaSt]],1,0)</f>
        <v>#REF!</v>
      </c>
      <c r="AR174" s="9" t="e">
        <f>IF(AND(tbl_Case_mins[[#This Row],[InCoreCase]]=1,tbl_Case_mins[[#This Row],[Sch]]=1),1,0)</f>
        <v>#REF!</v>
      </c>
      <c r="AS174" s="9" t="e">
        <f>IF(AND(tbl_Case_mins[[#This Row],[InCoreCase]]=1,tbl_Case_mins[[#This Row],[Unsch]]=1),1,0)</f>
        <v>#REF!</v>
      </c>
      <c r="AT17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4" s="9" t="e">
        <f>IF(tbl_Case_mins[[#This Row],[Surgery Status]]=0,(tbl_Case_mins[[#This Row],[Anaesth End]]-tbl_Case_mins[[#This Row],[AnaesthStart]]),0)</f>
        <v>#REF!</v>
      </c>
      <c r="AX174" s="9" t="e">
        <f>IF(tbl_Case_mins[[#This Row],[Surgery Status]]=0,(tbl_Case_mins[[#This Row],[Surgery Finish]]-tbl_Case_mins[[#This Row],[Surgery Start]]),0)</f>
        <v>#REF!</v>
      </c>
      <c r="AY174" s="9" t="e">
        <f>tbl_Case_mins[[#This Row],[Surgery Start]]-tbl_Case_mins[[#This Row],[AnaesthStart]]</f>
        <v>#REF!</v>
      </c>
      <c r="AZ174" s="9" t="e">
        <f>tbl_Case_mins[[#This Row],[Anaesth End]]-tbl_Case_mins[[#This Row],[Surgery Finish]]</f>
        <v>#REF!</v>
      </c>
      <c r="BA17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4" s="16" cm="1">
        <f t="array" ref="BC17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4" s="16" t="e">
        <f>IF(AND(tbl_Case_mins[[#This Row],[FirstAMCase]]=1,tbl_Case_mins[[#This Row],[CancelledCase]]=0,OR(tbl_Case_mins[[#This Row],[EarlyStartAM]]&gt;0,tbl_Case_mins[[#This Row],[AnaesthStart]]=tbl_Case_mins[[#This Row],[ThOpenAm]])),1,0)</f>
        <v>#REF!</v>
      </c>
      <c r="BE174" s="16" t="e">
        <f>IF(AND(tbl_Case_mins[[#This Row],[Rank_AnaSt]]=tbl_Case_mins[[#This Row],[Min_RankAnaSt]],tbl_Case_mins[[#This Row],[Anaesth End]]&gt;=tbl_Case_mins[[#This Row],[ThOpenAm]],tbl_Case_mins[[#This Row],[PmCase]]=0),1,0)</f>
        <v>#REF!</v>
      </c>
      <c r="BF17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4" s="9" t="e" cm="1">
        <f t="array" ref="BH17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4" s="9" t="e">
        <f>IF(AND(tbl_Case_mins[[#This Row],[ThOpenPM]]&gt;0,tbl_Case_mins[[#This Row],[AnaesthStart]]&gt;tbl_Case_mins[[#This Row],[ThOpenPM]],tbl_Case_mins[[#This Row],[First PM Case]]=1),tbl_Case_mins[[#This Row],[AnaesthStart]]-tbl_Case_mins[[#This Row],[ThOpenPM]],0)</f>
        <v>#REF!</v>
      </c>
      <c r="BL17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4" s="9" t="e" cm="1">
        <f t="array" ref="BN17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4" s="9" t="e">
        <f>IF(AND(tbl_Case_mins[[#This Row],[ThClosePm]]&gt;0,tbl_Case_mins[[#This Row],[Anaesth End]]&gt;tbl_Case_mins[[#This Row],[ThClosePm]],tbl_Case_mins[[#This Row],[AnaesthStart]]&gt;tbl_Case_mins[[#This Row],[ThClosePm]]),tbl_Case_mins[[#This Row],[Into Recov]]-tbl_Case_mins[[#This Row],[AnaesthStart]],0)</f>
        <v>#REF!</v>
      </c>
      <c r="BP174" s="9" t="e">
        <f>IF(AND(tbl_Case_mins[[#This Row],[AnaesthStart]]&lt;tbl_Case_mins[[#This Row],[ThClosePm]],tbl_Case_mins[[#This Row],[Anaesth End]]&gt;tbl_Case_mins[[#This Row],[ThClosePm]]),tbl_Case_mins[[#This Row],[Anaesth End]]-tbl_Case_mins[[#This Row],[ThClosePm]],0)</f>
        <v>#REF!</v>
      </c>
      <c r="BQ174" s="9" t="e" cm="1">
        <f t="array" ref="BQ17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4" s="9" t="e" cm="1">
        <f t="array" ref="BR174">IF(tbl_Case_mins[[#This Row],[Rank_Adjust]]=SUMPRODUCT(-(tbl_Case_mins[Surgery Start Date]=tbl_Case_mins[[#This Row],[Surgery Start Date]]),-(tbl_Case_mins[Theatre]=tbl_Case_mins[[#This Row],[Theatre]])),INDEX(Poss_Time,MATCH(TEXT(tbl_Case_mins[[#This Row],[Surgery Start Date]],"ddd"),Day,0)),0)</f>
        <v>#REF!</v>
      </c>
      <c r="BS174" s="9" t="e">
        <f>tbl_Case_mins[[#This Row],[Core_Time]]*Util_Goal</f>
        <v>#REF!</v>
      </c>
      <c r="BT174" s="9" t="e" cm="1">
        <f t="array" ref="BT1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4" s="9" t="e" cm="1">
        <f t="array" ref="BU1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4" s="9" t="e">
        <f>IF(tbl_Case_mins[[#This Row],[Surgery End Date]]&gt;tbl_Case_mins[[#This Row],[Surgery Start Date]],tbl_Case_mins[[#This Row],[Anaesth End]]-1440,0)</f>
        <v>#REF!</v>
      </c>
      <c r="BY174" s="9" t="e">
        <f>tbl_Case_mins[[#This Row],[Total_NonCore]]-tbl_Case_mins[[#This Row],[NextDay_NonCore]]</f>
        <v>#REF!</v>
      </c>
      <c r="BZ174" s="10" t="e">
        <f>tbl_Case_mins[[#This Row],[InCoreUse]]/60</f>
        <v>#REF!</v>
      </c>
      <c r="CA174" s="10" t="e">
        <f>tbl_Case_mins[[#This Row],[Total_NonCore]]/60</f>
        <v>#REF!</v>
      </c>
      <c r="CB174" t="e" cm="1">
        <f t="array" ref="CB1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4" s="9" t="e" cm="1">
        <f t="array" ref="CC17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4" s="9" t="e" cm="1">
        <f t="array" ref="CD1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4" s="9" t="e" cm="1">
        <f t="array" ref="CE17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4" s="9" cm="1">
        <f t="array" ref="CF174">IFERROR(_xlfn.AGGREGATE(14,6,(tbl_Case_mins[Rank_AnaEnd])/((tbl_Case_mins[Surgery Start Date]=tbl_Case_mins[[#This Row],[Surgery Start Date]])*(tbl_Case_mins[Theatre]=tbl_Case_mins[[#This Row],[Theatre]])*(tbl_Case_mins[NoInCoreTime]=0)),1),-1)</f>
        <v>-1</v>
      </c>
      <c r="CG174" s="9" cm="1">
        <f t="array" ref="CG174">IFERROR(_xlfn.AGGREGATE(15,6,(tbl_Case_mins[Rank_AnaSt])/((tbl_Case_mins[Surgery Start Date]=tbl_Case_mins[[#This Row],[Surgery Start Date]])*(tbl_Case_mins[Theatre]=tbl_Case_mins[[#This Row],[Theatre]])*(tbl_Case_mins[NoInCoreTime]=0)),1),-1)</f>
        <v>-1</v>
      </c>
      <c r="CH17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4" t="e" cm="1">
        <f t="array" ref="CJ17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4" s="9" cm="1">
        <f t="array" ref="CO1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4" s="9" cm="1">
        <f t="array" ref="CP1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4" s="9" cm="1">
        <f t="array" ref="CQ174">IFERROR(IF(AND(tbl_Case_mins[[#This Row],[FirstAMCase]]=0,tbl_Case_mins[[#This Row],[Rank]]=_xlfn.AGGREGATE(14,6,(tbl_Case_mins[Rank])/((tbl_Case_mins[Surgery Start Date]=tbl_Case_mins[[#This Row],[Surgery Start Date]])*(tbl_Case_mins[Theatre]=tbl_Case_mins[[#This Row],[Theatre]])*(tbl_Case_mins[AmCase]=1)),1)),1,0),0)</f>
        <v>0</v>
      </c>
      <c r="CR174" s="9" cm="1">
        <f t="array" ref="CR17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4" s="9" t="e" cm="1">
        <f t="array" ref="CS17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4" s="9" cm="1">
        <f t="array" ref="CT174">IFERROR(IF(tbl_Case_mins[[#This Row],[Rank]]=_xlfn.AGGREGATE(15,6,(tbl_Case_mins[Rank])/((tbl_Case_mins[Surgery Start Date]=tbl_Case_mins[[#This Row],[Surgery Start Date]])*(tbl_Case_mins[Theatre]=tbl_Case_mins[[#This Row],[Theatre]])*(tbl_Case_mins[PmCase]=1)),1),1,0),0)</f>
        <v>0</v>
      </c>
      <c r="CU174">
        <f>IFERROR(#REF!,0)</f>
        <v>0</v>
      </c>
      <c r="CV174" s="9" t="e" cm="1">
        <f t="array" ref="CV17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4" s="9">
        <f>IFERROR(IF(ISBLANK(INDEX(Bay_AmClose,MATCH(1,INDEX((tbl_Case_mins[[#This Row],[Bay]]=BayNo)*(tbl_Case_mins[[#This Row],[Surgery Start Date]]=BDate),0,1),0))*1440),0,INDEX(Bay_AmClose,MATCH(1,INDEX((tbl_Case_mins[[#This Row],[Bay]]=BayNo)*(tbl_Case_mins[[#This Row],[Surgery Start Date]]=BDate),0,1),0))*1440),0)</f>
        <v>0</v>
      </c>
      <c r="CX174" s="9" cm="1">
        <f t="array" ref="CX174">IFERROR(IF(ISBLANK(INDEX(Bay_PmOpen,MATCH(1,INDEX((tbl_Case_mins[[#This Row],[Bay]]=BayNo)*(tbl_Case_mins[[#This Row],[Surgery Start Date]]=BDate),0,1),0))*1440),0,INDEX(Bay_PmOpen,MATCH(1,INDEX((tbl_Case_mins[[#This Row],[Bay]]=BayNo)*(tbl_Case_mins[[#This Row],[Surgery Start Date]]=BDate),0,1),0))*1440),0)</f>
        <v>0</v>
      </c>
      <c r="CY17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4" s="9"/>
    </row>
    <row r="175" spans="1:104" x14ac:dyDescent="0.2">
      <c r="A175">
        <v>174</v>
      </c>
      <c r="B175" t="e">
        <f>#REF!</f>
        <v>#REF!</v>
      </c>
      <c r="C175" t="e">
        <f>#REF!</f>
        <v>#REF!</v>
      </c>
      <c r="D175" t="e">
        <f>#REF!</f>
        <v>#REF!</v>
      </c>
      <c r="E175" t="e">
        <f>#REF!</f>
        <v>#REF!</v>
      </c>
      <c r="F175" t="e">
        <f>#REF!</f>
        <v>#REF!</v>
      </c>
      <c r="G175" t="e">
        <f>#REF!</f>
        <v>#REF!</v>
      </c>
      <c r="H175" t="e">
        <f>#REF!</f>
        <v>#REF!</v>
      </c>
      <c r="I175" t="e">
        <f>IF(#REF!="Case Cancelled",1,IF(#REF!="No Cases",2,0))</f>
        <v>#REF!</v>
      </c>
      <c r="J175" t="e">
        <f>#REF!</f>
        <v>#REF!</v>
      </c>
      <c r="K175" s="4" t="e">
        <f>#REF!</f>
        <v>#REF!</v>
      </c>
      <c r="L175" t="e">
        <f>"Wk "&amp;WEEKNUM(tbl_Case_mins[[#This Row],[Surgery Start Date]],21)</f>
        <v>#REF!</v>
      </c>
      <c r="M175" t="e">
        <f>TEXT(tbl_Case_mins[[#This Row],[Surgery Start Date]],"ddd")</f>
        <v>#REF!</v>
      </c>
      <c r="N175" s="9" t="e">
        <f>(#REF!-TIME(0,0,0))*1440</f>
        <v>#REF!</v>
      </c>
      <c r="O175" t="e">
        <f>IF(AND(ROUND((#REF!-TIME(0,0,0))*1440,0)&gt;0,ROUND((#REF!-TIME(0,0,0))*1440,0)&lt;tbl_Case_mins[[#This Row],[Patient Called]],tbl_Case_mins[[#This Row],[Surgery End Date]]&gt;tbl_Case_mins[[#This Row],[Surgery Start Date]]),ROUND((#REF!-TIME(0,0,0))*1440,0)+1440,ROUND((#REF!-TIME(0,0,0))*1440,0))</f>
        <v>#REF!</v>
      </c>
      <c r="P175" s="9" t="e">
        <f>IF(AND(ROUND((#REF!-TIME(0,0,0))*1440,0)&gt;0,ROUND((#REF!-TIME(0,0,0))*1440,0)&lt;tbl_Case_mins[[#This Row],[Arrival]],tbl_Case_mins[[#This Row],[Surgery End Date]]&gt;tbl_Case_mins[[#This Row],[Surgery Start Date]]),ROUND((#REF!-TIME(0,0,0))*1440,0)+1440,ROUND((#REF!-TIME(0,0,0))*1440,0))</f>
        <v>#REF!</v>
      </c>
      <c r="Q175" s="9" t="e">
        <f>IF(AND(ROUND((#REF!-TIME(0,0,0))*1440,0)&gt;0,ROUND((#REF!-TIME(0,0,0))*1440,0)&lt;tbl_Case_mins[[#This Row],[Into Th or AR]],tbl_Case_mins[[#This Row],[Surgery End Date]]&gt;tbl_Case_mins[[#This Row],[Surgery Start Date]]),ROUND((#REF!-TIME(0,0,0))*1440,0)+1440,ROUND((#REF!-TIME(0,0,0))*1440,0))</f>
        <v>#REF!</v>
      </c>
      <c r="R175" s="9" t="e">
        <f>IF(AND(ROUND((#REF!-TIME(0,0,0))*1440,0)&gt;0,ROUND((#REF!-TIME(0,0,0))*1440,0)&lt;tbl_Case_mins[[#This Row],[AnaesthStart]],tbl_Case_mins[[#This Row],[Surgery End Date]]&gt;tbl_Case_mins[[#This Row],[Surgery Start Date]]),ROUND((#REF!-TIME(0,0,0))*1440,0)+1440,ROUND((#REF!-TIME(0,0,0))*1440,0))</f>
        <v>#REF!</v>
      </c>
      <c r="S175" s="9" t="e">
        <f>IF(AND(ROUND((#REF!-TIME(0,0,0))*1440,0),ROUND((#REF!-TIME(0,0,0))*1440,0)&lt;tbl_Case_mins[[#This Row],[Surgery Start]],tbl_Case_mins[[#This Row],[Surgery End Date]]&gt;tbl_Case_mins[[#This Row],[Surgery Start Date]]),ROUND((#REF!-TIME(0,0,0))*1440,0)+1440,ROUND((#REF!-TIME(0,0,0))*1440,0))</f>
        <v>#REF!</v>
      </c>
      <c r="T175" s="9" t="e">
        <f>IF(AND(ROUND((#REF!-TIME(0,0,0))*1440,0)&gt;0,ROUND((#REF!-TIME(0,0,0))*1440,0)&lt;tbl_Case_mins[[#This Row],[Surgery Finish]],tbl_Case_mins[[#This Row],[Surgery End Date]]&gt;tbl_Case_mins[[#This Row],[Surgery Start Date]]),ROUND((#REF!-TIME(0,0,0))*1440,0)+1440,ROUND((#REF!-TIME(0,0,0))*1440,0))</f>
        <v>#REF!</v>
      </c>
      <c r="U175" s="9" t="e">
        <f>IF(AND(ROUND((#REF!-TIME(0,0,0))*1440,0)&gt;0,ROUND((#REF!-TIME(0,0,0))*1440,0)&lt;tbl_Case_mins[[#This Row],[Anaesth End]],tbl_Case_mins[[#This Row],[Surgery End Date]]&gt;tbl_Case_mins[[#This Row],[Surgery Start Date]]),ROUND((#REF!-TIME(0,0,0))*1440,0)+1440,ROUND((#REF!-TIME(0,0,0))*1440,0))</f>
        <v>#REF!</v>
      </c>
      <c r="V175" s="9" t="e">
        <f>IF(AND(ROUND((#REF!-TIME(0,0,0))*1440,0)&gt;0,ROUND((#REF!-TIME(0,0,0))*1440,0)&lt;tbl_Case_mins[[#This Row],[Into Recov]],tbl_Case_mins[[#This Row],[Surgery End Date]]&gt;tbl_Case_mins[[#This Row],[Surgery Start Date]]),ROUND((#REF!-TIME(0,0,0))*1440,0)+1440,ROUND((#REF!-TIME(0,0,0))*1440,0))</f>
        <v>#REF!</v>
      </c>
      <c r="W175" s="9" t="e">
        <f>IF(AND(ROUND((#REF!-TIME(0,0,0))*1440,0)&gt;0,ROUND((#REF!-TIME(0,0,0))*1440,0)&lt;tbl_Case_mins[[#This Row],[Ward Called]],tbl_Case_mins[[#This Row],[Surgery End Date]]&gt;tbl_Case_mins[[#This Row],[Surgery Start Date]]),ROUND((#REF!-TIME(0,0,0))*1440,0)+1440,ROUND((#REF!-TIME(0,0,0))*1440,0))</f>
        <v>#REF!</v>
      </c>
      <c r="X175" s="4" t="e">
        <f>IF(ISBLANK(#REF!),tbl_Case_mins[[#This Row],[Surgery Start Date]],#REF!)</f>
        <v>#REF!</v>
      </c>
      <c r="Y175">
        <f>IFERROR(IF(VLOOKUP(tbl_Case_mins[[#This Row],[Theatre]],'Mng Theatres'!$C$7:$G$12,3,FALSE)="Yes","Yes","No"),0)</f>
        <v>0</v>
      </c>
      <c r="Z175" s="9" t="e" cm="1">
        <f t="array" ref="Z17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5" s="9" t="e" cm="1">
        <f t="array" ref="AA17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5" s="9" t="e">
        <f>IF(tbl_Case_mins[[#This Row],[Case Type]]="Unsch",1,0)</f>
        <v>#REF!</v>
      </c>
      <c r="AD175" s="9" t="e">
        <f>IF(tbl_Case_mins[[#This Row],[Case Type]]="Sch",1,0)</f>
        <v>#REF!</v>
      </c>
      <c r="AE17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5" s="9">
        <f>IFERROR(IF(ISBLANK(INDEX(Am_Close,MATCH(1,INDEX((tbl_Case_mins[[#This Row],[Theatre]]=Theatre_No)*(tbl_Case_mins[[#This Row],[Surgery Start Date]]=Date),0,1),0))*1440),0,INDEX(Am_Close,MATCH(1,INDEX((tbl_Case_mins[[#This Row],[Theatre]]=Theatre_No)*(tbl_Case_mins[[#This Row],[Surgery Start Date]]=Date),0,1),0))*1440),0)</f>
        <v>0</v>
      </c>
      <c r="AG175" s="9">
        <f>IFERROR(IF(ISBLANK(INDEX(PM_Open,MATCH(1,INDEX((tbl_Case_mins[[#This Row],[Theatre]]=Theatre_No)*(tbl_Case_mins[[#This Row],[Surgery Start Date]]=Date),0,1),0))*1440),0,INDEX(PM_Open,MATCH(1,INDEX((tbl_Case_mins[[#This Row],[Theatre]]=Theatre_No)*(tbl_Case_mins[[#This Row],[Surgery Start Date]]=Date),0,1),0))*1440),0)</f>
        <v>0</v>
      </c>
      <c r="AH17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5" s="9" t="e">
        <f>IF(tbl_Case_mins[[#This Row],[ThOpenAm]]=0,tbl_Case_mins[[#This Row],[ThOpenPM]],tbl_Case_mins[[#This Row],[ThOpenAm]])</f>
        <v>#REF!</v>
      </c>
      <c r="AJ175" s="9" t="e">
        <f>IF(tbl_Case_mins[[#This Row],[ThCloseAm]]&gt;0,IF(tbl_Case_mins[[#This Row],[ThOpenPM]]&gt;0,tbl_Case_mins[[#This Row],[ThClosePm]],tbl_Case_mins[[#This Row],[ThCloseAm]]),tbl_Case_mins[[#This Row],[ThClosePm]])</f>
        <v>#REF!</v>
      </c>
      <c r="AK175" s="9" t="e">
        <f>IF(tbl_Case_mins[[#This Row],[TOT]]&gt;0,1,0)</f>
        <v>#REF!</v>
      </c>
      <c r="AL17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5" s="9" t="e">
        <f>IF(AND(tbl_Case_mins[[#This Row],[Surgery Status]]&lt;&gt;2,tbl_Case_mins[[#This Row],[InCoreCase]]=0,tbl_Case_mins[[#This Row],[CancelledCase]]=0),1,0)</f>
        <v>#REF!</v>
      </c>
      <c r="AN175" s="9" t="e">
        <f>IF(tbl_Case_mins[[#This Row],[Surgery Status]]=1,1,0)</f>
        <v>#REF!</v>
      </c>
      <c r="AO17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5" s="9" t="e">
        <f>IF(AND(tbl_Case_mins[[#This Row],[NonCoreCase]]=1,tbl_Case_mins[[#This Row],[NoInCoreTime]]=0),1,0)</f>
        <v>#REF!</v>
      </c>
      <c r="AQ175" s="9" t="e">
        <f>IF(tbl_Case_mins[[#This Row],[Rank_AnaEnd]]&lt;tbl_Case_mins[[#This Row],[Rank_AnaSt]],1,0)</f>
        <v>#REF!</v>
      </c>
      <c r="AR175" s="9" t="e">
        <f>IF(AND(tbl_Case_mins[[#This Row],[InCoreCase]]=1,tbl_Case_mins[[#This Row],[Sch]]=1),1,0)</f>
        <v>#REF!</v>
      </c>
      <c r="AS175" s="9" t="e">
        <f>IF(AND(tbl_Case_mins[[#This Row],[InCoreCase]]=1,tbl_Case_mins[[#This Row],[Unsch]]=1),1,0)</f>
        <v>#REF!</v>
      </c>
      <c r="AT17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5" s="9" t="e">
        <f>IF(tbl_Case_mins[[#This Row],[Surgery Status]]=0,(tbl_Case_mins[[#This Row],[Anaesth End]]-tbl_Case_mins[[#This Row],[AnaesthStart]]),0)</f>
        <v>#REF!</v>
      </c>
      <c r="AX175" s="9" t="e">
        <f>IF(tbl_Case_mins[[#This Row],[Surgery Status]]=0,(tbl_Case_mins[[#This Row],[Surgery Finish]]-tbl_Case_mins[[#This Row],[Surgery Start]]),0)</f>
        <v>#REF!</v>
      </c>
      <c r="AY175" s="9" t="e">
        <f>tbl_Case_mins[[#This Row],[Surgery Start]]-tbl_Case_mins[[#This Row],[AnaesthStart]]</f>
        <v>#REF!</v>
      </c>
      <c r="AZ175" s="9" t="e">
        <f>tbl_Case_mins[[#This Row],[Anaesth End]]-tbl_Case_mins[[#This Row],[Surgery Finish]]</f>
        <v>#REF!</v>
      </c>
      <c r="BA17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5" s="16" cm="1">
        <f t="array" ref="BC17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5" s="16" t="e">
        <f>IF(AND(tbl_Case_mins[[#This Row],[FirstAMCase]]=1,tbl_Case_mins[[#This Row],[CancelledCase]]=0,OR(tbl_Case_mins[[#This Row],[EarlyStartAM]]&gt;0,tbl_Case_mins[[#This Row],[AnaesthStart]]=tbl_Case_mins[[#This Row],[ThOpenAm]])),1,0)</f>
        <v>#REF!</v>
      </c>
      <c r="BE175" s="16" t="e">
        <f>IF(AND(tbl_Case_mins[[#This Row],[Rank_AnaSt]]=tbl_Case_mins[[#This Row],[Min_RankAnaSt]],tbl_Case_mins[[#This Row],[Anaesth End]]&gt;=tbl_Case_mins[[#This Row],[ThOpenAm]],tbl_Case_mins[[#This Row],[PmCase]]=0),1,0)</f>
        <v>#REF!</v>
      </c>
      <c r="BF17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5" s="9" t="e" cm="1">
        <f t="array" ref="BH17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5" s="9" t="e">
        <f>IF(AND(tbl_Case_mins[[#This Row],[ThOpenPM]]&gt;0,tbl_Case_mins[[#This Row],[AnaesthStart]]&gt;tbl_Case_mins[[#This Row],[ThOpenPM]],tbl_Case_mins[[#This Row],[First PM Case]]=1),tbl_Case_mins[[#This Row],[AnaesthStart]]-tbl_Case_mins[[#This Row],[ThOpenPM]],0)</f>
        <v>#REF!</v>
      </c>
      <c r="BL17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5" s="9" t="e" cm="1">
        <f t="array" ref="BN17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5" s="9" t="e">
        <f>IF(AND(tbl_Case_mins[[#This Row],[ThClosePm]]&gt;0,tbl_Case_mins[[#This Row],[Anaesth End]]&gt;tbl_Case_mins[[#This Row],[ThClosePm]],tbl_Case_mins[[#This Row],[AnaesthStart]]&gt;tbl_Case_mins[[#This Row],[ThClosePm]]),tbl_Case_mins[[#This Row],[Into Recov]]-tbl_Case_mins[[#This Row],[AnaesthStart]],0)</f>
        <v>#REF!</v>
      </c>
      <c r="BP175" s="9" t="e">
        <f>IF(AND(tbl_Case_mins[[#This Row],[AnaesthStart]]&lt;tbl_Case_mins[[#This Row],[ThClosePm]],tbl_Case_mins[[#This Row],[Anaesth End]]&gt;tbl_Case_mins[[#This Row],[ThClosePm]]),tbl_Case_mins[[#This Row],[Anaesth End]]-tbl_Case_mins[[#This Row],[ThClosePm]],0)</f>
        <v>#REF!</v>
      </c>
      <c r="BQ175" s="9" t="e" cm="1">
        <f t="array" ref="BQ17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5" s="9" t="e" cm="1">
        <f t="array" ref="BR175">IF(tbl_Case_mins[[#This Row],[Rank_Adjust]]=SUMPRODUCT(-(tbl_Case_mins[Surgery Start Date]=tbl_Case_mins[[#This Row],[Surgery Start Date]]),-(tbl_Case_mins[Theatre]=tbl_Case_mins[[#This Row],[Theatre]])),INDEX(Poss_Time,MATCH(TEXT(tbl_Case_mins[[#This Row],[Surgery Start Date]],"ddd"),Day,0)),0)</f>
        <v>#REF!</v>
      </c>
      <c r="BS175" s="9" t="e">
        <f>tbl_Case_mins[[#This Row],[Core_Time]]*Util_Goal</f>
        <v>#REF!</v>
      </c>
      <c r="BT175" s="9" t="e" cm="1">
        <f t="array" ref="BT1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5" s="9" t="e" cm="1">
        <f t="array" ref="BU1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5" s="9" t="e">
        <f>IF(tbl_Case_mins[[#This Row],[Surgery End Date]]&gt;tbl_Case_mins[[#This Row],[Surgery Start Date]],tbl_Case_mins[[#This Row],[Anaesth End]]-1440,0)</f>
        <v>#REF!</v>
      </c>
      <c r="BY175" s="9" t="e">
        <f>tbl_Case_mins[[#This Row],[Total_NonCore]]-tbl_Case_mins[[#This Row],[NextDay_NonCore]]</f>
        <v>#REF!</v>
      </c>
      <c r="BZ175" s="10" t="e">
        <f>tbl_Case_mins[[#This Row],[InCoreUse]]/60</f>
        <v>#REF!</v>
      </c>
      <c r="CA175" s="10" t="e">
        <f>tbl_Case_mins[[#This Row],[Total_NonCore]]/60</f>
        <v>#REF!</v>
      </c>
      <c r="CB175" t="e" cm="1">
        <f t="array" ref="CB1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5" s="9" t="e" cm="1">
        <f t="array" ref="CC17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5" s="9" t="e" cm="1">
        <f t="array" ref="CD1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5" s="9" t="e" cm="1">
        <f t="array" ref="CE17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5" s="9" cm="1">
        <f t="array" ref="CF175">IFERROR(_xlfn.AGGREGATE(14,6,(tbl_Case_mins[Rank_AnaEnd])/((tbl_Case_mins[Surgery Start Date]=tbl_Case_mins[[#This Row],[Surgery Start Date]])*(tbl_Case_mins[Theatre]=tbl_Case_mins[[#This Row],[Theatre]])*(tbl_Case_mins[NoInCoreTime]=0)),1),-1)</f>
        <v>-1</v>
      </c>
      <c r="CG175" s="9" cm="1">
        <f t="array" ref="CG175">IFERROR(_xlfn.AGGREGATE(15,6,(tbl_Case_mins[Rank_AnaSt])/((tbl_Case_mins[Surgery Start Date]=tbl_Case_mins[[#This Row],[Surgery Start Date]])*(tbl_Case_mins[Theatre]=tbl_Case_mins[[#This Row],[Theatre]])*(tbl_Case_mins[NoInCoreTime]=0)),1),-1)</f>
        <v>-1</v>
      </c>
      <c r="CH17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5" t="e" cm="1">
        <f t="array" ref="CJ17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5" s="9" cm="1">
        <f t="array" ref="CO1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5" s="9" cm="1">
        <f t="array" ref="CP1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5" s="9" cm="1">
        <f t="array" ref="CQ175">IFERROR(IF(AND(tbl_Case_mins[[#This Row],[FirstAMCase]]=0,tbl_Case_mins[[#This Row],[Rank]]=_xlfn.AGGREGATE(14,6,(tbl_Case_mins[Rank])/((tbl_Case_mins[Surgery Start Date]=tbl_Case_mins[[#This Row],[Surgery Start Date]])*(tbl_Case_mins[Theatre]=tbl_Case_mins[[#This Row],[Theatre]])*(tbl_Case_mins[AmCase]=1)),1)),1,0),0)</f>
        <v>0</v>
      </c>
      <c r="CR175" s="9" cm="1">
        <f t="array" ref="CR17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5" s="9" t="e" cm="1">
        <f t="array" ref="CS17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5" s="9" cm="1">
        <f t="array" ref="CT175">IFERROR(IF(tbl_Case_mins[[#This Row],[Rank]]=_xlfn.AGGREGATE(15,6,(tbl_Case_mins[Rank])/((tbl_Case_mins[Surgery Start Date]=tbl_Case_mins[[#This Row],[Surgery Start Date]])*(tbl_Case_mins[Theatre]=tbl_Case_mins[[#This Row],[Theatre]])*(tbl_Case_mins[PmCase]=1)),1),1,0),0)</f>
        <v>0</v>
      </c>
      <c r="CU175">
        <f>IFERROR(#REF!,0)</f>
        <v>0</v>
      </c>
      <c r="CV175" s="9" t="e" cm="1">
        <f t="array" ref="CV17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5" s="9">
        <f>IFERROR(IF(ISBLANK(INDEX(Bay_AmClose,MATCH(1,INDEX((tbl_Case_mins[[#This Row],[Bay]]=BayNo)*(tbl_Case_mins[[#This Row],[Surgery Start Date]]=BDate),0,1),0))*1440),0,INDEX(Bay_AmClose,MATCH(1,INDEX((tbl_Case_mins[[#This Row],[Bay]]=BayNo)*(tbl_Case_mins[[#This Row],[Surgery Start Date]]=BDate),0,1),0))*1440),0)</f>
        <v>0</v>
      </c>
      <c r="CX175" s="9" cm="1">
        <f t="array" ref="CX175">IFERROR(IF(ISBLANK(INDEX(Bay_PmOpen,MATCH(1,INDEX((tbl_Case_mins[[#This Row],[Bay]]=BayNo)*(tbl_Case_mins[[#This Row],[Surgery Start Date]]=BDate),0,1),0))*1440),0,INDEX(Bay_PmOpen,MATCH(1,INDEX((tbl_Case_mins[[#This Row],[Bay]]=BayNo)*(tbl_Case_mins[[#This Row],[Surgery Start Date]]=BDate),0,1),0))*1440),0)</f>
        <v>0</v>
      </c>
      <c r="CY17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5" s="9"/>
    </row>
    <row r="176" spans="1:104" x14ac:dyDescent="0.2">
      <c r="A176">
        <v>175</v>
      </c>
      <c r="B176" t="e">
        <f>#REF!</f>
        <v>#REF!</v>
      </c>
      <c r="C176" t="e">
        <f>#REF!</f>
        <v>#REF!</v>
      </c>
      <c r="D176" t="e">
        <f>#REF!</f>
        <v>#REF!</v>
      </c>
      <c r="E176" t="e">
        <f>#REF!</f>
        <v>#REF!</v>
      </c>
      <c r="F176" t="e">
        <f>#REF!</f>
        <v>#REF!</v>
      </c>
      <c r="G176" t="e">
        <f>#REF!</f>
        <v>#REF!</v>
      </c>
      <c r="H176" t="e">
        <f>#REF!</f>
        <v>#REF!</v>
      </c>
      <c r="I176" t="e">
        <f>IF(#REF!="Case Cancelled",1,IF(#REF!="No Cases",2,0))</f>
        <v>#REF!</v>
      </c>
      <c r="J176" t="e">
        <f>#REF!</f>
        <v>#REF!</v>
      </c>
      <c r="K176" s="4" t="e">
        <f>#REF!</f>
        <v>#REF!</v>
      </c>
      <c r="L176" t="e">
        <f>"Wk "&amp;WEEKNUM(tbl_Case_mins[[#This Row],[Surgery Start Date]],21)</f>
        <v>#REF!</v>
      </c>
      <c r="M176" t="e">
        <f>TEXT(tbl_Case_mins[[#This Row],[Surgery Start Date]],"ddd")</f>
        <v>#REF!</v>
      </c>
      <c r="N176" s="9" t="e">
        <f>(#REF!-TIME(0,0,0))*1440</f>
        <v>#REF!</v>
      </c>
      <c r="O176" t="e">
        <f>IF(AND(ROUND((#REF!-TIME(0,0,0))*1440,0)&gt;0,ROUND((#REF!-TIME(0,0,0))*1440,0)&lt;tbl_Case_mins[[#This Row],[Patient Called]],tbl_Case_mins[[#This Row],[Surgery End Date]]&gt;tbl_Case_mins[[#This Row],[Surgery Start Date]]),ROUND((#REF!-TIME(0,0,0))*1440,0)+1440,ROUND((#REF!-TIME(0,0,0))*1440,0))</f>
        <v>#REF!</v>
      </c>
      <c r="P176" s="9" t="e">
        <f>IF(AND(ROUND((#REF!-TIME(0,0,0))*1440,0)&gt;0,ROUND((#REF!-TIME(0,0,0))*1440,0)&lt;tbl_Case_mins[[#This Row],[Arrival]],tbl_Case_mins[[#This Row],[Surgery End Date]]&gt;tbl_Case_mins[[#This Row],[Surgery Start Date]]),ROUND((#REF!-TIME(0,0,0))*1440,0)+1440,ROUND((#REF!-TIME(0,0,0))*1440,0))</f>
        <v>#REF!</v>
      </c>
      <c r="Q176" s="9" t="e">
        <f>IF(AND(ROUND((#REF!-TIME(0,0,0))*1440,0)&gt;0,ROUND((#REF!-TIME(0,0,0))*1440,0)&lt;tbl_Case_mins[[#This Row],[Into Th or AR]],tbl_Case_mins[[#This Row],[Surgery End Date]]&gt;tbl_Case_mins[[#This Row],[Surgery Start Date]]),ROUND((#REF!-TIME(0,0,0))*1440,0)+1440,ROUND((#REF!-TIME(0,0,0))*1440,0))</f>
        <v>#REF!</v>
      </c>
      <c r="R176" s="9" t="e">
        <f>IF(AND(ROUND((#REF!-TIME(0,0,0))*1440,0)&gt;0,ROUND((#REF!-TIME(0,0,0))*1440,0)&lt;tbl_Case_mins[[#This Row],[AnaesthStart]],tbl_Case_mins[[#This Row],[Surgery End Date]]&gt;tbl_Case_mins[[#This Row],[Surgery Start Date]]),ROUND((#REF!-TIME(0,0,0))*1440,0)+1440,ROUND((#REF!-TIME(0,0,0))*1440,0))</f>
        <v>#REF!</v>
      </c>
      <c r="S176" s="9" t="e">
        <f>IF(AND(ROUND((#REF!-TIME(0,0,0))*1440,0),ROUND((#REF!-TIME(0,0,0))*1440,0)&lt;tbl_Case_mins[[#This Row],[Surgery Start]],tbl_Case_mins[[#This Row],[Surgery End Date]]&gt;tbl_Case_mins[[#This Row],[Surgery Start Date]]),ROUND((#REF!-TIME(0,0,0))*1440,0)+1440,ROUND((#REF!-TIME(0,0,0))*1440,0))</f>
        <v>#REF!</v>
      </c>
      <c r="T176" s="9" t="e">
        <f>IF(AND(ROUND((#REF!-TIME(0,0,0))*1440,0)&gt;0,ROUND((#REF!-TIME(0,0,0))*1440,0)&lt;tbl_Case_mins[[#This Row],[Surgery Finish]],tbl_Case_mins[[#This Row],[Surgery End Date]]&gt;tbl_Case_mins[[#This Row],[Surgery Start Date]]),ROUND((#REF!-TIME(0,0,0))*1440,0)+1440,ROUND((#REF!-TIME(0,0,0))*1440,0))</f>
        <v>#REF!</v>
      </c>
      <c r="U176" s="9" t="e">
        <f>IF(AND(ROUND((#REF!-TIME(0,0,0))*1440,0)&gt;0,ROUND((#REF!-TIME(0,0,0))*1440,0)&lt;tbl_Case_mins[[#This Row],[Anaesth End]],tbl_Case_mins[[#This Row],[Surgery End Date]]&gt;tbl_Case_mins[[#This Row],[Surgery Start Date]]),ROUND((#REF!-TIME(0,0,0))*1440,0)+1440,ROUND((#REF!-TIME(0,0,0))*1440,0))</f>
        <v>#REF!</v>
      </c>
      <c r="V176" s="9" t="e">
        <f>IF(AND(ROUND((#REF!-TIME(0,0,0))*1440,0)&gt;0,ROUND((#REF!-TIME(0,0,0))*1440,0)&lt;tbl_Case_mins[[#This Row],[Into Recov]],tbl_Case_mins[[#This Row],[Surgery End Date]]&gt;tbl_Case_mins[[#This Row],[Surgery Start Date]]),ROUND((#REF!-TIME(0,0,0))*1440,0)+1440,ROUND((#REF!-TIME(0,0,0))*1440,0))</f>
        <v>#REF!</v>
      </c>
      <c r="W176" s="9" t="e">
        <f>IF(AND(ROUND((#REF!-TIME(0,0,0))*1440,0)&gt;0,ROUND((#REF!-TIME(0,0,0))*1440,0)&lt;tbl_Case_mins[[#This Row],[Ward Called]],tbl_Case_mins[[#This Row],[Surgery End Date]]&gt;tbl_Case_mins[[#This Row],[Surgery Start Date]]),ROUND((#REF!-TIME(0,0,0))*1440,0)+1440,ROUND((#REF!-TIME(0,0,0))*1440,0))</f>
        <v>#REF!</v>
      </c>
      <c r="X176" s="4" t="e">
        <f>IF(ISBLANK(#REF!),tbl_Case_mins[[#This Row],[Surgery Start Date]],#REF!)</f>
        <v>#REF!</v>
      </c>
      <c r="Y176">
        <f>IFERROR(IF(VLOOKUP(tbl_Case_mins[[#This Row],[Theatre]],'Mng Theatres'!$C$7:$G$12,3,FALSE)="Yes","Yes","No"),0)</f>
        <v>0</v>
      </c>
      <c r="Z176" s="9" t="e" cm="1">
        <f t="array" ref="Z17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6" s="9" t="e" cm="1">
        <f t="array" ref="AA17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6" s="9" t="e">
        <f>IF(tbl_Case_mins[[#This Row],[Case Type]]="Unsch",1,0)</f>
        <v>#REF!</v>
      </c>
      <c r="AD176" s="9" t="e">
        <f>IF(tbl_Case_mins[[#This Row],[Case Type]]="Sch",1,0)</f>
        <v>#REF!</v>
      </c>
      <c r="AE17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6" s="9">
        <f>IFERROR(IF(ISBLANK(INDEX(Am_Close,MATCH(1,INDEX((tbl_Case_mins[[#This Row],[Theatre]]=Theatre_No)*(tbl_Case_mins[[#This Row],[Surgery Start Date]]=Date),0,1),0))*1440),0,INDEX(Am_Close,MATCH(1,INDEX((tbl_Case_mins[[#This Row],[Theatre]]=Theatre_No)*(tbl_Case_mins[[#This Row],[Surgery Start Date]]=Date),0,1),0))*1440),0)</f>
        <v>0</v>
      </c>
      <c r="AG176" s="9">
        <f>IFERROR(IF(ISBLANK(INDEX(PM_Open,MATCH(1,INDEX((tbl_Case_mins[[#This Row],[Theatre]]=Theatre_No)*(tbl_Case_mins[[#This Row],[Surgery Start Date]]=Date),0,1),0))*1440),0,INDEX(PM_Open,MATCH(1,INDEX((tbl_Case_mins[[#This Row],[Theatre]]=Theatre_No)*(tbl_Case_mins[[#This Row],[Surgery Start Date]]=Date),0,1),0))*1440),0)</f>
        <v>0</v>
      </c>
      <c r="AH17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6" s="9" t="e">
        <f>IF(tbl_Case_mins[[#This Row],[ThOpenAm]]=0,tbl_Case_mins[[#This Row],[ThOpenPM]],tbl_Case_mins[[#This Row],[ThOpenAm]])</f>
        <v>#REF!</v>
      </c>
      <c r="AJ176" s="9" t="e">
        <f>IF(tbl_Case_mins[[#This Row],[ThCloseAm]]&gt;0,IF(tbl_Case_mins[[#This Row],[ThOpenPM]]&gt;0,tbl_Case_mins[[#This Row],[ThClosePm]],tbl_Case_mins[[#This Row],[ThCloseAm]]),tbl_Case_mins[[#This Row],[ThClosePm]])</f>
        <v>#REF!</v>
      </c>
      <c r="AK176" s="9" t="e">
        <f>IF(tbl_Case_mins[[#This Row],[TOT]]&gt;0,1,0)</f>
        <v>#REF!</v>
      </c>
      <c r="AL17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6" s="9" t="e">
        <f>IF(AND(tbl_Case_mins[[#This Row],[Surgery Status]]&lt;&gt;2,tbl_Case_mins[[#This Row],[InCoreCase]]=0,tbl_Case_mins[[#This Row],[CancelledCase]]=0),1,0)</f>
        <v>#REF!</v>
      </c>
      <c r="AN176" s="9" t="e">
        <f>IF(tbl_Case_mins[[#This Row],[Surgery Status]]=1,1,0)</f>
        <v>#REF!</v>
      </c>
      <c r="AO17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6" s="9" t="e">
        <f>IF(AND(tbl_Case_mins[[#This Row],[NonCoreCase]]=1,tbl_Case_mins[[#This Row],[NoInCoreTime]]=0),1,0)</f>
        <v>#REF!</v>
      </c>
      <c r="AQ176" s="9" t="e">
        <f>IF(tbl_Case_mins[[#This Row],[Rank_AnaEnd]]&lt;tbl_Case_mins[[#This Row],[Rank_AnaSt]],1,0)</f>
        <v>#REF!</v>
      </c>
      <c r="AR176" s="9" t="e">
        <f>IF(AND(tbl_Case_mins[[#This Row],[InCoreCase]]=1,tbl_Case_mins[[#This Row],[Sch]]=1),1,0)</f>
        <v>#REF!</v>
      </c>
      <c r="AS176" s="9" t="e">
        <f>IF(AND(tbl_Case_mins[[#This Row],[InCoreCase]]=1,tbl_Case_mins[[#This Row],[Unsch]]=1),1,0)</f>
        <v>#REF!</v>
      </c>
      <c r="AT17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6" s="9" t="e">
        <f>IF(tbl_Case_mins[[#This Row],[Surgery Status]]=0,(tbl_Case_mins[[#This Row],[Anaesth End]]-tbl_Case_mins[[#This Row],[AnaesthStart]]),0)</f>
        <v>#REF!</v>
      </c>
      <c r="AX176" s="9" t="e">
        <f>IF(tbl_Case_mins[[#This Row],[Surgery Status]]=0,(tbl_Case_mins[[#This Row],[Surgery Finish]]-tbl_Case_mins[[#This Row],[Surgery Start]]),0)</f>
        <v>#REF!</v>
      </c>
      <c r="AY176" s="9" t="e">
        <f>tbl_Case_mins[[#This Row],[Surgery Start]]-tbl_Case_mins[[#This Row],[AnaesthStart]]</f>
        <v>#REF!</v>
      </c>
      <c r="AZ176" s="9" t="e">
        <f>tbl_Case_mins[[#This Row],[Anaesth End]]-tbl_Case_mins[[#This Row],[Surgery Finish]]</f>
        <v>#REF!</v>
      </c>
      <c r="BA17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6" s="16" cm="1">
        <f t="array" ref="BC17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6" s="16" t="e">
        <f>IF(AND(tbl_Case_mins[[#This Row],[FirstAMCase]]=1,tbl_Case_mins[[#This Row],[CancelledCase]]=0,OR(tbl_Case_mins[[#This Row],[EarlyStartAM]]&gt;0,tbl_Case_mins[[#This Row],[AnaesthStart]]=tbl_Case_mins[[#This Row],[ThOpenAm]])),1,0)</f>
        <v>#REF!</v>
      </c>
      <c r="BE176" s="16" t="e">
        <f>IF(AND(tbl_Case_mins[[#This Row],[Rank_AnaSt]]=tbl_Case_mins[[#This Row],[Min_RankAnaSt]],tbl_Case_mins[[#This Row],[Anaesth End]]&gt;=tbl_Case_mins[[#This Row],[ThOpenAm]],tbl_Case_mins[[#This Row],[PmCase]]=0),1,0)</f>
        <v>#REF!</v>
      </c>
      <c r="BF17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6" s="9" t="e" cm="1">
        <f t="array" ref="BH17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6" s="9" t="e">
        <f>IF(AND(tbl_Case_mins[[#This Row],[ThOpenPM]]&gt;0,tbl_Case_mins[[#This Row],[AnaesthStart]]&gt;tbl_Case_mins[[#This Row],[ThOpenPM]],tbl_Case_mins[[#This Row],[First PM Case]]=1),tbl_Case_mins[[#This Row],[AnaesthStart]]-tbl_Case_mins[[#This Row],[ThOpenPM]],0)</f>
        <v>#REF!</v>
      </c>
      <c r="BL17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6" s="9" t="e" cm="1">
        <f t="array" ref="BN17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6" s="9" t="e">
        <f>IF(AND(tbl_Case_mins[[#This Row],[ThClosePm]]&gt;0,tbl_Case_mins[[#This Row],[Anaesth End]]&gt;tbl_Case_mins[[#This Row],[ThClosePm]],tbl_Case_mins[[#This Row],[AnaesthStart]]&gt;tbl_Case_mins[[#This Row],[ThClosePm]]),tbl_Case_mins[[#This Row],[Into Recov]]-tbl_Case_mins[[#This Row],[AnaesthStart]],0)</f>
        <v>#REF!</v>
      </c>
      <c r="BP176" s="9" t="e">
        <f>IF(AND(tbl_Case_mins[[#This Row],[AnaesthStart]]&lt;tbl_Case_mins[[#This Row],[ThClosePm]],tbl_Case_mins[[#This Row],[Anaesth End]]&gt;tbl_Case_mins[[#This Row],[ThClosePm]]),tbl_Case_mins[[#This Row],[Anaesth End]]-tbl_Case_mins[[#This Row],[ThClosePm]],0)</f>
        <v>#REF!</v>
      </c>
      <c r="BQ176" s="9" t="e" cm="1">
        <f t="array" ref="BQ17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6" s="9" t="e" cm="1">
        <f t="array" ref="BR176">IF(tbl_Case_mins[[#This Row],[Rank_Adjust]]=SUMPRODUCT(-(tbl_Case_mins[Surgery Start Date]=tbl_Case_mins[[#This Row],[Surgery Start Date]]),-(tbl_Case_mins[Theatre]=tbl_Case_mins[[#This Row],[Theatre]])),INDEX(Poss_Time,MATCH(TEXT(tbl_Case_mins[[#This Row],[Surgery Start Date]],"ddd"),Day,0)),0)</f>
        <v>#REF!</v>
      </c>
      <c r="BS176" s="9" t="e">
        <f>tbl_Case_mins[[#This Row],[Core_Time]]*Util_Goal</f>
        <v>#REF!</v>
      </c>
      <c r="BT176" s="9" t="e" cm="1">
        <f t="array" ref="BT1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6" s="9" t="e" cm="1">
        <f t="array" ref="BU1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6" s="9" t="e">
        <f>IF(tbl_Case_mins[[#This Row],[Surgery End Date]]&gt;tbl_Case_mins[[#This Row],[Surgery Start Date]],tbl_Case_mins[[#This Row],[Anaesth End]]-1440,0)</f>
        <v>#REF!</v>
      </c>
      <c r="BY176" s="9" t="e">
        <f>tbl_Case_mins[[#This Row],[Total_NonCore]]-tbl_Case_mins[[#This Row],[NextDay_NonCore]]</f>
        <v>#REF!</v>
      </c>
      <c r="BZ176" s="10" t="e">
        <f>tbl_Case_mins[[#This Row],[InCoreUse]]/60</f>
        <v>#REF!</v>
      </c>
      <c r="CA176" s="10" t="e">
        <f>tbl_Case_mins[[#This Row],[Total_NonCore]]/60</f>
        <v>#REF!</v>
      </c>
      <c r="CB176" t="e" cm="1">
        <f t="array" ref="CB1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6" s="9" t="e" cm="1">
        <f t="array" ref="CC17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6" s="9" t="e" cm="1">
        <f t="array" ref="CD1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6" s="9" t="e" cm="1">
        <f t="array" ref="CE17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6" s="9" cm="1">
        <f t="array" ref="CF176">IFERROR(_xlfn.AGGREGATE(14,6,(tbl_Case_mins[Rank_AnaEnd])/((tbl_Case_mins[Surgery Start Date]=tbl_Case_mins[[#This Row],[Surgery Start Date]])*(tbl_Case_mins[Theatre]=tbl_Case_mins[[#This Row],[Theatre]])*(tbl_Case_mins[NoInCoreTime]=0)),1),-1)</f>
        <v>-1</v>
      </c>
      <c r="CG176" s="9" cm="1">
        <f t="array" ref="CG176">IFERROR(_xlfn.AGGREGATE(15,6,(tbl_Case_mins[Rank_AnaSt])/((tbl_Case_mins[Surgery Start Date]=tbl_Case_mins[[#This Row],[Surgery Start Date]])*(tbl_Case_mins[Theatre]=tbl_Case_mins[[#This Row],[Theatre]])*(tbl_Case_mins[NoInCoreTime]=0)),1),-1)</f>
        <v>-1</v>
      </c>
      <c r="CH17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6" t="e" cm="1">
        <f t="array" ref="CJ17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6" s="9" cm="1">
        <f t="array" ref="CO1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6" s="9" cm="1">
        <f t="array" ref="CP1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6" s="9" cm="1">
        <f t="array" ref="CQ176">IFERROR(IF(AND(tbl_Case_mins[[#This Row],[FirstAMCase]]=0,tbl_Case_mins[[#This Row],[Rank]]=_xlfn.AGGREGATE(14,6,(tbl_Case_mins[Rank])/((tbl_Case_mins[Surgery Start Date]=tbl_Case_mins[[#This Row],[Surgery Start Date]])*(tbl_Case_mins[Theatre]=tbl_Case_mins[[#This Row],[Theatre]])*(tbl_Case_mins[AmCase]=1)),1)),1,0),0)</f>
        <v>0</v>
      </c>
      <c r="CR176" s="9" cm="1">
        <f t="array" ref="CR17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6" s="9" t="e" cm="1">
        <f t="array" ref="CS17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6" s="9" cm="1">
        <f t="array" ref="CT176">IFERROR(IF(tbl_Case_mins[[#This Row],[Rank]]=_xlfn.AGGREGATE(15,6,(tbl_Case_mins[Rank])/((tbl_Case_mins[Surgery Start Date]=tbl_Case_mins[[#This Row],[Surgery Start Date]])*(tbl_Case_mins[Theatre]=tbl_Case_mins[[#This Row],[Theatre]])*(tbl_Case_mins[PmCase]=1)),1),1,0),0)</f>
        <v>0</v>
      </c>
      <c r="CU176">
        <f>IFERROR(#REF!,0)</f>
        <v>0</v>
      </c>
      <c r="CV176" s="9" t="e" cm="1">
        <f t="array" ref="CV17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6" s="9">
        <f>IFERROR(IF(ISBLANK(INDEX(Bay_AmClose,MATCH(1,INDEX((tbl_Case_mins[[#This Row],[Bay]]=BayNo)*(tbl_Case_mins[[#This Row],[Surgery Start Date]]=BDate),0,1),0))*1440),0,INDEX(Bay_AmClose,MATCH(1,INDEX((tbl_Case_mins[[#This Row],[Bay]]=BayNo)*(tbl_Case_mins[[#This Row],[Surgery Start Date]]=BDate),0,1),0))*1440),0)</f>
        <v>0</v>
      </c>
      <c r="CX176" s="9" cm="1">
        <f t="array" ref="CX176">IFERROR(IF(ISBLANK(INDEX(Bay_PmOpen,MATCH(1,INDEX((tbl_Case_mins[[#This Row],[Bay]]=BayNo)*(tbl_Case_mins[[#This Row],[Surgery Start Date]]=BDate),0,1),0))*1440),0,INDEX(Bay_PmOpen,MATCH(1,INDEX((tbl_Case_mins[[#This Row],[Bay]]=BayNo)*(tbl_Case_mins[[#This Row],[Surgery Start Date]]=BDate),0,1),0))*1440),0)</f>
        <v>0</v>
      </c>
      <c r="CY17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6" s="9"/>
    </row>
    <row r="177" spans="1:104" x14ac:dyDescent="0.2">
      <c r="A177">
        <v>176</v>
      </c>
      <c r="B177" t="e">
        <f>#REF!</f>
        <v>#REF!</v>
      </c>
      <c r="C177" t="e">
        <f>#REF!</f>
        <v>#REF!</v>
      </c>
      <c r="D177" t="e">
        <f>#REF!</f>
        <v>#REF!</v>
      </c>
      <c r="E177" t="e">
        <f>#REF!</f>
        <v>#REF!</v>
      </c>
      <c r="F177" t="e">
        <f>#REF!</f>
        <v>#REF!</v>
      </c>
      <c r="G177" t="e">
        <f>#REF!</f>
        <v>#REF!</v>
      </c>
      <c r="H177" t="e">
        <f>#REF!</f>
        <v>#REF!</v>
      </c>
      <c r="I177" t="e">
        <f>IF(#REF!="Case Cancelled",1,IF(#REF!="No Cases",2,0))</f>
        <v>#REF!</v>
      </c>
      <c r="J177" t="e">
        <f>#REF!</f>
        <v>#REF!</v>
      </c>
      <c r="K177" s="4" t="e">
        <f>#REF!</f>
        <v>#REF!</v>
      </c>
      <c r="L177" t="e">
        <f>"Wk "&amp;WEEKNUM(tbl_Case_mins[[#This Row],[Surgery Start Date]],21)</f>
        <v>#REF!</v>
      </c>
      <c r="M177" t="e">
        <f>TEXT(tbl_Case_mins[[#This Row],[Surgery Start Date]],"ddd")</f>
        <v>#REF!</v>
      </c>
      <c r="N177" s="9" t="e">
        <f>(#REF!-TIME(0,0,0))*1440</f>
        <v>#REF!</v>
      </c>
      <c r="O177" t="e">
        <f>IF(AND(ROUND((#REF!-TIME(0,0,0))*1440,0)&gt;0,ROUND((#REF!-TIME(0,0,0))*1440,0)&lt;tbl_Case_mins[[#This Row],[Patient Called]],tbl_Case_mins[[#This Row],[Surgery End Date]]&gt;tbl_Case_mins[[#This Row],[Surgery Start Date]]),ROUND((#REF!-TIME(0,0,0))*1440,0)+1440,ROUND((#REF!-TIME(0,0,0))*1440,0))</f>
        <v>#REF!</v>
      </c>
      <c r="P177" s="9" t="e">
        <f>IF(AND(ROUND((#REF!-TIME(0,0,0))*1440,0)&gt;0,ROUND((#REF!-TIME(0,0,0))*1440,0)&lt;tbl_Case_mins[[#This Row],[Arrival]],tbl_Case_mins[[#This Row],[Surgery End Date]]&gt;tbl_Case_mins[[#This Row],[Surgery Start Date]]),ROUND((#REF!-TIME(0,0,0))*1440,0)+1440,ROUND((#REF!-TIME(0,0,0))*1440,0))</f>
        <v>#REF!</v>
      </c>
      <c r="Q177" s="9" t="e">
        <f>IF(AND(ROUND((#REF!-TIME(0,0,0))*1440,0)&gt;0,ROUND((#REF!-TIME(0,0,0))*1440,0)&lt;tbl_Case_mins[[#This Row],[Into Th or AR]],tbl_Case_mins[[#This Row],[Surgery End Date]]&gt;tbl_Case_mins[[#This Row],[Surgery Start Date]]),ROUND((#REF!-TIME(0,0,0))*1440,0)+1440,ROUND((#REF!-TIME(0,0,0))*1440,0))</f>
        <v>#REF!</v>
      </c>
      <c r="R177" s="9" t="e">
        <f>IF(AND(ROUND((#REF!-TIME(0,0,0))*1440,0)&gt;0,ROUND((#REF!-TIME(0,0,0))*1440,0)&lt;tbl_Case_mins[[#This Row],[AnaesthStart]],tbl_Case_mins[[#This Row],[Surgery End Date]]&gt;tbl_Case_mins[[#This Row],[Surgery Start Date]]),ROUND((#REF!-TIME(0,0,0))*1440,0)+1440,ROUND((#REF!-TIME(0,0,0))*1440,0))</f>
        <v>#REF!</v>
      </c>
      <c r="S177" s="9" t="e">
        <f>IF(AND(ROUND((#REF!-TIME(0,0,0))*1440,0),ROUND((#REF!-TIME(0,0,0))*1440,0)&lt;tbl_Case_mins[[#This Row],[Surgery Start]],tbl_Case_mins[[#This Row],[Surgery End Date]]&gt;tbl_Case_mins[[#This Row],[Surgery Start Date]]),ROUND((#REF!-TIME(0,0,0))*1440,0)+1440,ROUND((#REF!-TIME(0,0,0))*1440,0))</f>
        <v>#REF!</v>
      </c>
      <c r="T177" s="9" t="e">
        <f>IF(AND(ROUND((#REF!-TIME(0,0,0))*1440,0)&gt;0,ROUND((#REF!-TIME(0,0,0))*1440,0)&lt;tbl_Case_mins[[#This Row],[Surgery Finish]],tbl_Case_mins[[#This Row],[Surgery End Date]]&gt;tbl_Case_mins[[#This Row],[Surgery Start Date]]),ROUND((#REF!-TIME(0,0,0))*1440,0)+1440,ROUND((#REF!-TIME(0,0,0))*1440,0))</f>
        <v>#REF!</v>
      </c>
      <c r="U177" s="9" t="e">
        <f>IF(AND(ROUND((#REF!-TIME(0,0,0))*1440,0)&gt;0,ROUND((#REF!-TIME(0,0,0))*1440,0)&lt;tbl_Case_mins[[#This Row],[Anaesth End]],tbl_Case_mins[[#This Row],[Surgery End Date]]&gt;tbl_Case_mins[[#This Row],[Surgery Start Date]]),ROUND((#REF!-TIME(0,0,0))*1440,0)+1440,ROUND((#REF!-TIME(0,0,0))*1440,0))</f>
        <v>#REF!</v>
      </c>
      <c r="V177" s="9" t="e">
        <f>IF(AND(ROUND((#REF!-TIME(0,0,0))*1440,0)&gt;0,ROUND((#REF!-TIME(0,0,0))*1440,0)&lt;tbl_Case_mins[[#This Row],[Into Recov]],tbl_Case_mins[[#This Row],[Surgery End Date]]&gt;tbl_Case_mins[[#This Row],[Surgery Start Date]]),ROUND((#REF!-TIME(0,0,0))*1440,0)+1440,ROUND((#REF!-TIME(0,0,0))*1440,0))</f>
        <v>#REF!</v>
      </c>
      <c r="W177" s="9" t="e">
        <f>IF(AND(ROUND((#REF!-TIME(0,0,0))*1440,0)&gt;0,ROUND((#REF!-TIME(0,0,0))*1440,0)&lt;tbl_Case_mins[[#This Row],[Ward Called]],tbl_Case_mins[[#This Row],[Surgery End Date]]&gt;tbl_Case_mins[[#This Row],[Surgery Start Date]]),ROUND((#REF!-TIME(0,0,0))*1440,0)+1440,ROUND((#REF!-TIME(0,0,0))*1440,0))</f>
        <v>#REF!</v>
      </c>
      <c r="X177" s="4" t="e">
        <f>IF(ISBLANK(#REF!),tbl_Case_mins[[#This Row],[Surgery Start Date]],#REF!)</f>
        <v>#REF!</v>
      </c>
      <c r="Y177">
        <f>IFERROR(IF(VLOOKUP(tbl_Case_mins[[#This Row],[Theatre]],'Mng Theatres'!$C$7:$G$12,3,FALSE)="Yes","Yes","No"),0)</f>
        <v>0</v>
      </c>
      <c r="Z177" s="9" t="e" cm="1">
        <f t="array" ref="Z17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7" s="9" t="e" cm="1">
        <f t="array" ref="AA17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7" s="9" t="e">
        <f>IF(tbl_Case_mins[[#This Row],[Case Type]]="Unsch",1,0)</f>
        <v>#REF!</v>
      </c>
      <c r="AD177" s="9" t="e">
        <f>IF(tbl_Case_mins[[#This Row],[Case Type]]="Sch",1,0)</f>
        <v>#REF!</v>
      </c>
      <c r="AE17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7" s="9">
        <f>IFERROR(IF(ISBLANK(INDEX(Am_Close,MATCH(1,INDEX((tbl_Case_mins[[#This Row],[Theatre]]=Theatre_No)*(tbl_Case_mins[[#This Row],[Surgery Start Date]]=Date),0,1),0))*1440),0,INDEX(Am_Close,MATCH(1,INDEX((tbl_Case_mins[[#This Row],[Theatre]]=Theatre_No)*(tbl_Case_mins[[#This Row],[Surgery Start Date]]=Date),0,1),0))*1440),0)</f>
        <v>0</v>
      </c>
      <c r="AG177" s="9">
        <f>IFERROR(IF(ISBLANK(INDEX(PM_Open,MATCH(1,INDEX((tbl_Case_mins[[#This Row],[Theatre]]=Theatre_No)*(tbl_Case_mins[[#This Row],[Surgery Start Date]]=Date),0,1),0))*1440),0,INDEX(PM_Open,MATCH(1,INDEX((tbl_Case_mins[[#This Row],[Theatre]]=Theatre_No)*(tbl_Case_mins[[#This Row],[Surgery Start Date]]=Date),0,1),0))*1440),0)</f>
        <v>0</v>
      </c>
      <c r="AH17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7" s="9" t="e">
        <f>IF(tbl_Case_mins[[#This Row],[ThOpenAm]]=0,tbl_Case_mins[[#This Row],[ThOpenPM]],tbl_Case_mins[[#This Row],[ThOpenAm]])</f>
        <v>#REF!</v>
      </c>
      <c r="AJ177" s="9" t="e">
        <f>IF(tbl_Case_mins[[#This Row],[ThCloseAm]]&gt;0,IF(tbl_Case_mins[[#This Row],[ThOpenPM]]&gt;0,tbl_Case_mins[[#This Row],[ThClosePm]],tbl_Case_mins[[#This Row],[ThCloseAm]]),tbl_Case_mins[[#This Row],[ThClosePm]])</f>
        <v>#REF!</v>
      </c>
      <c r="AK177" s="9" t="e">
        <f>IF(tbl_Case_mins[[#This Row],[TOT]]&gt;0,1,0)</f>
        <v>#REF!</v>
      </c>
      <c r="AL17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7" s="9" t="e">
        <f>IF(AND(tbl_Case_mins[[#This Row],[Surgery Status]]&lt;&gt;2,tbl_Case_mins[[#This Row],[InCoreCase]]=0,tbl_Case_mins[[#This Row],[CancelledCase]]=0),1,0)</f>
        <v>#REF!</v>
      </c>
      <c r="AN177" s="9" t="e">
        <f>IF(tbl_Case_mins[[#This Row],[Surgery Status]]=1,1,0)</f>
        <v>#REF!</v>
      </c>
      <c r="AO17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7" s="9" t="e">
        <f>IF(AND(tbl_Case_mins[[#This Row],[NonCoreCase]]=1,tbl_Case_mins[[#This Row],[NoInCoreTime]]=0),1,0)</f>
        <v>#REF!</v>
      </c>
      <c r="AQ177" s="9" t="e">
        <f>IF(tbl_Case_mins[[#This Row],[Rank_AnaEnd]]&lt;tbl_Case_mins[[#This Row],[Rank_AnaSt]],1,0)</f>
        <v>#REF!</v>
      </c>
      <c r="AR177" s="9" t="e">
        <f>IF(AND(tbl_Case_mins[[#This Row],[InCoreCase]]=1,tbl_Case_mins[[#This Row],[Sch]]=1),1,0)</f>
        <v>#REF!</v>
      </c>
      <c r="AS177" s="9" t="e">
        <f>IF(AND(tbl_Case_mins[[#This Row],[InCoreCase]]=1,tbl_Case_mins[[#This Row],[Unsch]]=1),1,0)</f>
        <v>#REF!</v>
      </c>
      <c r="AT17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7" s="9" t="e">
        <f>IF(tbl_Case_mins[[#This Row],[Surgery Status]]=0,(tbl_Case_mins[[#This Row],[Anaesth End]]-tbl_Case_mins[[#This Row],[AnaesthStart]]),0)</f>
        <v>#REF!</v>
      </c>
      <c r="AX177" s="9" t="e">
        <f>IF(tbl_Case_mins[[#This Row],[Surgery Status]]=0,(tbl_Case_mins[[#This Row],[Surgery Finish]]-tbl_Case_mins[[#This Row],[Surgery Start]]),0)</f>
        <v>#REF!</v>
      </c>
      <c r="AY177" s="9" t="e">
        <f>tbl_Case_mins[[#This Row],[Surgery Start]]-tbl_Case_mins[[#This Row],[AnaesthStart]]</f>
        <v>#REF!</v>
      </c>
      <c r="AZ177" s="9" t="e">
        <f>tbl_Case_mins[[#This Row],[Anaesth End]]-tbl_Case_mins[[#This Row],[Surgery Finish]]</f>
        <v>#REF!</v>
      </c>
      <c r="BA17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7" s="16" cm="1">
        <f t="array" ref="BC17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7" s="16" t="e">
        <f>IF(AND(tbl_Case_mins[[#This Row],[FirstAMCase]]=1,tbl_Case_mins[[#This Row],[CancelledCase]]=0,OR(tbl_Case_mins[[#This Row],[EarlyStartAM]]&gt;0,tbl_Case_mins[[#This Row],[AnaesthStart]]=tbl_Case_mins[[#This Row],[ThOpenAm]])),1,0)</f>
        <v>#REF!</v>
      </c>
      <c r="BE177" s="16" t="e">
        <f>IF(AND(tbl_Case_mins[[#This Row],[Rank_AnaSt]]=tbl_Case_mins[[#This Row],[Min_RankAnaSt]],tbl_Case_mins[[#This Row],[Anaesth End]]&gt;=tbl_Case_mins[[#This Row],[ThOpenAm]],tbl_Case_mins[[#This Row],[PmCase]]=0),1,0)</f>
        <v>#REF!</v>
      </c>
      <c r="BF17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7" s="9" t="e" cm="1">
        <f t="array" ref="BH17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7" s="9" t="e">
        <f>IF(AND(tbl_Case_mins[[#This Row],[ThOpenPM]]&gt;0,tbl_Case_mins[[#This Row],[AnaesthStart]]&gt;tbl_Case_mins[[#This Row],[ThOpenPM]],tbl_Case_mins[[#This Row],[First PM Case]]=1),tbl_Case_mins[[#This Row],[AnaesthStart]]-tbl_Case_mins[[#This Row],[ThOpenPM]],0)</f>
        <v>#REF!</v>
      </c>
      <c r="BL17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7" s="9" t="e" cm="1">
        <f t="array" ref="BN17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7" s="9" t="e">
        <f>IF(AND(tbl_Case_mins[[#This Row],[ThClosePm]]&gt;0,tbl_Case_mins[[#This Row],[Anaesth End]]&gt;tbl_Case_mins[[#This Row],[ThClosePm]],tbl_Case_mins[[#This Row],[AnaesthStart]]&gt;tbl_Case_mins[[#This Row],[ThClosePm]]),tbl_Case_mins[[#This Row],[Into Recov]]-tbl_Case_mins[[#This Row],[AnaesthStart]],0)</f>
        <v>#REF!</v>
      </c>
      <c r="BP177" s="9" t="e">
        <f>IF(AND(tbl_Case_mins[[#This Row],[AnaesthStart]]&lt;tbl_Case_mins[[#This Row],[ThClosePm]],tbl_Case_mins[[#This Row],[Anaesth End]]&gt;tbl_Case_mins[[#This Row],[ThClosePm]]),tbl_Case_mins[[#This Row],[Anaesth End]]-tbl_Case_mins[[#This Row],[ThClosePm]],0)</f>
        <v>#REF!</v>
      </c>
      <c r="BQ177" s="9" t="e" cm="1">
        <f t="array" ref="BQ17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7" s="9" t="e" cm="1">
        <f t="array" ref="BR177">IF(tbl_Case_mins[[#This Row],[Rank_Adjust]]=SUMPRODUCT(-(tbl_Case_mins[Surgery Start Date]=tbl_Case_mins[[#This Row],[Surgery Start Date]]),-(tbl_Case_mins[Theatre]=tbl_Case_mins[[#This Row],[Theatre]])),INDEX(Poss_Time,MATCH(TEXT(tbl_Case_mins[[#This Row],[Surgery Start Date]],"ddd"),Day,0)),0)</f>
        <v>#REF!</v>
      </c>
      <c r="BS177" s="9" t="e">
        <f>tbl_Case_mins[[#This Row],[Core_Time]]*Util_Goal</f>
        <v>#REF!</v>
      </c>
      <c r="BT177" s="9" t="e" cm="1">
        <f t="array" ref="BT1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7" s="9" t="e" cm="1">
        <f t="array" ref="BU1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7" s="9" t="e">
        <f>IF(tbl_Case_mins[[#This Row],[Surgery End Date]]&gt;tbl_Case_mins[[#This Row],[Surgery Start Date]],tbl_Case_mins[[#This Row],[Anaesth End]]-1440,0)</f>
        <v>#REF!</v>
      </c>
      <c r="BY177" s="9" t="e">
        <f>tbl_Case_mins[[#This Row],[Total_NonCore]]-tbl_Case_mins[[#This Row],[NextDay_NonCore]]</f>
        <v>#REF!</v>
      </c>
      <c r="BZ177" s="10" t="e">
        <f>tbl_Case_mins[[#This Row],[InCoreUse]]/60</f>
        <v>#REF!</v>
      </c>
      <c r="CA177" s="10" t="e">
        <f>tbl_Case_mins[[#This Row],[Total_NonCore]]/60</f>
        <v>#REF!</v>
      </c>
      <c r="CB177" t="e" cm="1">
        <f t="array" ref="CB1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7" s="9" t="e" cm="1">
        <f t="array" ref="CC17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7" s="9" t="e" cm="1">
        <f t="array" ref="CD1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7" s="9" t="e" cm="1">
        <f t="array" ref="CE17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7" s="9" cm="1">
        <f t="array" ref="CF177">IFERROR(_xlfn.AGGREGATE(14,6,(tbl_Case_mins[Rank_AnaEnd])/((tbl_Case_mins[Surgery Start Date]=tbl_Case_mins[[#This Row],[Surgery Start Date]])*(tbl_Case_mins[Theatre]=tbl_Case_mins[[#This Row],[Theatre]])*(tbl_Case_mins[NoInCoreTime]=0)),1),-1)</f>
        <v>-1</v>
      </c>
      <c r="CG177" s="9" cm="1">
        <f t="array" ref="CG177">IFERROR(_xlfn.AGGREGATE(15,6,(tbl_Case_mins[Rank_AnaSt])/((tbl_Case_mins[Surgery Start Date]=tbl_Case_mins[[#This Row],[Surgery Start Date]])*(tbl_Case_mins[Theatre]=tbl_Case_mins[[#This Row],[Theatre]])*(tbl_Case_mins[NoInCoreTime]=0)),1),-1)</f>
        <v>-1</v>
      </c>
      <c r="CH17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7" t="e" cm="1">
        <f t="array" ref="CJ17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7" s="9" cm="1">
        <f t="array" ref="CO1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7" s="9" cm="1">
        <f t="array" ref="CP1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7" s="9" cm="1">
        <f t="array" ref="CQ177">IFERROR(IF(AND(tbl_Case_mins[[#This Row],[FirstAMCase]]=0,tbl_Case_mins[[#This Row],[Rank]]=_xlfn.AGGREGATE(14,6,(tbl_Case_mins[Rank])/((tbl_Case_mins[Surgery Start Date]=tbl_Case_mins[[#This Row],[Surgery Start Date]])*(tbl_Case_mins[Theatre]=tbl_Case_mins[[#This Row],[Theatre]])*(tbl_Case_mins[AmCase]=1)),1)),1,0),0)</f>
        <v>0</v>
      </c>
      <c r="CR177" s="9" cm="1">
        <f t="array" ref="CR17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7" s="9" t="e" cm="1">
        <f t="array" ref="CS17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7" s="9" cm="1">
        <f t="array" ref="CT177">IFERROR(IF(tbl_Case_mins[[#This Row],[Rank]]=_xlfn.AGGREGATE(15,6,(tbl_Case_mins[Rank])/((tbl_Case_mins[Surgery Start Date]=tbl_Case_mins[[#This Row],[Surgery Start Date]])*(tbl_Case_mins[Theatre]=tbl_Case_mins[[#This Row],[Theatre]])*(tbl_Case_mins[PmCase]=1)),1),1,0),0)</f>
        <v>0</v>
      </c>
      <c r="CU177">
        <f>IFERROR(#REF!,0)</f>
        <v>0</v>
      </c>
      <c r="CV177" s="9" t="e" cm="1">
        <f t="array" ref="CV17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7" s="9">
        <f>IFERROR(IF(ISBLANK(INDEX(Bay_AmClose,MATCH(1,INDEX((tbl_Case_mins[[#This Row],[Bay]]=BayNo)*(tbl_Case_mins[[#This Row],[Surgery Start Date]]=BDate),0,1),0))*1440),0,INDEX(Bay_AmClose,MATCH(1,INDEX((tbl_Case_mins[[#This Row],[Bay]]=BayNo)*(tbl_Case_mins[[#This Row],[Surgery Start Date]]=BDate),0,1),0))*1440),0)</f>
        <v>0</v>
      </c>
      <c r="CX177" s="9" cm="1">
        <f t="array" ref="CX177">IFERROR(IF(ISBLANK(INDEX(Bay_PmOpen,MATCH(1,INDEX((tbl_Case_mins[[#This Row],[Bay]]=BayNo)*(tbl_Case_mins[[#This Row],[Surgery Start Date]]=BDate),0,1),0))*1440),0,INDEX(Bay_PmOpen,MATCH(1,INDEX((tbl_Case_mins[[#This Row],[Bay]]=BayNo)*(tbl_Case_mins[[#This Row],[Surgery Start Date]]=BDate),0,1),0))*1440),0)</f>
        <v>0</v>
      </c>
      <c r="CY17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7" s="9"/>
    </row>
    <row r="178" spans="1:104" x14ac:dyDescent="0.2">
      <c r="A178">
        <v>177</v>
      </c>
      <c r="B178" t="e">
        <f>#REF!</f>
        <v>#REF!</v>
      </c>
      <c r="C178" t="e">
        <f>#REF!</f>
        <v>#REF!</v>
      </c>
      <c r="D178" t="e">
        <f>#REF!</f>
        <v>#REF!</v>
      </c>
      <c r="E178" t="e">
        <f>#REF!</f>
        <v>#REF!</v>
      </c>
      <c r="F178" t="e">
        <f>#REF!</f>
        <v>#REF!</v>
      </c>
      <c r="G178" t="e">
        <f>#REF!</f>
        <v>#REF!</v>
      </c>
      <c r="H178" t="e">
        <f>#REF!</f>
        <v>#REF!</v>
      </c>
      <c r="I178" t="e">
        <f>IF(#REF!="Case Cancelled",1,IF(#REF!="No Cases",2,0))</f>
        <v>#REF!</v>
      </c>
      <c r="J178" t="e">
        <f>#REF!</f>
        <v>#REF!</v>
      </c>
      <c r="K178" s="4" t="e">
        <f>#REF!</f>
        <v>#REF!</v>
      </c>
      <c r="L178" t="e">
        <f>"Wk "&amp;WEEKNUM(tbl_Case_mins[[#This Row],[Surgery Start Date]],21)</f>
        <v>#REF!</v>
      </c>
      <c r="M178" t="e">
        <f>TEXT(tbl_Case_mins[[#This Row],[Surgery Start Date]],"ddd")</f>
        <v>#REF!</v>
      </c>
      <c r="N178" s="9" t="e">
        <f>(#REF!-TIME(0,0,0))*1440</f>
        <v>#REF!</v>
      </c>
      <c r="O178" t="e">
        <f>IF(AND(ROUND((#REF!-TIME(0,0,0))*1440,0)&gt;0,ROUND((#REF!-TIME(0,0,0))*1440,0)&lt;tbl_Case_mins[[#This Row],[Patient Called]],tbl_Case_mins[[#This Row],[Surgery End Date]]&gt;tbl_Case_mins[[#This Row],[Surgery Start Date]]),ROUND((#REF!-TIME(0,0,0))*1440,0)+1440,ROUND((#REF!-TIME(0,0,0))*1440,0))</f>
        <v>#REF!</v>
      </c>
      <c r="P178" s="9" t="e">
        <f>IF(AND(ROUND((#REF!-TIME(0,0,0))*1440,0)&gt;0,ROUND((#REF!-TIME(0,0,0))*1440,0)&lt;tbl_Case_mins[[#This Row],[Arrival]],tbl_Case_mins[[#This Row],[Surgery End Date]]&gt;tbl_Case_mins[[#This Row],[Surgery Start Date]]),ROUND((#REF!-TIME(0,0,0))*1440,0)+1440,ROUND((#REF!-TIME(0,0,0))*1440,0))</f>
        <v>#REF!</v>
      </c>
      <c r="Q178" s="9" t="e">
        <f>IF(AND(ROUND((#REF!-TIME(0,0,0))*1440,0)&gt;0,ROUND((#REF!-TIME(0,0,0))*1440,0)&lt;tbl_Case_mins[[#This Row],[Into Th or AR]],tbl_Case_mins[[#This Row],[Surgery End Date]]&gt;tbl_Case_mins[[#This Row],[Surgery Start Date]]),ROUND((#REF!-TIME(0,0,0))*1440,0)+1440,ROUND((#REF!-TIME(0,0,0))*1440,0))</f>
        <v>#REF!</v>
      </c>
      <c r="R178" s="9" t="e">
        <f>IF(AND(ROUND((#REF!-TIME(0,0,0))*1440,0)&gt;0,ROUND((#REF!-TIME(0,0,0))*1440,0)&lt;tbl_Case_mins[[#This Row],[AnaesthStart]],tbl_Case_mins[[#This Row],[Surgery End Date]]&gt;tbl_Case_mins[[#This Row],[Surgery Start Date]]),ROUND((#REF!-TIME(0,0,0))*1440,0)+1440,ROUND((#REF!-TIME(0,0,0))*1440,0))</f>
        <v>#REF!</v>
      </c>
      <c r="S178" s="9" t="e">
        <f>IF(AND(ROUND((#REF!-TIME(0,0,0))*1440,0),ROUND((#REF!-TIME(0,0,0))*1440,0)&lt;tbl_Case_mins[[#This Row],[Surgery Start]],tbl_Case_mins[[#This Row],[Surgery End Date]]&gt;tbl_Case_mins[[#This Row],[Surgery Start Date]]),ROUND((#REF!-TIME(0,0,0))*1440,0)+1440,ROUND((#REF!-TIME(0,0,0))*1440,0))</f>
        <v>#REF!</v>
      </c>
      <c r="T178" s="9" t="e">
        <f>IF(AND(ROUND((#REF!-TIME(0,0,0))*1440,0)&gt;0,ROUND((#REF!-TIME(0,0,0))*1440,0)&lt;tbl_Case_mins[[#This Row],[Surgery Finish]],tbl_Case_mins[[#This Row],[Surgery End Date]]&gt;tbl_Case_mins[[#This Row],[Surgery Start Date]]),ROUND((#REF!-TIME(0,0,0))*1440,0)+1440,ROUND((#REF!-TIME(0,0,0))*1440,0))</f>
        <v>#REF!</v>
      </c>
      <c r="U178" s="9" t="e">
        <f>IF(AND(ROUND((#REF!-TIME(0,0,0))*1440,0)&gt;0,ROUND((#REF!-TIME(0,0,0))*1440,0)&lt;tbl_Case_mins[[#This Row],[Anaesth End]],tbl_Case_mins[[#This Row],[Surgery End Date]]&gt;tbl_Case_mins[[#This Row],[Surgery Start Date]]),ROUND((#REF!-TIME(0,0,0))*1440,0)+1440,ROUND((#REF!-TIME(0,0,0))*1440,0))</f>
        <v>#REF!</v>
      </c>
      <c r="V178" s="9" t="e">
        <f>IF(AND(ROUND((#REF!-TIME(0,0,0))*1440,0)&gt;0,ROUND((#REF!-TIME(0,0,0))*1440,0)&lt;tbl_Case_mins[[#This Row],[Into Recov]],tbl_Case_mins[[#This Row],[Surgery End Date]]&gt;tbl_Case_mins[[#This Row],[Surgery Start Date]]),ROUND((#REF!-TIME(0,0,0))*1440,0)+1440,ROUND((#REF!-TIME(0,0,0))*1440,0))</f>
        <v>#REF!</v>
      </c>
      <c r="W178" s="9" t="e">
        <f>IF(AND(ROUND((#REF!-TIME(0,0,0))*1440,0)&gt;0,ROUND((#REF!-TIME(0,0,0))*1440,0)&lt;tbl_Case_mins[[#This Row],[Ward Called]],tbl_Case_mins[[#This Row],[Surgery End Date]]&gt;tbl_Case_mins[[#This Row],[Surgery Start Date]]),ROUND((#REF!-TIME(0,0,0))*1440,0)+1440,ROUND((#REF!-TIME(0,0,0))*1440,0))</f>
        <v>#REF!</v>
      </c>
      <c r="X178" s="4" t="e">
        <f>IF(ISBLANK(#REF!),tbl_Case_mins[[#This Row],[Surgery Start Date]],#REF!)</f>
        <v>#REF!</v>
      </c>
      <c r="Y178">
        <f>IFERROR(IF(VLOOKUP(tbl_Case_mins[[#This Row],[Theatre]],'Mng Theatres'!$C$7:$G$12,3,FALSE)="Yes","Yes","No"),0)</f>
        <v>0</v>
      </c>
      <c r="Z178" s="9" t="e" cm="1">
        <f t="array" ref="Z17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8" s="9" t="e" cm="1">
        <f t="array" ref="AA17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8" s="9" t="e">
        <f>IF(tbl_Case_mins[[#This Row],[Case Type]]="Unsch",1,0)</f>
        <v>#REF!</v>
      </c>
      <c r="AD178" s="9" t="e">
        <f>IF(tbl_Case_mins[[#This Row],[Case Type]]="Sch",1,0)</f>
        <v>#REF!</v>
      </c>
      <c r="AE17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8" s="9">
        <f>IFERROR(IF(ISBLANK(INDEX(Am_Close,MATCH(1,INDEX((tbl_Case_mins[[#This Row],[Theatre]]=Theatre_No)*(tbl_Case_mins[[#This Row],[Surgery Start Date]]=Date),0,1),0))*1440),0,INDEX(Am_Close,MATCH(1,INDEX((tbl_Case_mins[[#This Row],[Theatre]]=Theatre_No)*(tbl_Case_mins[[#This Row],[Surgery Start Date]]=Date),0,1),0))*1440),0)</f>
        <v>0</v>
      </c>
      <c r="AG178" s="9">
        <f>IFERROR(IF(ISBLANK(INDEX(PM_Open,MATCH(1,INDEX((tbl_Case_mins[[#This Row],[Theatre]]=Theatre_No)*(tbl_Case_mins[[#This Row],[Surgery Start Date]]=Date),0,1),0))*1440),0,INDEX(PM_Open,MATCH(1,INDEX((tbl_Case_mins[[#This Row],[Theatre]]=Theatre_No)*(tbl_Case_mins[[#This Row],[Surgery Start Date]]=Date),0,1),0))*1440),0)</f>
        <v>0</v>
      </c>
      <c r="AH17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8" s="9" t="e">
        <f>IF(tbl_Case_mins[[#This Row],[ThOpenAm]]=0,tbl_Case_mins[[#This Row],[ThOpenPM]],tbl_Case_mins[[#This Row],[ThOpenAm]])</f>
        <v>#REF!</v>
      </c>
      <c r="AJ178" s="9" t="e">
        <f>IF(tbl_Case_mins[[#This Row],[ThCloseAm]]&gt;0,IF(tbl_Case_mins[[#This Row],[ThOpenPM]]&gt;0,tbl_Case_mins[[#This Row],[ThClosePm]],tbl_Case_mins[[#This Row],[ThCloseAm]]),tbl_Case_mins[[#This Row],[ThClosePm]])</f>
        <v>#REF!</v>
      </c>
      <c r="AK178" s="9" t="e">
        <f>IF(tbl_Case_mins[[#This Row],[TOT]]&gt;0,1,0)</f>
        <v>#REF!</v>
      </c>
      <c r="AL17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8" s="9" t="e">
        <f>IF(AND(tbl_Case_mins[[#This Row],[Surgery Status]]&lt;&gt;2,tbl_Case_mins[[#This Row],[InCoreCase]]=0,tbl_Case_mins[[#This Row],[CancelledCase]]=0),1,0)</f>
        <v>#REF!</v>
      </c>
      <c r="AN178" s="9" t="e">
        <f>IF(tbl_Case_mins[[#This Row],[Surgery Status]]=1,1,0)</f>
        <v>#REF!</v>
      </c>
      <c r="AO17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8" s="9" t="e">
        <f>IF(AND(tbl_Case_mins[[#This Row],[NonCoreCase]]=1,tbl_Case_mins[[#This Row],[NoInCoreTime]]=0),1,0)</f>
        <v>#REF!</v>
      </c>
      <c r="AQ178" s="9" t="e">
        <f>IF(tbl_Case_mins[[#This Row],[Rank_AnaEnd]]&lt;tbl_Case_mins[[#This Row],[Rank_AnaSt]],1,0)</f>
        <v>#REF!</v>
      </c>
      <c r="AR178" s="9" t="e">
        <f>IF(AND(tbl_Case_mins[[#This Row],[InCoreCase]]=1,tbl_Case_mins[[#This Row],[Sch]]=1),1,0)</f>
        <v>#REF!</v>
      </c>
      <c r="AS178" s="9" t="e">
        <f>IF(AND(tbl_Case_mins[[#This Row],[InCoreCase]]=1,tbl_Case_mins[[#This Row],[Unsch]]=1),1,0)</f>
        <v>#REF!</v>
      </c>
      <c r="AT17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8" s="9" t="e">
        <f>IF(tbl_Case_mins[[#This Row],[Surgery Status]]=0,(tbl_Case_mins[[#This Row],[Anaesth End]]-tbl_Case_mins[[#This Row],[AnaesthStart]]),0)</f>
        <v>#REF!</v>
      </c>
      <c r="AX178" s="9" t="e">
        <f>IF(tbl_Case_mins[[#This Row],[Surgery Status]]=0,(tbl_Case_mins[[#This Row],[Surgery Finish]]-tbl_Case_mins[[#This Row],[Surgery Start]]),0)</f>
        <v>#REF!</v>
      </c>
      <c r="AY178" s="9" t="e">
        <f>tbl_Case_mins[[#This Row],[Surgery Start]]-tbl_Case_mins[[#This Row],[AnaesthStart]]</f>
        <v>#REF!</v>
      </c>
      <c r="AZ178" s="9" t="e">
        <f>tbl_Case_mins[[#This Row],[Anaesth End]]-tbl_Case_mins[[#This Row],[Surgery Finish]]</f>
        <v>#REF!</v>
      </c>
      <c r="BA17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8" s="16" cm="1">
        <f t="array" ref="BC17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8" s="16" t="e">
        <f>IF(AND(tbl_Case_mins[[#This Row],[FirstAMCase]]=1,tbl_Case_mins[[#This Row],[CancelledCase]]=0,OR(tbl_Case_mins[[#This Row],[EarlyStartAM]]&gt;0,tbl_Case_mins[[#This Row],[AnaesthStart]]=tbl_Case_mins[[#This Row],[ThOpenAm]])),1,0)</f>
        <v>#REF!</v>
      </c>
      <c r="BE178" s="16" t="e">
        <f>IF(AND(tbl_Case_mins[[#This Row],[Rank_AnaSt]]=tbl_Case_mins[[#This Row],[Min_RankAnaSt]],tbl_Case_mins[[#This Row],[Anaesth End]]&gt;=tbl_Case_mins[[#This Row],[ThOpenAm]],tbl_Case_mins[[#This Row],[PmCase]]=0),1,0)</f>
        <v>#REF!</v>
      </c>
      <c r="BF17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8" s="9" t="e" cm="1">
        <f t="array" ref="BH17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8" s="9" t="e">
        <f>IF(AND(tbl_Case_mins[[#This Row],[ThOpenPM]]&gt;0,tbl_Case_mins[[#This Row],[AnaesthStart]]&gt;tbl_Case_mins[[#This Row],[ThOpenPM]],tbl_Case_mins[[#This Row],[First PM Case]]=1),tbl_Case_mins[[#This Row],[AnaesthStart]]-tbl_Case_mins[[#This Row],[ThOpenPM]],0)</f>
        <v>#REF!</v>
      </c>
      <c r="BL17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8" s="9" t="e" cm="1">
        <f t="array" ref="BN17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8" s="9" t="e">
        <f>IF(AND(tbl_Case_mins[[#This Row],[ThClosePm]]&gt;0,tbl_Case_mins[[#This Row],[Anaesth End]]&gt;tbl_Case_mins[[#This Row],[ThClosePm]],tbl_Case_mins[[#This Row],[AnaesthStart]]&gt;tbl_Case_mins[[#This Row],[ThClosePm]]),tbl_Case_mins[[#This Row],[Into Recov]]-tbl_Case_mins[[#This Row],[AnaesthStart]],0)</f>
        <v>#REF!</v>
      </c>
      <c r="BP178" s="9" t="e">
        <f>IF(AND(tbl_Case_mins[[#This Row],[AnaesthStart]]&lt;tbl_Case_mins[[#This Row],[ThClosePm]],tbl_Case_mins[[#This Row],[Anaesth End]]&gt;tbl_Case_mins[[#This Row],[ThClosePm]]),tbl_Case_mins[[#This Row],[Anaesth End]]-tbl_Case_mins[[#This Row],[ThClosePm]],0)</f>
        <v>#REF!</v>
      </c>
      <c r="BQ178" s="9" t="e" cm="1">
        <f t="array" ref="BQ17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8" s="9" t="e" cm="1">
        <f t="array" ref="BR178">IF(tbl_Case_mins[[#This Row],[Rank_Adjust]]=SUMPRODUCT(-(tbl_Case_mins[Surgery Start Date]=tbl_Case_mins[[#This Row],[Surgery Start Date]]),-(tbl_Case_mins[Theatre]=tbl_Case_mins[[#This Row],[Theatre]])),INDEX(Poss_Time,MATCH(TEXT(tbl_Case_mins[[#This Row],[Surgery Start Date]],"ddd"),Day,0)),0)</f>
        <v>#REF!</v>
      </c>
      <c r="BS178" s="9" t="e">
        <f>tbl_Case_mins[[#This Row],[Core_Time]]*Util_Goal</f>
        <v>#REF!</v>
      </c>
      <c r="BT178" s="9" t="e" cm="1">
        <f t="array" ref="BT1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8" s="9" t="e" cm="1">
        <f t="array" ref="BU1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8" s="9" t="e">
        <f>IF(tbl_Case_mins[[#This Row],[Surgery End Date]]&gt;tbl_Case_mins[[#This Row],[Surgery Start Date]],tbl_Case_mins[[#This Row],[Anaesth End]]-1440,0)</f>
        <v>#REF!</v>
      </c>
      <c r="BY178" s="9" t="e">
        <f>tbl_Case_mins[[#This Row],[Total_NonCore]]-tbl_Case_mins[[#This Row],[NextDay_NonCore]]</f>
        <v>#REF!</v>
      </c>
      <c r="BZ178" s="10" t="e">
        <f>tbl_Case_mins[[#This Row],[InCoreUse]]/60</f>
        <v>#REF!</v>
      </c>
      <c r="CA178" s="10" t="e">
        <f>tbl_Case_mins[[#This Row],[Total_NonCore]]/60</f>
        <v>#REF!</v>
      </c>
      <c r="CB178" t="e" cm="1">
        <f t="array" ref="CB1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8" s="9" t="e" cm="1">
        <f t="array" ref="CC17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8" s="9" t="e" cm="1">
        <f t="array" ref="CD1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8" s="9" t="e" cm="1">
        <f t="array" ref="CE17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8" s="9" cm="1">
        <f t="array" ref="CF178">IFERROR(_xlfn.AGGREGATE(14,6,(tbl_Case_mins[Rank_AnaEnd])/((tbl_Case_mins[Surgery Start Date]=tbl_Case_mins[[#This Row],[Surgery Start Date]])*(tbl_Case_mins[Theatre]=tbl_Case_mins[[#This Row],[Theatre]])*(tbl_Case_mins[NoInCoreTime]=0)),1),-1)</f>
        <v>-1</v>
      </c>
      <c r="CG178" s="9" cm="1">
        <f t="array" ref="CG178">IFERROR(_xlfn.AGGREGATE(15,6,(tbl_Case_mins[Rank_AnaSt])/((tbl_Case_mins[Surgery Start Date]=tbl_Case_mins[[#This Row],[Surgery Start Date]])*(tbl_Case_mins[Theatre]=tbl_Case_mins[[#This Row],[Theatre]])*(tbl_Case_mins[NoInCoreTime]=0)),1),-1)</f>
        <v>-1</v>
      </c>
      <c r="CH17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8" t="e" cm="1">
        <f t="array" ref="CJ17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8" s="9" cm="1">
        <f t="array" ref="CO1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8" s="9" cm="1">
        <f t="array" ref="CP1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8" s="9" cm="1">
        <f t="array" ref="CQ178">IFERROR(IF(AND(tbl_Case_mins[[#This Row],[FirstAMCase]]=0,tbl_Case_mins[[#This Row],[Rank]]=_xlfn.AGGREGATE(14,6,(tbl_Case_mins[Rank])/((tbl_Case_mins[Surgery Start Date]=tbl_Case_mins[[#This Row],[Surgery Start Date]])*(tbl_Case_mins[Theatre]=tbl_Case_mins[[#This Row],[Theatre]])*(tbl_Case_mins[AmCase]=1)),1)),1,0),0)</f>
        <v>0</v>
      </c>
      <c r="CR178" s="9" cm="1">
        <f t="array" ref="CR17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8" s="9" t="e" cm="1">
        <f t="array" ref="CS17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8" s="9" cm="1">
        <f t="array" ref="CT178">IFERROR(IF(tbl_Case_mins[[#This Row],[Rank]]=_xlfn.AGGREGATE(15,6,(tbl_Case_mins[Rank])/((tbl_Case_mins[Surgery Start Date]=tbl_Case_mins[[#This Row],[Surgery Start Date]])*(tbl_Case_mins[Theatre]=tbl_Case_mins[[#This Row],[Theatre]])*(tbl_Case_mins[PmCase]=1)),1),1,0),0)</f>
        <v>0</v>
      </c>
      <c r="CU178">
        <f>IFERROR(#REF!,0)</f>
        <v>0</v>
      </c>
      <c r="CV178" s="9" t="e" cm="1">
        <f t="array" ref="CV17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8" s="9">
        <f>IFERROR(IF(ISBLANK(INDEX(Bay_AmClose,MATCH(1,INDEX((tbl_Case_mins[[#This Row],[Bay]]=BayNo)*(tbl_Case_mins[[#This Row],[Surgery Start Date]]=BDate),0,1),0))*1440),0,INDEX(Bay_AmClose,MATCH(1,INDEX((tbl_Case_mins[[#This Row],[Bay]]=BayNo)*(tbl_Case_mins[[#This Row],[Surgery Start Date]]=BDate),0,1),0))*1440),0)</f>
        <v>0</v>
      </c>
      <c r="CX178" s="9" cm="1">
        <f t="array" ref="CX178">IFERROR(IF(ISBLANK(INDEX(Bay_PmOpen,MATCH(1,INDEX((tbl_Case_mins[[#This Row],[Bay]]=BayNo)*(tbl_Case_mins[[#This Row],[Surgery Start Date]]=BDate),0,1),0))*1440),0,INDEX(Bay_PmOpen,MATCH(1,INDEX((tbl_Case_mins[[#This Row],[Bay]]=BayNo)*(tbl_Case_mins[[#This Row],[Surgery Start Date]]=BDate),0,1),0))*1440),0)</f>
        <v>0</v>
      </c>
      <c r="CY17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8" s="9"/>
    </row>
    <row r="179" spans="1:104" x14ac:dyDescent="0.2">
      <c r="A179">
        <v>178</v>
      </c>
      <c r="B179" t="e">
        <f>#REF!</f>
        <v>#REF!</v>
      </c>
      <c r="C179" t="e">
        <f>#REF!</f>
        <v>#REF!</v>
      </c>
      <c r="D179" t="e">
        <f>#REF!</f>
        <v>#REF!</v>
      </c>
      <c r="E179" t="e">
        <f>#REF!</f>
        <v>#REF!</v>
      </c>
      <c r="F179" t="e">
        <f>#REF!</f>
        <v>#REF!</v>
      </c>
      <c r="G179" t="e">
        <f>#REF!</f>
        <v>#REF!</v>
      </c>
      <c r="H179" t="e">
        <f>#REF!</f>
        <v>#REF!</v>
      </c>
      <c r="I179" t="e">
        <f>IF(#REF!="Case Cancelled",1,IF(#REF!="No Cases",2,0))</f>
        <v>#REF!</v>
      </c>
      <c r="J179" t="e">
        <f>#REF!</f>
        <v>#REF!</v>
      </c>
      <c r="K179" s="4" t="e">
        <f>#REF!</f>
        <v>#REF!</v>
      </c>
      <c r="L179" t="e">
        <f>"Wk "&amp;WEEKNUM(tbl_Case_mins[[#This Row],[Surgery Start Date]],21)</f>
        <v>#REF!</v>
      </c>
      <c r="M179" t="e">
        <f>TEXT(tbl_Case_mins[[#This Row],[Surgery Start Date]],"ddd")</f>
        <v>#REF!</v>
      </c>
      <c r="N179" s="9" t="e">
        <f>(#REF!-TIME(0,0,0))*1440</f>
        <v>#REF!</v>
      </c>
      <c r="O179" t="e">
        <f>IF(AND(ROUND((#REF!-TIME(0,0,0))*1440,0)&gt;0,ROUND((#REF!-TIME(0,0,0))*1440,0)&lt;tbl_Case_mins[[#This Row],[Patient Called]],tbl_Case_mins[[#This Row],[Surgery End Date]]&gt;tbl_Case_mins[[#This Row],[Surgery Start Date]]),ROUND((#REF!-TIME(0,0,0))*1440,0)+1440,ROUND((#REF!-TIME(0,0,0))*1440,0))</f>
        <v>#REF!</v>
      </c>
      <c r="P179" s="9" t="e">
        <f>IF(AND(ROUND((#REF!-TIME(0,0,0))*1440,0)&gt;0,ROUND((#REF!-TIME(0,0,0))*1440,0)&lt;tbl_Case_mins[[#This Row],[Arrival]],tbl_Case_mins[[#This Row],[Surgery End Date]]&gt;tbl_Case_mins[[#This Row],[Surgery Start Date]]),ROUND((#REF!-TIME(0,0,0))*1440,0)+1440,ROUND((#REF!-TIME(0,0,0))*1440,0))</f>
        <v>#REF!</v>
      </c>
      <c r="Q179" s="9" t="e">
        <f>IF(AND(ROUND((#REF!-TIME(0,0,0))*1440,0)&gt;0,ROUND((#REF!-TIME(0,0,0))*1440,0)&lt;tbl_Case_mins[[#This Row],[Into Th or AR]],tbl_Case_mins[[#This Row],[Surgery End Date]]&gt;tbl_Case_mins[[#This Row],[Surgery Start Date]]),ROUND((#REF!-TIME(0,0,0))*1440,0)+1440,ROUND((#REF!-TIME(0,0,0))*1440,0))</f>
        <v>#REF!</v>
      </c>
      <c r="R179" s="9" t="e">
        <f>IF(AND(ROUND((#REF!-TIME(0,0,0))*1440,0)&gt;0,ROUND((#REF!-TIME(0,0,0))*1440,0)&lt;tbl_Case_mins[[#This Row],[AnaesthStart]],tbl_Case_mins[[#This Row],[Surgery End Date]]&gt;tbl_Case_mins[[#This Row],[Surgery Start Date]]),ROUND((#REF!-TIME(0,0,0))*1440,0)+1440,ROUND((#REF!-TIME(0,0,0))*1440,0))</f>
        <v>#REF!</v>
      </c>
      <c r="S179" s="9" t="e">
        <f>IF(AND(ROUND((#REF!-TIME(0,0,0))*1440,0),ROUND((#REF!-TIME(0,0,0))*1440,0)&lt;tbl_Case_mins[[#This Row],[Surgery Start]],tbl_Case_mins[[#This Row],[Surgery End Date]]&gt;tbl_Case_mins[[#This Row],[Surgery Start Date]]),ROUND((#REF!-TIME(0,0,0))*1440,0)+1440,ROUND((#REF!-TIME(0,0,0))*1440,0))</f>
        <v>#REF!</v>
      </c>
      <c r="T179" s="9" t="e">
        <f>IF(AND(ROUND((#REF!-TIME(0,0,0))*1440,0)&gt;0,ROUND((#REF!-TIME(0,0,0))*1440,0)&lt;tbl_Case_mins[[#This Row],[Surgery Finish]],tbl_Case_mins[[#This Row],[Surgery End Date]]&gt;tbl_Case_mins[[#This Row],[Surgery Start Date]]),ROUND((#REF!-TIME(0,0,0))*1440,0)+1440,ROUND((#REF!-TIME(0,0,0))*1440,0))</f>
        <v>#REF!</v>
      </c>
      <c r="U179" s="9" t="e">
        <f>IF(AND(ROUND((#REF!-TIME(0,0,0))*1440,0)&gt;0,ROUND((#REF!-TIME(0,0,0))*1440,0)&lt;tbl_Case_mins[[#This Row],[Anaesth End]],tbl_Case_mins[[#This Row],[Surgery End Date]]&gt;tbl_Case_mins[[#This Row],[Surgery Start Date]]),ROUND((#REF!-TIME(0,0,0))*1440,0)+1440,ROUND((#REF!-TIME(0,0,0))*1440,0))</f>
        <v>#REF!</v>
      </c>
      <c r="V179" s="9" t="e">
        <f>IF(AND(ROUND((#REF!-TIME(0,0,0))*1440,0)&gt;0,ROUND((#REF!-TIME(0,0,0))*1440,0)&lt;tbl_Case_mins[[#This Row],[Into Recov]],tbl_Case_mins[[#This Row],[Surgery End Date]]&gt;tbl_Case_mins[[#This Row],[Surgery Start Date]]),ROUND((#REF!-TIME(0,0,0))*1440,0)+1440,ROUND((#REF!-TIME(0,0,0))*1440,0))</f>
        <v>#REF!</v>
      </c>
      <c r="W179" s="9" t="e">
        <f>IF(AND(ROUND((#REF!-TIME(0,0,0))*1440,0)&gt;0,ROUND((#REF!-TIME(0,0,0))*1440,0)&lt;tbl_Case_mins[[#This Row],[Ward Called]],tbl_Case_mins[[#This Row],[Surgery End Date]]&gt;tbl_Case_mins[[#This Row],[Surgery Start Date]]),ROUND((#REF!-TIME(0,0,0))*1440,0)+1440,ROUND((#REF!-TIME(0,0,0))*1440,0))</f>
        <v>#REF!</v>
      </c>
      <c r="X179" s="4" t="e">
        <f>IF(ISBLANK(#REF!),tbl_Case_mins[[#This Row],[Surgery Start Date]],#REF!)</f>
        <v>#REF!</v>
      </c>
      <c r="Y179">
        <f>IFERROR(IF(VLOOKUP(tbl_Case_mins[[#This Row],[Theatre]],'Mng Theatres'!$C$7:$G$12,3,FALSE)="Yes","Yes","No"),0)</f>
        <v>0</v>
      </c>
      <c r="Z179" s="9" t="e" cm="1">
        <f t="array" ref="Z17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79" s="9" t="e" cm="1">
        <f t="array" ref="AA17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7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79" s="9" t="e">
        <f>IF(tbl_Case_mins[[#This Row],[Case Type]]="Unsch",1,0)</f>
        <v>#REF!</v>
      </c>
      <c r="AD179" s="9" t="e">
        <f>IF(tbl_Case_mins[[#This Row],[Case Type]]="Sch",1,0)</f>
        <v>#REF!</v>
      </c>
      <c r="AE17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79" s="9">
        <f>IFERROR(IF(ISBLANK(INDEX(Am_Close,MATCH(1,INDEX((tbl_Case_mins[[#This Row],[Theatre]]=Theatre_No)*(tbl_Case_mins[[#This Row],[Surgery Start Date]]=Date),0,1),0))*1440),0,INDEX(Am_Close,MATCH(1,INDEX((tbl_Case_mins[[#This Row],[Theatre]]=Theatre_No)*(tbl_Case_mins[[#This Row],[Surgery Start Date]]=Date),0,1),0))*1440),0)</f>
        <v>0</v>
      </c>
      <c r="AG179" s="9">
        <f>IFERROR(IF(ISBLANK(INDEX(PM_Open,MATCH(1,INDEX((tbl_Case_mins[[#This Row],[Theatre]]=Theatre_No)*(tbl_Case_mins[[#This Row],[Surgery Start Date]]=Date),0,1),0))*1440),0,INDEX(PM_Open,MATCH(1,INDEX((tbl_Case_mins[[#This Row],[Theatre]]=Theatre_No)*(tbl_Case_mins[[#This Row],[Surgery Start Date]]=Date),0,1),0))*1440),0)</f>
        <v>0</v>
      </c>
      <c r="AH17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79" s="9" t="e">
        <f>IF(tbl_Case_mins[[#This Row],[ThOpenAm]]=0,tbl_Case_mins[[#This Row],[ThOpenPM]],tbl_Case_mins[[#This Row],[ThOpenAm]])</f>
        <v>#REF!</v>
      </c>
      <c r="AJ179" s="9" t="e">
        <f>IF(tbl_Case_mins[[#This Row],[ThCloseAm]]&gt;0,IF(tbl_Case_mins[[#This Row],[ThOpenPM]]&gt;0,tbl_Case_mins[[#This Row],[ThClosePm]],tbl_Case_mins[[#This Row],[ThCloseAm]]),tbl_Case_mins[[#This Row],[ThClosePm]])</f>
        <v>#REF!</v>
      </c>
      <c r="AK179" s="9" t="e">
        <f>IF(tbl_Case_mins[[#This Row],[TOT]]&gt;0,1,0)</f>
        <v>#REF!</v>
      </c>
      <c r="AL17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79" s="9" t="e">
        <f>IF(AND(tbl_Case_mins[[#This Row],[Surgery Status]]&lt;&gt;2,tbl_Case_mins[[#This Row],[InCoreCase]]=0,tbl_Case_mins[[#This Row],[CancelledCase]]=0),1,0)</f>
        <v>#REF!</v>
      </c>
      <c r="AN179" s="9" t="e">
        <f>IF(tbl_Case_mins[[#This Row],[Surgery Status]]=1,1,0)</f>
        <v>#REF!</v>
      </c>
      <c r="AO17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79" s="9" t="e">
        <f>IF(AND(tbl_Case_mins[[#This Row],[NonCoreCase]]=1,tbl_Case_mins[[#This Row],[NoInCoreTime]]=0),1,0)</f>
        <v>#REF!</v>
      </c>
      <c r="AQ179" s="9" t="e">
        <f>IF(tbl_Case_mins[[#This Row],[Rank_AnaEnd]]&lt;tbl_Case_mins[[#This Row],[Rank_AnaSt]],1,0)</f>
        <v>#REF!</v>
      </c>
      <c r="AR179" s="9" t="e">
        <f>IF(AND(tbl_Case_mins[[#This Row],[InCoreCase]]=1,tbl_Case_mins[[#This Row],[Sch]]=1),1,0)</f>
        <v>#REF!</v>
      </c>
      <c r="AS179" s="9" t="e">
        <f>IF(AND(tbl_Case_mins[[#This Row],[InCoreCase]]=1,tbl_Case_mins[[#This Row],[Unsch]]=1),1,0)</f>
        <v>#REF!</v>
      </c>
      <c r="AT17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7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7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79" s="9" t="e">
        <f>IF(tbl_Case_mins[[#This Row],[Surgery Status]]=0,(tbl_Case_mins[[#This Row],[Anaesth End]]-tbl_Case_mins[[#This Row],[AnaesthStart]]),0)</f>
        <v>#REF!</v>
      </c>
      <c r="AX179" s="9" t="e">
        <f>IF(tbl_Case_mins[[#This Row],[Surgery Status]]=0,(tbl_Case_mins[[#This Row],[Surgery Finish]]-tbl_Case_mins[[#This Row],[Surgery Start]]),0)</f>
        <v>#REF!</v>
      </c>
      <c r="AY179" s="9" t="e">
        <f>tbl_Case_mins[[#This Row],[Surgery Start]]-tbl_Case_mins[[#This Row],[AnaesthStart]]</f>
        <v>#REF!</v>
      </c>
      <c r="AZ179" s="9" t="e">
        <f>tbl_Case_mins[[#This Row],[Anaesth End]]-tbl_Case_mins[[#This Row],[Surgery Finish]]</f>
        <v>#REF!</v>
      </c>
      <c r="BA17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7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79" s="16" cm="1">
        <f t="array" ref="BC17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79" s="16" t="e">
        <f>IF(AND(tbl_Case_mins[[#This Row],[FirstAMCase]]=1,tbl_Case_mins[[#This Row],[CancelledCase]]=0,OR(tbl_Case_mins[[#This Row],[EarlyStartAM]]&gt;0,tbl_Case_mins[[#This Row],[AnaesthStart]]=tbl_Case_mins[[#This Row],[ThOpenAm]])),1,0)</f>
        <v>#REF!</v>
      </c>
      <c r="BE179" s="16" t="e">
        <f>IF(AND(tbl_Case_mins[[#This Row],[Rank_AnaSt]]=tbl_Case_mins[[#This Row],[Min_RankAnaSt]],tbl_Case_mins[[#This Row],[Anaesth End]]&gt;=tbl_Case_mins[[#This Row],[ThOpenAm]],tbl_Case_mins[[#This Row],[PmCase]]=0),1,0)</f>
        <v>#REF!</v>
      </c>
      <c r="BF17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7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79" s="9" t="e" cm="1">
        <f t="array" ref="BH17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7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7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79" s="9" t="e">
        <f>IF(AND(tbl_Case_mins[[#This Row],[ThOpenPM]]&gt;0,tbl_Case_mins[[#This Row],[AnaesthStart]]&gt;tbl_Case_mins[[#This Row],[ThOpenPM]],tbl_Case_mins[[#This Row],[First PM Case]]=1),tbl_Case_mins[[#This Row],[AnaesthStart]]-tbl_Case_mins[[#This Row],[ThOpenPM]],0)</f>
        <v>#REF!</v>
      </c>
      <c r="BL17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7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79" s="9" t="e" cm="1">
        <f t="array" ref="BN17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79" s="9" t="e">
        <f>IF(AND(tbl_Case_mins[[#This Row],[ThClosePm]]&gt;0,tbl_Case_mins[[#This Row],[Anaesth End]]&gt;tbl_Case_mins[[#This Row],[ThClosePm]],tbl_Case_mins[[#This Row],[AnaesthStart]]&gt;tbl_Case_mins[[#This Row],[ThClosePm]]),tbl_Case_mins[[#This Row],[Into Recov]]-tbl_Case_mins[[#This Row],[AnaesthStart]],0)</f>
        <v>#REF!</v>
      </c>
      <c r="BP179" s="9" t="e">
        <f>IF(AND(tbl_Case_mins[[#This Row],[AnaesthStart]]&lt;tbl_Case_mins[[#This Row],[ThClosePm]],tbl_Case_mins[[#This Row],[Anaesth End]]&gt;tbl_Case_mins[[#This Row],[ThClosePm]]),tbl_Case_mins[[#This Row],[Anaesth End]]-tbl_Case_mins[[#This Row],[ThClosePm]],0)</f>
        <v>#REF!</v>
      </c>
      <c r="BQ179" s="9" t="e" cm="1">
        <f t="array" ref="BQ17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79" s="9" t="e" cm="1">
        <f t="array" ref="BR179">IF(tbl_Case_mins[[#This Row],[Rank_Adjust]]=SUMPRODUCT(-(tbl_Case_mins[Surgery Start Date]=tbl_Case_mins[[#This Row],[Surgery Start Date]]),-(tbl_Case_mins[Theatre]=tbl_Case_mins[[#This Row],[Theatre]])),INDEX(Poss_Time,MATCH(TEXT(tbl_Case_mins[[#This Row],[Surgery Start Date]],"ddd"),Day,0)),0)</f>
        <v>#REF!</v>
      </c>
      <c r="BS179" s="9" t="e">
        <f>tbl_Case_mins[[#This Row],[Core_Time]]*Util_Goal</f>
        <v>#REF!</v>
      </c>
      <c r="BT179" s="9" t="e" cm="1">
        <f t="array" ref="BT1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79" s="9" t="e" cm="1">
        <f t="array" ref="BU1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7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7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79" s="9" t="e">
        <f>IF(tbl_Case_mins[[#This Row],[Surgery End Date]]&gt;tbl_Case_mins[[#This Row],[Surgery Start Date]],tbl_Case_mins[[#This Row],[Anaesth End]]-1440,0)</f>
        <v>#REF!</v>
      </c>
      <c r="BY179" s="9" t="e">
        <f>tbl_Case_mins[[#This Row],[Total_NonCore]]-tbl_Case_mins[[#This Row],[NextDay_NonCore]]</f>
        <v>#REF!</v>
      </c>
      <c r="BZ179" s="10" t="e">
        <f>tbl_Case_mins[[#This Row],[InCoreUse]]/60</f>
        <v>#REF!</v>
      </c>
      <c r="CA179" s="10" t="e">
        <f>tbl_Case_mins[[#This Row],[Total_NonCore]]/60</f>
        <v>#REF!</v>
      </c>
      <c r="CB179" t="e" cm="1">
        <f t="array" ref="CB1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79" s="9" t="e" cm="1">
        <f t="array" ref="CC17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79" s="9" t="e" cm="1">
        <f t="array" ref="CD1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79" s="9" t="e" cm="1">
        <f t="array" ref="CE17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79" s="9" cm="1">
        <f t="array" ref="CF179">IFERROR(_xlfn.AGGREGATE(14,6,(tbl_Case_mins[Rank_AnaEnd])/((tbl_Case_mins[Surgery Start Date]=tbl_Case_mins[[#This Row],[Surgery Start Date]])*(tbl_Case_mins[Theatre]=tbl_Case_mins[[#This Row],[Theatre]])*(tbl_Case_mins[NoInCoreTime]=0)),1),-1)</f>
        <v>-1</v>
      </c>
      <c r="CG179" s="9" cm="1">
        <f t="array" ref="CG179">IFERROR(_xlfn.AGGREGATE(15,6,(tbl_Case_mins[Rank_AnaSt])/((tbl_Case_mins[Surgery Start Date]=tbl_Case_mins[[#This Row],[Surgery Start Date]])*(tbl_Case_mins[Theatre]=tbl_Case_mins[[#This Row],[Theatre]])*(tbl_Case_mins[NoInCoreTime]=0)),1),-1)</f>
        <v>-1</v>
      </c>
      <c r="CH17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7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79" t="e" cm="1">
        <f t="array" ref="CJ17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7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7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79" s="9" cm="1">
        <f t="array" ref="CO1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79" s="9" cm="1">
        <f t="array" ref="CP1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79" s="9" cm="1">
        <f t="array" ref="CQ179">IFERROR(IF(AND(tbl_Case_mins[[#This Row],[FirstAMCase]]=0,tbl_Case_mins[[#This Row],[Rank]]=_xlfn.AGGREGATE(14,6,(tbl_Case_mins[Rank])/((tbl_Case_mins[Surgery Start Date]=tbl_Case_mins[[#This Row],[Surgery Start Date]])*(tbl_Case_mins[Theatre]=tbl_Case_mins[[#This Row],[Theatre]])*(tbl_Case_mins[AmCase]=1)),1)),1,0),0)</f>
        <v>0</v>
      </c>
      <c r="CR179" s="9" cm="1">
        <f t="array" ref="CR17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79" s="9" t="e" cm="1">
        <f t="array" ref="CS17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79" s="9" cm="1">
        <f t="array" ref="CT179">IFERROR(IF(tbl_Case_mins[[#This Row],[Rank]]=_xlfn.AGGREGATE(15,6,(tbl_Case_mins[Rank])/((tbl_Case_mins[Surgery Start Date]=tbl_Case_mins[[#This Row],[Surgery Start Date]])*(tbl_Case_mins[Theatre]=tbl_Case_mins[[#This Row],[Theatre]])*(tbl_Case_mins[PmCase]=1)),1),1,0),0)</f>
        <v>0</v>
      </c>
      <c r="CU179">
        <f>IFERROR(#REF!,0)</f>
        <v>0</v>
      </c>
      <c r="CV179" s="9" t="e" cm="1">
        <f t="array" ref="CV17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79" s="9">
        <f>IFERROR(IF(ISBLANK(INDEX(Bay_AmClose,MATCH(1,INDEX((tbl_Case_mins[[#This Row],[Bay]]=BayNo)*(tbl_Case_mins[[#This Row],[Surgery Start Date]]=BDate),0,1),0))*1440),0,INDEX(Bay_AmClose,MATCH(1,INDEX((tbl_Case_mins[[#This Row],[Bay]]=BayNo)*(tbl_Case_mins[[#This Row],[Surgery Start Date]]=BDate),0,1),0))*1440),0)</f>
        <v>0</v>
      </c>
      <c r="CX179" s="9" cm="1">
        <f t="array" ref="CX179">IFERROR(IF(ISBLANK(INDEX(Bay_PmOpen,MATCH(1,INDEX((tbl_Case_mins[[#This Row],[Bay]]=BayNo)*(tbl_Case_mins[[#This Row],[Surgery Start Date]]=BDate),0,1),0))*1440),0,INDEX(Bay_PmOpen,MATCH(1,INDEX((tbl_Case_mins[[#This Row],[Bay]]=BayNo)*(tbl_Case_mins[[#This Row],[Surgery Start Date]]=BDate),0,1),0))*1440),0)</f>
        <v>0</v>
      </c>
      <c r="CY17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79" s="9"/>
    </row>
    <row r="180" spans="1:104" x14ac:dyDescent="0.2">
      <c r="A180">
        <v>179</v>
      </c>
      <c r="B180" t="e">
        <f>#REF!</f>
        <v>#REF!</v>
      </c>
      <c r="C180" t="e">
        <f>#REF!</f>
        <v>#REF!</v>
      </c>
      <c r="D180" t="e">
        <f>#REF!</f>
        <v>#REF!</v>
      </c>
      <c r="E180" t="e">
        <f>#REF!</f>
        <v>#REF!</v>
      </c>
      <c r="F180" t="e">
        <f>#REF!</f>
        <v>#REF!</v>
      </c>
      <c r="G180" t="e">
        <f>#REF!</f>
        <v>#REF!</v>
      </c>
      <c r="H180" t="e">
        <f>#REF!</f>
        <v>#REF!</v>
      </c>
      <c r="I180" t="e">
        <f>IF(#REF!="Case Cancelled",1,IF(#REF!="No Cases",2,0))</f>
        <v>#REF!</v>
      </c>
      <c r="J180" t="e">
        <f>#REF!</f>
        <v>#REF!</v>
      </c>
      <c r="K180" s="4" t="e">
        <f>#REF!</f>
        <v>#REF!</v>
      </c>
      <c r="L180" t="e">
        <f>"Wk "&amp;WEEKNUM(tbl_Case_mins[[#This Row],[Surgery Start Date]],21)</f>
        <v>#REF!</v>
      </c>
      <c r="M180" t="e">
        <f>TEXT(tbl_Case_mins[[#This Row],[Surgery Start Date]],"ddd")</f>
        <v>#REF!</v>
      </c>
      <c r="N180" s="9" t="e">
        <f>(#REF!-TIME(0,0,0))*1440</f>
        <v>#REF!</v>
      </c>
      <c r="O180" t="e">
        <f>IF(AND(ROUND((#REF!-TIME(0,0,0))*1440,0)&gt;0,ROUND((#REF!-TIME(0,0,0))*1440,0)&lt;tbl_Case_mins[[#This Row],[Patient Called]],tbl_Case_mins[[#This Row],[Surgery End Date]]&gt;tbl_Case_mins[[#This Row],[Surgery Start Date]]),ROUND((#REF!-TIME(0,0,0))*1440,0)+1440,ROUND((#REF!-TIME(0,0,0))*1440,0))</f>
        <v>#REF!</v>
      </c>
      <c r="P180" s="9" t="e">
        <f>IF(AND(ROUND((#REF!-TIME(0,0,0))*1440,0)&gt;0,ROUND((#REF!-TIME(0,0,0))*1440,0)&lt;tbl_Case_mins[[#This Row],[Arrival]],tbl_Case_mins[[#This Row],[Surgery End Date]]&gt;tbl_Case_mins[[#This Row],[Surgery Start Date]]),ROUND((#REF!-TIME(0,0,0))*1440,0)+1440,ROUND((#REF!-TIME(0,0,0))*1440,0))</f>
        <v>#REF!</v>
      </c>
      <c r="Q180" s="9" t="e">
        <f>IF(AND(ROUND((#REF!-TIME(0,0,0))*1440,0)&gt;0,ROUND((#REF!-TIME(0,0,0))*1440,0)&lt;tbl_Case_mins[[#This Row],[Into Th or AR]],tbl_Case_mins[[#This Row],[Surgery End Date]]&gt;tbl_Case_mins[[#This Row],[Surgery Start Date]]),ROUND((#REF!-TIME(0,0,0))*1440,0)+1440,ROUND((#REF!-TIME(0,0,0))*1440,0))</f>
        <v>#REF!</v>
      </c>
      <c r="R180" s="9" t="e">
        <f>IF(AND(ROUND((#REF!-TIME(0,0,0))*1440,0)&gt;0,ROUND((#REF!-TIME(0,0,0))*1440,0)&lt;tbl_Case_mins[[#This Row],[AnaesthStart]],tbl_Case_mins[[#This Row],[Surgery End Date]]&gt;tbl_Case_mins[[#This Row],[Surgery Start Date]]),ROUND((#REF!-TIME(0,0,0))*1440,0)+1440,ROUND((#REF!-TIME(0,0,0))*1440,0))</f>
        <v>#REF!</v>
      </c>
      <c r="S180" s="9" t="e">
        <f>IF(AND(ROUND((#REF!-TIME(0,0,0))*1440,0),ROUND((#REF!-TIME(0,0,0))*1440,0)&lt;tbl_Case_mins[[#This Row],[Surgery Start]],tbl_Case_mins[[#This Row],[Surgery End Date]]&gt;tbl_Case_mins[[#This Row],[Surgery Start Date]]),ROUND((#REF!-TIME(0,0,0))*1440,0)+1440,ROUND((#REF!-TIME(0,0,0))*1440,0))</f>
        <v>#REF!</v>
      </c>
      <c r="T180" s="9" t="e">
        <f>IF(AND(ROUND((#REF!-TIME(0,0,0))*1440,0)&gt;0,ROUND((#REF!-TIME(0,0,0))*1440,0)&lt;tbl_Case_mins[[#This Row],[Surgery Finish]],tbl_Case_mins[[#This Row],[Surgery End Date]]&gt;tbl_Case_mins[[#This Row],[Surgery Start Date]]),ROUND((#REF!-TIME(0,0,0))*1440,0)+1440,ROUND((#REF!-TIME(0,0,0))*1440,0))</f>
        <v>#REF!</v>
      </c>
      <c r="U180" s="9" t="e">
        <f>IF(AND(ROUND((#REF!-TIME(0,0,0))*1440,0)&gt;0,ROUND((#REF!-TIME(0,0,0))*1440,0)&lt;tbl_Case_mins[[#This Row],[Anaesth End]],tbl_Case_mins[[#This Row],[Surgery End Date]]&gt;tbl_Case_mins[[#This Row],[Surgery Start Date]]),ROUND((#REF!-TIME(0,0,0))*1440,0)+1440,ROUND((#REF!-TIME(0,0,0))*1440,0))</f>
        <v>#REF!</v>
      </c>
      <c r="V180" s="9" t="e">
        <f>IF(AND(ROUND((#REF!-TIME(0,0,0))*1440,0)&gt;0,ROUND((#REF!-TIME(0,0,0))*1440,0)&lt;tbl_Case_mins[[#This Row],[Into Recov]],tbl_Case_mins[[#This Row],[Surgery End Date]]&gt;tbl_Case_mins[[#This Row],[Surgery Start Date]]),ROUND((#REF!-TIME(0,0,0))*1440,0)+1440,ROUND((#REF!-TIME(0,0,0))*1440,0))</f>
        <v>#REF!</v>
      </c>
      <c r="W180" s="9" t="e">
        <f>IF(AND(ROUND((#REF!-TIME(0,0,0))*1440,0)&gt;0,ROUND((#REF!-TIME(0,0,0))*1440,0)&lt;tbl_Case_mins[[#This Row],[Ward Called]],tbl_Case_mins[[#This Row],[Surgery End Date]]&gt;tbl_Case_mins[[#This Row],[Surgery Start Date]]),ROUND((#REF!-TIME(0,0,0))*1440,0)+1440,ROUND((#REF!-TIME(0,0,0))*1440,0))</f>
        <v>#REF!</v>
      </c>
      <c r="X180" s="4" t="e">
        <f>IF(ISBLANK(#REF!),tbl_Case_mins[[#This Row],[Surgery Start Date]],#REF!)</f>
        <v>#REF!</v>
      </c>
      <c r="Y180">
        <f>IFERROR(IF(VLOOKUP(tbl_Case_mins[[#This Row],[Theatre]],'Mng Theatres'!$C$7:$G$12,3,FALSE)="Yes","Yes","No"),0)</f>
        <v>0</v>
      </c>
      <c r="Z180" s="9" t="e" cm="1">
        <f t="array" ref="Z18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0" s="9" t="e" cm="1">
        <f t="array" ref="AA18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0" s="9" t="e">
        <f>IF(tbl_Case_mins[[#This Row],[Case Type]]="Unsch",1,0)</f>
        <v>#REF!</v>
      </c>
      <c r="AD180" s="9" t="e">
        <f>IF(tbl_Case_mins[[#This Row],[Case Type]]="Sch",1,0)</f>
        <v>#REF!</v>
      </c>
      <c r="AE18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0" s="9">
        <f>IFERROR(IF(ISBLANK(INDEX(Am_Close,MATCH(1,INDEX((tbl_Case_mins[[#This Row],[Theatre]]=Theatre_No)*(tbl_Case_mins[[#This Row],[Surgery Start Date]]=Date),0,1),0))*1440),0,INDEX(Am_Close,MATCH(1,INDEX((tbl_Case_mins[[#This Row],[Theatre]]=Theatre_No)*(tbl_Case_mins[[#This Row],[Surgery Start Date]]=Date),0,1),0))*1440),0)</f>
        <v>0</v>
      </c>
      <c r="AG180" s="9">
        <f>IFERROR(IF(ISBLANK(INDEX(PM_Open,MATCH(1,INDEX((tbl_Case_mins[[#This Row],[Theatre]]=Theatre_No)*(tbl_Case_mins[[#This Row],[Surgery Start Date]]=Date),0,1),0))*1440),0,INDEX(PM_Open,MATCH(1,INDEX((tbl_Case_mins[[#This Row],[Theatre]]=Theatre_No)*(tbl_Case_mins[[#This Row],[Surgery Start Date]]=Date),0,1),0))*1440),0)</f>
        <v>0</v>
      </c>
      <c r="AH18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0" s="9" t="e">
        <f>IF(tbl_Case_mins[[#This Row],[ThOpenAm]]=0,tbl_Case_mins[[#This Row],[ThOpenPM]],tbl_Case_mins[[#This Row],[ThOpenAm]])</f>
        <v>#REF!</v>
      </c>
      <c r="AJ180" s="9" t="e">
        <f>IF(tbl_Case_mins[[#This Row],[ThCloseAm]]&gt;0,IF(tbl_Case_mins[[#This Row],[ThOpenPM]]&gt;0,tbl_Case_mins[[#This Row],[ThClosePm]],tbl_Case_mins[[#This Row],[ThCloseAm]]),tbl_Case_mins[[#This Row],[ThClosePm]])</f>
        <v>#REF!</v>
      </c>
      <c r="AK180" s="9" t="e">
        <f>IF(tbl_Case_mins[[#This Row],[TOT]]&gt;0,1,0)</f>
        <v>#REF!</v>
      </c>
      <c r="AL18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0" s="9" t="e">
        <f>IF(AND(tbl_Case_mins[[#This Row],[Surgery Status]]&lt;&gt;2,tbl_Case_mins[[#This Row],[InCoreCase]]=0,tbl_Case_mins[[#This Row],[CancelledCase]]=0),1,0)</f>
        <v>#REF!</v>
      </c>
      <c r="AN180" s="9" t="e">
        <f>IF(tbl_Case_mins[[#This Row],[Surgery Status]]=1,1,0)</f>
        <v>#REF!</v>
      </c>
      <c r="AO18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0" s="9" t="e">
        <f>IF(AND(tbl_Case_mins[[#This Row],[NonCoreCase]]=1,tbl_Case_mins[[#This Row],[NoInCoreTime]]=0),1,0)</f>
        <v>#REF!</v>
      </c>
      <c r="AQ180" s="9" t="e">
        <f>IF(tbl_Case_mins[[#This Row],[Rank_AnaEnd]]&lt;tbl_Case_mins[[#This Row],[Rank_AnaSt]],1,0)</f>
        <v>#REF!</v>
      </c>
      <c r="AR180" s="9" t="e">
        <f>IF(AND(tbl_Case_mins[[#This Row],[InCoreCase]]=1,tbl_Case_mins[[#This Row],[Sch]]=1),1,0)</f>
        <v>#REF!</v>
      </c>
      <c r="AS180" s="9" t="e">
        <f>IF(AND(tbl_Case_mins[[#This Row],[InCoreCase]]=1,tbl_Case_mins[[#This Row],[Unsch]]=1),1,0)</f>
        <v>#REF!</v>
      </c>
      <c r="AT18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0" s="9" t="e">
        <f>IF(tbl_Case_mins[[#This Row],[Surgery Status]]=0,(tbl_Case_mins[[#This Row],[Anaesth End]]-tbl_Case_mins[[#This Row],[AnaesthStart]]),0)</f>
        <v>#REF!</v>
      </c>
      <c r="AX180" s="9" t="e">
        <f>IF(tbl_Case_mins[[#This Row],[Surgery Status]]=0,(tbl_Case_mins[[#This Row],[Surgery Finish]]-tbl_Case_mins[[#This Row],[Surgery Start]]),0)</f>
        <v>#REF!</v>
      </c>
      <c r="AY180" s="9" t="e">
        <f>tbl_Case_mins[[#This Row],[Surgery Start]]-tbl_Case_mins[[#This Row],[AnaesthStart]]</f>
        <v>#REF!</v>
      </c>
      <c r="AZ180" s="9" t="e">
        <f>tbl_Case_mins[[#This Row],[Anaesth End]]-tbl_Case_mins[[#This Row],[Surgery Finish]]</f>
        <v>#REF!</v>
      </c>
      <c r="BA18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0" s="16" cm="1">
        <f t="array" ref="BC18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0" s="16" t="e">
        <f>IF(AND(tbl_Case_mins[[#This Row],[FirstAMCase]]=1,tbl_Case_mins[[#This Row],[CancelledCase]]=0,OR(tbl_Case_mins[[#This Row],[EarlyStartAM]]&gt;0,tbl_Case_mins[[#This Row],[AnaesthStart]]=tbl_Case_mins[[#This Row],[ThOpenAm]])),1,0)</f>
        <v>#REF!</v>
      </c>
      <c r="BE180" s="16" t="e">
        <f>IF(AND(tbl_Case_mins[[#This Row],[Rank_AnaSt]]=tbl_Case_mins[[#This Row],[Min_RankAnaSt]],tbl_Case_mins[[#This Row],[Anaesth End]]&gt;=tbl_Case_mins[[#This Row],[ThOpenAm]],tbl_Case_mins[[#This Row],[PmCase]]=0),1,0)</f>
        <v>#REF!</v>
      </c>
      <c r="BF18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0" s="9" t="e" cm="1">
        <f t="array" ref="BH18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0" s="9" t="e">
        <f>IF(AND(tbl_Case_mins[[#This Row],[ThOpenPM]]&gt;0,tbl_Case_mins[[#This Row],[AnaesthStart]]&gt;tbl_Case_mins[[#This Row],[ThOpenPM]],tbl_Case_mins[[#This Row],[First PM Case]]=1),tbl_Case_mins[[#This Row],[AnaesthStart]]-tbl_Case_mins[[#This Row],[ThOpenPM]],0)</f>
        <v>#REF!</v>
      </c>
      <c r="BL18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0" s="9" t="e" cm="1">
        <f t="array" ref="BN18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0" s="9" t="e">
        <f>IF(AND(tbl_Case_mins[[#This Row],[ThClosePm]]&gt;0,tbl_Case_mins[[#This Row],[Anaesth End]]&gt;tbl_Case_mins[[#This Row],[ThClosePm]],tbl_Case_mins[[#This Row],[AnaesthStart]]&gt;tbl_Case_mins[[#This Row],[ThClosePm]]),tbl_Case_mins[[#This Row],[Into Recov]]-tbl_Case_mins[[#This Row],[AnaesthStart]],0)</f>
        <v>#REF!</v>
      </c>
      <c r="BP180" s="9" t="e">
        <f>IF(AND(tbl_Case_mins[[#This Row],[AnaesthStart]]&lt;tbl_Case_mins[[#This Row],[ThClosePm]],tbl_Case_mins[[#This Row],[Anaesth End]]&gt;tbl_Case_mins[[#This Row],[ThClosePm]]),tbl_Case_mins[[#This Row],[Anaesth End]]-tbl_Case_mins[[#This Row],[ThClosePm]],0)</f>
        <v>#REF!</v>
      </c>
      <c r="BQ180" s="9" t="e" cm="1">
        <f t="array" ref="BQ18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0" s="9" t="e" cm="1">
        <f t="array" ref="BR180">IF(tbl_Case_mins[[#This Row],[Rank_Adjust]]=SUMPRODUCT(-(tbl_Case_mins[Surgery Start Date]=tbl_Case_mins[[#This Row],[Surgery Start Date]]),-(tbl_Case_mins[Theatre]=tbl_Case_mins[[#This Row],[Theatre]])),INDEX(Poss_Time,MATCH(TEXT(tbl_Case_mins[[#This Row],[Surgery Start Date]],"ddd"),Day,0)),0)</f>
        <v>#REF!</v>
      </c>
      <c r="BS180" s="9" t="e">
        <f>tbl_Case_mins[[#This Row],[Core_Time]]*Util_Goal</f>
        <v>#REF!</v>
      </c>
      <c r="BT180" s="9" t="e" cm="1">
        <f t="array" ref="BT1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0" s="9" t="e" cm="1">
        <f t="array" ref="BU1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0" s="9" t="e">
        <f>IF(tbl_Case_mins[[#This Row],[Surgery End Date]]&gt;tbl_Case_mins[[#This Row],[Surgery Start Date]],tbl_Case_mins[[#This Row],[Anaesth End]]-1440,0)</f>
        <v>#REF!</v>
      </c>
      <c r="BY180" s="9" t="e">
        <f>tbl_Case_mins[[#This Row],[Total_NonCore]]-tbl_Case_mins[[#This Row],[NextDay_NonCore]]</f>
        <v>#REF!</v>
      </c>
      <c r="BZ180" s="10" t="e">
        <f>tbl_Case_mins[[#This Row],[InCoreUse]]/60</f>
        <v>#REF!</v>
      </c>
      <c r="CA180" s="10" t="e">
        <f>tbl_Case_mins[[#This Row],[Total_NonCore]]/60</f>
        <v>#REF!</v>
      </c>
      <c r="CB180" t="e" cm="1">
        <f t="array" ref="CB1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0" s="9" t="e" cm="1">
        <f t="array" ref="CC18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0" s="9" t="e" cm="1">
        <f t="array" ref="CD1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0" s="9" t="e" cm="1">
        <f t="array" ref="CE18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0" s="9" cm="1">
        <f t="array" ref="CF180">IFERROR(_xlfn.AGGREGATE(14,6,(tbl_Case_mins[Rank_AnaEnd])/((tbl_Case_mins[Surgery Start Date]=tbl_Case_mins[[#This Row],[Surgery Start Date]])*(tbl_Case_mins[Theatre]=tbl_Case_mins[[#This Row],[Theatre]])*(tbl_Case_mins[NoInCoreTime]=0)),1),-1)</f>
        <v>-1</v>
      </c>
      <c r="CG180" s="9" cm="1">
        <f t="array" ref="CG180">IFERROR(_xlfn.AGGREGATE(15,6,(tbl_Case_mins[Rank_AnaSt])/((tbl_Case_mins[Surgery Start Date]=tbl_Case_mins[[#This Row],[Surgery Start Date]])*(tbl_Case_mins[Theatre]=tbl_Case_mins[[#This Row],[Theatre]])*(tbl_Case_mins[NoInCoreTime]=0)),1),-1)</f>
        <v>-1</v>
      </c>
      <c r="CH18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0" t="e" cm="1">
        <f t="array" ref="CJ18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0" s="9" cm="1">
        <f t="array" ref="CO1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0" s="9" cm="1">
        <f t="array" ref="CP1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0" s="9" cm="1">
        <f t="array" ref="CQ180">IFERROR(IF(AND(tbl_Case_mins[[#This Row],[FirstAMCase]]=0,tbl_Case_mins[[#This Row],[Rank]]=_xlfn.AGGREGATE(14,6,(tbl_Case_mins[Rank])/((tbl_Case_mins[Surgery Start Date]=tbl_Case_mins[[#This Row],[Surgery Start Date]])*(tbl_Case_mins[Theatre]=tbl_Case_mins[[#This Row],[Theatre]])*(tbl_Case_mins[AmCase]=1)),1)),1,0),0)</f>
        <v>0</v>
      </c>
      <c r="CR180" s="9" cm="1">
        <f t="array" ref="CR18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0" s="9" t="e" cm="1">
        <f t="array" ref="CS18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0" s="9" cm="1">
        <f t="array" ref="CT180">IFERROR(IF(tbl_Case_mins[[#This Row],[Rank]]=_xlfn.AGGREGATE(15,6,(tbl_Case_mins[Rank])/((tbl_Case_mins[Surgery Start Date]=tbl_Case_mins[[#This Row],[Surgery Start Date]])*(tbl_Case_mins[Theatre]=tbl_Case_mins[[#This Row],[Theatre]])*(tbl_Case_mins[PmCase]=1)),1),1,0),0)</f>
        <v>0</v>
      </c>
      <c r="CU180">
        <f>IFERROR(#REF!,0)</f>
        <v>0</v>
      </c>
      <c r="CV180" s="9" t="e" cm="1">
        <f t="array" ref="CV18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0" s="9">
        <f>IFERROR(IF(ISBLANK(INDEX(Bay_AmClose,MATCH(1,INDEX((tbl_Case_mins[[#This Row],[Bay]]=BayNo)*(tbl_Case_mins[[#This Row],[Surgery Start Date]]=BDate),0,1),0))*1440),0,INDEX(Bay_AmClose,MATCH(1,INDEX((tbl_Case_mins[[#This Row],[Bay]]=BayNo)*(tbl_Case_mins[[#This Row],[Surgery Start Date]]=BDate),0,1),0))*1440),0)</f>
        <v>0</v>
      </c>
      <c r="CX180" s="9" cm="1">
        <f t="array" ref="CX180">IFERROR(IF(ISBLANK(INDEX(Bay_PmOpen,MATCH(1,INDEX((tbl_Case_mins[[#This Row],[Bay]]=BayNo)*(tbl_Case_mins[[#This Row],[Surgery Start Date]]=BDate),0,1),0))*1440),0,INDEX(Bay_PmOpen,MATCH(1,INDEX((tbl_Case_mins[[#This Row],[Bay]]=BayNo)*(tbl_Case_mins[[#This Row],[Surgery Start Date]]=BDate),0,1),0))*1440),0)</f>
        <v>0</v>
      </c>
      <c r="CY18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0" s="9"/>
    </row>
    <row r="181" spans="1:104" x14ac:dyDescent="0.2">
      <c r="A181">
        <v>180</v>
      </c>
      <c r="B181" t="e">
        <f>#REF!</f>
        <v>#REF!</v>
      </c>
      <c r="C181" t="e">
        <f>#REF!</f>
        <v>#REF!</v>
      </c>
      <c r="D181" t="e">
        <f>#REF!</f>
        <v>#REF!</v>
      </c>
      <c r="E181" t="e">
        <f>#REF!</f>
        <v>#REF!</v>
      </c>
      <c r="F181" t="e">
        <f>#REF!</f>
        <v>#REF!</v>
      </c>
      <c r="G181" t="e">
        <f>#REF!</f>
        <v>#REF!</v>
      </c>
      <c r="H181" t="e">
        <f>#REF!</f>
        <v>#REF!</v>
      </c>
      <c r="I181" t="e">
        <f>IF(#REF!="Case Cancelled",1,IF(#REF!="No Cases",2,0))</f>
        <v>#REF!</v>
      </c>
      <c r="J181" t="e">
        <f>#REF!</f>
        <v>#REF!</v>
      </c>
      <c r="K181" s="4" t="e">
        <f>#REF!</f>
        <v>#REF!</v>
      </c>
      <c r="L181" t="e">
        <f>"Wk "&amp;WEEKNUM(tbl_Case_mins[[#This Row],[Surgery Start Date]],21)</f>
        <v>#REF!</v>
      </c>
      <c r="M181" t="e">
        <f>TEXT(tbl_Case_mins[[#This Row],[Surgery Start Date]],"ddd")</f>
        <v>#REF!</v>
      </c>
      <c r="N181" s="9" t="e">
        <f>(#REF!-TIME(0,0,0))*1440</f>
        <v>#REF!</v>
      </c>
      <c r="O181" t="e">
        <f>IF(AND(ROUND((#REF!-TIME(0,0,0))*1440,0)&gt;0,ROUND((#REF!-TIME(0,0,0))*1440,0)&lt;tbl_Case_mins[[#This Row],[Patient Called]],tbl_Case_mins[[#This Row],[Surgery End Date]]&gt;tbl_Case_mins[[#This Row],[Surgery Start Date]]),ROUND((#REF!-TIME(0,0,0))*1440,0)+1440,ROUND((#REF!-TIME(0,0,0))*1440,0))</f>
        <v>#REF!</v>
      </c>
      <c r="P181" s="9" t="e">
        <f>IF(AND(ROUND((#REF!-TIME(0,0,0))*1440,0)&gt;0,ROUND((#REF!-TIME(0,0,0))*1440,0)&lt;tbl_Case_mins[[#This Row],[Arrival]],tbl_Case_mins[[#This Row],[Surgery End Date]]&gt;tbl_Case_mins[[#This Row],[Surgery Start Date]]),ROUND((#REF!-TIME(0,0,0))*1440,0)+1440,ROUND((#REF!-TIME(0,0,0))*1440,0))</f>
        <v>#REF!</v>
      </c>
      <c r="Q181" s="9" t="e">
        <f>IF(AND(ROUND((#REF!-TIME(0,0,0))*1440,0)&gt;0,ROUND((#REF!-TIME(0,0,0))*1440,0)&lt;tbl_Case_mins[[#This Row],[Into Th or AR]],tbl_Case_mins[[#This Row],[Surgery End Date]]&gt;tbl_Case_mins[[#This Row],[Surgery Start Date]]),ROUND((#REF!-TIME(0,0,0))*1440,0)+1440,ROUND((#REF!-TIME(0,0,0))*1440,0))</f>
        <v>#REF!</v>
      </c>
      <c r="R181" s="9" t="e">
        <f>IF(AND(ROUND((#REF!-TIME(0,0,0))*1440,0)&gt;0,ROUND((#REF!-TIME(0,0,0))*1440,0)&lt;tbl_Case_mins[[#This Row],[AnaesthStart]],tbl_Case_mins[[#This Row],[Surgery End Date]]&gt;tbl_Case_mins[[#This Row],[Surgery Start Date]]),ROUND((#REF!-TIME(0,0,0))*1440,0)+1440,ROUND((#REF!-TIME(0,0,0))*1440,0))</f>
        <v>#REF!</v>
      </c>
      <c r="S181" s="9" t="e">
        <f>IF(AND(ROUND((#REF!-TIME(0,0,0))*1440,0),ROUND((#REF!-TIME(0,0,0))*1440,0)&lt;tbl_Case_mins[[#This Row],[Surgery Start]],tbl_Case_mins[[#This Row],[Surgery End Date]]&gt;tbl_Case_mins[[#This Row],[Surgery Start Date]]),ROUND((#REF!-TIME(0,0,0))*1440,0)+1440,ROUND((#REF!-TIME(0,0,0))*1440,0))</f>
        <v>#REF!</v>
      </c>
      <c r="T181" s="9" t="e">
        <f>IF(AND(ROUND((#REF!-TIME(0,0,0))*1440,0)&gt;0,ROUND((#REF!-TIME(0,0,0))*1440,0)&lt;tbl_Case_mins[[#This Row],[Surgery Finish]],tbl_Case_mins[[#This Row],[Surgery End Date]]&gt;tbl_Case_mins[[#This Row],[Surgery Start Date]]),ROUND((#REF!-TIME(0,0,0))*1440,0)+1440,ROUND((#REF!-TIME(0,0,0))*1440,0))</f>
        <v>#REF!</v>
      </c>
      <c r="U181" s="9" t="e">
        <f>IF(AND(ROUND((#REF!-TIME(0,0,0))*1440,0)&gt;0,ROUND((#REF!-TIME(0,0,0))*1440,0)&lt;tbl_Case_mins[[#This Row],[Anaesth End]],tbl_Case_mins[[#This Row],[Surgery End Date]]&gt;tbl_Case_mins[[#This Row],[Surgery Start Date]]),ROUND((#REF!-TIME(0,0,0))*1440,0)+1440,ROUND((#REF!-TIME(0,0,0))*1440,0))</f>
        <v>#REF!</v>
      </c>
      <c r="V181" s="9" t="e">
        <f>IF(AND(ROUND((#REF!-TIME(0,0,0))*1440,0)&gt;0,ROUND((#REF!-TIME(0,0,0))*1440,0)&lt;tbl_Case_mins[[#This Row],[Into Recov]],tbl_Case_mins[[#This Row],[Surgery End Date]]&gt;tbl_Case_mins[[#This Row],[Surgery Start Date]]),ROUND((#REF!-TIME(0,0,0))*1440,0)+1440,ROUND((#REF!-TIME(0,0,0))*1440,0))</f>
        <v>#REF!</v>
      </c>
      <c r="W181" s="9" t="e">
        <f>IF(AND(ROUND((#REF!-TIME(0,0,0))*1440,0)&gt;0,ROUND((#REF!-TIME(0,0,0))*1440,0)&lt;tbl_Case_mins[[#This Row],[Ward Called]],tbl_Case_mins[[#This Row],[Surgery End Date]]&gt;tbl_Case_mins[[#This Row],[Surgery Start Date]]),ROUND((#REF!-TIME(0,0,0))*1440,0)+1440,ROUND((#REF!-TIME(0,0,0))*1440,0))</f>
        <v>#REF!</v>
      </c>
      <c r="X181" s="4" t="e">
        <f>IF(ISBLANK(#REF!),tbl_Case_mins[[#This Row],[Surgery Start Date]],#REF!)</f>
        <v>#REF!</v>
      </c>
      <c r="Y181">
        <f>IFERROR(IF(VLOOKUP(tbl_Case_mins[[#This Row],[Theatre]],'Mng Theatres'!$C$7:$G$12,3,FALSE)="Yes","Yes","No"),0)</f>
        <v>0</v>
      </c>
      <c r="Z181" s="9" t="e" cm="1">
        <f t="array" ref="Z18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1" s="9" t="e" cm="1">
        <f t="array" ref="AA18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1" s="9" t="e">
        <f>IF(tbl_Case_mins[[#This Row],[Case Type]]="Unsch",1,0)</f>
        <v>#REF!</v>
      </c>
      <c r="AD181" s="9" t="e">
        <f>IF(tbl_Case_mins[[#This Row],[Case Type]]="Sch",1,0)</f>
        <v>#REF!</v>
      </c>
      <c r="AE18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1" s="9">
        <f>IFERROR(IF(ISBLANK(INDEX(Am_Close,MATCH(1,INDEX((tbl_Case_mins[[#This Row],[Theatre]]=Theatre_No)*(tbl_Case_mins[[#This Row],[Surgery Start Date]]=Date),0,1),0))*1440),0,INDEX(Am_Close,MATCH(1,INDEX((tbl_Case_mins[[#This Row],[Theatre]]=Theatre_No)*(tbl_Case_mins[[#This Row],[Surgery Start Date]]=Date),0,1),0))*1440),0)</f>
        <v>0</v>
      </c>
      <c r="AG181" s="9">
        <f>IFERROR(IF(ISBLANK(INDEX(PM_Open,MATCH(1,INDEX((tbl_Case_mins[[#This Row],[Theatre]]=Theatre_No)*(tbl_Case_mins[[#This Row],[Surgery Start Date]]=Date),0,1),0))*1440),0,INDEX(PM_Open,MATCH(1,INDEX((tbl_Case_mins[[#This Row],[Theatre]]=Theatre_No)*(tbl_Case_mins[[#This Row],[Surgery Start Date]]=Date),0,1),0))*1440),0)</f>
        <v>0</v>
      </c>
      <c r="AH18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1" s="9" t="e">
        <f>IF(tbl_Case_mins[[#This Row],[ThOpenAm]]=0,tbl_Case_mins[[#This Row],[ThOpenPM]],tbl_Case_mins[[#This Row],[ThOpenAm]])</f>
        <v>#REF!</v>
      </c>
      <c r="AJ181" s="9" t="e">
        <f>IF(tbl_Case_mins[[#This Row],[ThCloseAm]]&gt;0,IF(tbl_Case_mins[[#This Row],[ThOpenPM]]&gt;0,tbl_Case_mins[[#This Row],[ThClosePm]],tbl_Case_mins[[#This Row],[ThCloseAm]]),tbl_Case_mins[[#This Row],[ThClosePm]])</f>
        <v>#REF!</v>
      </c>
      <c r="AK181" s="9" t="e">
        <f>IF(tbl_Case_mins[[#This Row],[TOT]]&gt;0,1,0)</f>
        <v>#REF!</v>
      </c>
      <c r="AL18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1" s="9" t="e">
        <f>IF(AND(tbl_Case_mins[[#This Row],[Surgery Status]]&lt;&gt;2,tbl_Case_mins[[#This Row],[InCoreCase]]=0,tbl_Case_mins[[#This Row],[CancelledCase]]=0),1,0)</f>
        <v>#REF!</v>
      </c>
      <c r="AN181" s="9" t="e">
        <f>IF(tbl_Case_mins[[#This Row],[Surgery Status]]=1,1,0)</f>
        <v>#REF!</v>
      </c>
      <c r="AO18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1" s="9" t="e">
        <f>IF(AND(tbl_Case_mins[[#This Row],[NonCoreCase]]=1,tbl_Case_mins[[#This Row],[NoInCoreTime]]=0),1,0)</f>
        <v>#REF!</v>
      </c>
      <c r="AQ181" s="9" t="e">
        <f>IF(tbl_Case_mins[[#This Row],[Rank_AnaEnd]]&lt;tbl_Case_mins[[#This Row],[Rank_AnaSt]],1,0)</f>
        <v>#REF!</v>
      </c>
      <c r="AR181" s="9" t="e">
        <f>IF(AND(tbl_Case_mins[[#This Row],[InCoreCase]]=1,tbl_Case_mins[[#This Row],[Sch]]=1),1,0)</f>
        <v>#REF!</v>
      </c>
      <c r="AS181" s="9" t="e">
        <f>IF(AND(tbl_Case_mins[[#This Row],[InCoreCase]]=1,tbl_Case_mins[[#This Row],[Unsch]]=1),1,0)</f>
        <v>#REF!</v>
      </c>
      <c r="AT18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1" s="9" t="e">
        <f>IF(tbl_Case_mins[[#This Row],[Surgery Status]]=0,(tbl_Case_mins[[#This Row],[Anaesth End]]-tbl_Case_mins[[#This Row],[AnaesthStart]]),0)</f>
        <v>#REF!</v>
      </c>
      <c r="AX181" s="9" t="e">
        <f>IF(tbl_Case_mins[[#This Row],[Surgery Status]]=0,(tbl_Case_mins[[#This Row],[Surgery Finish]]-tbl_Case_mins[[#This Row],[Surgery Start]]),0)</f>
        <v>#REF!</v>
      </c>
      <c r="AY181" s="9" t="e">
        <f>tbl_Case_mins[[#This Row],[Surgery Start]]-tbl_Case_mins[[#This Row],[AnaesthStart]]</f>
        <v>#REF!</v>
      </c>
      <c r="AZ181" s="9" t="e">
        <f>tbl_Case_mins[[#This Row],[Anaesth End]]-tbl_Case_mins[[#This Row],[Surgery Finish]]</f>
        <v>#REF!</v>
      </c>
      <c r="BA18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1" s="16" cm="1">
        <f t="array" ref="BC18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1" s="16" t="e">
        <f>IF(AND(tbl_Case_mins[[#This Row],[FirstAMCase]]=1,tbl_Case_mins[[#This Row],[CancelledCase]]=0,OR(tbl_Case_mins[[#This Row],[EarlyStartAM]]&gt;0,tbl_Case_mins[[#This Row],[AnaesthStart]]=tbl_Case_mins[[#This Row],[ThOpenAm]])),1,0)</f>
        <v>#REF!</v>
      </c>
      <c r="BE181" s="16" t="e">
        <f>IF(AND(tbl_Case_mins[[#This Row],[Rank_AnaSt]]=tbl_Case_mins[[#This Row],[Min_RankAnaSt]],tbl_Case_mins[[#This Row],[Anaesth End]]&gt;=tbl_Case_mins[[#This Row],[ThOpenAm]],tbl_Case_mins[[#This Row],[PmCase]]=0),1,0)</f>
        <v>#REF!</v>
      </c>
      <c r="BF18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1" s="9" t="e" cm="1">
        <f t="array" ref="BH18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1" s="9" t="e">
        <f>IF(AND(tbl_Case_mins[[#This Row],[ThOpenPM]]&gt;0,tbl_Case_mins[[#This Row],[AnaesthStart]]&gt;tbl_Case_mins[[#This Row],[ThOpenPM]],tbl_Case_mins[[#This Row],[First PM Case]]=1),tbl_Case_mins[[#This Row],[AnaesthStart]]-tbl_Case_mins[[#This Row],[ThOpenPM]],0)</f>
        <v>#REF!</v>
      </c>
      <c r="BL18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1" s="9" t="e" cm="1">
        <f t="array" ref="BN18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1" s="9" t="e">
        <f>IF(AND(tbl_Case_mins[[#This Row],[ThClosePm]]&gt;0,tbl_Case_mins[[#This Row],[Anaesth End]]&gt;tbl_Case_mins[[#This Row],[ThClosePm]],tbl_Case_mins[[#This Row],[AnaesthStart]]&gt;tbl_Case_mins[[#This Row],[ThClosePm]]),tbl_Case_mins[[#This Row],[Into Recov]]-tbl_Case_mins[[#This Row],[AnaesthStart]],0)</f>
        <v>#REF!</v>
      </c>
      <c r="BP181" s="9" t="e">
        <f>IF(AND(tbl_Case_mins[[#This Row],[AnaesthStart]]&lt;tbl_Case_mins[[#This Row],[ThClosePm]],tbl_Case_mins[[#This Row],[Anaesth End]]&gt;tbl_Case_mins[[#This Row],[ThClosePm]]),tbl_Case_mins[[#This Row],[Anaesth End]]-tbl_Case_mins[[#This Row],[ThClosePm]],0)</f>
        <v>#REF!</v>
      </c>
      <c r="BQ181" s="9" t="e" cm="1">
        <f t="array" ref="BQ18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1" s="9" t="e" cm="1">
        <f t="array" ref="BR181">IF(tbl_Case_mins[[#This Row],[Rank_Adjust]]=SUMPRODUCT(-(tbl_Case_mins[Surgery Start Date]=tbl_Case_mins[[#This Row],[Surgery Start Date]]),-(tbl_Case_mins[Theatre]=tbl_Case_mins[[#This Row],[Theatre]])),INDEX(Poss_Time,MATCH(TEXT(tbl_Case_mins[[#This Row],[Surgery Start Date]],"ddd"),Day,0)),0)</f>
        <v>#REF!</v>
      </c>
      <c r="BS181" s="9" t="e">
        <f>tbl_Case_mins[[#This Row],[Core_Time]]*Util_Goal</f>
        <v>#REF!</v>
      </c>
      <c r="BT181" s="9" t="e" cm="1">
        <f t="array" ref="BT1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1" s="9" t="e" cm="1">
        <f t="array" ref="BU1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1" s="9" t="e">
        <f>IF(tbl_Case_mins[[#This Row],[Surgery End Date]]&gt;tbl_Case_mins[[#This Row],[Surgery Start Date]],tbl_Case_mins[[#This Row],[Anaesth End]]-1440,0)</f>
        <v>#REF!</v>
      </c>
      <c r="BY181" s="9" t="e">
        <f>tbl_Case_mins[[#This Row],[Total_NonCore]]-tbl_Case_mins[[#This Row],[NextDay_NonCore]]</f>
        <v>#REF!</v>
      </c>
      <c r="BZ181" s="10" t="e">
        <f>tbl_Case_mins[[#This Row],[InCoreUse]]/60</f>
        <v>#REF!</v>
      </c>
      <c r="CA181" s="10" t="e">
        <f>tbl_Case_mins[[#This Row],[Total_NonCore]]/60</f>
        <v>#REF!</v>
      </c>
      <c r="CB181" t="e" cm="1">
        <f t="array" ref="CB1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1" s="9" t="e" cm="1">
        <f t="array" ref="CC18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1" s="9" t="e" cm="1">
        <f t="array" ref="CD1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1" s="9" t="e" cm="1">
        <f t="array" ref="CE18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1" s="9" cm="1">
        <f t="array" ref="CF181">IFERROR(_xlfn.AGGREGATE(14,6,(tbl_Case_mins[Rank_AnaEnd])/((tbl_Case_mins[Surgery Start Date]=tbl_Case_mins[[#This Row],[Surgery Start Date]])*(tbl_Case_mins[Theatre]=tbl_Case_mins[[#This Row],[Theatre]])*(tbl_Case_mins[NoInCoreTime]=0)),1),-1)</f>
        <v>-1</v>
      </c>
      <c r="CG181" s="9" cm="1">
        <f t="array" ref="CG181">IFERROR(_xlfn.AGGREGATE(15,6,(tbl_Case_mins[Rank_AnaSt])/((tbl_Case_mins[Surgery Start Date]=tbl_Case_mins[[#This Row],[Surgery Start Date]])*(tbl_Case_mins[Theatre]=tbl_Case_mins[[#This Row],[Theatre]])*(tbl_Case_mins[NoInCoreTime]=0)),1),-1)</f>
        <v>-1</v>
      </c>
      <c r="CH18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1" t="e" cm="1">
        <f t="array" ref="CJ18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1" s="9" cm="1">
        <f t="array" ref="CO1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1" s="9" cm="1">
        <f t="array" ref="CP1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1" s="9" cm="1">
        <f t="array" ref="CQ181">IFERROR(IF(AND(tbl_Case_mins[[#This Row],[FirstAMCase]]=0,tbl_Case_mins[[#This Row],[Rank]]=_xlfn.AGGREGATE(14,6,(tbl_Case_mins[Rank])/((tbl_Case_mins[Surgery Start Date]=tbl_Case_mins[[#This Row],[Surgery Start Date]])*(tbl_Case_mins[Theatre]=tbl_Case_mins[[#This Row],[Theatre]])*(tbl_Case_mins[AmCase]=1)),1)),1,0),0)</f>
        <v>0</v>
      </c>
      <c r="CR181" s="9" cm="1">
        <f t="array" ref="CR18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1" s="9" t="e" cm="1">
        <f t="array" ref="CS18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1" s="9" cm="1">
        <f t="array" ref="CT181">IFERROR(IF(tbl_Case_mins[[#This Row],[Rank]]=_xlfn.AGGREGATE(15,6,(tbl_Case_mins[Rank])/((tbl_Case_mins[Surgery Start Date]=tbl_Case_mins[[#This Row],[Surgery Start Date]])*(tbl_Case_mins[Theatre]=tbl_Case_mins[[#This Row],[Theatre]])*(tbl_Case_mins[PmCase]=1)),1),1,0),0)</f>
        <v>0</v>
      </c>
      <c r="CU181">
        <f>IFERROR(#REF!,0)</f>
        <v>0</v>
      </c>
      <c r="CV181" s="9" t="e" cm="1">
        <f t="array" ref="CV18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1" s="9">
        <f>IFERROR(IF(ISBLANK(INDEX(Bay_AmClose,MATCH(1,INDEX((tbl_Case_mins[[#This Row],[Bay]]=BayNo)*(tbl_Case_mins[[#This Row],[Surgery Start Date]]=BDate),0,1),0))*1440),0,INDEX(Bay_AmClose,MATCH(1,INDEX((tbl_Case_mins[[#This Row],[Bay]]=BayNo)*(tbl_Case_mins[[#This Row],[Surgery Start Date]]=BDate),0,1),0))*1440),0)</f>
        <v>0</v>
      </c>
      <c r="CX181" s="9" cm="1">
        <f t="array" ref="CX181">IFERROR(IF(ISBLANK(INDEX(Bay_PmOpen,MATCH(1,INDEX((tbl_Case_mins[[#This Row],[Bay]]=BayNo)*(tbl_Case_mins[[#This Row],[Surgery Start Date]]=BDate),0,1),0))*1440),0,INDEX(Bay_PmOpen,MATCH(1,INDEX((tbl_Case_mins[[#This Row],[Bay]]=BayNo)*(tbl_Case_mins[[#This Row],[Surgery Start Date]]=BDate),0,1),0))*1440),0)</f>
        <v>0</v>
      </c>
      <c r="CY18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1" s="9"/>
    </row>
    <row r="182" spans="1:104" x14ac:dyDescent="0.2">
      <c r="A182">
        <v>181</v>
      </c>
      <c r="B182" t="e">
        <f>#REF!</f>
        <v>#REF!</v>
      </c>
      <c r="C182" t="e">
        <f>#REF!</f>
        <v>#REF!</v>
      </c>
      <c r="D182" t="e">
        <f>#REF!</f>
        <v>#REF!</v>
      </c>
      <c r="E182" t="e">
        <f>#REF!</f>
        <v>#REF!</v>
      </c>
      <c r="F182" t="e">
        <f>#REF!</f>
        <v>#REF!</v>
      </c>
      <c r="G182" t="e">
        <f>#REF!</f>
        <v>#REF!</v>
      </c>
      <c r="H182" t="e">
        <f>#REF!</f>
        <v>#REF!</v>
      </c>
      <c r="I182" t="e">
        <f>IF(#REF!="Case Cancelled",1,IF(#REF!="No Cases",2,0))</f>
        <v>#REF!</v>
      </c>
      <c r="J182" t="e">
        <f>#REF!</f>
        <v>#REF!</v>
      </c>
      <c r="K182" s="4" t="e">
        <f>#REF!</f>
        <v>#REF!</v>
      </c>
      <c r="L182" t="e">
        <f>"Wk "&amp;WEEKNUM(tbl_Case_mins[[#This Row],[Surgery Start Date]],21)</f>
        <v>#REF!</v>
      </c>
      <c r="M182" t="e">
        <f>TEXT(tbl_Case_mins[[#This Row],[Surgery Start Date]],"ddd")</f>
        <v>#REF!</v>
      </c>
      <c r="N182" s="9" t="e">
        <f>(#REF!-TIME(0,0,0))*1440</f>
        <v>#REF!</v>
      </c>
      <c r="O182" t="e">
        <f>IF(AND(ROUND((#REF!-TIME(0,0,0))*1440,0)&gt;0,ROUND((#REF!-TIME(0,0,0))*1440,0)&lt;tbl_Case_mins[[#This Row],[Patient Called]],tbl_Case_mins[[#This Row],[Surgery End Date]]&gt;tbl_Case_mins[[#This Row],[Surgery Start Date]]),ROUND((#REF!-TIME(0,0,0))*1440,0)+1440,ROUND((#REF!-TIME(0,0,0))*1440,0))</f>
        <v>#REF!</v>
      </c>
      <c r="P182" s="9" t="e">
        <f>IF(AND(ROUND((#REF!-TIME(0,0,0))*1440,0)&gt;0,ROUND((#REF!-TIME(0,0,0))*1440,0)&lt;tbl_Case_mins[[#This Row],[Arrival]],tbl_Case_mins[[#This Row],[Surgery End Date]]&gt;tbl_Case_mins[[#This Row],[Surgery Start Date]]),ROUND((#REF!-TIME(0,0,0))*1440,0)+1440,ROUND((#REF!-TIME(0,0,0))*1440,0))</f>
        <v>#REF!</v>
      </c>
      <c r="Q182" s="9" t="e">
        <f>IF(AND(ROUND((#REF!-TIME(0,0,0))*1440,0)&gt;0,ROUND((#REF!-TIME(0,0,0))*1440,0)&lt;tbl_Case_mins[[#This Row],[Into Th or AR]],tbl_Case_mins[[#This Row],[Surgery End Date]]&gt;tbl_Case_mins[[#This Row],[Surgery Start Date]]),ROUND((#REF!-TIME(0,0,0))*1440,0)+1440,ROUND((#REF!-TIME(0,0,0))*1440,0))</f>
        <v>#REF!</v>
      </c>
      <c r="R182" s="9" t="e">
        <f>IF(AND(ROUND((#REF!-TIME(0,0,0))*1440,0)&gt;0,ROUND((#REF!-TIME(0,0,0))*1440,0)&lt;tbl_Case_mins[[#This Row],[AnaesthStart]],tbl_Case_mins[[#This Row],[Surgery End Date]]&gt;tbl_Case_mins[[#This Row],[Surgery Start Date]]),ROUND((#REF!-TIME(0,0,0))*1440,0)+1440,ROUND((#REF!-TIME(0,0,0))*1440,0))</f>
        <v>#REF!</v>
      </c>
      <c r="S182" s="9" t="e">
        <f>IF(AND(ROUND((#REF!-TIME(0,0,0))*1440,0),ROUND((#REF!-TIME(0,0,0))*1440,0)&lt;tbl_Case_mins[[#This Row],[Surgery Start]],tbl_Case_mins[[#This Row],[Surgery End Date]]&gt;tbl_Case_mins[[#This Row],[Surgery Start Date]]),ROUND((#REF!-TIME(0,0,0))*1440,0)+1440,ROUND((#REF!-TIME(0,0,0))*1440,0))</f>
        <v>#REF!</v>
      </c>
      <c r="T182" s="9" t="e">
        <f>IF(AND(ROUND((#REF!-TIME(0,0,0))*1440,0)&gt;0,ROUND((#REF!-TIME(0,0,0))*1440,0)&lt;tbl_Case_mins[[#This Row],[Surgery Finish]],tbl_Case_mins[[#This Row],[Surgery End Date]]&gt;tbl_Case_mins[[#This Row],[Surgery Start Date]]),ROUND((#REF!-TIME(0,0,0))*1440,0)+1440,ROUND((#REF!-TIME(0,0,0))*1440,0))</f>
        <v>#REF!</v>
      </c>
      <c r="U182" s="9" t="e">
        <f>IF(AND(ROUND((#REF!-TIME(0,0,0))*1440,0)&gt;0,ROUND((#REF!-TIME(0,0,0))*1440,0)&lt;tbl_Case_mins[[#This Row],[Anaesth End]],tbl_Case_mins[[#This Row],[Surgery End Date]]&gt;tbl_Case_mins[[#This Row],[Surgery Start Date]]),ROUND((#REF!-TIME(0,0,0))*1440,0)+1440,ROUND((#REF!-TIME(0,0,0))*1440,0))</f>
        <v>#REF!</v>
      </c>
      <c r="V182" s="9" t="e">
        <f>IF(AND(ROUND((#REF!-TIME(0,0,0))*1440,0)&gt;0,ROUND((#REF!-TIME(0,0,0))*1440,0)&lt;tbl_Case_mins[[#This Row],[Into Recov]],tbl_Case_mins[[#This Row],[Surgery End Date]]&gt;tbl_Case_mins[[#This Row],[Surgery Start Date]]),ROUND((#REF!-TIME(0,0,0))*1440,0)+1440,ROUND((#REF!-TIME(0,0,0))*1440,0))</f>
        <v>#REF!</v>
      </c>
      <c r="W182" s="9" t="e">
        <f>IF(AND(ROUND((#REF!-TIME(0,0,0))*1440,0)&gt;0,ROUND((#REF!-TIME(0,0,0))*1440,0)&lt;tbl_Case_mins[[#This Row],[Ward Called]],tbl_Case_mins[[#This Row],[Surgery End Date]]&gt;tbl_Case_mins[[#This Row],[Surgery Start Date]]),ROUND((#REF!-TIME(0,0,0))*1440,0)+1440,ROUND((#REF!-TIME(0,0,0))*1440,0))</f>
        <v>#REF!</v>
      </c>
      <c r="X182" s="4" t="e">
        <f>IF(ISBLANK(#REF!),tbl_Case_mins[[#This Row],[Surgery Start Date]],#REF!)</f>
        <v>#REF!</v>
      </c>
      <c r="Y182">
        <f>IFERROR(IF(VLOOKUP(tbl_Case_mins[[#This Row],[Theatre]],'Mng Theatres'!$C$7:$G$12,3,FALSE)="Yes","Yes","No"),0)</f>
        <v>0</v>
      </c>
      <c r="Z182" s="9" t="e" cm="1">
        <f t="array" ref="Z18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2" s="9" t="e" cm="1">
        <f t="array" ref="AA18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2" s="9" t="e">
        <f>IF(tbl_Case_mins[[#This Row],[Case Type]]="Unsch",1,0)</f>
        <v>#REF!</v>
      </c>
      <c r="AD182" s="9" t="e">
        <f>IF(tbl_Case_mins[[#This Row],[Case Type]]="Sch",1,0)</f>
        <v>#REF!</v>
      </c>
      <c r="AE18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2" s="9">
        <f>IFERROR(IF(ISBLANK(INDEX(Am_Close,MATCH(1,INDEX((tbl_Case_mins[[#This Row],[Theatre]]=Theatre_No)*(tbl_Case_mins[[#This Row],[Surgery Start Date]]=Date),0,1),0))*1440),0,INDEX(Am_Close,MATCH(1,INDEX((tbl_Case_mins[[#This Row],[Theatre]]=Theatre_No)*(tbl_Case_mins[[#This Row],[Surgery Start Date]]=Date),0,1),0))*1440),0)</f>
        <v>0</v>
      </c>
      <c r="AG182" s="9">
        <f>IFERROR(IF(ISBLANK(INDEX(PM_Open,MATCH(1,INDEX((tbl_Case_mins[[#This Row],[Theatre]]=Theatre_No)*(tbl_Case_mins[[#This Row],[Surgery Start Date]]=Date),0,1),0))*1440),0,INDEX(PM_Open,MATCH(1,INDEX((tbl_Case_mins[[#This Row],[Theatre]]=Theatre_No)*(tbl_Case_mins[[#This Row],[Surgery Start Date]]=Date),0,1),0))*1440),0)</f>
        <v>0</v>
      </c>
      <c r="AH18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2" s="9" t="e">
        <f>IF(tbl_Case_mins[[#This Row],[ThOpenAm]]=0,tbl_Case_mins[[#This Row],[ThOpenPM]],tbl_Case_mins[[#This Row],[ThOpenAm]])</f>
        <v>#REF!</v>
      </c>
      <c r="AJ182" s="9" t="e">
        <f>IF(tbl_Case_mins[[#This Row],[ThCloseAm]]&gt;0,IF(tbl_Case_mins[[#This Row],[ThOpenPM]]&gt;0,tbl_Case_mins[[#This Row],[ThClosePm]],tbl_Case_mins[[#This Row],[ThCloseAm]]),tbl_Case_mins[[#This Row],[ThClosePm]])</f>
        <v>#REF!</v>
      </c>
      <c r="AK182" s="9" t="e">
        <f>IF(tbl_Case_mins[[#This Row],[TOT]]&gt;0,1,0)</f>
        <v>#REF!</v>
      </c>
      <c r="AL18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2" s="9" t="e">
        <f>IF(AND(tbl_Case_mins[[#This Row],[Surgery Status]]&lt;&gt;2,tbl_Case_mins[[#This Row],[InCoreCase]]=0,tbl_Case_mins[[#This Row],[CancelledCase]]=0),1,0)</f>
        <v>#REF!</v>
      </c>
      <c r="AN182" s="9" t="e">
        <f>IF(tbl_Case_mins[[#This Row],[Surgery Status]]=1,1,0)</f>
        <v>#REF!</v>
      </c>
      <c r="AO18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2" s="9" t="e">
        <f>IF(AND(tbl_Case_mins[[#This Row],[NonCoreCase]]=1,tbl_Case_mins[[#This Row],[NoInCoreTime]]=0),1,0)</f>
        <v>#REF!</v>
      </c>
      <c r="AQ182" s="9" t="e">
        <f>IF(tbl_Case_mins[[#This Row],[Rank_AnaEnd]]&lt;tbl_Case_mins[[#This Row],[Rank_AnaSt]],1,0)</f>
        <v>#REF!</v>
      </c>
      <c r="AR182" s="9" t="e">
        <f>IF(AND(tbl_Case_mins[[#This Row],[InCoreCase]]=1,tbl_Case_mins[[#This Row],[Sch]]=1),1,0)</f>
        <v>#REF!</v>
      </c>
      <c r="AS182" s="9" t="e">
        <f>IF(AND(tbl_Case_mins[[#This Row],[InCoreCase]]=1,tbl_Case_mins[[#This Row],[Unsch]]=1),1,0)</f>
        <v>#REF!</v>
      </c>
      <c r="AT18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2" s="9" t="e">
        <f>IF(tbl_Case_mins[[#This Row],[Surgery Status]]=0,(tbl_Case_mins[[#This Row],[Anaesth End]]-tbl_Case_mins[[#This Row],[AnaesthStart]]),0)</f>
        <v>#REF!</v>
      </c>
      <c r="AX182" s="9" t="e">
        <f>IF(tbl_Case_mins[[#This Row],[Surgery Status]]=0,(tbl_Case_mins[[#This Row],[Surgery Finish]]-tbl_Case_mins[[#This Row],[Surgery Start]]),0)</f>
        <v>#REF!</v>
      </c>
      <c r="AY182" s="9" t="e">
        <f>tbl_Case_mins[[#This Row],[Surgery Start]]-tbl_Case_mins[[#This Row],[AnaesthStart]]</f>
        <v>#REF!</v>
      </c>
      <c r="AZ182" s="9" t="e">
        <f>tbl_Case_mins[[#This Row],[Anaesth End]]-tbl_Case_mins[[#This Row],[Surgery Finish]]</f>
        <v>#REF!</v>
      </c>
      <c r="BA18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2" s="16" cm="1">
        <f t="array" ref="BC18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2" s="16" t="e">
        <f>IF(AND(tbl_Case_mins[[#This Row],[FirstAMCase]]=1,tbl_Case_mins[[#This Row],[CancelledCase]]=0,OR(tbl_Case_mins[[#This Row],[EarlyStartAM]]&gt;0,tbl_Case_mins[[#This Row],[AnaesthStart]]=tbl_Case_mins[[#This Row],[ThOpenAm]])),1,0)</f>
        <v>#REF!</v>
      </c>
      <c r="BE182" s="16" t="e">
        <f>IF(AND(tbl_Case_mins[[#This Row],[Rank_AnaSt]]=tbl_Case_mins[[#This Row],[Min_RankAnaSt]],tbl_Case_mins[[#This Row],[Anaesth End]]&gt;=tbl_Case_mins[[#This Row],[ThOpenAm]],tbl_Case_mins[[#This Row],[PmCase]]=0),1,0)</f>
        <v>#REF!</v>
      </c>
      <c r="BF18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2" s="9" t="e" cm="1">
        <f t="array" ref="BH18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2" s="9" t="e">
        <f>IF(AND(tbl_Case_mins[[#This Row],[ThOpenPM]]&gt;0,tbl_Case_mins[[#This Row],[AnaesthStart]]&gt;tbl_Case_mins[[#This Row],[ThOpenPM]],tbl_Case_mins[[#This Row],[First PM Case]]=1),tbl_Case_mins[[#This Row],[AnaesthStart]]-tbl_Case_mins[[#This Row],[ThOpenPM]],0)</f>
        <v>#REF!</v>
      </c>
      <c r="BL18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2" s="9" t="e" cm="1">
        <f t="array" ref="BN18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2" s="9" t="e">
        <f>IF(AND(tbl_Case_mins[[#This Row],[ThClosePm]]&gt;0,tbl_Case_mins[[#This Row],[Anaesth End]]&gt;tbl_Case_mins[[#This Row],[ThClosePm]],tbl_Case_mins[[#This Row],[AnaesthStart]]&gt;tbl_Case_mins[[#This Row],[ThClosePm]]),tbl_Case_mins[[#This Row],[Into Recov]]-tbl_Case_mins[[#This Row],[AnaesthStart]],0)</f>
        <v>#REF!</v>
      </c>
      <c r="BP182" s="9" t="e">
        <f>IF(AND(tbl_Case_mins[[#This Row],[AnaesthStart]]&lt;tbl_Case_mins[[#This Row],[ThClosePm]],tbl_Case_mins[[#This Row],[Anaesth End]]&gt;tbl_Case_mins[[#This Row],[ThClosePm]]),tbl_Case_mins[[#This Row],[Anaesth End]]-tbl_Case_mins[[#This Row],[ThClosePm]],0)</f>
        <v>#REF!</v>
      </c>
      <c r="BQ182" s="9" t="e" cm="1">
        <f t="array" ref="BQ18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2" s="9" t="e" cm="1">
        <f t="array" ref="BR182">IF(tbl_Case_mins[[#This Row],[Rank_Adjust]]=SUMPRODUCT(-(tbl_Case_mins[Surgery Start Date]=tbl_Case_mins[[#This Row],[Surgery Start Date]]),-(tbl_Case_mins[Theatre]=tbl_Case_mins[[#This Row],[Theatre]])),INDEX(Poss_Time,MATCH(TEXT(tbl_Case_mins[[#This Row],[Surgery Start Date]],"ddd"),Day,0)),0)</f>
        <v>#REF!</v>
      </c>
      <c r="BS182" s="9" t="e">
        <f>tbl_Case_mins[[#This Row],[Core_Time]]*Util_Goal</f>
        <v>#REF!</v>
      </c>
      <c r="BT182" s="9" t="e" cm="1">
        <f t="array" ref="BT1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2" s="9" t="e" cm="1">
        <f t="array" ref="BU1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2" s="9" t="e">
        <f>IF(tbl_Case_mins[[#This Row],[Surgery End Date]]&gt;tbl_Case_mins[[#This Row],[Surgery Start Date]],tbl_Case_mins[[#This Row],[Anaesth End]]-1440,0)</f>
        <v>#REF!</v>
      </c>
      <c r="BY182" s="9" t="e">
        <f>tbl_Case_mins[[#This Row],[Total_NonCore]]-tbl_Case_mins[[#This Row],[NextDay_NonCore]]</f>
        <v>#REF!</v>
      </c>
      <c r="BZ182" s="10" t="e">
        <f>tbl_Case_mins[[#This Row],[InCoreUse]]/60</f>
        <v>#REF!</v>
      </c>
      <c r="CA182" s="10" t="e">
        <f>tbl_Case_mins[[#This Row],[Total_NonCore]]/60</f>
        <v>#REF!</v>
      </c>
      <c r="CB182" t="e" cm="1">
        <f t="array" ref="CB1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2" s="9" t="e" cm="1">
        <f t="array" ref="CC18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2" s="9" t="e" cm="1">
        <f t="array" ref="CD1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2" s="9" t="e" cm="1">
        <f t="array" ref="CE18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2" s="9" cm="1">
        <f t="array" ref="CF182">IFERROR(_xlfn.AGGREGATE(14,6,(tbl_Case_mins[Rank_AnaEnd])/((tbl_Case_mins[Surgery Start Date]=tbl_Case_mins[[#This Row],[Surgery Start Date]])*(tbl_Case_mins[Theatre]=tbl_Case_mins[[#This Row],[Theatre]])*(tbl_Case_mins[NoInCoreTime]=0)),1),-1)</f>
        <v>-1</v>
      </c>
      <c r="CG182" s="9" cm="1">
        <f t="array" ref="CG182">IFERROR(_xlfn.AGGREGATE(15,6,(tbl_Case_mins[Rank_AnaSt])/((tbl_Case_mins[Surgery Start Date]=tbl_Case_mins[[#This Row],[Surgery Start Date]])*(tbl_Case_mins[Theatre]=tbl_Case_mins[[#This Row],[Theatre]])*(tbl_Case_mins[NoInCoreTime]=0)),1),-1)</f>
        <v>-1</v>
      </c>
      <c r="CH18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2" t="e" cm="1">
        <f t="array" ref="CJ18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2" s="9" cm="1">
        <f t="array" ref="CO1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2" s="9" cm="1">
        <f t="array" ref="CP1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2" s="9" cm="1">
        <f t="array" ref="CQ182">IFERROR(IF(AND(tbl_Case_mins[[#This Row],[FirstAMCase]]=0,tbl_Case_mins[[#This Row],[Rank]]=_xlfn.AGGREGATE(14,6,(tbl_Case_mins[Rank])/((tbl_Case_mins[Surgery Start Date]=tbl_Case_mins[[#This Row],[Surgery Start Date]])*(tbl_Case_mins[Theatre]=tbl_Case_mins[[#This Row],[Theatre]])*(tbl_Case_mins[AmCase]=1)),1)),1,0),0)</f>
        <v>0</v>
      </c>
      <c r="CR182" s="9" cm="1">
        <f t="array" ref="CR18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2" s="9" t="e" cm="1">
        <f t="array" ref="CS18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2" s="9" cm="1">
        <f t="array" ref="CT182">IFERROR(IF(tbl_Case_mins[[#This Row],[Rank]]=_xlfn.AGGREGATE(15,6,(tbl_Case_mins[Rank])/((tbl_Case_mins[Surgery Start Date]=tbl_Case_mins[[#This Row],[Surgery Start Date]])*(tbl_Case_mins[Theatre]=tbl_Case_mins[[#This Row],[Theatre]])*(tbl_Case_mins[PmCase]=1)),1),1,0),0)</f>
        <v>0</v>
      </c>
      <c r="CU182">
        <f>IFERROR(#REF!,0)</f>
        <v>0</v>
      </c>
      <c r="CV182" s="9" t="e" cm="1">
        <f t="array" ref="CV18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2" s="9">
        <f>IFERROR(IF(ISBLANK(INDEX(Bay_AmClose,MATCH(1,INDEX((tbl_Case_mins[[#This Row],[Bay]]=BayNo)*(tbl_Case_mins[[#This Row],[Surgery Start Date]]=BDate),0,1),0))*1440),0,INDEX(Bay_AmClose,MATCH(1,INDEX((tbl_Case_mins[[#This Row],[Bay]]=BayNo)*(tbl_Case_mins[[#This Row],[Surgery Start Date]]=BDate),0,1),0))*1440),0)</f>
        <v>0</v>
      </c>
      <c r="CX182" s="9" cm="1">
        <f t="array" ref="CX182">IFERROR(IF(ISBLANK(INDEX(Bay_PmOpen,MATCH(1,INDEX((tbl_Case_mins[[#This Row],[Bay]]=BayNo)*(tbl_Case_mins[[#This Row],[Surgery Start Date]]=BDate),0,1),0))*1440),0,INDEX(Bay_PmOpen,MATCH(1,INDEX((tbl_Case_mins[[#This Row],[Bay]]=BayNo)*(tbl_Case_mins[[#This Row],[Surgery Start Date]]=BDate),0,1),0))*1440),0)</f>
        <v>0</v>
      </c>
      <c r="CY18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2" s="9"/>
    </row>
    <row r="183" spans="1:104" x14ac:dyDescent="0.2">
      <c r="A183">
        <v>182</v>
      </c>
      <c r="B183" t="e">
        <f>#REF!</f>
        <v>#REF!</v>
      </c>
      <c r="C183" t="e">
        <f>#REF!</f>
        <v>#REF!</v>
      </c>
      <c r="D183" t="e">
        <f>#REF!</f>
        <v>#REF!</v>
      </c>
      <c r="E183" t="e">
        <f>#REF!</f>
        <v>#REF!</v>
      </c>
      <c r="F183" t="e">
        <f>#REF!</f>
        <v>#REF!</v>
      </c>
      <c r="G183" t="e">
        <f>#REF!</f>
        <v>#REF!</v>
      </c>
      <c r="H183" t="e">
        <f>#REF!</f>
        <v>#REF!</v>
      </c>
      <c r="I183" t="e">
        <f>IF(#REF!="Case Cancelled",1,IF(#REF!="No Cases",2,0))</f>
        <v>#REF!</v>
      </c>
      <c r="J183" t="e">
        <f>#REF!</f>
        <v>#REF!</v>
      </c>
      <c r="K183" s="4" t="e">
        <f>#REF!</f>
        <v>#REF!</v>
      </c>
      <c r="L183" t="e">
        <f>"Wk "&amp;WEEKNUM(tbl_Case_mins[[#This Row],[Surgery Start Date]],21)</f>
        <v>#REF!</v>
      </c>
      <c r="M183" t="e">
        <f>TEXT(tbl_Case_mins[[#This Row],[Surgery Start Date]],"ddd")</f>
        <v>#REF!</v>
      </c>
      <c r="N183" s="9" t="e">
        <f>(#REF!-TIME(0,0,0))*1440</f>
        <v>#REF!</v>
      </c>
      <c r="O183" t="e">
        <f>IF(AND(ROUND((#REF!-TIME(0,0,0))*1440,0)&gt;0,ROUND((#REF!-TIME(0,0,0))*1440,0)&lt;tbl_Case_mins[[#This Row],[Patient Called]],tbl_Case_mins[[#This Row],[Surgery End Date]]&gt;tbl_Case_mins[[#This Row],[Surgery Start Date]]),ROUND((#REF!-TIME(0,0,0))*1440,0)+1440,ROUND((#REF!-TIME(0,0,0))*1440,0))</f>
        <v>#REF!</v>
      </c>
      <c r="P183" s="9" t="e">
        <f>IF(AND(ROUND((#REF!-TIME(0,0,0))*1440,0)&gt;0,ROUND((#REF!-TIME(0,0,0))*1440,0)&lt;tbl_Case_mins[[#This Row],[Arrival]],tbl_Case_mins[[#This Row],[Surgery End Date]]&gt;tbl_Case_mins[[#This Row],[Surgery Start Date]]),ROUND((#REF!-TIME(0,0,0))*1440,0)+1440,ROUND((#REF!-TIME(0,0,0))*1440,0))</f>
        <v>#REF!</v>
      </c>
      <c r="Q183" s="9" t="e">
        <f>IF(AND(ROUND((#REF!-TIME(0,0,0))*1440,0)&gt;0,ROUND((#REF!-TIME(0,0,0))*1440,0)&lt;tbl_Case_mins[[#This Row],[Into Th or AR]],tbl_Case_mins[[#This Row],[Surgery End Date]]&gt;tbl_Case_mins[[#This Row],[Surgery Start Date]]),ROUND((#REF!-TIME(0,0,0))*1440,0)+1440,ROUND((#REF!-TIME(0,0,0))*1440,0))</f>
        <v>#REF!</v>
      </c>
      <c r="R183" s="9" t="e">
        <f>IF(AND(ROUND((#REF!-TIME(0,0,0))*1440,0)&gt;0,ROUND((#REF!-TIME(0,0,0))*1440,0)&lt;tbl_Case_mins[[#This Row],[AnaesthStart]],tbl_Case_mins[[#This Row],[Surgery End Date]]&gt;tbl_Case_mins[[#This Row],[Surgery Start Date]]),ROUND((#REF!-TIME(0,0,0))*1440,0)+1440,ROUND((#REF!-TIME(0,0,0))*1440,0))</f>
        <v>#REF!</v>
      </c>
      <c r="S183" s="9" t="e">
        <f>IF(AND(ROUND((#REF!-TIME(0,0,0))*1440,0),ROUND((#REF!-TIME(0,0,0))*1440,0)&lt;tbl_Case_mins[[#This Row],[Surgery Start]],tbl_Case_mins[[#This Row],[Surgery End Date]]&gt;tbl_Case_mins[[#This Row],[Surgery Start Date]]),ROUND((#REF!-TIME(0,0,0))*1440,0)+1440,ROUND((#REF!-TIME(0,0,0))*1440,0))</f>
        <v>#REF!</v>
      </c>
      <c r="T183" s="9" t="e">
        <f>IF(AND(ROUND((#REF!-TIME(0,0,0))*1440,0)&gt;0,ROUND((#REF!-TIME(0,0,0))*1440,0)&lt;tbl_Case_mins[[#This Row],[Surgery Finish]],tbl_Case_mins[[#This Row],[Surgery End Date]]&gt;tbl_Case_mins[[#This Row],[Surgery Start Date]]),ROUND((#REF!-TIME(0,0,0))*1440,0)+1440,ROUND((#REF!-TIME(0,0,0))*1440,0))</f>
        <v>#REF!</v>
      </c>
      <c r="U183" s="9" t="e">
        <f>IF(AND(ROUND((#REF!-TIME(0,0,0))*1440,0)&gt;0,ROUND((#REF!-TIME(0,0,0))*1440,0)&lt;tbl_Case_mins[[#This Row],[Anaesth End]],tbl_Case_mins[[#This Row],[Surgery End Date]]&gt;tbl_Case_mins[[#This Row],[Surgery Start Date]]),ROUND((#REF!-TIME(0,0,0))*1440,0)+1440,ROUND((#REF!-TIME(0,0,0))*1440,0))</f>
        <v>#REF!</v>
      </c>
      <c r="V183" s="9" t="e">
        <f>IF(AND(ROUND((#REF!-TIME(0,0,0))*1440,0)&gt;0,ROUND((#REF!-TIME(0,0,0))*1440,0)&lt;tbl_Case_mins[[#This Row],[Into Recov]],tbl_Case_mins[[#This Row],[Surgery End Date]]&gt;tbl_Case_mins[[#This Row],[Surgery Start Date]]),ROUND((#REF!-TIME(0,0,0))*1440,0)+1440,ROUND((#REF!-TIME(0,0,0))*1440,0))</f>
        <v>#REF!</v>
      </c>
      <c r="W183" s="9" t="e">
        <f>IF(AND(ROUND((#REF!-TIME(0,0,0))*1440,0)&gt;0,ROUND((#REF!-TIME(0,0,0))*1440,0)&lt;tbl_Case_mins[[#This Row],[Ward Called]],tbl_Case_mins[[#This Row],[Surgery End Date]]&gt;tbl_Case_mins[[#This Row],[Surgery Start Date]]),ROUND((#REF!-TIME(0,0,0))*1440,0)+1440,ROUND((#REF!-TIME(0,0,0))*1440,0))</f>
        <v>#REF!</v>
      </c>
      <c r="X183" s="4" t="e">
        <f>IF(ISBLANK(#REF!),tbl_Case_mins[[#This Row],[Surgery Start Date]],#REF!)</f>
        <v>#REF!</v>
      </c>
      <c r="Y183">
        <f>IFERROR(IF(VLOOKUP(tbl_Case_mins[[#This Row],[Theatre]],'Mng Theatres'!$C$7:$G$12,3,FALSE)="Yes","Yes","No"),0)</f>
        <v>0</v>
      </c>
      <c r="Z183" s="9" t="e" cm="1">
        <f t="array" ref="Z18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3" s="9" t="e" cm="1">
        <f t="array" ref="AA18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3" s="9" t="e">
        <f>IF(tbl_Case_mins[[#This Row],[Case Type]]="Unsch",1,0)</f>
        <v>#REF!</v>
      </c>
      <c r="AD183" s="9" t="e">
        <f>IF(tbl_Case_mins[[#This Row],[Case Type]]="Sch",1,0)</f>
        <v>#REF!</v>
      </c>
      <c r="AE18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3" s="9">
        <f>IFERROR(IF(ISBLANK(INDEX(Am_Close,MATCH(1,INDEX((tbl_Case_mins[[#This Row],[Theatre]]=Theatre_No)*(tbl_Case_mins[[#This Row],[Surgery Start Date]]=Date),0,1),0))*1440),0,INDEX(Am_Close,MATCH(1,INDEX((tbl_Case_mins[[#This Row],[Theatre]]=Theatre_No)*(tbl_Case_mins[[#This Row],[Surgery Start Date]]=Date),0,1),0))*1440),0)</f>
        <v>0</v>
      </c>
      <c r="AG183" s="9">
        <f>IFERROR(IF(ISBLANK(INDEX(PM_Open,MATCH(1,INDEX((tbl_Case_mins[[#This Row],[Theatre]]=Theatre_No)*(tbl_Case_mins[[#This Row],[Surgery Start Date]]=Date),0,1),0))*1440),0,INDEX(PM_Open,MATCH(1,INDEX((tbl_Case_mins[[#This Row],[Theatre]]=Theatre_No)*(tbl_Case_mins[[#This Row],[Surgery Start Date]]=Date),0,1),0))*1440),0)</f>
        <v>0</v>
      </c>
      <c r="AH18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3" s="9" t="e">
        <f>IF(tbl_Case_mins[[#This Row],[ThOpenAm]]=0,tbl_Case_mins[[#This Row],[ThOpenPM]],tbl_Case_mins[[#This Row],[ThOpenAm]])</f>
        <v>#REF!</v>
      </c>
      <c r="AJ183" s="9" t="e">
        <f>IF(tbl_Case_mins[[#This Row],[ThCloseAm]]&gt;0,IF(tbl_Case_mins[[#This Row],[ThOpenPM]]&gt;0,tbl_Case_mins[[#This Row],[ThClosePm]],tbl_Case_mins[[#This Row],[ThCloseAm]]),tbl_Case_mins[[#This Row],[ThClosePm]])</f>
        <v>#REF!</v>
      </c>
      <c r="AK183" s="9" t="e">
        <f>IF(tbl_Case_mins[[#This Row],[TOT]]&gt;0,1,0)</f>
        <v>#REF!</v>
      </c>
      <c r="AL18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3" s="9" t="e">
        <f>IF(AND(tbl_Case_mins[[#This Row],[Surgery Status]]&lt;&gt;2,tbl_Case_mins[[#This Row],[InCoreCase]]=0,tbl_Case_mins[[#This Row],[CancelledCase]]=0),1,0)</f>
        <v>#REF!</v>
      </c>
      <c r="AN183" s="9" t="e">
        <f>IF(tbl_Case_mins[[#This Row],[Surgery Status]]=1,1,0)</f>
        <v>#REF!</v>
      </c>
      <c r="AO18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3" s="9" t="e">
        <f>IF(AND(tbl_Case_mins[[#This Row],[NonCoreCase]]=1,tbl_Case_mins[[#This Row],[NoInCoreTime]]=0),1,0)</f>
        <v>#REF!</v>
      </c>
      <c r="AQ183" s="9" t="e">
        <f>IF(tbl_Case_mins[[#This Row],[Rank_AnaEnd]]&lt;tbl_Case_mins[[#This Row],[Rank_AnaSt]],1,0)</f>
        <v>#REF!</v>
      </c>
      <c r="AR183" s="9" t="e">
        <f>IF(AND(tbl_Case_mins[[#This Row],[InCoreCase]]=1,tbl_Case_mins[[#This Row],[Sch]]=1),1,0)</f>
        <v>#REF!</v>
      </c>
      <c r="AS183" s="9" t="e">
        <f>IF(AND(tbl_Case_mins[[#This Row],[InCoreCase]]=1,tbl_Case_mins[[#This Row],[Unsch]]=1),1,0)</f>
        <v>#REF!</v>
      </c>
      <c r="AT18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3" s="9" t="e">
        <f>IF(tbl_Case_mins[[#This Row],[Surgery Status]]=0,(tbl_Case_mins[[#This Row],[Anaesth End]]-tbl_Case_mins[[#This Row],[AnaesthStart]]),0)</f>
        <v>#REF!</v>
      </c>
      <c r="AX183" s="9" t="e">
        <f>IF(tbl_Case_mins[[#This Row],[Surgery Status]]=0,(tbl_Case_mins[[#This Row],[Surgery Finish]]-tbl_Case_mins[[#This Row],[Surgery Start]]),0)</f>
        <v>#REF!</v>
      </c>
      <c r="AY183" s="9" t="e">
        <f>tbl_Case_mins[[#This Row],[Surgery Start]]-tbl_Case_mins[[#This Row],[AnaesthStart]]</f>
        <v>#REF!</v>
      </c>
      <c r="AZ183" s="9" t="e">
        <f>tbl_Case_mins[[#This Row],[Anaesth End]]-tbl_Case_mins[[#This Row],[Surgery Finish]]</f>
        <v>#REF!</v>
      </c>
      <c r="BA18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3" s="16" cm="1">
        <f t="array" ref="BC18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3" s="16" t="e">
        <f>IF(AND(tbl_Case_mins[[#This Row],[FirstAMCase]]=1,tbl_Case_mins[[#This Row],[CancelledCase]]=0,OR(tbl_Case_mins[[#This Row],[EarlyStartAM]]&gt;0,tbl_Case_mins[[#This Row],[AnaesthStart]]=tbl_Case_mins[[#This Row],[ThOpenAm]])),1,0)</f>
        <v>#REF!</v>
      </c>
      <c r="BE183" s="16" t="e">
        <f>IF(AND(tbl_Case_mins[[#This Row],[Rank_AnaSt]]=tbl_Case_mins[[#This Row],[Min_RankAnaSt]],tbl_Case_mins[[#This Row],[Anaesth End]]&gt;=tbl_Case_mins[[#This Row],[ThOpenAm]],tbl_Case_mins[[#This Row],[PmCase]]=0),1,0)</f>
        <v>#REF!</v>
      </c>
      <c r="BF18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3" s="9" t="e" cm="1">
        <f t="array" ref="BH18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3" s="9" t="e">
        <f>IF(AND(tbl_Case_mins[[#This Row],[ThOpenPM]]&gt;0,tbl_Case_mins[[#This Row],[AnaesthStart]]&gt;tbl_Case_mins[[#This Row],[ThOpenPM]],tbl_Case_mins[[#This Row],[First PM Case]]=1),tbl_Case_mins[[#This Row],[AnaesthStart]]-tbl_Case_mins[[#This Row],[ThOpenPM]],0)</f>
        <v>#REF!</v>
      </c>
      <c r="BL18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3" s="9" t="e" cm="1">
        <f t="array" ref="BN18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3" s="9" t="e">
        <f>IF(AND(tbl_Case_mins[[#This Row],[ThClosePm]]&gt;0,tbl_Case_mins[[#This Row],[Anaesth End]]&gt;tbl_Case_mins[[#This Row],[ThClosePm]],tbl_Case_mins[[#This Row],[AnaesthStart]]&gt;tbl_Case_mins[[#This Row],[ThClosePm]]),tbl_Case_mins[[#This Row],[Into Recov]]-tbl_Case_mins[[#This Row],[AnaesthStart]],0)</f>
        <v>#REF!</v>
      </c>
      <c r="BP183" s="9" t="e">
        <f>IF(AND(tbl_Case_mins[[#This Row],[AnaesthStart]]&lt;tbl_Case_mins[[#This Row],[ThClosePm]],tbl_Case_mins[[#This Row],[Anaesth End]]&gt;tbl_Case_mins[[#This Row],[ThClosePm]]),tbl_Case_mins[[#This Row],[Anaesth End]]-tbl_Case_mins[[#This Row],[ThClosePm]],0)</f>
        <v>#REF!</v>
      </c>
      <c r="BQ183" s="9" t="e" cm="1">
        <f t="array" ref="BQ18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3" s="9" t="e" cm="1">
        <f t="array" ref="BR183">IF(tbl_Case_mins[[#This Row],[Rank_Adjust]]=SUMPRODUCT(-(tbl_Case_mins[Surgery Start Date]=tbl_Case_mins[[#This Row],[Surgery Start Date]]),-(tbl_Case_mins[Theatre]=tbl_Case_mins[[#This Row],[Theatre]])),INDEX(Poss_Time,MATCH(TEXT(tbl_Case_mins[[#This Row],[Surgery Start Date]],"ddd"),Day,0)),0)</f>
        <v>#REF!</v>
      </c>
      <c r="BS183" s="9" t="e">
        <f>tbl_Case_mins[[#This Row],[Core_Time]]*Util_Goal</f>
        <v>#REF!</v>
      </c>
      <c r="BT183" s="9" t="e" cm="1">
        <f t="array" ref="BT1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3" s="9" t="e" cm="1">
        <f t="array" ref="BU1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3" s="9" t="e">
        <f>IF(tbl_Case_mins[[#This Row],[Surgery End Date]]&gt;tbl_Case_mins[[#This Row],[Surgery Start Date]],tbl_Case_mins[[#This Row],[Anaesth End]]-1440,0)</f>
        <v>#REF!</v>
      </c>
      <c r="BY183" s="9" t="e">
        <f>tbl_Case_mins[[#This Row],[Total_NonCore]]-tbl_Case_mins[[#This Row],[NextDay_NonCore]]</f>
        <v>#REF!</v>
      </c>
      <c r="BZ183" s="10" t="e">
        <f>tbl_Case_mins[[#This Row],[InCoreUse]]/60</f>
        <v>#REF!</v>
      </c>
      <c r="CA183" s="10" t="e">
        <f>tbl_Case_mins[[#This Row],[Total_NonCore]]/60</f>
        <v>#REF!</v>
      </c>
      <c r="CB183" t="e" cm="1">
        <f t="array" ref="CB1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3" s="9" t="e" cm="1">
        <f t="array" ref="CC18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3" s="9" t="e" cm="1">
        <f t="array" ref="CD1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3" s="9" t="e" cm="1">
        <f t="array" ref="CE18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3" s="9" cm="1">
        <f t="array" ref="CF183">IFERROR(_xlfn.AGGREGATE(14,6,(tbl_Case_mins[Rank_AnaEnd])/((tbl_Case_mins[Surgery Start Date]=tbl_Case_mins[[#This Row],[Surgery Start Date]])*(tbl_Case_mins[Theatre]=tbl_Case_mins[[#This Row],[Theatre]])*(tbl_Case_mins[NoInCoreTime]=0)),1),-1)</f>
        <v>-1</v>
      </c>
      <c r="CG183" s="9" cm="1">
        <f t="array" ref="CG183">IFERROR(_xlfn.AGGREGATE(15,6,(tbl_Case_mins[Rank_AnaSt])/((tbl_Case_mins[Surgery Start Date]=tbl_Case_mins[[#This Row],[Surgery Start Date]])*(tbl_Case_mins[Theatre]=tbl_Case_mins[[#This Row],[Theatre]])*(tbl_Case_mins[NoInCoreTime]=0)),1),-1)</f>
        <v>-1</v>
      </c>
      <c r="CH18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3" t="e" cm="1">
        <f t="array" ref="CJ18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3" s="9" cm="1">
        <f t="array" ref="CO1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3" s="9" cm="1">
        <f t="array" ref="CP1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3" s="9" cm="1">
        <f t="array" ref="CQ183">IFERROR(IF(AND(tbl_Case_mins[[#This Row],[FirstAMCase]]=0,tbl_Case_mins[[#This Row],[Rank]]=_xlfn.AGGREGATE(14,6,(tbl_Case_mins[Rank])/((tbl_Case_mins[Surgery Start Date]=tbl_Case_mins[[#This Row],[Surgery Start Date]])*(tbl_Case_mins[Theatre]=tbl_Case_mins[[#This Row],[Theatre]])*(tbl_Case_mins[AmCase]=1)),1)),1,0),0)</f>
        <v>0</v>
      </c>
      <c r="CR183" s="9" cm="1">
        <f t="array" ref="CR18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3" s="9" t="e" cm="1">
        <f t="array" ref="CS18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3" s="9" cm="1">
        <f t="array" ref="CT183">IFERROR(IF(tbl_Case_mins[[#This Row],[Rank]]=_xlfn.AGGREGATE(15,6,(tbl_Case_mins[Rank])/((tbl_Case_mins[Surgery Start Date]=tbl_Case_mins[[#This Row],[Surgery Start Date]])*(tbl_Case_mins[Theatre]=tbl_Case_mins[[#This Row],[Theatre]])*(tbl_Case_mins[PmCase]=1)),1),1,0),0)</f>
        <v>0</v>
      </c>
      <c r="CU183">
        <f>IFERROR(#REF!,0)</f>
        <v>0</v>
      </c>
      <c r="CV183" s="9" t="e" cm="1">
        <f t="array" ref="CV18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3" s="9">
        <f>IFERROR(IF(ISBLANK(INDEX(Bay_AmClose,MATCH(1,INDEX((tbl_Case_mins[[#This Row],[Bay]]=BayNo)*(tbl_Case_mins[[#This Row],[Surgery Start Date]]=BDate),0,1),0))*1440),0,INDEX(Bay_AmClose,MATCH(1,INDEX((tbl_Case_mins[[#This Row],[Bay]]=BayNo)*(tbl_Case_mins[[#This Row],[Surgery Start Date]]=BDate),0,1),0))*1440),0)</f>
        <v>0</v>
      </c>
      <c r="CX183" s="9" cm="1">
        <f t="array" ref="CX183">IFERROR(IF(ISBLANK(INDEX(Bay_PmOpen,MATCH(1,INDEX((tbl_Case_mins[[#This Row],[Bay]]=BayNo)*(tbl_Case_mins[[#This Row],[Surgery Start Date]]=BDate),0,1),0))*1440),0,INDEX(Bay_PmOpen,MATCH(1,INDEX((tbl_Case_mins[[#This Row],[Bay]]=BayNo)*(tbl_Case_mins[[#This Row],[Surgery Start Date]]=BDate),0,1),0))*1440),0)</f>
        <v>0</v>
      </c>
      <c r="CY18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3" s="9"/>
    </row>
    <row r="184" spans="1:104" x14ac:dyDescent="0.2">
      <c r="A184">
        <v>183</v>
      </c>
      <c r="B184" t="e">
        <f>#REF!</f>
        <v>#REF!</v>
      </c>
      <c r="C184" t="e">
        <f>#REF!</f>
        <v>#REF!</v>
      </c>
      <c r="D184" t="e">
        <f>#REF!</f>
        <v>#REF!</v>
      </c>
      <c r="E184" t="e">
        <f>#REF!</f>
        <v>#REF!</v>
      </c>
      <c r="F184" t="e">
        <f>#REF!</f>
        <v>#REF!</v>
      </c>
      <c r="G184" t="e">
        <f>#REF!</f>
        <v>#REF!</v>
      </c>
      <c r="H184" t="e">
        <f>#REF!</f>
        <v>#REF!</v>
      </c>
      <c r="I184" t="e">
        <f>IF(#REF!="Case Cancelled",1,IF(#REF!="No Cases",2,0))</f>
        <v>#REF!</v>
      </c>
      <c r="J184" t="e">
        <f>#REF!</f>
        <v>#REF!</v>
      </c>
      <c r="K184" s="4" t="e">
        <f>#REF!</f>
        <v>#REF!</v>
      </c>
      <c r="L184" t="e">
        <f>"Wk "&amp;WEEKNUM(tbl_Case_mins[[#This Row],[Surgery Start Date]],21)</f>
        <v>#REF!</v>
      </c>
      <c r="M184" t="e">
        <f>TEXT(tbl_Case_mins[[#This Row],[Surgery Start Date]],"ddd")</f>
        <v>#REF!</v>
      </c>
      <c r="N184" s="9" t="e">
        <f>(#REF!-TIME(0,0,0))*1440</f>
        <v>#REF!</v>
      </c>
      <c r="O184" t="e">
        <f>IF(AND(ROUND((#REF!-TIME(0,0,0))*1440,0)&gt;0,ROUND((#REF!-TIME(0,0,0))*1440,0)&lt;tbl_Case_mins[[#This Row],[Patient Called]],tbl_Case_mins[[#This Row],[Surgery End Date]]&gt;tbl_Case_mins[[#This Row],[Surgery Start Date]]),ROUND((#REF!-TIME(0,0,0))*1440,0)+1440,ROUND((#REF!-TIME(0,0,0))*1440,0))</f>
        <v>#REF!</v>
      </c>
      <c r="P184" s="9" t="e">
        <f>IF(AND(ROUND((#REF!-TIME(0,0,0))*1440,0)&gt;0,ROUND((#REF!-TIME(0,0,0))*1440,0)&lt;tbl_Case_mins[[#This Row],[Arrival]],tbl_Case_mins[[#This Row],[Surgery End Date]]&gt;tbl_Case_mins[[#This Row],[Surgery Start Date]]),ROUND((#REF!-TIME(0,0,0))*1440,0)+1440,ROUND((#REF!-TIME(0,0,0))*1440,0))</f>
        <v>#REF!</v>
      </c>
      <c r="Q184" s="9" t="e">
        <f>IF(AND(ROUND((#REF!-TIME(0,0,0))*1440,0)&gt;0,ROUND((#REF!-TIME(0,0,0))*1440,0)&lt;tbl_Case_mins[[#This Row],[Into Th or AR]],tbl_Case_mins[[#This Row],[Surgery End Date]]&gt;tbl_Case_mins[[#This Row],[Surgery Start Date]]),ROUND((#REF!-TIME(0,0,0))*1440,0)+1440,ROUND((#REF!-TIME(0,0,0))*1440,0))</f>
        <v>#REF!</v>
      </c>
      <c r="R184" s="9" t="e">
        <f>IF(AND(ROUND((#REF!-TIME(0,0,0))*1440,0)&gt;0,ROUND((#REF!-TIME(0,0,0))*1440,0)&lt;tbl_Case_mins[[#This Row],[AnaesthStart]],tbl_Case_mins[[#This Row],[Surgery End Date]]&gt;tbl_Case_mins[[#This Row],[Surgery Start Date]]),ROUND((#REF!-TIME(0,0,0))*1440,0)+1440,ROUND((#REF!-TIME(0,0,0))*1440,0))</f>
        <v>#REF!</v>
      </c>
      <c r="S184" s="9" t="e">
        <f>IF(AND(ROUND((#REF!-TIME(0,0,0))*1440,0),ROUND((#REF!-TIME(0,0,0))*1440,0)&lt;tbl_Case_mins[[#This Row],[Surgery Start]],tbl_Case_mins[[#This Row],[Surgery End Date]]&gt;tbl_Case_mins[[#This Row],[Surgery Start Date]]),ROUND((#REF!-TIME(0,0,0))*1440,0)+1440,ROUND((#REF!-TIME(0,0,0))*1440,0))</f>
        <v>#REF!</v>
      </c>
      <c r="T184" s="9" t="e">
        <f>IF(AND(ROUND((#REF!-TIME(0,0,0))*1440,0)&gt;0,ROUND((#REF!-TIME(0,0,0))*1440,0)&lt;tbl_Case_mins[[#This Row],[Surgery Finish]],tbl_Case_mins[[#This Row],[Surgery End Date]]&gt;tbl_Case_mins[[#This Row],[Surgery Start Date]]),ROUND((#REF!-TIME(0,0,0))*1440,0)+1440,ROUND((#REF!-TIME(0,0,0))*1440,0))</f>
        <v>#REF!</v>
      </c>
      <c r="U184" s="9" t="e">
        <f>IF(AND(ROUND((#REF!-TIME(0,0,0))*1440,0)&gt;0,ROUND((#REF!-TIME(0,0,0))*1440,0)&lt;tbl_Case_mins[[#This Row],[Anaesth End]],tbl_Case_mins[[#This Row],[Surgery End Date]]&gt;tbl_Case_mins[[#This Row],[Surgery Start Date]]),ROUND((#REF!-TIME(0,0,0))*1440,0)+1440,ROUND((#REF!-TIME(0,0,0))*1440,0))</f>
        <v>#REF!</v>
      </c>
      <c r="V184" s="9" t="e">
        <f>IF(AND(ROUND((#REF!-TIME(0,0,0))*1440,0)&gt;0,ROUND((#REF!-TIME(0,0,0))*1440,0)&lt;tbl_Case_mins[[#This Row],[Into Recov]],tbl_Case_mins[[#This Row],[Surgery End Date]]&gt;tbl_Case_mins[[#This Row],[Surgery Start Date]]),ROUND((#REF!-TIME(0,0,0))*1440,0)+1440,ROUND((#REF!-TIME(0,0,0))*1440,0))</f>
        <v>#REF!</v>
      </c>
      <c r="W184" s="9" t="e">
        <f>IF(AND(ROUND((#REF!-TIME(0,0,0))*1440,0)&gt;0,ROUND((#REF!-TIME(0,0,0))*1440,0)&lt;tbl_Case_mins[[#This Row],[Ward Called]],tbl_Case_mins[[#This Row],[Surgery End Date]]&gt;tbl_Case_mins[[#This Row],[Surgery Start Date]]),ROUND((#REF!-TIME(0,0,0))*1440,0)+1440,ROUND((#REF!-TIME(0,0,0))*1440,0))</f>
        <v>#REF!</v>
      </c>
      <c r="X184" s="4" t="e">
        <f>IF(ISBLANK(#REF!),tbl_Case_mins[[#This Row],[Surgery Start Date]],#REF!)</f>
        <v>#REF!</v>
      </c>
      <c r="Y184">
        <f>IFERROR(IF(VLOOKUP(tbl_Case_mins[[#This Row],[Theatre]],'Mng Theatres'!$C$7:$G$12,3,FALSE)="Yes","Yes","No"),0)</f>
        <v>0</v>
      </c>
      <c r="Z184" s="9" t="e" cm="1">
        <f t="array" ref="Z18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4" s="9" t="e" cm="1">
        <f t="array" ref="AA18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4" s="9" t="e">
        <f>IF(tbl_Case_mins[[#This Row],[Case Type]]="Unsch",1,0)</f>
        <v>#REF!</v>
      </c>
      <c r="AD184" s="9" t="e">
        <f>IF(tbl_Case_mins[[#This Row],[Case Type]]="Sch",1,0)</f>
        <v>#REF!</v>
      </c>
      <c r="AE18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4" s="9">
        <f>IFERROR(IF(ISBLANK(INDEX(Am_Close,MATCH(1,INDEX((tbl_Case_mins[[#This Row],[Theatre]]=Theatre_No)*(tbl_Case_mins[[#This Row],[Surgery Start Date]]=Date),0,1),0))*1440),0,INDEX(Am_Close,MATCH(1,INDEX((tbl_Case_mins[[#This Row],[Theatre]]=Theatre_No)*(tbl_Case_mins[[#This Row],[Surgery Start Date]]=Date),0,1),0))*1440),0)</f>
        <v>0</v>
      </c>
      <c r="AG184" s="9">
        <f>IFERROR(IF(ISBLANK(INDEX(PM_Open,MATCH(1,INDEX((tbl_Case_mins[[#This Row],[Theatre]]=Theatre_No)*(tbl_Case_mins[[#This Row],[Surgery Start Date]]=Date),0,1),0))*1440),0,INDEX(PM_Open,MATCH(1,INDEX((tbl_Case_mins[[#This Row],[Theatre]]=Theatre_No)*(tbl_Case_mins[[#This Row],[Surgery Start Date]]=Date),0,1),0))*1440),0)</f>
        <v>0</v>
      </c>
      <c r="AH18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4" s="9" t="e">
        <f>IF(tbl_Case_mins[[#This Row],[ThOpenAm]]=0,tbl_Case_mins[[#This Row],[ThOpenPM]],tbl_Case_mins[[#This Row],[ThOpenAm]])</f>
        <v>#REF!</v>
      </c>
      <c r="AJ184" s="9" t="e">
        <f>IF(tbl_Case_mins[[#This Row],[ThCloseAm]]&gt;0,IF(tbl_Case_mins[[#This Row],[ThOpenPM]]&gt;0,tbl_Case_mins[[#This Row],[ThClosePm]],tbl_Case_mins[[#This Row],[ThCloseAm]]),tbl_Case_mins[[#This Row],[ThClosePm]])</f>
        <v>#REF!</v>
      </c>
      <c r="AK184" s="9" t="e">
        <f>IF(tbl_Case_mins[[#This Row],[TOT]]&gt;0,1,0)</f>
        <v>#REF!</v>
      </c>
      <c r="AL18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4" s="9" t="e">
        <f>IF(AND(tbl_Case_mins[[#This Row],[Surgery Status]]&lt;&gt;2,tbl_Case_mins[[#This Row],[InCoreCase]]=0,tbl_Case_mins[[#This Row],[CancelledCase]]=0),1,0)</f>
        <v>#REF!</v>
      </c>
      <c r="AN184" s="9" t="e">
        <f>IF(tbl_Case_mins[[#This Row],[Surgery Status]]=1,1,0)</f>
        <v>#REF!</v>
      </c>
      <c r="AO18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4" s="9" t="e">
        <f>IF(AND(tbl_Case_mins[[#This Row],[NonCoreCase]]=1,tbl_Case_mins[[#This Row],[NoInCoreTime]]=0),1,0)</f>
        <v>#REF!</v>
      </c>
      <c r="AQ184" s="9" t="e">
        <f>IF(tbl_Case_mins[[#This Row],[Rank_AnaEnd]]&lt;tbl_Case_mins[[#This Row],[Rank_AnaSt]],1,0)</f>
        <v>#REF!</v>
      </c>
      <c r="AR184" s="9" t="e">
        <f>IF(AND(tbl_Case_mins[[#This Row],[InCoreCase]]=1,tbl_Case_mins[[#This Row],[Sch]]=1),1,0)</f>
        <v>#REF!</v>
      </c>
      <c r="AS184" s="9" t="e">
        <f>IF(AND(tbl_Case_mins[[#This Row],[InCoreCase]]=1,tbl_Case_mins[[#This Row],[Unsch]]=1),1,0)</f>
        <v>#REF!</v>
      </c>
      <c r="AT18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4" s="9" t="e">
        <f>IF(tbl_Case_mins[[#This Row],[Surgery Status]]=0,(tbl_Case_mins[[#This Row],[Anaesth End]]-tbl_Case_mins[[#This Row],[AnaesthStart]]),0)</f>
        <v>#REF!</v>
      </c>
      <c r="AX184" s="9" t="e">
        <f>IF(tbl_Case_mins[[#This Row],[Surgery Status]]=0,(tbl_Case_mins[[#This Row],[Surgery Finish]]-tbl_Case_mins[[#This Row],[Surgery Start]]),0)</f>
        <v>#REF!</v>
      </c>
      <c r="AY184" s="9" t="e">
        <f>tbl_Case_mins[[#This Row],[Surgery Start]]-tbl_Case_mins[[#This Row],[AnaesthStart]]</f>
        <v>#REF!</v>
      </c>
      <c r="AZ184" s="9" t="e">
        <f>tbl_Case_mins[[#This Row],[Anaesth End]]-tbl_Case_mins[[#This Row],[Surgery Finish]]</f>
        <v>#REF!</v>
      </c>
      <c r="BA18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4" s="16" cm="1">
        <f t="array" ref="BC18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4" s="16" t="e">
        <f>IF(AND(tbl_Case_mins[[#This Row],[FirstAMCase]]=1,tbl_Case_mins[[#This Row],[CancelledCase]]=0,OR(tbl_Case_mins[[#This Row],[EarlyStartAM]]&gt;0,tbl_Case_mins[[#This Row],[AnaesthStart]]=tbl_Case_mins[[#This Row],[ThOpenAm]])),1,0)</f>
        <v>#REF!</v>
      </c>
      <c r="BE184" s="16" t="e">
        <f>IF(AND(tbl_Case_mins[[#This Row],[Rank_AnaSt]]=tbl_Case_mins[[#This Row],[Min_RankAnaSt]],tbl_Case_mins[[#This Row],[Anaesth End]]&gt;=tbl_Case_mins[[#This Row],[ThOpenAm]],tbl_Case_mins[[#This Row],[PmCase]]=0),1,0)</f>
        <v>#REF!</v>
      </c>
      <c r="BF18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4" s="9" t="e" cm="1">
        <f t="array" ref="BH18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4" s="9" t="e">
        <f>IF(AND(tbl_Case_mins[[#This Row],[ThOpenPM]]&gt;0,tbl_Case_mins[[#This Row],[AnaesthStart]]&gt;tbl_Case_mins[[#This Row],[ThOpenPM]],tbl_Case_mins[[#This Row],[First PM Case]]=1),tbl_Case_mins[[#This Row],[AnaesthStart]]-tbl_Case_mins[[#This Row],[ThOpenPM]],0)</f>
        <v>#REF!</v>
      </c>
      <c r="BL18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4" s="9" t="e" cm="1">
        <f t="array" ref="BN18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4" s="9" t="e">
        <f>IF(AND(tbl_Case_mins[[#This Row],[ThClosePm]]&gt;0,tbl_Case_mins[[#This Row],[Anaesth End]]&gt;tbl_Case_mins[[#This Row],[ThClosePm]],tbl_Case_mins[[#This Row],[AnaesthStart]]&gt;tbl_Case_mins[[#This Row],[ThClosePm]]),tbl_Case_mins[[#This Row],[Into Recov]]-tbl_Case_mins[[#This Row],[AnaesthStart]],0)</f>
        <v>#REF!</v>
      </c>
      <c r="BP184" s="9" t="e">
        <f>IF(AND(tbl_Case_mins[[#This Row],[AnaesthStart]]&lt;tbl_Case_mins[[#This Row],[ThClosePm]],tbl_Case_mins[[#This Row],[Anaesth End]]&gt;tbl_Case_mins[[#This Row],[ThClosePm]]),tbl_Case_mins[[#This Row],[Anaesth End]]-tbl_Case_mins[[#This Row],[ThClosePm]],0)</f>
        <v>#REF!</v>
      </c>
      <c r="BQ184" s="9" t="e" cm="1">
        <f t="array" ref="BQ18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4" s="9" t="e" cm="1">
        <f t="array" ref="BR184">IF(tbl_Case_mins[[#This Row],[Rank_Adjust]]=SUMPRODUCT(-(tbl_Case_mins[Surgery Start Date]=tbl_Case_mins[[#This Row],[Surgery Start Date]]),-(tbl_Case_mins[Theatre]=tbl_Case_mins[[#This Row],[Theatre]])),INDEX(Poss_Time,MATCH(TEXT(tbl_Case_mins[[#This Row],[Surgery Start Date]],"ddd"),Day,0)),0)</f>
        <v>#REF!</v>
      </c>
      <c r="BS184" s="9" t="e">
        <f>tbl_Case_mins[[#This Row],[Core_Time]]*Util_Goal</f>
        <v>#REF!</v>
      </c>
      <c r="BT184" s="9" t="e" cm="1">
        <f t="array" ref="BT1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4" s="9" t="e" cm="1">
        <f t="array" ref="BU1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4" s="9" t="e">
        <f>IF(tbl_Case_mins[[#This Row],[Surgery End Date]]&gt;tbl_Case_mins[[#This Row],[Surgery Start Date]],tbl_Case_mins[[#This Row],[Anaesth End]]-1440,0)</f>
        <v>#REF!</v>
      </c>
      <c r="BY184" s="9" t="e">
        <f>tbl_Case_mins[[#This Row],[Total_NonCore]]-tbl_Case_mins[[#This Row],[NextDay_NonCore]]</f>
        <v>#REF!</v>
      </c>
      <c r="BZ184" s="10" t="e">
        <f>tbl_Case_mins[[#This Row],[InCoreUse]]/60</f>
        <v>#REF!</v>
      </c>
      <c r="CA184" s="10" t="e">
        <f>tbl_Case_mins[[#This Row],[Total_NonCore]]/60</f>
        <v>#REF!</v>
      </c>
      <c r="CB184" t="e" cm="1">
        <f t="array" ref="CB1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4" s="9" t="e" cm="1">
        <f t="array" ref="CC18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4" s="9" t="e" cm="1">
        <f t="array" ref="CD1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4" s="9" t="e" cm="1">
        <f t="array" ref="CE18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4" s="9" cm="1">
        <f t="array" ref="CF184">IFERROR(_xlfn.AGGREGATE(14,6,(tbl_Case_mins[Rank_AnaEnd])/((tbl_Case_mins[Surgery Start Date]=tbl_Case_mins[[#This Row],[Surgery Start Date]])*(tbl_Case_mins[Theatre]=tbl_Case_mins[[#This Row],[Theatre]])*(tbl_Case_mins[NoInCoreTime]=0)),1),-1)</f>
        <v>-1</v>
      </c>
      <c r="CG184" s="9" cm="1">
        <f t="array" ref="CG184">IFERROR(_xlfn.AGGREGATE(15,6,(tbl_Case_mins[Rank_AnaSt])/((tbl_Case_mins[Surgery Start Date]=tbl_Case_mins[[#This Row],[Surgery Start Date]])*(tbl_Case_mins[Theatre]=tbl_Case_mins[[#This Row],[Theatre]])*(tbl_Case_mins[NoInCoreTime]=0)),1),-1)</f>
        <v>-1</v>
      </c>
      <c r="CH18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4" t="e" cm="1">
        <f t="array" ref="CJ18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4" s="9" cm="1">
        <f t="array" ref="CO1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4" s="9" cm="1">
        <f t="array" ref="CP1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4" s="9" cm="1">
        <f t="array" ref="CQ184">IFERROR(IF(AND(tbl_Case_mins[[#This Row],[FirstAMCase]]=0,tbl_Case_mins[[#This Row],[Rank]]=_xlfn.AGGREGATE(14,6,(tbl_Case_mins[Rank])/((tbl_Case_mins[Surgery Start Date]=tbl_Case_mins[[#This Row],[Surgery Start Date]])*(tbl_Case_mins[Theatre]=tbl_Case_mins[[#This Row],[Theatre]])*(tbl_Case_mins[AmCase]=1)),1)),1,0),0)</f>
        <v>0</v>
      </c>
      <c r="CR184" s="9" cm="1">
        <f t="array" ref="CR18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4" s="9" t="e" cm="1">
        <f t="array" ref="CS18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4" s="9" cm="1">
        <f t="array" ref="CT184">IFERROR(IF(tbl_Case_mins[[#This Row],[Rank]]=_xlfn.AGGREGATE(15,6,(tbl_Case_mins[Rank])/((tbl_Case_mins[Surgery Start Date]=tbl_Case_mins[[#This Row],[Surgery Start Date]])*(tbl_Case_mins[Theatre]=tbl_Case_mins[[#This Row],[Theatre]])*(tbl_Case_mins[PmCase]=1)),1),1,0),0)</f>
        <v>0</v>
      </c>
      <c r="CU184">
        <f>IFERROR(#REF!,0)</f>
        <v>0</v>
      </c>
      <c r="CV184" s="9" t="e" cm="1">
        <f t="array" ref="CV18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4" s="9">
        <f>IFERROR(IF(ISBLANK(INDEX(Bay_AmClose,MATCH(1,INDEX((tbl_Case_mins[[#This Row],[Bay]]=BayNo)*(tbl_Case_mins[[#This Row],[Surgery Start Date]]=BDate),0,1),0))*1440),0,INDEX(Bay_AmClose,MATCH(1,INDEX((tbl_Case_mins[[#This Row],[Bay]]=BayNo)*(tbl_Case_mins[[#This Row],[Surgery Start Date]]=BDate),0,1),0))*1440),0)</f>
        <v>0</v>
      </c>
      <c r="CX184" s="9" cm="1">
        <f t="array" ref="CX184">IFERROR(IF(ISBLANK(INDEX(Bay_PmOpen,MATCH(1,INDEX((tbl_Case_mins[[#This Row],[Bay]]=BayNo)*(tbl_Case_mins[[#This Row],[Surgery Start Date]]=BDate),0,1),0))*1440),0,INDEX(Bay_PmOpen,MATCH(1,INDEX((tbl_Case_mins[[#This Row],[Bay]]=BayNo)*(tbl_Case_mins[[#This Row],[Surgery Start Date]]=BDate),0,1),0))*1440),0)</f>
        <v>0</v>
      </c>
      <c r="CY18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4" s="9"/>
    </row>
    <row r="185" spans="1:104" x14ac:dyDescent="0.2">
      <c r="A185">
        <v>184</v>
      </c>
      <c r="B185" t="e">
        <f>#REF!</f>
        <v>#REF!</v>
      </c>
      <c r="C185" t="e">
        <f>#REF!</f>
        <v>#REF!</v>
      </c>
      <c r="D185" t="e">
        <f>#REF!</f>
        <v>#REF!</v>
      </c>
      <c r="E185" t="e">
        <f>#REF!</f>
        <v>#REF!</v>
      </c>
      <c r="F185" t="e">
        <f>#REF!</f>
        <v>#REF!</v>
      </c>
      <c r="G185" t="e">
        <f>#REF!</f>
        <v>#REF!</v>
      </c>
      <c r="H185" t="e">
        <f>#REF!</f>
        <v>#REF!</v>
      </c>
      <c r="I185" t="e">
        <f>IF(#REF!="Case Cancelled",1,IF(#REF!="No Cases",2,0))</f>
        <v>#REF!</v>
      </c>
      <c r="J185" t="e">
        <f>#REF!</f>
        <v>#REF!</v>
      </c>
      <c r="K185" s="4" t="e">
        <f>#REF!</f>
        <v>#REF!</v>
      </c>
      <c r="L185" t="e">
        <f>"Wk "&amp;WEEKNUM(tbl_Case_mins[[#This Row],[Surgery Start Date]],21)</f>
        <v>#REF!</v>
      </c>
      <c r="M185" t="e">
        <f>TEXT(tbl_Case_mins[[#This Row],[Surgery Start Date]],"ddd")</f>
        <v>#REF!</v>
      </c>
      <c r="N185" s="9" t="e">
        <f>(#REF!-TIME(0,0,0))*1440</f>
        <v>#REF!</v>
      </c>
      <c r="O185" t="e">
        <f>IF(AND(ROUND((#REF!-TIME(0,0,0))*1440,0)&gt;0,ROUND((#REF!-TIME(0,0,0))*1440,0)&lt;tbl_Case_mins[[#This Row],[Patient Called]],tbl_Case_mins[[#This Row],[Surgery End Date]]&gt;tbl_Case_mins[[#This Row],[Surgery Start Date]]),ROUND((#REF!-TIME(0,0,0))*1440,0)+1440,ROUND((#REF!-TIME(0,0,0))*1440,0))</f>
        <v>#REF!</v>
      </c>
      <c r="P185" s="9" t="e">
        <f>IF(AND(ROUND((#REF!-TIME(0,0,0))*1440,0)&gt;0,ROUND((#REF!-TIME(0,0,0))*1440,0)&lt;tbl_Case_mins[[#This Row],[Arrival]],tbl_Case_mins[[#This Row],[Surgery End Date]]&gt;tbl_Case_mins[[#This Row],[Surgery Start Date]]),ROUND((#REF!-TIME(0,0,0))*1440,0)+1440,ROUND((#REF!-TIME(0,0,0))*1440,0))</f>
        <v>#REF!</v>
      </c>
      <c r="Q185" s="9" t="e">
        <f>IF(AND(ROUND((#REF!-TIME(0,0,0))*1440,0)&gt;0,ROUND((#REF!-TIME(0,0,0))*1440,0)&lt;tbl_Case_mins[[#This Row],[Into Th or AR]],tbl_Case_mins[[#This Row],[Surgery End Date]]&gt;tbl_Case_mins[[#This Row],[Surgery Start Date]]),ROUND((#REF!-TIME(0,0,0))*1440,0)+1440,ROUND((#REF!-TIME(0,0,0))*1440,0))</f>
        <v>#REF!</v>
      </c>
      <c r="R185" s="9" t="e">
        <f>IF(AND(ROUND((#REF!-TIME(0,0,0))*1440,0)&gt;0,ROUND((#REF!-TIME(0,0,0))*1440,0)&lt;tbl_Case_mins[[#This Row],[AnaesthStart]],tbl_Case_mins[[#This Row],[Surgery End Date]]&gt;tbl_Case_mins[[#This Row],[Surgery Start Date]]),ROUND((#REF!-TIME(0,0,0))*1440,0)+1440,ROUND((#REF!-TIME(0,0,0))*1440,0))</f>
        <v>#REF!</v>
      </c>
      <c r="S185" s="9" t="e">
        <f>IF(AND(ROUND((#REF!-TIME(0,0,0))*1440,0),ROUND((#REF!-TIME(0,0,0))*1440,0)&lt;tbl_Case_mins[[#This Row],[Surgery Start]],tbl_Case_mins[[#This Row],[Surgery End Date]]&gt;tbl_Case_mins[[#This Row],[Surgery Start Date]]),ROUND((#REF!-TIME(0,0,0))*1440,0)+1440,ROUND((#REF!-TIME(0,0,0))*1440,0))</f>
        <v>#REF!</v>
      </c>
      <c r="T185" s="9" t="e">
        <f>IF(AND(ROUND((#REF!-TIME(0,0,0))*1440,0)&gt;0,ROUND((#REF!-TIME(0,0,0))*1440,0)&lt;tbl_Case_mins[[#This Row],[Surgery Finish]],tbl_Case_mins[[#This Row],[Surgery End Date]]&gt;tbl_Case_mins[[#This Row],[Surgery Start Date]]),ROUND((#REF!-TIME(0,0,0))*1440,0)+1440,ROUND((#REF!-TIME(0,0,0))*1440,0))</f>
        <v>#REF!</v>
      </c>
      <c r="U185" s="9" t="e">
        <f>IF(AND(ROUND((#REF!-TIME(0,0,0))*1440,0)&gt;0,ROUND((#REF!-TIME(0,0,0))*1440,0)&lt;tbl_Case_mins[[#This Row],[Anaesth End]],tbl_Case_mins[[#This Row],[Surgery End Date]]&gt;tbl_Case_mins[[#This Row],[Surgery Start Date]]),ROUND((#REF!-TIME(0,0,0))*1440,0)+1440,ROUND((#REF!-TIME(0,0,0))*1440,0))</f>
        <v>#REF!</v>
      </c>
      <c r="V185" s="9" t="e">
        <f>IF(AND(ROUND((#REF!-TIME(0,0,0))*1440,0)&gt;0,ROUND((#REF!-TIME(0,0,0))*1440,0)&lt;tbl_Case_mins[[#This Row],[Into Recov]],tbl_Case_mins[[#This Row],[Surgery End Date]]&gt;tbl_Case_mins[[#This Row],[Surgery Start Date]]),ROUND((#REF!-TIME(0,0,0))*1440,0)+1440,ROUND((#REF!-TIME(0,0,0))*1440,0))</f>
        <v>#REF!</v>
      </c>
      <c r="W185" s="9" t="e">
        <f>IF(AND(ROUND((#REF!-TIME(0,0,0))*1440,0)&gt;0,ROUND((#REF!-TIME(0,0,0))*1440,0)&lt;tbl_Case_mins[[#This Row],[Ward Called]],tbl_Case_mins[[#This Row],[Surgery End Date]]&gt;tbl_Case_mins[[#This Row],[Surgery Start Date]]),ROUND((#REF!-TIME(0,0,0))*1440,0)+1440,ROUND((#REF!-TIME(0,0,0))*1440,0))</f>
        <v>#REF!</v>
      </c>
      <c r="X185" s="4" t="e">
        <f>IF(ISBLANK(#REF!),tbl_Case_mins[[#This Row],[Surgery Start Date]],#REF!)</f>
        <v>#REF!</v>
      </c>
      <c r="Y185">
        <f>IFERROR(IF(VLOOKUP(tbl_Case_mins[[#This Row],[Theatre]],'Mng Theatres'!$C$7:$G$12,3,FALSE)="Yes","Yes","No"),0)</f>
        <v>0</v>
      </c>
      <c r="Z185" s="9" t="e" cm="1">
        <f t="array" ref="Z18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5" s="9" t="e" cm="1">
        <f t="array" ref="AA18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5" s="9" t="e">
        <f>IF(tbl_Case_mins[[#This Row],[Case Type]]="Unsch",1,0)</f>
        <v>#REF!</v>
      </c>
      <c r="AD185" s="9" t="e">
        <f>IF(tbl_Case_mins[[#This Row],[Case Type]]="Sch",1,0)</f>
        <v>#REF!</v>
      </c>
      <c r="AE18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5" s="9">
        <f>IFERROR(IF(ISBLANK(INDEX(Am_Close,MATCH(1,INDEX((tbl_Case_mins[[#This Row],[Theatre]]=Theatre_No)*(tbl_Case_mins[[#This Row],[Surgery Start Date]]=Date),0,1),0))*1440),0,INDEX(Am_Close,MATCH(1,INDEX((tbl_Case_mins[[#This Row],[Theatre]]=Theatre_No)*(tbl_Case_mins[[#This Row],[Surgery Start Date]]=Date),0,1),0))*1440),0)</f>
        <v>0</v>
      </c>
      <c r="AG185" s="9">
        <f>IFERROR(IF(ISBLANK(INDEX(PM_Open,MATCH(1,INDEX((tbl_Case_mins[[#This Row],[Theatre]]=Theatre_No)*(tbl_Case_mins[[#This Row],[Surgery Start Date]]=Date),0,1),0))*1440),0,INDEX(PM_Open,MATCH(1,INDEX((tbl_Case_mins[[#This Row],[Theatre]]=Theatre_No)*(tbl_Case_mins[[#This Row],[Surgery Start Date]]=Date),0,1),0))*1440),0)</f>
        <v>0</v>
      </c>
      <c r="AH18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5" s="9" t="e">
        <f>IF(tbl_Case_mins[[#This Row],[ThOpenAm]]=0,tbl_Case_mins[[#This Row],[ThOpenPM]],tbl_Case_mins[[#This Row],[ThOpenAm]])</f>
        <v>#REF!</v>
      </c>
      <c r="AJ185" s="9" t="e">
        <f>IF(tbl_Case_mins[[#This Row],[ThCloseAm]]&gt;0,IF(tbl_Case_mins[[#This Row],[ThOpenPM]]&gt;0,tbl_Case_mins[[#This Row],[ThClosePm]],tbl_Case_mins[[#This Row],[ThCloseAm]]),tbl_Case_mins[[#This Row],[ThClosePm]])</f>
        <v>#REF!</v>
      </c>
      <c r="AK185" s="9" t="e">
        <f>IF(tbl_Case_mins[[#This Row],[TOT]]&gt;0,1,0)</f>
        <v>#REF!</v>
      </c>
      <c r="AL18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5" s="9" t="e">
        <f>IF(AND(tbl_Case_mins[[#This Row],[Surgery Status]]&lt;&gt;2,tbl_Case_mins[[#This Row],[InCoreCase]]=0,tbl_Case_mins[[#This Row],[CancelledCase]]=0),1,0)</f>
        <v>#REF!</v>
      </c>
      <c r="AN185" s="9" t="e">
        <f>IF(tbl_Case_mins[[#This Row],[Surgery Status]]=1,1,0)</f>
        <v>#REF!</v>
      </c>
      <c r="AO18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5" s="9" t="e">
        <f>IF(AND(tbl_Case_mins[[#This Row],[NonCoreCase]]=1,tbl_Case_mins[[#This Row],[NoInCoreTime]]=0),1,0)</f>
        <v>#REF!</v>
      </c>
      <c r="AQ185" s="9" t="e">
        <f>IF(tbl_Case_mins[[#This Row],[Rank_AnaEnd]]&lt;tbl_Case_mins[[#This Row],[Rank_AnaSt]],1,0)</f>
        <v>#REF!</v>
      </c>
      <c r="AR185" s="9" t="e">
        <f>IF(AND(tbl_Case_mins[[#This Row],[InCoreCase]]=1,tbl_Case_mins[[#This Row],[Sch]]=1),1,0)</f>
        <v>#REF!</v>
      </c>
      <c r="AS185" s="9" t="e">
        <f>IF(AND(tbl_Case_mins[[#This Row],[InCoreCase]]=1,tbl_Case_mins[[#This Row],[Unsch]]=1),1,0)</f>
        <v>#REF!</v>
      </c>
      <c r="AT18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5" s="9" t="e">
        <f>IF(tbl_Case_mins[[#This Row],[Surgery Status]]=0,(tbl_Case_mins[[#This Row],[Anaesth End]]-tbl_Case_mins[[#This Row],[AnaesthStart]]),0)</f>
        <v>#REF!</v>
      </c>
      <c r="AX185" s="9" t="e">
        <f>IF(tbl_Case_mins[[#This Row],[Surgery Status]]=0,(tbl_Case_mins[[#This Row],[Surgery Finish]]-tbl_Case_mins[[#This Row],[Surgery Start]]),0)</f>
        <v>#REF!</v>
      </c>
      <c r="AY185" s="9" t="e">
        <f>tbl_Case_mins[[#This Row],[Surgery Start]]-tbl_Case_mins[[#This Row],[AnaesthStart]]</f>
        <v>#REF!</v>
      </c>
      <c r="AZ185" s="9" t="e">
        <f>tbl_Case_mins[[#This Row],[Anaesth End]]-tbl_Case_mins[[#This Row],[Surgery Finish]]</f>
        <v>#REF!</v>
      </c>
      <c r="BA18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5" s="16" cm="1">
        <f t="array" ref="BC18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5" s="16" t="e">
        <f>IF(AND(tbl_Case_mins[[#This Row],[FirstAMCase]]=1,tbl_Case_mins[[#This Row],[CancelledCase]]=0,OR(tbl_Case_mins[[#This Row],[EarlyStartAM]]&gt;0,tbl_Case_mins[[#This Row],[AnaesthStart]]=tbl_Case_mins[[#This Row],[ThOpenAm]])),1,0)</f>
        <v>#REF!</v>
      </c>
      <c r="BE185" s="16" t="e">
        <f>IF(AND(tbl_Case_mins[[#This Row],[Rank_AnaSt]]=tbl_Case_mins[[#This Row],[Min_RankAnaSt]],tbl_Case_mins[[#This Row],[Anaesth End]]&gt;=tbl_Case_mins[[#This Row],[ThOpenAm]],tbl_Case_mins[[#This Row],[PmCase]]=0),1,0)</f>
        <v>#REF!</v>
      </c>
      <c r="BF18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5" s="9" t="e" cm="1">
        <f t="array" ref="BH18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5" s="9" t="e">
        <f>IF(AND(tbl_Case_mins[[#This Row],[ThOpenPM]]&gt;0,tbl_Case_mins[[#This Row],[AnaesthStart]]&gt;tbl_Case_mins[[#This Row],[ThOpenPM]],tbl_Case_mins[[#This Row],[First PM Case]]=1),tbl_Case_mins[[#This Row],[AnaesthStart]]-tbl_Case_mins[[#This Row],[ThOpenPM]],0)</f>
        <v>#REF!</v>
      </c>
      <c r="BL18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5" s="9" t="e" cm="1">
        <f t="array" ref="BN18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5" s="9" t="e">
        <f>IF(AND(tbl_Case_mins[[#This Row],[ThClosePm]]&gt;0,tbl_Case_mins[[#This Row],[Anaesth End]]&gt;tbl_Case_mins[[#This Row],[ThClosePm]],tbl_Case_mins[[#This Row],[AnaesthStart]]&gt;tbl_Case_mins[[#This Row],[ThClosePm]]),tbl_Case_mins[[#This Row],[Into Recov]]-tbl_Case_mins[[#This Row],[AnaesthStart]],0)</f>
        <v>#REF!</v>
      </c>
      <c r="BP185" s="9" t="e">
        <f>IF(AND(tbl_Case_mins[[#This Row],[AnaesthStart]]&lt;tbl_Case_mins[[#This Row],[ThClosePm]],tbl_Case_mins[[#This Row],[Anaesth End]]&gt;tbl_Case_mins[[#This Row],[ThClosePm]]),tbl_Case_mins[[#This Row],[Anaesth End]]-tbl_Case_mins[[#This Row],[ThClosePm]],0)</f>
        <v>#REF!</v>
      </c>
      <c r="BQ185" s="9" t="e" cm="1">
        <f t="array" ref="BQ18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5" s="9" t="e" cm="1">
        <f t="array" ref="BR185">IF(tbl_Case_mins[[#This Row],[Rank_Adjust]]=SUMPRODUCT(-(tbl_Case_mins[Surgery Start Date]=tbl_Case_mins[[#This Row],[Surgery Start Date]]),-(tbl_Case_mins[Theatre]=tbl_Case_mins[[#This Row],[Theatre]])),INDEX(Poss_Time,MATCH(TEXT(tbl_Case_mins[[#This Row],[Surgery Start Date]],"ddd"),Day,0)),0)</f>
        <v>#REF!</v>
      </c>
      <c r="BS185" s="9" t="e">
        <f>tbl_Case_mins[[#This Row],[Core_Time]]*Util_Goal</f>
        <v>#REF!</v>
      </c>
      <c r="BT185" s="9" t="e" cm="1">
        <f t="array" ref="BT1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5" s="9" t="e" cm="1">
        <f t="array" ref="BU1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5" s="9" t="e">
        <f>IF(tbl_Case_mins[[#This Row],[Surgery End Date]]&gt;tbl_Case_mins[[#This Row],[Surgery Start Date]],tbl_Case_mins[[#This Row],[Anaesth End]]-1440,0)</f>
        <v>#REF!</v>
      </c>
      <c r="BY185" s="9" t="e">
        <f>tbl_Case_mins[[#This Row],[Total_NonCore]]-tbl_Case_mins[[#This Row],[NextDay_NonCore]]</f>
        <v>#REF!</v>
      </c>
      <c r="BZ185" s="10" t="e">
        <f>tbl_Case_mins[[#This Row],[InCoreUse]]/60</f>
        <v>#REF!</v>
      </c>
      <c r="CA185" s="10" t="e">
        <f>tbl_Case_mins[[#This Row],[Total_NonCore]]/60</f>
        <v>#REF!</v>
      </c>
      <c r="CB185" t="e" cm="1">
        <f t="array" ref="CB1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5" s="9" t="e" cm="1">
        <f t="array" ref="CC18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5" s="9" t="e" cm="1">
        <f t="array" ref="CD1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5" s="9" t="e" cm="1">
        <f t="array" ref="CE18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5" s="9" cm="1">
        <f t="array" ref="CF185">IFERROR(_xlfn.AGGREGATE(14,6,(tbl_Case_mins[Rank_AnaEnd])/((tbl_Case_mins[Surgery Start Date]=tbl_Case_mins[[#This Row],[Surgery Start Date]])*(tbl_Case_mins[Theatre]=tbl_Case_mins[[#This Row],[Theatre]])*(tbl_Case_mins[NoInCoreTime]=0)),1),-1)</f>
        <v>-1</v>
      </c>
      <c r="CG185" s="9" cm="1">
        <f t="array" ref="CG185">IFERROR(_xlfn.AGGREGATE(15,6,(tbl_Case_mins[Rank_AnaSt])/((tbl_Case_mins[Surgery Start Date]=tbl_Case_mins[[#This Row],[Surgery Start Date]])*(tbl_Case_mins[Theatre]=tbl_Case_mins[[#This Row],[Theatre]])*(tbl_Case_mins[NoInCoreTime]=0)),1),-1)</f>
        <v>-1</v>
      </c>
      <c r="CH18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5" t="e" cm="1">
        <f t="array" ref="CJ18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5" s="9" cm="1">
        <f t="array" ref="CO1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5" s="9" cm="1">
        <f t="array" ref="CP1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5" s="9" cm="1">
        <f t="array" ref="CQ185">IFERROR(IF(AND(tbl_Case_mins[[#This Row],[FirstAMCase]]=0,tbl_Case_mins[[#This Row],[Rank]]=_xlfn.AGGREGATE(14,6,(tbl_Case_mins[Rank])/((tbl_Case_mins[Surgery Start Date]=tbl_Case_mins[[#This Row],[Surgery Start Date]])*(tbl_Case_mins[Theatre]=tbl_Case_mins[[#This Row],[Theatre]])*(tbl_Case_mins[AmCase]=1)),1)),1,0),0)</f>
        <v>0</v>
      </c>
      <c r="CR185" s="9" cm="1">
        <f t="array" ref="CR18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5" s="9" t="e" cm="1">
        <f t="array" ref="CS18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5" s="9" cm="1">
        <f t="array" ref="CT185">IFERROR(IF(tbl_Case_mins[[#This Row],[Rank]]=_xlfn.AGGREGATE(15,6,(tbl_Case_mins[Rank])/((tbl_Case_mins[Surgery Start Date]=tbl_Case_mins[[#This Row],[Surgery Start Date]])*(tbl_Case_mins[Theatre]=tbl_Case_mins[[#This Row],[Theatre]])*(tbl_Case_mins[PmCase]=1)),1),1,0),0)</f>
        <v>0</v>
      </c>
      <c r="CU185">
        <f>IFERROR(#REF!,0)</f>
        <v>0</v>
      </c>
      <c r="CV185" s="9" t="e" cm="1">
        <f t="array" ref="CV18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5" s="9">
        <f>IFERROR(IF(ISBLANK(INDEX(Bay_AmClose,MATCH(1,INDEX((tbl_Case_mins[[#This Row],[Bay]]=BayNo)*(tbl_Case_mins[[#This Row],[Surgery Start Date]]=BDate),0,1),0))*1440),0,INDEX(Bay_AmClose,MATCH(1,INDEX((tbl_Case_mins[[#This Row],[Bay]]=BayNo)*(tbl_Case_mins[[#This Row],[Surgery Start Date]]=BDate),0,1),0))*1440),0)</f>
        <v>0</v>
      </c>
      <c r="CX185" s="9" cm="1">
        <f t="array" ref="CX185">IFERROR(IF(ISBLANK(INDEX(Bay_PmOpen,MATCH(1,INDEX((tbl_Case_mins[[#This Row],[Bay]]=BayNo)*(tbl_Case_mins[[#This Row],[Surgery Start Date]]=BDate),0,1),0))*1440),0,INDEX(Bay_PmOpen,MATCH(1,INDEX((tbl_Case_mins[[#This Row],[Bay]]=BayNo)*(tbl_Case_mins[[#This Row],[Surgery Start Date]]=BDate),0,1),0))*1440),0)</f>
        <v>0</v>
      </c>
      <c r="CY18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5" s="9"/>
    </row>
    <row r="186" spans="1:104" x14ac:dyDescent="0.2">
      <c r="A186">
        <v>185</v>
      </c>
      <c r="B186" t="e">
        <f>#REF!</f>
        <v>#REF!</v>
      </c>
      <c r="C186" t="e">
        <f>#REF!</f>
        <v>#REF!</v>
      </c>
      <c r="D186" t="e">
        <f>#REF!</f>
        <v>#REF!</v>
      </c>
      <c r="E186" t="e">
        <f>#REF!</f>
        <v>#REF!</v>
      </c>
      <c r="F186" t="e">
        <f>#REF!</f>
        <v>#REF!</v>
      </c>
      <c r="G186" t="e">
        <f>#REF!</f>
        <v>#REF!</v>
      </c>
      <c r="H186" t="e">
        <f>#REF!</f>
        <v>#REF!</v>
      </c>
      <c r="I186" t="e">
        <f>IF(#REF!="Case Cancelled",1,IF(#REF!="No Cases",2,0))</f>
        <v>#REF!</v>
      </c>
      <c r="J186" t="e">
        <f>#REF!</f>
        <v>#REF!</v>
      </c>
      <c r="K186" s="4" t="e">
        <f>#REF!</f>
        <v>#REF!</v>
      </c>
      <c r="L186" t="e">
        <f>"Wk "&amp;WEEKNUM(tbl_Case_mins[[#This Row],[Surgery Start Date]],21)</f>
        <v>#REF!</v>
      </c>
      <c r="M186" t="e">
        <f>TEXT(tbl_Case_mins[[#This Row],[Surgery Start Date]],"ddd")</f>
        <v>#REF!</v>
      </c>
      <c r="N186" s="9" t="e">
        <f>(#REF!-TIME(0,0,0))*1440</f>
        <v>#REF!</v>
      </c>
      <c r="O186" t="e">
        <f>IF(AND(ROUND((#REF!-TIME(0,0,0))*1440,0)&gt;0,ROUND((#REF!-TIME(0,0,0))*1440,0)&lt;tbl_Case_mins[[#This Row],[Patient Called]],tbl_Case_mins[[#This Row],[Surgery End Date]]&gt;tbl_Case_mins[[#This Row],[Surgery Start Date]]),ROUND((#REF!-TIME(0,0,0))*1440,0)+1440,ROUND((#REF!-TIME(0,0,0))*1440,0))</f>
        <v>#REF!</v>
      </c>
      <c r="P186" s="9" t="e">
        <f>IF(AND(ROUND((#REF!-TIME(0,0,0))*1440,0)&gt;0,ROUND((#REF!-TIME(0,0,0))*1440,0)&lt;tbl_Case_mins[[#This Row],[Arrival]],tbl_Case_mins[[#This Row],[Surgery End Date]]&gt;tbl_Case_mins[[#This Row],[Surgery Start Date]]),ROUND((#REF!-TIME(0,0,0))*1440,0)+1440,ROUND((#REF!-TIME(0,0,0))*1440,0))</f>
        <v>#REF!</v>
      </c>
      <c r="Q186" s="9" t="e">
        <f>IF(AND(ROUND((#REF!-TIME(0,0,0))*1440,0)&gt;0,ROUND((#REF!-TIME(0,0,0))*1440,0)&lt;tbl_Case_mins[[#This Row],[Into Th or AR]],tbl_Case_mins[[#This Row],[Surgery End Date]]&gt;tbl_Case_mins[[#This Row],[Surgery Start Date]]),ROUND((#REF!-TIME(0,0,0))*1440,0)+1440,ROUND((#REF!-TIME(0,0,0))*1440,0))</f>
        <v>#REF!</v>
      </c>
      <c r="R186" s="9" t="e">
        <f>IF(AND(ROUND((#REF!-TIME(0,0,0))*1440,0)&gt;0,ROUND((#REF!-TIME(0,0,0))*1440,0)&lt;tbl_Case_mins[[#This Row],[AnaesthStart]],tbl_Case_mins[[#This Row],[Surgery End Date]]&gt;tbl_Case_mins[[#This Row],[Surgery Start Date]]),ROUND((#REF!-TIME(0,0,0))*1440,0)+1440,ROUND((#REF!-TIME(0,0,0))*1440,0))</f>
        <v>#REF!</v>
      </c>
      <c r="S186" s="9" t="e">
        <f>IF(AND(ROUND((#REF!-TIME(0,0,0))*1440,0),ROUND((#REF!-TIME(0,0,0))*1440,0)&lt;tbl_Case_mins[[#This Row],[Surgery Start]],tbl_Case_mins[[#This Row],[Surgery End Date]]&gt;tbl_Case_mins[[#This Row],[Surgery Start Date]]),ROUND((#REF!-TIME(0,0,0))*1440,0)+1440,ROUND((#REF!-TIME(0,0,0))*1440,0))</f>
        <v>#REF!</v>
      </c>
      <c r="T186" s="9" t="e">
        <f>IF(AND(ROUND((#REF!-TIME(0,0,0))*1440,0)&gt;0,ROUND((#REF!-TIME(0,0,0))*1440,0)&lt;tbl_Case_mins[[#This Row],[Surgery Finish]],tbl_Case_mins[[#This Row],[Surgery End Date]]&gt;tbl_Case_mins[[#This Row],[Surgery Start Date]]),ROUND((#REF!-TIME(0,0,0))*1440,0)+1440,ROUND((#REF!-TIME(0,0,0))*1440,0))</f>
        <v>#REF!</v>
      </c>
      <c r="U186" s="9" t="e">
        <f>IF(AND(ROUND((#REF!-TIME(0,0,0))*1440,0)&gt;0,ROUND((#REF!-TIME(0,0,0))*1440,0)&lt;tbl_Case_mins[[#This Row],[Anaesth End]],tbl_Case_mins[[#This Row],[Surgery End Date]]&gt;tbl_Case_mins[[#This Row],[Surgery Start Date]]),ROUND((#REF!-TIME(0,0,0))*1440,0)+1440,ROUND((#REF!-TIME(0,0,0))*1440,0))</f>
        <v>#REF!</v>
      </c>
      <c r="V186" s="9" t="e">
        <f>IF(AND(ROUND((#REF!-TIME(0,0,0))*1440,0)&gt;0,ROUND((#REF!-TIME(0,0,0))*1440,0)&lt;tbl_Case_mins[[#This Row],[Into Recov]],tbl_Case_mins[[#This Row],[Surgery End Date]]&gt;tbl_Case_mins[[#This Row],[Surgery Start Date]]),ROUND((#REF!-TIME(0,0,0))*1440,0)+1440,ROUND((#REF!-TIME(0,0,0))*1440,0))</f>
        <v>#REF!</v>
      </c>
      <c r="W186" s="9" t="e">
        <f>IF(AND(ROUND((#REF!-TIME(0,0,0))*1440,0)&gt;0,ROUND((#REF!-TIME(0,0,0))*1440,0)&lt;tbl_Case_mins[[#This Row],[Ward Called]],tbl_Case_mins[[#This Row],[Surgery End Date]]&gt;tbl_Case_mins[[#This Row],[Surgery Start Date]]),ROUND((#REF!-TIME(0,0,0))*1440,0)+1440,ROUND((#REF!-TIME(0,0,0))*1440,0))</f>
        <v>#REF!</v>
      </c>
      <c r="X186" s="4" t="e">
        <f>IF(ISBLANK(#REF!),tbl_Case_mins[[#This Row],[Surgery Start Date]],#REF!)</f>
        <v>#REF!</v>
      </c>
      <c r="Y186">
        <f>IFERROR(IF(VLOOKUP(tbl_Case_mins[[#This Row],[Theatre]],'Mng Theatres'!$C$7:$G$12,3,FALSE)="Yes","Yes","No"),0)</f>
        <v>0</v>
      </c>
      <c r="Z186" s="9" t="e" cm="1">
        <f t="array" ref="Z18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6" s="9" t="e" cm="1">
        <f t="array" ref="AA18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6" s="9" t="e">
        <f>IF(tbl_Case_mins[[#This Row],[Case Type]]="Unsch",1,0)</f>
        <v>#REF!</v>
      </c>
      <c r="AD186" s="9" t="e">
        <f>IF(tbl_Case_mins[[#This Row],[Case Type]]="Sch",1,0)</f>
        <v>#REF!</v>
      </c>
      <c r="AE18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6" s="9">
        <f>IFERROR(IF(ISBLANK(INDEX(Am_Close,MATCH(1,INDEX((tbl_Case_mins[[#This Row],[Theatre]]=Theatre_No)*(tbl_Case_mins[[#This Row],[Surgery Start Date]]=Date),0,1),0))*1440),0,INDEX(Am_Close,MATCH(1,INDEX((tbl_Case_mins[[#This Row],[Theatre]]=Theatre_No)*(tbl_Case_mins[[#This Row],[Surgery Start Date]]=Date),0,1),0))*1440),0)</f>
        <v>0</v>
      </c>
      <c r="AG186" s="9">
        <f>IFERROR(IF(ISBLANK(INDEX(PM_Open,MATCH(1,INDEX((tbl_Case_mins[[#This Row],[Theatre]]=Theatre_No)*(tbl_Case_mins[[#This Row],[Surgery Start Date]]=Date),0,1),0))*1440),0,INDEX(PM_Open,MATCH(1,INDEX((tbl_Case_mins[[#This Row],[Theatre]]=Theatre_No)*(tbl_Case_mins[[#This Row],[Surgery Start Date]]=Date),0,1),0))*1440),0)</f>
        <v>0</v>
      </c>
      <c r="AH18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6" s="9" t="e">
        <f>IF(tbl_Case_mins[[#This Row],[ThOpenAm]]=0,tbl_Case_mins[[#This Row],[ThOpenPM]],tbl_Case_mins[[#This Row],[ThOpenAm]])</f>
        <v>#REF!</v>
      </c>
      <c r="AJ186" s="9" t="e">
        <f>IF(tbl_Case_mins[[#This Row],[ThCloseAm]]&gt;0,IF(tbl_Case_mins[[#This Row],[ThOpenPM]]&gt;0,tbl_Case_mins[[#This Row],[ThClosePm]],tbl_Case_mins[[#This Row],[ThCloseAm]]),tbl_Case_mins[[#This Row],[ThClosePm]])</f>
        <v>#REF!</v>
      </c>
      <c r="AK186" s="9" t="e">
        <f>IF(tbl_Case_mins[[#This Row],[TOT]]&gt;0,1,0)</f>
        <v>#REF!</v>
      </c>
      <c r="AL18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6" s="9" t="e">
        <f>IF(AND(tbl_Case_mins[[#This Row],[Surgery Status]]&lt;&gt;2,tbl_Case_mins[[#This Row],[InCoreCase]]=0,tbl_Case_mins[[#This Row],[CancelledCase]]=0),1,0)</f>
        <v>#REF!</v>
      </c>
      <c r="AN186" s="9" t="e">
        <f>IF(tbl_Case_mins[[#This Row],[Surgery Status]]=1,1,0)</f>
        <v>#REF!</v>
      </c>
      <c r="AO18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6" s="9" t="e">
        <f>IF(AND(tbl_Case_mins[[#This Row],[NonCoreCase]]=1,tbl_Case_mins[[#This Row],[NoInCoreTime]]=0),1,0)</f>
        <v>#REF!</v>
      </c>
      <c r="AQ186" s="9" t="e">
        <f>IF(tbl_Case_mins[[#This Row],[Rank_AnaEnd]]&lt;tbl_Case_mins[[#This Row],[Rank_AnaSt]],1,0)</f>
        <v>#REF!</v>
      </c>
      <c r="AR186" s="9" t="e">
        <f>IF(AND(tbl_Case_mins[[#This Row],[InCoreCase]]=1,tbl_Case_mins[[#This Row],[Sch]]=1),1,0)</f>
        <v>#REF!</v>
      </c>
      <c r="AS186" s="9" t="e">
        <f>IF(AND(tbl_Case_mins[[#This Row],[InCoreCase]]=1,tbl_Case_mins[[#This Row],[Unsch]]=1),1,0)</f>
        <v>#REF!</v>
      </c>
      <c r="AT18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6" s="9" t="e">
        <f>IF(tbl_Case_mins[[#This Row],[Surgery Status]]=0,(tbl_Case_mins[[#This Row],[Anaesth End]]-tbl_Case_mins[[#This Row],[AnaesthStart]]),0)</f>
        <v>#REF!</v>
      </c>
      <c r="AX186" s="9" t="e">
        <f>IF(tbl_Case_mins[[#This Row],[Surgery Status]]=0,(tbl_Case_mins[[#This Row],[Surgery Finish]]-tbl_Case_mins[[#This Row],[Surgery Start]]),0)</f>
        <v>#REF!</v>
      </c>
      <c r="AY186" s="9" t="e">
        <f>tbl_Case_mins[[#This Row],[Surgery Start]]-tbl_Case_mins[[#This Row],[AnaesthStart]]</f>
        <v>#REF!</v>
      </c>
      <c r="AZ186" s="9" t="e">
        <f>tbl_Case_mins[[#This Row],[Anaesth End]]-tbl_Case_mins[[#This Row],[Surgery Finish]]</f>
        <v>#REF!</v>
      </c>
      <c r="BA18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6" s="16" cm="1">
        <f t="array" ref="BC18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6" s="16" t="e">
        <f>IF(AND(tbl_Case_mins[[#This Row],[FirstAMCase]]=1,tbl_Case_mins[[#This Row],[CancelledCase]]=0,OR(tbl_Case_mins[[#This Row],[EarlyStartAM]]&gt;0,tbl_Case_mins[[#This Row],[AnaesthStart]]=tbl_Case_mins[[#This Row],[ThOpenAm]])),1,0)</f>
        <v>#REF!</v>
      </c>
      <c r="BE186" s="16" t="e">
        <f>IF(AND(tbl_Case_mins[[#This Row],[Rank_AnaSt]]=tbl_Case_mins[[#This Row],[Min_RankAnaSt]],tbl_Case_mins[[#This Row],[Anaesth End]]&gt;=tbl_Case_mins[[#This Row],[ThOpenAm]],tbl_Case_mins[[#This Row],[PmCase]]=0),1,0)</f>
        <v>#REF!</v>
      </c>
      <c r="BF18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6" s="9" t="e" cm="1">
        <f t="array" ref="BH18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6" s="9" t="e">
        <f>IF(AND(tbl_Case_mins[[#This Row],[ThOpenPM]]&gt;0,tbl_Case_mins[[#This Row],[AnaesthStart]]&gt;tbl_Case_mins[[#This Row],[ThOpenPM]],tbl_Case_mins[[#This Row],[First PM Case]]=1),tbl_Case_mins[[#This Row],[AnaesthStart]]-tbl_Case_mins[[#This Row],[ThOpenPM]],0)</f>
        <v>#REF!</v>
      </c>
      <c r="BL18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6" s="9" t="e" cm="1">
        <f t="array" ref="BN18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6" s="9" t="e">
        <f>IF(AND(tbl_Case_mins[[#This Row],[ThClosePm]]&gt;0,tbl_Case_mins[[#This Row],[Anaesth End]]&gt;tbl_Case_mins[[#This Row],[ThClosePm]],tbl_Case_mins[[#This Row],[AnaesthStart]]&gt;tbl_Case_mins[[#This Row],[ThClosePm]]),tbl_Case_mins[[#This Row],[Into Recov]]-tbl_Case_mins[[#This Row],[AnaesthStart]],0)</f>
        <v>#REF!</v>
      </c>
      <c r="BP186" s="9" t="e">
        <f>IF(AND(tbl_Case_mins[[#This Row],[AnaesthStart]]&lt;tbl_Case_mins[[#This Row],[ThClosePm]],tbl_Case_mins[[#This Row],[Anaesth End]]&gt;tbl_Case_mins[[#This Row],[ThClosePm]]),tbl_Case_mins[[#This Row],[Anaesth End]]-tbl_Case_mins[[#This Row],[ThClosePm]],0)</f>
        <v>#REF!</v>
      </c>
      <c r="BQ186" s="9" t="e" cm="1">
        <f t="array" ref="BQ18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6" s="9" t="e" cm="1">
        <f t="array" ref="BR186">IF(tbl_Case_mins[[#This Row],[Rank_Adjust]]=SUMPRODUCT(-(tbl_Case_mins[Surgery Start Date]=tbl_Case_mins[[#This Row],[Surgery Start Date]]),-(tbl_Case_mins[Theatre]=tbl_Case_mins[[#This Row],[Theatre]])),INDEX(Poss_Time,MATCH(TEXT(tbl_Case_mins[[#This Row],[Surgery Start Date]],"ddd"),Day,0)),0)</f>
        <v>#REF!</v>
      </c>
      <c r="BS186" s="9" t="e">
        <f>tbl_Case_mins[[#This Row],[Core_Time]]*Util_Goal</f>
        <v>#REF!</v>
      </c>
      <c r="BT186" s="9" t="e" cm="1">
        <f t="array" ref="BT1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6" s="9" t="e" cm="1">
        <f t="array" ref="BU1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6" s="9" t="e">
        <f>IF(tbl_Case_mins[[#This Row],[Surgery End Date]]&gt;tbl_Case_mins[[#This Row],[Surgery Start Date]],tbl_Case_mins[[#This Row],[Anaesth End]]-1440,0)</f>
        <v>#REF!</v>
      </c>
      <c r="BY186" s="9" t="e">
        <f>tbl_Case_mins[[#This Row],[Total_NonCore]]-tbl_Case_mins[[#This Row],[NextDay_NonCore]]</f>
        <v>#REF!</v>
      </c>
      <c r="BZ186" s="10" t="e">
        <f>tbl_Case_mins[[#This Row],[InCoreUse]]/60</f>
        <v>#REF!</v>
      </c>
      <c r="CA186" s="10" t="e">
        <f>tbl_Case_mins[[#This Row],[Total_NonCore]]/60</f>
        <v>#REF!</v>
      </c>
      <c r="CB186" t="e" cm="1">
        <f t="array" ref="CB1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6" s="9" t="e" cm="1">
        <f t="array" ref="CC18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6" s="9" t="e" cm="1">
        <f t="array" ref="CD1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6" s="9" t="e" cm="1">
        <f t="array" ref="CE18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6" s="9" cm="1">
        <f t="array" ref="CF186">IFERROR(_xlfn.AGGREGATE(14,6,(tbl_Case_mins[Rank_AnaEnd])/((tbl_Case_mins[Surgery Start Date]=tbl_Case_mins[[#This Row],[Surgery Start Date]])*(tbl_Case_mins[Theatre]=tbl_Case_mins[[#This Row],[Theatre]])*(tbl_Case_mins[NoInCoreTime]=0)),1),-1)</f>
        <v>-1</v>
      </c>
      <c r="CG186" s="9" cm="1">
        <f t="array" ref="CG186">IFERROR(_xlfn.AGGREGATE(15,6,(tbl_Case_mins[Rank_AnaSt])/((tbl_Case_mins[Surgery Start Date]=tbl_Case_mins[[#This Row],[Surgery Start Date]])*(tbl_Case_mins[Theatre]=tbl_Case_mins[[#This Row],[Theatre]])*(tbl_Case_mins[NoInCoreTime]=0)),1),-1)</f>
        <v>-1</v>
      </c>
      <c r="CH18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6" t="e" cm="1">
        <f t="array" ref="CJ18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6" s="9" cm="1">
        <f t="array" ref="CO1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6" s="9" cm="1">
        <f t="array" ref="CP1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6" s="9" cm="1">
        <f t="array" ref="CQ186">IFERROR(IF(AND(tbl_Case_mins[[#This Row],[FirstAMCase]]=0,tbl_Case_mins[[#This Row],[Rank]]=_xlfn.AGGREGATE(14,6,(tbl_Case_mins[Rank])/((tbl_Case_mins[Surgery Start Date]=tbl_Case_mins[[#This Row],[Surgery Start Date]])*(tbl_Case_mins[Theatre]=tbl_Case_mins[[#This Row],[Theatre]])*(tbl_Case_mins[AmCase]=1)),1)),1,0),0)</f>
        <v>0</v>
      </c>
      <c r="CR186" s="9" cm="1">
        <f t="array" ref="CR18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6" s="9" t="e" cm="1">
        <f t="array" ref="CS18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6" s="9" cm="1">
        <f t="array" ref="CT186">IFERROR(IF(tbl_Case_mins[[#This Row],[Rank]]=_xlfn.AGGREGATE(15,6,(tbl_Case_mins[Rank])/((tbl_Case_mins[Surgery Start Date]=tbl_Case_mins[[#This Row],[Surgery Start Date]])*(tbl_Case_mins[Theatre]=tbl_Case_mins[[#This Row],[Theatre]])*(tbl_Case_mins[PmCase]=1)),1),1,0),0)</f>
        <v>0</v>
      </c>
      <c r="CU186">
        <f>IFERROR(#REF!,0)</f>
        <v>0</v>
      </c>
      <c r="CV186" s="9" t="e" cm="1">
        <f t="array" ref="CV18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6" s="9">
        <f>IFERROR(IF(ISBLANK(INDEX(Bay_AmClose,MATCH(1,INDEX((tbl_Case_mins[[#This Row],[Bay]]=BayNo)*(tbl_Case_mins[[#This Row],[Surgery Start Date]]=BDate),0,1),0))*1440),0,INDEX(Bay_AmClose,MATCH(1,INDEX((tbl_Case_mins[[#This Row],[Bay]]=BayNo)*(tbl_Case_mins[[#This Row],[Surgery Start Date]]=BDate),0,1),0))*1440),0)</f>
        <v>0</v>
      </c>
      <c r="CX186" s="9" cm="1">
        <f t="array" ref="CX186">IFERROR(IF(ISBLANK(INDEX(Bay_PmOpen,MATCH(1,INDEX((tbl_Case_mins[[#This Row],[Bay]]=BayNo)*(tbl_Case_mins[[#This Row],[Surgery Start Date]]=BDate),0,1),0))*1440),0,INDEX(Bay_PmOpen,MATCH(1,INDEX((tbl_Case_mins[[#This Row],[Bay]]=BayNo)*(tbl_Case_mins[[#This Row],[Surgery Start Date]]=BDate),0,1),0))*1440),0)</f>
        <v>0</v>
      </c>
      <c r="CY18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6" s="9"/>
    </row>
    <row r="187" spans="1:104" x14ac:dyDescent="0.2">
      <c r="A187">
        <v>186</v>
      </c>
      <c r="B187" t="e">
        <f>#REF!</f>
        <v>#REF!</v>
      </c>
      <c r="C187" t="e">
        <f>#REF!</f>
        <v>#REF!</v>
      </c>
      <c r="D187" t="e">
        <f>#REF!</f>
        <v>#REF!</v>
      </c>
      <c r="E187" t="e">
        <f>#REF!</f>
        <v>#REF!</v>
      </c>
      <c r="F187" t="e">
        <f>#REF!</f>
        <v>#REF!</v>
      </c>
      <c r="G187" t="e">
        <f>#REF!</f>
        <v>#REF!</v>
      </c>
      <c r="H187" t="e">
        <f>#REF!</f>
        <v>#REF!</v>
      </c>
      <c r="I187" t="e">
        <f>IF(#REF!="Case Cancelled",1,IF(#REF!="No Cases",2,0))</f>
        <v>#REF!</v>
      </c>
      <c r="J187" t="e">
        <f>#REF!</f>
        <v>#REF!</v>
      </c>
      <c r="K187" s="4" t="e">
        <f>#REF!</f>
        <v>#REF!</v>
      </c>
      <c r="L187" t="e">
        <f>"Wk "&amp;WEEKNUM(tbl_Case_mins[[#This Row],[Surgery Start Date]],21)</f>
        <v>#REF!</v>
      </c>
      <c r="M187" t="e">
        <f>TEXT(tbl_Case_mins[[#This Row],[Surgery Start Date]],"ddd")</f>
        <v>#REF!</v>
      </c>
      <c r="N187" s="9" t="e">
        <f>(#REF!-TIME(0,0,0))*1440</f>
        <v>#REF!</v>
      </c>
      <c r="O187" t="e">
        <f>IF(AND(ROUND((#REF!-TIME(0,0,0))*1440,0)&gt;0,ROUND((#REF!-TIME(0,0,0))*1440,0)&lt;tbl_Case_mins[[#This Row],[Patient Called]],tbl_Case_mins[[#This Row],[Surgery End Date]]&gt;tbl_Case_mins[[#This Row],[Surgery Start Date]]),ROUND((#REF!-TIME(0,0,0))*1440,0)+1440,ROUND((#REF!-TIME(0,0,0))*1440,0))</f>
        <v>#REF!</v>
      </c>
      <c r="P187" s="9" t="e">
        <f>IF(AND(ROUND((#REF!-TIME(0,0,0))*1440,0)&gt;0,ROUND((#REF!-TIME(0,0,0))*1440,0)&lt;tbl_Case_mins[[#This Row],[Arrival]],tbl_Case_mins[[#This Row],[Surgery End Date]]&gt;tbl_Case_mins[[#This Row],[Surgery Start Date]]),ROUND((#REF!-TIME(0,0,0))*1440,0)+1440,ROUND((#REF!-TIME(0,0,0))*1440,0))</f>
        <v>#REF!</v>
      </c>
      <c r="Q187" s="9" t="e">
        <f>IF(AND(ROUND((#REF!-TIME(0,0,0))*1440,0)&gt;0,ROUND((#REF!-TIME(0,0,0))*1440,0)&lt;tbl_Case_mins[[#This Row],[Into Th or AR]],tbl_Case_mins[[#This Row],[Surgery End Date]]&gt;tbl_Case_mins[[#This Row],[Surgery Start Date]]),ROUND((#REF!-TIME(0,0,0))*1440,0)+1440,ROUND((#REF!-TIME(0,0,0))*1440,0))</f>
        <v>#REF!</v>
      </c>
      <c r="R187" s="9" t="e">
        <f>IF(AND(ROUND((#REF!-TIME(0,0,0))*1440,0)&gt;0,ROUND((#REF!-TIME(0,0,0))*1440,0)&lt;tbl_Case_mins[[#This Row],[AnaesthStart]],tbl_Case_mins[[#This Row],[Surgery End Date]]&gt;tbl_Case_mins[[#This Row],[Surgery Start Date]]),ROUND((#REF!-TIME(0,0,0))*1440,0)+1440,ROUND((#REF!-TIME(0,0,0))*1440,0))</f>
        <v>#REF!</v>
      </c>
      <c r="S187" s="9" t="e">
        <f>IF(AND(ROUND((#REF!-TIME(0,0,0))*1440,0),ROUND((#REF!-TIME(0,0,0))*1440,0)&lt;tbl_Case_mins[[#This Row],[Surgery Start]],tbl_Case_mins[[#This Row],[Surgery End Date]]&gt;tbl_Case_mins[[#This Row],[Surgery Start Date]]),ROUND((#REF!-TIME(0,0,0))*1440,0)+1440,ROUND((#REF!-TIME(0,0,0))*1440,0))</f>
        <v>#REF!</v>
      </c>
      <c r="T187" s="9" t="e">
        <f>IF(AND(ROUND((#REF!-TIME(0,0,0))*1440,0)&gt;0,ROUND((#REF!-TIME(0,0,0))*1440,0)&lt;tbl_Case_mins[[#This Row],[Surgery Finish]],tbl_Case_mins[[#This Row],[Surgery End Date]]&gt;tbl_Case_mins[[#This Row],[Surgery Start Date]]),ROUND((#REF!-TIME(0,0,0))*1440,0)+1440,ROUND((#REF!-TIME(0,0,0))*1440,0))</f>
        <v>#REF!</v>
      </c>
      <c r="U187" s="9" t="e">
        <f>IF(AND(ROUND((#REF!-TIME(0,0,0))*1440,0)&gt;0,ROUND((#REF!-TIME(0,0,0))*1440,0)&lt;tbl_Case_mins[[#This Row],[Anaesth End]],tbl_Case_mins[[#This Row],[Surgery End Date]]&gt;tbl_Case_mins[[#This Row],[Surgery Start Date]]),ROUND((#REF!-TIME(0,0,0))*1440,0)+1440,ROUND((#REF!-TIME(0,0,0))*1440,0))</f>
        <v>#REF!</v>
      </c>
      <c r="V187" s="9" t="e">
        <f>IF(AND(ROUND((#REF!-TIME(0,0,0))*1440,0)&gt;0,ROUND((#REF!-TIME(0,0,0))*1440,0)&lt;tbl_Case_mins[[#This Row],[Into Recov]],tbl_Case_mins[[#This Row],[Surgery End Date]]&gt;tbl_Case_mins[[#This Row],[Surgery Start Date]]),ROUND((#REF!-TIME(0,0,0))*1440,0)+1440,ROUND((#REF!-TIME(0,0,0))*1440,0))</f>
        <v>#REF!</v>
      </c>
      <c r="W187" s="9" t="e">
        <f>IF(AND(ROUND((#REF!-TIME(0,0,0))*1440,0)&gt;0,ROUND((#REF!-TIME(0,0,0))*1440,0)&lt;tbl_Case_mins[[#This Row],[Ward Called]],tbl_Case_mins[[#This Row],[Surgery End Date]]&gt;tbl_Case_mins[[#This Row],[Surgery Start Date]]),ROUND((#REF!-TIME(0,0,0))*1440,0)+1440,ROUND((#REF!-TIME(0,0,0))*1440,0))</f>
        <v>#REF!</v>
      </c>
      <c r="X187" s="4" t="e">
        <f>IF(ISBLANK(#REF!),tbl_Case_mins[[#This Row],[Surgery Start Date]],#REF!)</f>
        <v>#REF!</v>
      </c>
      <c r="Y187">
        <f>IFERROR(IF(VLOOKUP(tbl_Case_mins[[#This Row],[Theatre]],'Mng Theatres'!$C$7:$G$12,3,FALSE)="Yes","Yes","No"),0)</f>
        <v>0</v>
      </c>
      <c r="Z187" s="9" t="e" cm="1">
        <f t="array" ref="Z18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7" s="9" t="e" cm="1">
        <f t="array" ref="AA18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7" s="9" t="e">
        <f>IF(tbl_Case_mins[[#This Row],[Case Type]]="Unsch",1,0)</f>
        <v>#REF!</v>
      </c>
      <c r="AD187" s="9" t="e">
        <f>IF(tbl_Case_mins[[#This Row],[Case Type]]="Sch",1,0)</f>
        <v>#REF!</v>
      </c>
      <c r="AE18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7" s="9">
        <f>IFERROR(IF(ISBLANK(INDEX(Am_Close,MATCH(1,INDEX((tbl_Case_mins[[#This Row],[Theatre]]=Theatre_No)*(tbl_Case_mins[[#This Row],[Surgery Start Date]]=Date),0,1),0))*1440),0,INDEX(Am_Close,MATCH(1,INDEX((tbl_Case_mins[[#This Row],[Theatre]]=Theatre_No)*(tbl_Case_mins[[#This Row],[Surgery Start Date]]=Date),0,1),0))*1440),0)</f>
        <v>0</v>
      </c>
      <c r="AG187" s="9">
        <f>IFERROR(IF(ISBLANK(INDEX(PM_Open,MATCH(1,INDEX((tbl_Case_mins[[#This Row],[Theatre]]=Theatre_No)*(tbl_Case_mins[[#This Row],[Surgery Start Date]]=Date),0,1),0))*1440),0,INDEX(PM_Open,MATCH(1,INDEX((tbl_Case_mins[[#This Row],[Theatre]]=Theatre_No)*(tbl_Case_mins[[#This Row],[Surgery Start Date]]=Date),0,1),0))*1440),0)</f>
        <v>0</v>
      </c>
      <c r="AH18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7" s="9" t="e">
        <f>IF(tbl_Case_mins[[#This Row],[ThOpenAm]]=0,tbl_Case_mins[[#This Row],[ThOpenPM]],tbl_Case_mins[[#This Row],[ThOpenAm]])</f>
        <v>#REF!</v>
      </c>
      <c r="AJ187" s="9" t="e">
        <f>IF(tbl_Case_mins[[#This Row],[ThCloseAm]]&gt;0,IF(tbl_Case_mins[[#This Row],[ThOpenPM]]&gt;0,tbl_Case_mins[[#This Row],[ThClosePm]],tbl_Case_mins[[#This Row],[ThCloseAm]]),tbl_Case_mins[[#This Row],[ThClosePm]])</f>
        <v>#REF!</v>
      </c>
      <c r="AK187" s="9" t="e">
        <f>IF(tbl_Case_mins[[#This Row],[TOT]]&gt;0,1,0)</f>
        <v>#REF!</v>
      </c>
      <c r="AL18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7" s="9" t="e">
        <f>IF(AND(tbl_Case_mins[[#This Row],[Surgery Status]]&lt;&gt;2,tbl_Case_mins[[#This Row],[InCoreCase]]=0,tbl_Case_mins[[#This Row],[CancelledCase]]=0),1,0)</f>
        <v>#REF!</v>
      </c>
      <c r="AN187" s="9" t="e">
        <f>IF(tbl_Case_mins[[#This Row],[Surgery Status]]=1,1,0)</f>
        <v>#REF!</v>
      </c>
      <c r="AO18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7" s="9" t="e">
        <f>IF(AND(tbl_Case_mins[[#This Row],[NonCoreCase]]=1,tbl_Case_mins[[#This Row],[NoInCoreTime]]=0),1,0)</f>
        <v>#REF!</v>
      </c>
      <c r="AQ187" s="9" t="e">
        <f>IF(tbl_Case_mins[[#This Row],[Rank_AnaEnd]]&lt;tbl_Case_mins[[#This Row],[Rank_AnaSt]],1,0)</f>
        <v>#REF!</v>
      </c>
      <c r="AR187" s="9" t="e">
        <f>IF(AND(tbl_Case_mins[[#This Row],[InCoreCase]]=1,tbl_Case_mins[[#This Row],[Sch]]=1),1,0)</f>
        <v>#REF!</v>
      </c>
      <c r="AS187" s="9" t="e">
        <f>IF(AND(tbl_Case_mins[[#This Row],[InCoreCase]]=1,tbl_Case_mins[[#This Row],[Unsch]]=1),1,0)</f>
        <v>#REF!</v>
      </c>
      <c r="AT18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7" s="9" t="e">
        <f>IF(tbl_Case_mins[[#This Row],[Surgery Status]]=0,(tbl_Case_mins[[#This Row],[Anaesth End]]-tbl_Case_mins[[#This Row],[AnaesthStart]]),0)</f>
        <v>#REF!</v>
      </c>
      <c r="AX187" s="9" t="e">
        <f>IF(tbl_Case_mins[[#This Row],[Surgery Status]]=0,(tbl_Case_mins[[#This Row],[Surgery Finish]]-tbl_Case_mins[[#This Row],[Surgery Start]]),0)</f>
        <v>#REF!</v>
      </c>
      <c r="AY187" s="9" t="e">
        <f>tbl_Case_mins[[#This Row],[Surgery Start]]-tbl_Case_mins[[#This Row],[AnaesthStart]]</f>
        <v>#REF!</v>
      </c>
      <c r="AZ187" s="9" t="e">
        <f>tbl_Case_mins[[#This Row],[Anaesth End]]-tbl_Case_mins[[#This Row],[Surgery Finish]]</f>
        <v>#REF!</v>
      </c>
      <c r="BA18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7" s="16" cm="1">
        <f t="array" ref="BC18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7" s="16" t="e">
        <f>IF(AND(tbl_Case_mins[[#This Row],[FirstAMCase]]=1,tbl_Case_mins[[#This Row],[CancelledCase]]=0,OR(tbl_Case_mins[[#This Row],[EarlyStartAM]]&gt;0,tbl_Case_mins[[#This Row],[AnaesthStart]]=tbl_Case_mins[[#This Row],[ThOpenAm]])),1,0)</f>
        <v>#REF!</v>
      </c>
      <c r="BE187" s="16" t="e">
        <f>IF(AND(tbl_Case_mins[[#This Row],[Rank_AnaSt]]=tbl_Case_mins[[#This Row],[Min_RankAnaSt]],tbl_Case_mins[[#This Row],[Anaesth End]]&gt;=tbl_Case_mins[[#This Row],[ThOpenAm]],tbl_Case_mins[[#This Row],[PmCase]]=0),1,0)</f>
        <v>#REF!</v>
      </c>
      <c r="BF18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7" s="9" t="e" cm="1">
        <f t="array" ref="BH18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7" s="9" t="e">
        <f>IF(AND(tbl_Case_mins[[#This Row],[ThOpenPM]]&gt;0,tbl_Case_mins[[#This Row],[AnaesthStart]]&gt;tbl_Case_mins[[#This Row],[ThOpenPM]],tbl_Case_mins[[#This Row],[First PM Case]]=1),tbl_Case_mins[[#This Row],[AnaesthStart]]-tbl_Case_mins[[#This Row],[ThOpenPM]],0)</f>
        <v>#REF!</v>
      </c>
      <c r="BL18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7" s="9" t="e" cm="1">
        <f t="array" ref="BN18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7" s="9" t="e">
        <f>IF(AND(tbl_Case_mins[[#This Row],[ThClosePm]]&gt;0,tbl_Case_mins[[#This Row],[Anaesth End]]&gt;tbl_Case_mins[[#This Row],[ThClosePm]],tbl_Case_mins[[#This Row],[AnaesthStart]]&gt;tbl_Case_mins[[#This Row],[ThClosePm]]),tbl_Case_mins[[#This Row],[Into Recov]]-tbl_Case_mins[[#This Row],[AnaesthStart]],0)</f>
        <v>#REF!</v>
      </c>
      <c r="BP187" s="9" t="e">
        <f>IF(AND(tbl_Case_mins[[#This Row],[AnaesthStart]]&lt;tbl_Case_mins[[#This Row],[ThClosePm]],tbl_Case_mins[[#This Row],[Anaesth End]]&gt;tbl_Case_mins[[#This Row],[ThClosePm]]),tbl_Case_mins[[#This Row],[Anaesth End]]-tbl_Case_mins[[#This Row],[ThClosePm]],0)</f>
        <v>#REF!</v>
      </c>
      <c r="BQ187" s="9" t="e" cm="1">
        <f t="array" ref="BQ18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7" s="9" t="e" cm="1">
        <f t="array" ref="BR187">IF(tbl_Case_mins[[#This Row],[Rank_Adjust]]=SUMPRODUCT(-(tbl_Case_mins[Surgery Start Date]=tbl_Case_mins[[#This Row],[Surgery Start Date]]),-(tbl_Case_mins[Theatre]=tbl_Case_mins[[#This Row],[Theatre]])),INDEX(Poss_Time,MATCH(TEXT(tbl_Case_mins[[#This Row],[Surgery Start Date]],"ddd"),Day,0)),0)</f>
        <v>#REF!</v>
      </c>
      <c r="BS187" s="9" t="e">
        <f>tbl_Case_mins[[#This Row],[Core_Time]]*Util_Goal</f>
        <v>#REF!</v>
      </c>
      <c r="BT187" s="9" t="e" cm="1">
        <f t="array" ref="BT1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7" s="9" t="e" cm="1">
        <f t="array" ref="BU1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7" s="9" t="e">
        <f>IF(tbl_Case_mins[[#This Row],[Surgery End Date]]&gt;tbl_Case_mins[[#This Row],[Surgery Start Date]],tbl_Case_mins[[#This Row],[Anaesth End]]-1440,0)</f>
        <v>#REF!</v>
      </c>
      <c r="BY187" s="9" t="e">
        <f>tbl_Case_mins[[#This Row],[Total_NonCore]]-tbl_Case_mins[[#This Row],[NextDay_NonCore]]</f>
        <v>#REF!</v>
      </c>
      <c r="BZ187" s="10" t="e">
        <f>tbl_Case_mins[[#This Row],[InCoreUse]]/60</f>
        <v>#REF!</v>
      </c>
      <c r="CA187" s="10" t="e">
        <f>tbl_Case_mins[[#This Row],[Total_NonCore]]/60</f>
        <v>#REF!</v>
      </c>
      <c r="CB187" t="e" cm="1">
        <f t="array" ref="CB1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7" s="9" t="e" cm="1">
        <f t="array" ref="CC18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7" s="9" t="e" cm="1">
        <f t="array" ref="CD1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7" s="9" t="e" cm="1">
        <f t="array" ref="CE18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7" s="9" cm="1">
        <f t="array" ref="CF187">IFERROR(_xlfn.AGGREGATE(14,6,(tbl_Case_mins[Rank_AnaEnd])/((tbl_Case_mins[Surgery Start Date]=tbl_Case_mins[[#This Row],[Surgery Start Date]])*(tbl_Case_mins[Theatre]=tbl_Case_mins[[#This Row],[Theatre]])*(tbl_Case_mins[NoInCoreTime]=0)),1),-1)</f>
        <v>-1</v>
      </c>
      <c r="CG187" s="9" cm="1">
        <f t="array" ref="CG187">IFERROR(_xlfn.AGGREGATE(15,6,(tbl_Case_mins[Rank_AnaSt])/((tbl_Case_mins[Surgery Start Date]=tbl_Case_mins[[#This Row],[Surgery Start Date]])*(tbl_Case_mins[Theatre]=tbl_Case_mins[[#This Row],[Theatre]])*(tbl_Case_mins[NoInCoreTime]=0)),1),-1)</f>
        <v>-1</v>
      </c>
      <c r="CH18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7" t="e" cm="1">
        <f t="array" ref="CJ18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7" s="9" cm="1">
        <f t="array" ref="CO1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7" s="9" cm="1">
        <f t="array" ref="CP1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7" s="9" cm="1">
        <f t="array" ref="CQ187">IFERROR(IF(AND(tbl_Case_mins[[#This Row],[FirstAMCase]]=0,tbl_Case_mins[[#This Row],[Rank]]=_xlfn.AGGREGATE(14,6,(tbl_Case_mins[Rank])/((tbl_Case_mins[Surgery Start Date]=tbl_Case_mins[[#This Row],[Surgery Start Date]])*(tbl_Case_mins[Theatre]=tbl_Case_mins[[#This Row],[Theatre]])*(tbl_Case_mins[AmCase]=1)),1)),1,0),0)</f>
        <v>0</v>
      </c>
      <c r="CR187" s="9" cm="1">
        <f t="array" ref="CR18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7" s="9" t="e" cm="1">
        <f t="array" ref="CS18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7" s="9" cm="1">
        <f t="array" ref="CT187">IFERROR(IF(tbl_Case_mins[[#This Row],[Rank]]=_xlfn.AGGREGATE(15,6,(tbl_Case_mins[Rank])/((tbl_Case_mins[Surgery Start Date]=tbl_Case_mins[[#This Row],[Surgery Start Date]])*(tbl_Case_mins[Theatre]=tbl_Case_mins[[#This Row],[Theatre]])*(tbl_Case_mins[PmCase]=1)),1),1,0),0)</f>
        <v>0</v>
      </c>
      <c r="CU187">
        <f>IFERROR(#REF!,0)</f>
        <v>0</v>
      </c>
      <c r="CV187" s="9" t="e" cm="1">
        <f t="array" ref="CV18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7" s="9">
        <f>IFERROR(IF(ISBLANK(INDEX(Bay_AmClose,MATCH(1,INDEX((tbl_Case_mins[[#This Row],[Bay]]=BayNo)*(tbl_Case_mins[[#This Row],[Surgery Start Date]]=BDate),0,1),0))*1440),0,INDEX(Bay_AmClose,MATCH(1,INDEX((tbl_Case_mins[[#This Row],[Bay]]=BayNo)*(tbl_Case_mins[[#This Row],[Surgery Start Date]]=BDate),0,1),0))*1440),0)</f>
        <v>0</v>
      </c>
      <c r="CX187" s="9" cm="1">
        <f t="array" ref="CX187">IFERROR(IF(ISBLANK(INDEX(Bay_PmOpen,MATCH(1,INDEX((tbl_Case_mins[[#This Row],[Bay]]=BayNo)*(tbl_Case_mins[[#This Row],[Surgery Start Date]]=BDate),0,1),0))*1440),0,INDEX(Bay_PmOpen,MATCH(1,INDEX((tbl_Case_mins[[#This Row],[Bay]]=BayNo)*(tbl_Case_mins[[#This Row],[Surgery Start Date]]=BDate),0,1),0))*1440),0)</f>
        <v>0</v>
      </c>
      <c r="CY18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7" s="9"/>
    </row>
    <row r="188" spans="1:104" x14ac:dyDescent="0.2">
      <c r="A188">
        <v>187</v>
      </c>
      <c r="B188" t="e">
        <f>#REF!</f>
        <v>#REF!</v>
      </c>
      <c r="C188" t="e">
        <f>#REF!</f>
        <v>#REF!</v>
      </c>
      <c r="D188" t="e">
        <f>#REF!</f>
        <v>#REF!</v>
      </c>
      <c r="E188" t="e">
        <f>#REF!</f>
        <v>#REF!</v>
      </c>
      <c r="F188" t="e">
        <f>#REF!</f>
        <v>#REF!</v>
      </c>
      <c r="G188" t="e">
        <f>#REF!</f>
        <v>#REF!</v>
      </c>
      <c r="H188" t="e">
        <f>#REF!</f>
        <v>#REF!</v>
      </c>
      <c r="I188" t="e">
        <f>IF(#REF!="Case Cancelled",1,IF(#REF!="No Cases",2,0))</f>
        <v>#REF!</v>
      </c>
      <c r="J188" t="e">
        <f>#REF!</f>
        <v>#REF!</v>
      </c>
      <c r="K188" s="4" t="e">
        <f>#REF!</f>
        <v>#REF!</v>
      </c>
      <c r="L188" t="e">
        <f>"Wk "&amp;WEEKNUM(tbl_Case_mins[[#This Row],[Surgery Start Date]],21)</f>
        <v>#REF!</v>
      </c>
      <c r="M188" t="e">
        <f>TEXT(tbl_Case_mins[[#This Row],[Surgery Start Date]],"ddd")</f>
        <v>#REF!</v>
      </c>
      <c r="N188" s="9" t="e">
        <f>(#REF!-TIME(0,0,0))*1440</f>
        <v>#REF!</v>
      </c>
      <c r="O188" t="e">
        <f>IF(AND(ROUND((#REF!-TIME(0,0,0))*1440,0)&gt;0,ROUND((#REF!-TIME(0,0,0))*1440,0)&lt;tbl_Case_mins[[#This Row],[Patient Called]],tbl_Case_mins[[#This Row],[Surgery End Date]]&gt;tbl_Case_mins[[#This Row],[Surgery Start Date]]),ROUND((#REF!-TIME(0,0,0))*1440,0)+1440,ROUND((#REF!-TIME(0,0,0))*1440,0))</f>
        <v>#REF!</v>
      </c>
      <c r="P188" s="9" t="e">
        <f>IF(AND(ROUND((#REF!-TIME(0,0,0))*1440,0)&gt;0,ROUND((#REF!-TIME(0,0,0))*1440,0)&lt;tbl_Case_mins[[#This Row],[Arrival]],tbl_Case_mins[[#This Row],[Surgery End Date]]&gt;tbl_Case_mins[[#This Row],[Surgery Start Date]]),ROUND((#REF!-TIME(0,0,0))*1440,0)+1440,ROUND((#REF!-TIME(0,0,0))*1440,0))</f>
        <v>#REF!</v>
      </c>
      <c r="Q188" s="9" t="e">
        <f>IF(AND(ROUND((#REF!-TIME(0,0,0))*1440,0)&gt;0,ROUND((#REF!-TIME(0,0,0))*1440,0)&lt;tbl_Case_mins[[#This Row],[Into Th or AR]],tbl_Case_mins[[#This Row],[Surgery End Date]]&gt;tbl_Case_mins[[#This Row],[Surgery Start Date]]),ROUND((#REF!-TIME(0,0,0))*1440,0)+1440,ROUND((#REF!-TIME(0,0,0))*1440,0))</f>
        <v>#REF!</v>
      </c>
      <c r="R188" s="9" t="e">
        <f>IF(AND(ROUND((#REF!-TIME(0,0,0))*1440,0)&gt;0,ROUND((#REF!-TIME(0,0,0))*1440,0)&lt;tbl_Case_mins[[#This Row],[AnaesthStart]],tbl_Case_mins[[#This Row],[Surgery End Date]]&gt;tbl_Case_mins[[#This Row],[Surgery Start Date]]),ROUND((#REF!-TIME(0,0,0))*1440,0)+1440,ROUND((#REF!-TIME(0,0,0))*1440,0))</f>
        <v>#REF!</v>
      </c>
      <c r="S188" s="9" t="e">
        <f>IF(AND(ROUND((#REF!-TIME(0,0,0))*1440,0),ROUND((#REF!-TIME(0,0,0))*1440,0)&lt;tbl_Case_mins[[#This Row],[Surgery Start]],tbl_Case_mins[[#This Row],[Surgery End Date]]&gt;tbl_Case_mins[[#This Row],[Surgery Start Date]]),ROUND((#REF!-TIME(0,0,0))*1440,0)+1440,ROUND((#REF!-TIME(0,0,0))*1440,0))</f>
        <v>#REF!</v>
      </c>
      <c r="T188" s="9" t="e">
        <f>IF(AND(ROUND((#REF!-TIME(0,0,0))*1440,0)&gt;0,ROUND((#REF!-TIME(0,0,0))*1440,0)&lt;tbl_Case_mins[[#This Row],[Surgery Finish]],tbl_Case_mins[[#This Row],[Surgery End Date]]&gt;tbl_Case_mins[[#This Row],[Surgery Start Date]]),ROUND((#REF!-TIME(0,0,0))*1440,0)+1440,ROUND((#REF!-TIME(0,0,0))*1440,0))</f>
        <v>#REF!</v>
      </c>
      <c r="U188" s="9" t="e">
        <f>IF(AND(ROUND((#REF!-TIME(0,0,0))*1440,0)&gt;0,ROUND((#REF!-TIME(0,0,0))*1440,0)&lt;tbl_Case_mins[[#This Row],[Anaesth End]],tbl_Case_mins[[#This Row],[Surgery End Date]]&gt;tbl_Case_mins[[#This Row],[Surgery Start Date]]),ROUND((#REF!-TIME(0,0,0))*1440,0)+1440,ROUND((#REF!-TIME(0,0,0))*1440,0))</f>
        <v>#REF!</v>
      </c>
      <c r="V188" s="9" t="e">
        <f>IF(AND(ROUND((#REF!-TIME(0,0,0))*1440,0)&gt;0,ROUND((#REF!-TIME(0,0,0))*1440,0)&lt;tbl_Case_mins[[#This Row],[Into Recov]],tbl_Case_mins[[#This Row],[Surgery End Date]]&gt;tbl_Case_mins[[#This Row],[Surgery Start Date]]),ROUND((#REF!-TIME(0,0,0))*1440,0)+1440,ROUND((#REF!-TIME(0,0,0))*1440,0))</f>
        <v>#REF!</v>
      </c>
      <c r="W188" s="9" t="e">
        <f>IF(AND(ROUND((#REF!-TIME(0,0,0))*1440,0)&gt;0,ROUND((#REF!-TIME(0,0,0))*1440,0)&lt;tbl_Case_mins[[#This Row],[Ward Called]],tbl_Case_mins[[#This Row],[Surgery End Date]]&gt;tbl_Case_mins[[#This Row],[Surgery Start Date]]),ROUND((#REF!-TIME(0,0,0))*1440,0)+1440,ROUND((#REF!-TIME(0,0,0))*1440,0))</f>
        <v>#REF!</v>
      </c>
      <c r="X188" s="4" t="e">
        <f>IF(ISBLANK(#REF!),tbl_Case_mins[[#This Row],[Surgery Start Date]],#REF!)</f>
        <v>#REF!</v>
      </c>
      <c r="Y188">
        <f>IFERROR(IF(VLOOKUP(tbl_Case_mins[[#This Row],[Theatre]],'Mng Theatres'!$C$7:$G$12,3,FALSE)="Yes","Yes","No"),0)</f>
        <v>0</v>
      </c>
      <c r="Z188" s="9" t="e" cm="1">
        <f t="array" ref="Z18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8" s="9" t="e" cm="1">
        <f t="array" ref="AA18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8" s="9" t="e">
        <f>IF(tbl_Case_mins[[#This Row],[Case Type]]="Unsch",1,0)</f>
        <v>#REF!</v>
      </c>
      <c r="AD188" s="9" t="e">
        <f>IF(tbl_Case_mins[[#This Row],[Case Type]]="Sch",1,0)</f>
        <v>#REF!</v>
      </c>
      <c r="AE18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8" s="9">
        <f>IFERROR(IF(ISBLANK(INDEX(Am_Close,MATCH(1,INDEX((tbl_Case_mins[[#This Row],[Theatre]]=Theatre_No)*(tbl_Case_mins[[#This Row],[Surgery Start Date]]=Date),0,1),0))*1440),0,INDEX(Am_Close,MATCH(1,INDEX((tbl_Case_mins[[#This Row],[Theatre]]=Theatre_No)*(tbl_Case_mins[[#This Row],[Surgery Start Date]]=Date),0,1),0))*1440),0)</f>
        <v>0</v>
      </c>
      <c r="AG188" s="9">
        <f>IFERROR(IF(ISBLANK(INDEX(PM_Open,MATCH(1,INDEX((tbl_Case_mins[[#This Row],[Theatre]]=Theatre_No)*(tbl_Case_mins[[#This Row],[Surgery Start Date]]=Date),0,1),0))*1440),0,INDEX(PM_Open,MATCH(1,INDEX((tbl_Case_mins[[#This Row],[Theatre]]=Theatre_No)*(tbl_Case_mins[[#This Row],[Surgery Start Date]]=Date),0,1),0))*1440),0)</f>
        <v>0</v>
      </c>
      <c r="AH18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8" s="9" t="e">
        <f>IF(tbl_Case_mins[[#This Row],[ThOpenAm]]=0,tbl_Case_mins[[#This Row],[ThOpenPM]],tbl_Case_mins[[#This Row],[ThOpenAm]])</f>
        <v>#REF!</v>
      </c>
      <c r="AJ188" s="9" t="e">
        <f>IF(tbl_Case_mins[[#This Row],[ThCloseAm]]&gt;0,IF(tbl_Case_mins[[#This Row],[ThOpenPM]]&gt;0,tbl_Case_mins[[#This Row],[ThClosePm]],tbl_Case_mins[[#This Row],[ThCloseAm]]),tbl_Case_mins[[#This Row],[ThClosePm]])</f>
        <v>#REF!</v>
      </c>
      <c r="AK188" s="9" t="e">
        <f>IF(tbl_Case_mins[[#This Row],[TOT]]&gt;0,1,0)</f>
        <v>#REF!</v>
      </c>
      <c r="AL18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8" s="9" t="e">
        <f>IF(AND(tbl_Case_mins[[#This Row],[Surgery Status]]&lt;&gt;2,tbl_Case_mins[[#This Row],[InCoreCase]]=0,tbl_Case_mins[[#This Row],[CancelledCase]]=0),1,0)</f>
        <v>#REF!</v>
      </c>
      <c r="AN188" s="9" t="e">
        <f>IF(tbl_Case_mins[[#This Row],[Surgery Status]]=1,1,0)</f>
        <v>#REF!</v>
      </c>
      <c r="AO18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8" s="9" t="e">
        <f>IF(AND(tbl_Case_mins[[#This Row],[NonCoreCase]]=1,tbl_Case_mins[[#This Row],[NoInCoreTime]]=0),1,0)</f>
        <v>#REF!</v>
      </c>
      <c r="AQ188" s="9" t="e">
        <f>IF(tbl_Case_mins[[#This Row],[Rank_AnaEnd]]&lt;tbl_Case_mins[[#This Row],[Rank_AnaSt]],1,0)</f>
        <v>#REF!</v>
      </c>
      <c r="AR188" s="9" t="e">
        <f>IF(AND(tbl_Case_mins[[#This Row],[InCoreCase]]=1,tbl_Case_mins[[#This Row],[Sch]]=1),1,0)</f>
        <v>#REF!</v>
      </c>
      <c r="AS188" s="9" t="e">
        <f>IF(AND(tbl_Case_mins[[#This Row],[InCoreCase]]=1,tbl_Case_mins[[#This Row],[Unsch]]=1),1,0)</f>
        <v>#REF!</v>
      </c>
      <c r="AT18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8" s="9" t="e">
        <f>IF(tbl_Case_mins[[#This Row],[Surgery Status]]=0,(tbl_Case_mins[[#This Row],[Anaesth End]]-tbl_Case_mins[[#This Row],[AnaesthStart]]),0)</f>
        <v>#REF!</v>
      </c>
      <c r="AX188" s="9" t="e">
        <f>IF(tbl_Case_mins[[#This Row],[Surgery Status]]=0,(tbl_Case_mins[[#This Row],[Surgery Finish]]-tbl_Case_mins[[#This Row],[Surgery Start]]),0)</f>
        <v>#REF!</v>
      </c>
      <c r="AY188" s="9" t="e">
        <f>tbl_Case_mins[[#This Row],[Surgery Start]]-tbl_Case_mins[[#This Row],[AnaesthStart]]</f>
        <v>#REF!</v>
      </c>
      <c r="AZ188" s="9" t="e">
        <f>tbl_Case_mins[[#This Row],[Anaesth End]]-tbl_Case_mins[[#This Row],[Surgery Finish]]</f>
        <v>#REF!</v>
      </c>
      <c r="BA18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8" s="16" cm="1">
        <f t="array" ref="BC18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8" s="16" t="e">
        <f>IF(AND(tbl_Case_mins[[#This Row],[FirstAMCase]]=1,tbl_Case_mins[[#This Row],[CancelledCase]]=0,OR(tbl_Case_mins[[#This Row],[EarlyStartAM]]&gt;0,tbl_Case_mins[[#This Row],[AnaesthStart]]=tbl_Case_mins[[#This Row],[ThOpenAm]])),1,0)</f>
        <v>#REF!</v>
      </c>
      <c r="BE188" s="16" t="e">
        <f>IF(AND(tbl_Case_mins[[#This Row],[Rank_AnaSt]]=tbl_Case_mins[[#This Row],[Min_RankAnaSt]],tbl_Case_mins[[#This Row],[Anaesth End]]&gt;=tbl_Case_mins[[#This Row],[ThOpenAm]],tbl_Case_mins[[#This Row],[PmCase]]=0),1,0)</f>
        <v>#REF!</v>
      </c>
      <c r="BF18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8" s="9" t="e" cm="1">
        <f t="array" ref="BH18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8" s="9" t="e">
        <f>IF(AND(tbl_Case_mins[[#This Row],[ThOpenPM]]&gt;0,tbl_Case_mins[[#This Row],[AnaesthStart]]&gt;tbl_Case_mins[[#This Row],[ThOpenPM]],tbl_Case_mins[[#This Row],[First PM Case]]=1),tbl_Case_mins[[#This Row],[AnaesthStart]]-tbl_Case_mins[[#This Row],[ThOpenPM]],0)</f>
        <v>#REF!</v>
      </c>
      <c r="BL18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8" s="9" t="e" cm="1">
        <f t="array" ref="BN18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8" s="9" t="e">
        <f>IF(AND(tbl_Case_mins[[#This Row],[ThClosePm]]&gt;0,tbl_Case_mins[[#This Row],[Anaesth End]]&gt;tbl_Case_mins[[#This Row],[ThClosePm]],tbl_Case_mins[[#This Row],[AnaesthStart]]&gt;tbl_Case_mins[[#This Row],[ThClosePm]]),tbl_Case_mins[[#This Row],[Into Recov]]-tbl_Case_mins[[#This Row],[AnaesthStart]],0)</f>
        <v>#REF!</v>
      </c>
      <c r="BP188" s="9" t="e">
        <f>IF(AND(tbl_Case_mins[[#This Row],[AnaesthStart]]&lt;tbl_Case_mins[[#This Row],[ThClosePm]],tbl_Case_mins[[#This Row],[Anaesth End]]&gt;tbl_Case_mins[[#This Row],[ThClosePm]]),tbl_Case_mins[[#This Row],[Anaesth End]]-tbl_Case_mins[[#This Row],[ThClosePm]],0)</f>
        <v>#REF!</v>
      </c>
      <c r="BQ188" s="9" t="e" cm="1">
        <f t="array" ref="BQ18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8" s="9" t="e" cm="1">
        <f t="array" ref="BR188">IF(tbl_Case_mins[[#This Row],[Rank_Adjust]]=SUMPRODUCT(-(tbl_Case_mins[Surgery Start Date]=tbl_Case_mins[[#This Row],[Surgery Start Date]]),-(tbl_Case_mins[Theatre]=tbl_Case_mins[[#This Row],[Theatre]])),INDEX(Poss_Time,MATCH(TEXT(tbl_Case_mins[[#This Row],[Surgery Start Date]],"ddd"),Day,0)),0)</f>
        <v>#REF!</v>
      </c>
      <c r="BS188" s="9" t="e">
        <f>tbl_Case_mins[[#This Row],[Core_Time]]*Util_Goal</f>
        <v>#REF!</v>
      </c>
      <c r="BT188" s="9" t="e" cm="1">
        <f t="array" ref="BT1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8" s="9" t="e" cm="1">
        <f t="array" ref="BU1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8" s="9" t="e">
        <f>IF(tbl_Case_mins[[#This Row],[Surgery End Date]]&gt;tbl_Case_mins[[#This Row],[Surgery Start Date]],tbl_Case_mins[[#This Row],[Anaesth End]]-1440,0)</f>
        <v>#REF!</v>
      </c>
      <c r="BY188" s="9" t="e">
        <f>tbl_Case_mins[[#This Row],[Total_NonCore]]-tbl_Case_mins[[#This Row],[NextDay_NonCore]]</f>
        <v>#REF!</v>
      </c>
      <c r="BZ188" s="10" t="e">
        <f>tbl_Case_mins[[#This Row],[InCoreUse]]/60</f>
        <v>#REF!</v>
      </c>
      <c r="CA188" s="10" t="e">
        <f>tbl_Case_mins[[#This Row],[Total_NonCore]]/60</f>
        <v>#REF!</v>
      </c>
      <c r="CB188" t="e" cm="1">
        <f t="array" ref="CB1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8" s="9" t="e" cm="1">
        <f t="array" ref="CC18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8" s="9" t="e" cm="1">
        <f t="array" ref="CD1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8" s="9" t="e" cm="1">
        <f t="array" ref="CE18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8" s="9" cm="1">
        <f t="array" ref="CF188">IFERROR(_xlfn.AGGREGATE(14,6,(tbl_Case_mins[Rank_AnaEnd])/((tbl_Case_mins[Surgery Start Date]=tbl_Case_mins[[#This Row],[Surgery Start Date]])*(tbl_Case_mins[Theatre]=tbl_Case_mins[[#This Row],[Theatre]])*(tbl_Case_mins[NoInCoreTime]=0)),1),-1)</f>
        <v>-1</v>
      </c>
      <c r="CG188" s="9" cm="1">
        <f t="array" ref="CG188">IFERROR(_xlfn.AGGREGATE(15,6,(tbl_Case_mins[Rank_AnaSt])/((tbl_Case_mins[Surgery Start Date]=tbl_Case_mins[[#This Row],[Surgery Start Date]])*(tbl_Case_mins[Theatre]=tbl_Case_mins[[#This Row],[Theatre]])*(tbl_Case_mins[NoInCoreTime]=0)),1),-1)</f>
        <v>-1</v>
      </c>
      <c r="CH18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8" t="e" cm="1">
        <f t="array" ref="CJ18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8" s="9" cm="1">
        <f t="array" ref="CO1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8" s="9" cm="1">
        <f t="array" ref="CP1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8" s="9" cm="1">
        <f t="array" ref="CQ188">IFERROR(IF(AND(tbl_Case_mins[[#This Row],[FirstAMCase]]=0,tbl_Case_mins[[#This Row],[Rank]]=_xlfn.AGGREGATE(14,6,(tbl_Case_mins[Rank])/((tbl_Case_mins[Surgery Start Date]=tbl_Case_mins[[#This Row],[Surgery Start Date]])*(tbl_Case_mins[Theatre]=tbl_Case_mins[[#This Row],[Theatre]])*(tbl_Case_mins[AmCase]=1)),1)),1,0),0)</f>
        <v>0</v>
      </c>
      <c r="CR188" s="9" cm="1">
        <f t="array" ref="CR18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8" s="9" t="e" cm="1">
        <f t="array" ref="CS18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8" s="9" cm="1">
        <f t="array" ref="CT188">IFERROR(IF(tbl_Case_mins[[#This Row],[Rank]]=_xlfn.AGGREGATE(15,6,(tbl_Case_mins[Rank])/((tbl_Case_mins[Surgery Start Date]=tbl_Case_mins[[#This Row],[Surgery Start Date]])*(tbl_Case_mins[Theatre]=tbl_Case_mins[[#This Row],[Theatre]])*(tbl_Case_mins[PmCase]=1)),1),1,0),0)</f>
        <v>0</v>
      </c>
      <c r="CU188">
        <f>IFERROR(#REF!,0)</f>
        <v>0</v>
      </c>
      <c r="CV188" s="9" t="e" cm="1">
        <f t="array" ref="CV18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8" s="9">
        <f>IFERROR(IF(ISBLANK(INDEX(Bay_AmClose,MATCH(1,INDEX((tbl_Case_mins[[#This Row],[Bay]]=BayNo)*(tbl_Case_mins[[#This Row],[Surgery Start Date]]=BDate),0,1),0))*1440),0,INDEX(Bay_AmClose,MATCH(1,INDEX((tbl_Case_mins[[#This Row],[Bay]]=BayNo)*(tbl_Case_mins[[#This Row],[Surgery Start Date]]=BDate),0,1),0))*1440),0)</f>
        <v>0</v>
      </c>
      <c r="CX188" s="9" cm="1">
        <f t="array" ref="CX188">IFERROR(IF(ISBLANK(INDEX(Bay_PmOpen,MATCH(1,INDEX((tbl_Case_mins[[#This Row],[Bay]]=BayNo)*(tbl_Case_mins[[#This Row],[Surgery Start Date]]=BDate),0,1),0))*1440),0,INDEX(Bay_PmOpen,MATCH(1,INDEX((tbl_Case_mins[[#This Row],[Bay]]=BayNo)*(tbl_Case_mins[[#This Row],[Surgery Start Date]]=BDate),0,1),0))*1440),0)</f>
        <v>0</v>
      </c>
      <c r="CY18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8" s="9"/>
    </row>
    <row r="189" spans="1:104" x14ac:dyDescent="0.2">
      <c r="A189">
        <v>188</v>
      </c>
      <c r="B189" t="e">
        <f>#REF!</f>
        <v>#REF!</v>
      </c>
      <c r="C189" t="e">
        <f>#REF!</f>
        <v>#REF!</v>
      </c>
      <c r="D189" t="e">
        <f>#REF!</f>
        <v>#REF!</v>
      </c>
      <c r="E189" t="e">
        <f>#REF!</f>
        <v>#REF!</v>
      </c>
      <c r="F189" t="e">
        <f>#REF!</f>
        <v>#REF!</v>
      </c>
      <c r="G189" t="e">
        <f>#REF!</f>
        <v>#REF!</v>
      </c>
      <c r="H189" t="e">
        <f>#REF!</f>
        <v>#REF!</v>
      </c>
      <c r="I189" t="e">
        <f>IF(#REF!="Case Cancelled",1,IF(#REF!="No Cases",2,0))</f>
        <v>#REF!</v>
      </c>
      <c r="J189" t="e">
        <f>#REF!</f>
        <v>#REF!</v>
      </c>
      <c r="K189" s="4" t="e">
        <f>#REF!</f>
        <v>#REF!</v>
      </c>
      <c r="L189" t="e">
        <f>"Wk "&amp;WEEKNUM(tbl_Case_mins[[#This Row],[Surgery Start Date]],21)</f>
        <v>#REF!</v>
      </c>
      <c r="M189" t="e">
        <f>TEXT(tbl_Case_mins[[#This Row],[Surgery Start Date]],"ddd")</f>
        <v>#REF!</v>
      </c>
      <c r="N189" s="9" t="e">
        <f>(#REF!-TIME(0,0,0))*1440</f>
        <v>#REF!</v>
      </c>
      <c r="O189" t="e">
        <f>IF(AND(ROUND((#REF!-TIME(0,0,0))*1440,0)&gt;0,ROUND((#REF!-TIME(0,0,0))*1440,0)&lt;tbl_Case_mins[[#This Row],[Patient Called]],tbl_Case_mins[[#This Row],[Surgery End Date]]&gt;tbl_Case_mins[[#This Row],[Surgery Start Date]]),ROUND((#REF!-TIME(0,0,0))*1440,0)+1440,ROUND((#REF!-TIME(0,0,0))*1440,0))</f>
        <v>#REF!</v>
      </c>
      <c r="P189" s="9" t="e">
        <f>IF(AND(ROUND((#REF!-TIME(0,0,0))*1440,0)&gt;0,ROUND((#REF!-TIME(0,0,0))*1440,0)&lt;tbl_Case_mins[[#This Row],[Arrival]],tbl_Case_mins[[#This Row],[Surgery End Date]]&gt;tbl_Case_mins[[#This Row],[Surgery Start Date]]),ROUND((#REF!-TIME(0,0,0))*1440,0)+1440,ROUND((#REF!-TIME(0,0,0))*1440,0))</f>
        <v>#REF!</v>
      </c>
      <c r="Q189" s="9" t="e">
        <f>IF(AND(ROUND((#REF!-TIME(0,0,0))*1440,0)&gt;0,ROUND((#REF!-TIME(0,0,0))*1440,0)&lt;tbl_Case_mins[[#This Row],[Into Th or AR]],tbl_Case_mins[[#This Row],[Surgery End Date]]&gt;tbl_Case_mins[[#This Row],[Surgery Start Date]]),ROUND((#REF!-TIME(0,0,0))*1440,0)+1440,ROUND((#REF!-TIME(0,0,0))*1440,0))</f>
        <v>#REF!</v>
      </c>
      <c r="R189" s="9" t="e">
        <f>IF(AND(ROUND((#REF!-TIME(0,0,0))*1440,0)&gt;0,ROUND((#REF!-TIME(0,0,0))*1440,0)&lt;tbl_Case_mins[[#This Row],[AnaesthStart]],tbl_Case_mins[[#This Row],[Surgery End Date]]&gt;tbl_Case_mins[[#This Row],[Surgery Start Date]]),ROUND((#REF!-TIME(0,0,0))*1440,0)+1440,ROUND((#REF!-TIME(0,0,0))*1440,0))</f>
        <v>#REF!</v>
      </c>
      <c r="S189" s="9" t="e">
        <f>IF(AND(ROUND((#REF!-TIME(0,0,0))*1440,0),ROUND((#REF!-TIME(0,0,0))*1440,0)&lt;tbl_Case_mins[[#This Row],[Surgery Start]],tbl_Case_mins[[#This Row],[Surgery End Date]]&gt;tbl_Case_mins[[#This Row],[Surgery Start Date]]),ROUND((#REF!-TIME(0,0,0))*1440,0)+1440,ROUND((#REF!-TIME(0,0,0))*1440,0))</f>
        <v>#REF!</v>
      </c>
      <c r="T189" s="9" t="e">
        <f>IF(AND(ROUND((#REF!-TIME(0,0,0))*1440,0)&gt;0,ROUND((#REF!-TIME(0,0,0))*1440,0)&lt;tbl_Case_mins[[#This Row],[Surgery Finish]],tbl_Case_mins[[#This Row],[Surgery End Date]]&gt;tbl_Case_mins[[#This Row],[Surgery Start Date]]),ROUND((#REF!-TIME(0,0,0))*1440,0)+1440,ROUND((#REF!-TIME(0,0,0))*1440,0))</f>
        <v>#REF!</v>
      </c>
      <c r="U189" s="9" t="e">
        <f>IF(AND(ROUND((#REF!-TIME(0,0,0))*1440,0)&gt;0,ROUND((#REF!-TIME(0,0,0))*1440,0)&lt;tbl_Case_mins[[#This Row],[Anaesth End]],tbl_Case_mins[[#This Row],[Surgery End Date]]&gt;tbl_Case_mins[[#This Row],[Surgery Start Date]]),ROUND((#REF!-TIME(0,0,0))*1440,0)+1440,ROUND((#REF!-TIME(0,0,0))*1440,0))</f>
        <v>#REF!</v>
      </c>
      <c r="V189" s="9" t="e">
        <f>IF(AND(ROUND((#REF!-TIME(0,0,0))*1440,0)&gt;0,ROUND((#REF!-TIME(0,0,0))*1440,0)&lt;tbl_Case_mins[[#This Row],[Into Recov]],tbl_Case_mins[[#This Row],[Surgery End Date]]&gt;tbl_Case_mins[[#This Row],[Surgery Start Date]]),ROUND((#REF!-TIME(0,0,0))*1440,0)+1440,ROUND((#REF!-TIME(0,0,0))*1440,0))</f>
        <v>#REF!</v>
      </c>
      <c r="W189" s="9" t="e">
        <f>IF(AND(ROUND((#REF!-TIME(0,0,0))*1440,0)&gt;0,ROUND((#REF!-TIME(0,0,0))*1440,0)&lt;tbl_Case_mins[[#This Row],[Ward Called]],tbl_Case_mins[[#This Row],[Surgery End Date]]&gt;tbl_Case_mins[[#This Row],[Surgery Start Date]]),ROUND((#REF!-TIME(0,0,0))*1440,0)+1440,ROUND((#REF!-TIME(0,0,0))*1440,0))</f>
        <v>#REF!</v>
      </c>
      <c r="X189" s="4" t="e">
        <f>IF(ISBLANK(#REF!),tbl_Case_mins[[#This Row],[Surgery Start Date]],#REF!)</f>
        <v>#REF!</v>
      </c>
      <c r="Y189">
        <f>IFERROR(IF(VLOOKUP(tbl_Case_mins[[#This Row],[Theatre]],'Mng Theatres'!$C$7:$G$12,3,FALSE)="Yes","Yes","No"),0)</f>
        <v>0</v>
      </c>
      <c r="Z189" s="9" t="e" cm="1">
        <f t="array" ref="Z18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89" s="9" t="e" cm="1">
        <f t="array" ref="AA18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8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89" s="9" t="e">
        <f>IF(tbl_Case_mins[[#This Row],[Case Type]]="Unsch",1,0)</f>
        <v>#REF!</v>
      </c>
      <c r="AD189" s="9" t="e">
        <f>IF(tbl_Case_mins[[#This Row],[Case Type]]="Sch",1,0)</f>
        <v>#REF!</v>
      </c>
      <c r="AE18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89" s="9">
        <f>IFERROR(IF(ISBLANK(INDEX(Am_Close,MATCH(1,INDEX((tbl_Case_mins[[#This Row],[Theatre]]=Theatre_No)*(tbl_Case_mins[[#This Row],[Surgery Start Date]]=Date),0,1),0))*1440),0,INDEX(Am_Close,MATCH(1,INDEX((tbl_Case_mins[[#This Row],[Theatre]]=Theatre_No)*(tbl_Case_mins[[#This Row],[Surgery Start Date]]=Date),0,1),0))*1440),0)</f>
        <v>0</v>
      </c>
      <c r="AG189" s="9">
        <f>IFERROR(IF(ISBLANK(INDEX(PM_Open,MATCH(1,INDEX((tbl_Case_mins[[#This Row],[Theatre]]=Theatre_No)*(tbl_Case_mins[[#This Row],[Surgery Start Date]]=Date),0,1),0))*1440),0,INDEX(PM_Open,MATCH(1,INDEX((tbl_Case_mins[[#This Row],[Theatre]]=Theatre_No)*(tbl_Case_mins[[#This Row],[Surgery Start Date]]=Date),0,1),0))*1440),0)</f>
        <v>0</v>
      </c>
      <c r="AH18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89" s="9" t="e">
        <f>IF(tbl_Case_mins[[#This Row],[ThOpenAm]]=0,tbl_Case_mins[[#This Row],[ThOpenPM]],tbl_Case_mins[[#This Row],[ThOpenAm]])</f>
        <v>#REF!</v>
      </c>
      <c r="AJ189" s="9" t="e">
        <f>IF(tbl_Case_mins[[#This Row],[ThCloseAm]]&gt;0,IF(tbl_Case_mins[[#This Row],[ThOpenPM]]&gt;0,tbl_Case_mins[[#This Row],[ThClosePm]],tbl_Case_mins[[#This Row],[ThCloseAm]]),tbl_Case_mins[[#This Row],[ThClosePm]])</f>
        <v>#REF!</v>
      </c>
      <c r="AK189" s="9" t="e">
        <f>IF(tbl_Case_mins[[#This Row],[TOT]]&gt;0,1,0)</f>
        <v>#REF!</v>
      </c>
      <c r="AL18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89" s="9" t="e">
        <f>IF(AND(tbl_Case_mins[[#This Row],[Surgery Status]]&lt;&gt;2,tbl_Case_mins[[#This Row],[InCoreCase]]=0,tbl_Case_mins[[#This Row],[CancelledCase]]=0),1,0)</f>
        <v>#REF!</v>
      </c>
      <c r="AN189" s="9" t="e">
        <f>IF(tbl_Case_mins[[#This Row],[Surgery Status]]=1,1,0)</f>
        <v>#REF!</v>
      </c>
      <c r="AO18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89" s="9" t="e">
        <f>IF(AND(tbl_Case_mins[[#This Row],[NonCoreCase]]=1,tbl_Case_mins[[#This Row],[NoInCoreTime]]=0),1,0)</f>
        <v>#REF!</v>
      </c>
      <c r="AQ189" s="9" t="e">
        <f>IF(tbl_Case_mins[[#This Row],[Rank_AnaEnd]]&lt;tbl_Case_mins[[#This Row],[Rank_AnaSt]],1,0)</f>
        <v>#REF!</v>
      </c>
      <c r="AR189" s="9" t="e">
        <f>IF(AND(tbl_Case_mins[[#This Row],[InCoreCase]]=1,tbl_Case_mins[[#This Row],[Sch]]=1),1,0)</f>
        <v>#REF!</v>
      </c>
      <c r="AS189" s="9" t="e">
        <f>IF(AND(tbl_Case_mins[[#This Row],[InCoreCase]]=1,tbl_Case_mins[[#This Row],[Unsch]]=1),1,0)</f>
        <v>#REF!</v>
      </c>
      <c r="AT18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8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8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89" s="9" t="e">
        <f>IF(tbl_Case_mins[[#This Row],[Surgery Status]]=0,(tbl_Case_mins[[#This Row],[Anaesth End]]-tbl_Case_mins[[#This Row],[AnaesthStart]]),0)</f>
        <v>#REF!</v>
      </c>
      <c r="AX189" s="9" t="e">
        <f>IF(tbl_Case_mins[[#This Row],[Surgery Status]]=0,(tbl_Case_mins[[#This Row],[Surgery Finish]]-tbl_Case_mins[[#This Row],[Surgery Start]]),0)</f>
        <v>#REF!</v>
      </c>
      <c r="AY189" s="9" t="e">
        <f>tbl_Case_mins[[#This Row],[Surgery Start]]-tbl_Case_mins[[#This Row],[AnaesthStart]]</f>
        <v>#REF!</v>
      </c>
      <c r="AZ189" s="9" t="e">
        <f>tbl_Case_mins[[#This Row],[Anaesth End]]-tbl_Case_mins[[#This Row],[Surgery Finish]]</f>
        <v>#REF!</v>
      </c>
      <c r="BA18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8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89" s="16" cm="1">
        <f t="array" ref="BC18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89" s="16" t="e">
        <f>IF(AND(tbl_Case_mins[[#This Row],[FirstAMCase]]=1,tbl_Case_mins[[#This Row],[CancelledCase]]=0,OR(tbl_Case_mins[[#This Row],[EarlyStartAM]]&gt;0,tbl_Case_mins[[#This Row],[AnaesthStart]]=tbl_Case_mins[[#This Row],[ThOpenAm]])),1,0)</f>
        <v>#REF!</v>
      </c>
      <c r="BE189" s="16" t="e">
        <f>IF(AND(tbl_Case_mins[[#This Row],[Rank_AnaSt]]=tbl_Case_mins[[#This Row],[Min_RankAnaSt]],tbl_Case_mins[[#This Row],[Anaesth End]]&gt;=tbl_Case_mins[[#This Row],[ThOpenAm]],tbl_Case_mins[[#This Row],[PmCase]]=0),1,0)</f>
        <v>#REF!</v>
      </c>
      <c r="BF18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8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89" s="9" t="e" cm="1">
        <f t="array" ref="BH18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8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8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89" s="9" t="e">
        <f>IF(AND(tbl_Case_mins[[#This Row],[ThOpenPM]]&gt;0,tbl_Case_mins[[#This Row],[AnaesthStart]]&gt;tbl_Case_mins[[#This Row],[ThOpenPM]],tbl_Case_mins[[#This Row],[First PM Case]]=1),tbl_Case_mins[[#This Row],[AnaesthStart]]-tbl_Case_mins[[#This Row],[ThOpenPM]],0)</f>
        <v>#REF!</v>
      </c>
      <c r="BL18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8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89" s="9" t="e" cm="1">
        <f t="array" ref="BN18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89" s="9" t="e">
        <f>IF(AND(tbl_Case_mins[[#This Row],[ThClosePm]]&gt;0,tbl_Case_mins[[#This Row],[Anaesth End]]&gt;tbl_Case_mins[[#This Row],[ThClosePm]],tbl_Case_mins[[#This Row],[AnaesthStart]]&gt;tbl_Case_mins[[#This Row],[ThClosePm]]),tbl_Case_mins[[#This Row],[Into Recov]]-tbl_Case_mins[[#This Row],[AnaesthStart]],0)</f>
        <v>#REF!</v>
      </c>
      <c r="BP189" s="9" t="e">
        <f>IF(AND(tbl_Case_mins[[#This Row],[AnaesthStart]]&lt;tbl_Case_mins[[#This Row],[ThClosePm]],tbl_Case_mins[[#This Row],[Anaesth End]]&gt;tbl_Case_mins[[#This Row],[ThClosePm]]),tbl_Case_mins[[#This Row],[Anaesth End]]-tbl_Case_mins[[#This Row],[ThClosePm]],0)</f>
        <v>#REF!</v>
      </c>
      <c r="BQ189" s="9" t="e" cm="1">
        <f t="array" ref="BQ18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89" s="9" t="e" cm="1">
        <f t="array" ref="BR189">IF(tbl_Case_mins[[#This Row],[Rank_Adjust]]=SUMPRODUCT(-(tbl_Case_mins[Surgery Start Date]=tbl_Case_mins[[#This Row],[Surgery Start Date]]),-(tbl_Case_mins[Theatre]=tbl_Case_mins[[#This Row],[Theatre]])),INDEX(Poss_Time,MATCH(TEXT(tbl_Case_mins[[#This Row],[Surgery Start Date]],"ddd"),Day,0)),0)</f>
        <v>#REF!</v>
      </c>
      <c r="BS189" s="9" t="e">
        <f>tbl_Case_mins[[#This Row],[Core_Time]]*Util_Goal</f>
        <v>#REF!</v>
      </c>
      <c r="BT189" s="9" t="e" cm="1">
        <f t="array" ref="BT1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89" s="9" t="e" cm="1">
        <f t="array" ref="BU1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8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8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89" s="9" t="e">
        <f>IF(tbl_Case_mins[[#This Row],[Surgery End Date]]&gt;tbl_Case_mins[[#This Row],[Surgery Start Date]],tbl_Case_mins[[#This Row],[Anaesth End]]-1440,0)</f>
        <v>#REF!</v>
      </c>
      <c r="BY189" s="9" t="e">
        <f>tbl_Case_mins[[#This Row],[Total_NonCore]]-tbl_Case_mins[[#This Row],[NextDay_NonCore]]</f>
        <v>#REF!</v>
      </c>
      <c r="BZ189" s="10" t="e">
        <f>tbl_Case_mins[[#This Row],[InCoreUse]]/60</f>
        <v>#REF!</v>
      </c>
      <c r="CA189" s="10" t="e">
        <f>tbl_Case_mins[[#This Row],[Total_NonCore]]/60</f>
        <v>#REF!</v>
      </c>
      <c r="CB189" t="e" cm="1">
        <f t="array" ref="CB1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89" s="9" t="e" cm="1">
        <f t="array" ref="CC18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89" s="9" t="e" cm="1">
        <f t="array" ref="CD1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89" s="9" t="e" cm="1">
        <f t="array" ref="CE18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89" s="9" cm="1">
        <f t="array" ref="CF189">IFERROR(_xlfn.AGGREGATE(14,6,(tbl_Case_mins[Rank_AnaEnd])/((tbl_Case_mins[Surgery Start Date]=tbl_Case_mins[[#This Row],[Surgery Start Date]])*(tbl_Case_mins[Theatre]=tbl_Case_mins[[#This Row],[Theatre]])*(tbl_Case_mins[NoInCoreTime]=0)),1),-1)</f>
        <v>-1</v>
      </c>
      <c r="CG189" s="9" cm="1">
        <f t="array" ref="CG189">IFERROR(_xlfn.AGGREGATE(15,6,(tbl_Case_mins[Rank_AnaSt])/((tbl_Case_mins[Surgery Start Date]=tbl_Case_mins[[#This Row],[Surgery Start Date]])*(tbl_Case_mins[Theatre]=tbl_Case_mins[[#This Row],[Theatre]])*(tbl_Case_mins[NoInCoreTime]=0)),1),-1)</f>
        <v>-1</v>
      </c>
      <c r="CH18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8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89" t="e" cm="1">
        <f t="array" ref="CJ18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8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8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89" s="9" cm="1">
        <f t="array" ref="CO1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89" s="9" cm="1">
        <f t="array" ref="CP1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89" s="9" cm="1">
        <f t="array" ref="CQ189">IFERROR(IF(AND(tbl_Case_mins[[#This Row],[FirstAMCase]]=0,tbl_Case_mins[[#This Row],[Rank]]=_xlfn.AGGREGATE(14,6,(tbl_Case_mins[Rank])/((tbl_Case_mins[Surgery Start Date]=tbl_Case_mins[[#This Row],[Surgery Start Date]])*(tbl_Case_mins[Theatre]=tbl_Case_mins[[#This Row],[Theatre]])*(tbl_Case_mins[AmCase]=1)),1)),1,0),0)</f>
        <v>0</v>
      </c>
      <c r="CR189" s="9" cm="1">
        <f t="array" ref="CR18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89" s="9" t="e" cm="1">
        <f t="array" ref="CS18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89" s="9" cm="1">
        <f t="array" ref="CT189">IFERROR(IF(tbl_Case_mins[[#This Row],[Rank]]=_xlfn.AGGREGATE(15,6,(tbl_Case_mins[Rank])/((tbl_Case_mins[Surgery Start Date]=tbl_Case_mins[[#This Row],[Surgery Start Date]])*(tbl_Case_mins[Theatre]=tbl_Case_mins[[#This Row],[Theatre]])*(tbl_Case_mins[PmCase]=1)),1),1,0),0)</f>
        <v>0</v>
      </c>
      <c r="CU189">
        <f>IFERROR(#REF!,0)</f>
        <v>0</v>
      </c>
      <c r="CV189" s="9" t="e" cm="1">
        <f t="array" ref="CV18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89" s="9">
        <f>IFERROR(IF(ISBLANK(INDEX(Bay_AmClose,MATCH(1,INDEX((tbl_Case_mins[[#This Row],[Bay]]=BayNo)*(tbl_Case_mins[[#This Row],[Surgery Start Date]]=BDate),0,1),0))*1440),0,INDEX(Bay_AmClose,MATCH(1,INDEX((tbl_Case_mins[[#This Row],[Bay]]=BayNo)*(tbl_Case_mins[[#This Row],[Surgery Start Date]]=BDate),0,1),0))*1440),0)</f>
        <v>0</v>
      </c>
      <c r="CX189" s="9" cm="1">
        <f t="array" ref="CX189">IFERROR(IF(ISBLANK(INDEX(Bay_PmOpen,MATCH(1,INDEX((tbl_Case_mins[[#This Row],[Bay]]=BayNo)*(tbl_Case_mins[[#This Row],[Surgery Start Date]]=BDate),0,1),0))*1440),0,INDEX(Bay_PmOpen,MATCH(1,INDEX((tbl_Case_mins[[#This Row],[Bay]]=BayNo)*(tbl_Case_mins[[#This Row],[Surgery Start Date]]=BDate),0,1),0))*1440),0)</f>
        <v>0</v>
      </c>
      <c r="CY18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89" s="9"/>
    </row>
    <row r="190" spans="1:104" x14ac:dyDescent="0.2">
      <c r="A190">
        <v>189</v>
      </c>
      <c r="B190" t="e">
        <f>#REF!</f>
        <v>#REF!</v>
      </c>
      <c r="C190" t="e">
        <f>#REF!</f>
        <v>#REF!</v>
      </c>
      <c r="D190" t="e">
        <f>#REF!</f>
        <v>#REF!</v>
      </c>
      <c r="E190" t="e">
        <f>#REF!</f>
        <v>#REF!</v>
      </c>
      <c r="F190" t="e">
        <f>#REF!</f>
        <v>#REF!</v>
      </c>
      <c r="G190" t="e">
        <f>#REF!</f>
        <v>#REF!</v>
      </c>
      <c r="H190" t="e">
        <f>#REF!</f>
        <v>#REF!</v>
      </c>
      <c r="I190" t="e">
        <f>IF(#REF!="Case Cancelled",1,IF(#REF!="No Cases",2,0))</f>
        <v>#REF!</v>
      </c>
      <c r="J190" t="e">
        <f>#REF!</f>
        <v>#REF!</v>
      </c>
      <c r="K190" s="4" t="e">
        <f>#REF!</f>
        <v>#REF!</v>
      </c>
      <c r="L190" t="e">
        <f>"Wk "&amp;WEEKNUM(tbl_Case_mins[[#This Row],[Surgery Start Date]],21)</f>
        <v>#REF!</v>
      </c>
      <c r="M190" t="e">
        <f>TEXT(tbl_Case_mins[[#This Row],[Surgery Start Date]],"ddd")</f>
        <v>#REF!</v>
      </c>
      <c r="N190" s="9" t="e">
        <f>(#REF!-TIME(0,0,0))*1440</f>
        <v>#REF!</v>
      </c>
      <c r="O190" t="e">
        <f>IF(AND(ROUND((#REF!-TIME(0,0,0))*1440,0)&gt;0,ROUND((#REF!-TIME(0,0,0))*1440,0)&lt;tbl_Case_mins[[#This Row],[Patient Called]],tbl_Case_mins[[#This Row],[Surgery End Date]]&gt;tbl_Case_mins[[#This Row],[Surgery Start Date]]),ROUND((#REF!-TIME(0,0,0))*1440,0)+1440,ROUND((#REF!-TIME(0,0,0))*1440,0))</f>
        <v>#REF!</v>
      </c>
      <c r="P190" s="9" t="e">
        <f>IF(AND(ROUND((#REF!-TIME(0,0,0))*1440,0)&gt;0,ROUND((#REF!-TIME(0,0,0))*1440,0)&lt;tbl_Case_mins[[#This Row],[Arrival]],tbl_Case_mins[[#This Row],[Surgery End Date]]&gt;tbl_Case_mins[[#This Row],[Surgery Start Date]]),ROUND((#REF!-TIME(0,0,0))*1440,0)+1440,ROUND((#REF!-TIME(0,0,0))*1440,0))</f>
        <v>#REF!</v>
      </c>
      <c r="Q190" s="9" t="e">
        <f>IF(AND(ROUND((#REF!-TIME(0,0,0))*1440,0)&gt;0,ROUND((#REF!-TIME(0,0,0))*1440,0)&lt;tbl_Case_mins[[#This Row],[Into Th or AR]],tbl_Case_mins[[#This Row],[Surgery End Date]]&gt;tbl_Case_mins[[#This Row],[Surgery Start Date]]),ROUND((#REF!-TIME(0,0,0))*1440,0)+1440,ROUND((#REF!-TIME(0,0,0))*1440,0))</f>
        <v>#REF!</v>
      </c>
      <c r="R190" s="9" t="e">
        <f>IF(AND(ROUND((#REF!-TIME(0,0,0))*1440,0)&gt;0,ROUND((#REF!-TIME(0,0,0))*1440,0)&lt;tbl_Case_mins[[#This Row],[AnaesthStart]],tbl_Case_mins[[#This Row],[Surgery End Date]]&gt;tbl_Case_mins[[#This Row],[Surgery Start Date]]),ROUND((#REF!-TIME(0,0,0))*1440,0)+1440,ROUND((#REF!-TIME(0,0,0))*1440,0))</f>
        <v>#REF!</v>
      </c>
      <c r="S190" s="9" t="e">
        <f>IF(AND(ROUND((#REF!-TIME(0,0,0))*1440,0),ROUND((#REF!-TIME(0,0,0))*1440,0)&lt;tbl_Case_mins[[#This Row],[Surgery Start]],tbl_Case_mins[[#This Row],[Surgery End Date]]&gt;tbl_Case_mins[[#This Row],[Surgery Start Date]]),ROUND((#REF!-TIME(0,0,0))*1440,0)+1440,ROUND((#REF!-TIME(0,0,0))*1440,0))</f>
        <v>#REF!</v>
      </c>
      <c r="T190" s="9" t="e">
        <f>IF(AND(ROUND((#REF!-TIME(0,0,0))*1440,0)&gt;0,ROUND((#REF!-TIME(0,0,0))*1440,0)&lt;tbl_Case_mins[[#This Row],[Surgery Finish]],tbl_Case_mins[[#This Row],[Surgery End Date]]&gt;tbl_Case_mins[[#This Row],[Surgery Start Date]]),ROUND((#REF!-TIME(0,0,0))*1440,0)+1440,ROUND((#REF!-TIME(0,0,0))*1440,0))</f>
        <v>#REF!</v>
      </c>
      <c r="U190" s="9" t="e">
        <f>IF(AND(ROUND((#REF!-TIME(0,0,0))*1440,0)&gt;0,ROUND((#REF!-TIME(0,0,0))*1440,0)&lt;tbl_Case_mins[[#This Row],[Anaesth End]],tbl_Case_mins[[#This Row],[Surgery End Date]]&gt;tbl_Case_mins[[#This Row],[Surgery Start Date]]),ROUND((#REF!-TIME(0,0,0))*1440,0)+1440,ROUND((#REF!-TIME(0,0,0))*1440,0))</f>
        <v>#REF!</v>
      </c>
      <c r="V190" s="9" t="e">
        <f>IF(AND(ROUND((#REF!-TIME(0,0,0))*1440,0)&gt;0,ROUND((#REF!-TIME(0,0,0))*1440,0)&lt;tbl_Case_mins[[#This Row],[Into Recov]],tbl_Case_mins[[#This Row],[Surgery End Date]]&gt;tbl_Case_mins[[#This Row],[Surgery Start Date]]),ROUND((#REF!-TIME(0,0,0))*1440,0)+1440,ROUND((#REF!-TIME(0,0,0))*1440,0))</f>
        <v>#REF!</v>
      </c>
      <c r="W190" s="9" t="e">
        <f>IF(AND(ROUND((#REF!-TIME(0,0,0))*1440,0)&gt;0,ROUND((#REF!-TIME(0,0,0))*1440,0)&lt;tbl_Case_mins[[#This Row],[Ward Called]],tbl_Case_mins[[#This Row],[Surgery End Date]]&gt;tbl_Case_mins[[#This Row],[Surgery Start Date]]),ROUND((#REF!-TIME(0,0,0))*1440,0)+1440,ROUND((#REF!-TIME(0,0,0))*1440,0))</f>
        <v>#REF!</v>
      </c>
      <c r="X190" s="4" t="e">
        <f>IF(ISBLANK(#REF!),tbl_Case_mins[[#This Row],[Surgery Start Date]],#REF!)</f>
        <v>#REF!</v>
      </c>
      <c r="Y190">
        <f>IFERROR(IF(VLOOKUP(tbl_Case_mins[[#This Row],[Theatre]],'Mng Theatres'!$C$7:$G$12,3,FALSE)="Yes","Yes","No"),0)</f>
        <v>0</v>
      </c>
      <c r="Z190" s="9" t="e" cm="1">
        <f t="array" ref="Z19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0" s="9" t="e" cm="1">
        <f t="array" ref="AA19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0" s="9" t="e">
        <f>IF(tbl_Case_mins[[#This Row],[Case Type]]="Unsch",1,0)</f>
        <v>#REF!</v>
      </c>
      <c r="AD190" s="9" t="e">
        <f>IF(tbl_Case_mins[[#This Row],[Case Type]]="Sch",1,0)</f>
        <v>#REF!</v>
      </c>
      <c r="AE19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0" s="9">
        <f>IFERROR(IF(ISBLANK(INDEX(Am_Close,MATCH(1,INDEX((tbl_Case_mins[[#This Row],[Theatre]]=Theatre_No)*(tbl_Case_mins[[#This Row],[Surgery Start Date]]=Date),0,1),0))*1440),0,INDEX(Am_Close,MATCH(1,INDEX((tbl_Case_mins[[#This Row],[Theatre]]=Theatre_No)*(tbl_Case_mins[[#This Row],[Surgery Start Date]]=Date),0,1),0))*1440),0)</f>
        <v>0</v>
      </c>
      <c r="AG190" s="9">
        <f>IFERROR(IF(ISBLANK(INDEX(PM_Open,MATCH(1,INDEX((tbl_Case_mins[[#This Row],[Theatre]]=Theatre_No)*(tbl_Case_mins[[#This Row],[Surgery Start Date]]=Date),0,1),0))*1440),0,INDEX(PM_Open,MATCH(1,INDEX((tbl_Case_mins[[#This Row],[Theatre]]=Theatre_No)*(tbl_Case_mins[[#This Row],[Surgery Start Date]]=Date),0,1),0))*1440),0)</f>
        <v>0</v>
      </c>
      <c r="AH19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0" s="9" t="e">
        <f>IF(tbl_Case_mins[[#This Row],[ThOpenAm]]=0,tbl_Case_mins[[#This Row],[ThOpenPM]],tbl_Case_mins[[#This Row],[ThOpenAm]])</f>
        <v>#REF!</v>
      </c>
      <c r="AJ190" s="9" t="e">
        <f>IF(tbl_Case_mins[[#This Row],[ThCloseAm]]&gt;0,IF(tbl_Case_mins[[#This Row],[ThOpenPM]]&gt;0,tbl_Case_mins[[#This Row],[ThClosePm]],tbl_Case_mins[[#This Row],[ThCloseAm]]),tbl_Case_mins[[#This Row],[ThClosePm]])</f>
        <v>#REF!</v>
      </c>
      <c r="AK190" s="9" t="e">
        <f>IF(tbl_Case_mins[[#This Row],[TOT]]&gt;0,1,0)</f>
        <v>#REF!</v>
      </c>
      <c r="AL19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0" s="9" t="e">
        <f>IF(AND(tbl_Case_mins[[#This Row],[Surgery Status]]&lt;&gt;2,tbl_Case_mins[[#This Row],[InCoreCase]]=0,tbl_Case_mins[[#This Row],[CancelledCase]]=0),1,0)</f>
        <v>#REF!</v>
      </c>
      <c r="AN190" s="9" t="e">
        <f>IF(tbl_Case_mins[[#This Row],[Surgery Status]]=1,1,0)</f>
        <v>#REF!</v>
      </c>
      <c r="AO19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0" s="9" t="e">
        <f>IF(AND(tbl_Case_mins[[#This Row],[NonCoreCase]]=1,tbl_Case_mins[[#This Row],[NoInCoreTime]]=0),1,0)</f>
        <v>#REF!</v>
      </c>
      <c r="AQ190" s="9" t="e">
        <f>IF(tbl_Case_mins[[#This Row],[Rank_AnaEnd]]&lt;tbl_Case_mins[[#This Row],[Rank_AnaSt]],1,0)</f>
        <v>#REF!</v>
      </c>
      <c r="AR190" s="9" t="e">
        <f>IF(AND(tbl_Case_mins[[#This Row],[InCoreCase]]=1,tbl_Case_mins[[#This Row],[Sch]]=1),1,0)</f>
        <v>#REF!</v>
      </c>
      <c r="AS190" s="9" t="e">
        <f>IF(AND(tbl_Case_mins[[#This Row],[InCoreCase]]=1,tbl_Case_mins[[#This Row],[Unsch]]=1),1,0)</f>
        <v>#REF!</v>
      </c>
      <c r="AT19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0" s="9" t="e">
        <f>IF(tbl_Case_mins[[#This Row],[Surgery Status]]=0,(tbl_Case_mins[[#This Row],[Anaesth End]]-tbl_Case_mins[[#This Row],[AnaesthStart]]),0)</f>
        <v>#REF!</v>
      </c>
      <c r="AX190" s="9" t="e">
        <f>IF(tbl_Case_mins[[#This Row],[Surgery Status]]=0,(tbl_Case_mins[[#This Row],[Surgery Finish]]-tbl_Case_mins[[#This Row],[Surgery Start]]),0)</f>
        <v>#REF!</v>
      </c>
      <c r="AY190" s="9" t="e">
        <f>tbl_Case_mins[[#This Row],[Surgery Start]]-tbl_Case_mins[[#This Row],[AnaesthStart]]</f>
        <v>#REF!</v>
      </c>
      <c r="AZ190" s="9" t="e">
        <f>tbl_Case_mins[[#This Row],[Anaesth End]]-tbl_Case_mins[[#This Row],[Surgery Finish]]</f>
        <v>#REF!</v>
      </c>
      <c r="BA19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0" s="16" cm="1">
        <f t="array" ref="BC19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0" s="16" t="e">
        <f>IF(AND(tbl_Case_mins[[#This Row],[FirstAMCase]]=1,tbl_Case_mins[[#This Row],[CancelledCase]]=0,OR(tbl_Case_mins[[#This Row],[EarlyStartAM]]&gt;0,tbl_Case_mins[[#This Row],[AnaesthStart]]=tbl_Case_mins[[#This Row],[ThOpenAm]])),1,0)</f>
        <v>#REF!</v>
      </c>
      <c r="BE190" s="16" t="e">
        <f>IF(AND(tbl_Case_mins[[#This Row],[Rank_AnaSt]]=tbl_Case_mins[[#This Row],[Min_RankAnaSt]],tbl_Case_mins[[#This Row],[Anaesth End]]&gt;=tbl_Case_mins[[#This Row],[ThOpenAm]],tbl_Case_mins[[#This Row],[PmCase]]=0),1,0)</f>
        <v>#REF!</v>
      </c>
      <c r="BF19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0" s="9" t="e" cm="1">
        <f t="array" ref="BH19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0" s="9" t="e">
        <f>IF(AND(tbl_Case_mins[[#This Row],[ThOpenPM]]&gt;0,tbl_Case_mins[[#This Row],[AnaesthStart]]&gt;tbl_Case_mins[[#This Row],[ThOpenPM]],tbl_Case_mins[[#This Row],[First PM Case]]=1),tbl_Case_mins[[#This Row],[AnaesthStart]]-tbl_Case_mins[[#This Row],[ThOpenPM]],0)</f>
        <v>#REF!</v>
      </c>
      <c r="BL19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0" s="9" t="e" cm="1">
        <f t="array" ref="BN19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0" s="9" t="e">
        <f>IF(AND(tbl_Case_mins[[#This Row],[ThClosePm]]&gt;0,tbl_Case_mins[[#This Row],[Anaesth End]]&gt;tbl_Case_mins[[#This Row],[ThClosePm]],tbl_Case_mins[[#This Row],[AnaesthStart]]&gt;tbl_Case_mins[[#This Row],[ThClosePm]]),tbl_Case_mins[[#This Row],[Into Recov]]-tbl_Case_mins[[#This Row],[AnaesthStart]],0)</f>
        <v>#REF!</v>
      </c>
      <c r="BP190" s="9" t="e">
        <f>IF(AND(tbl_Case_mins[[#This Row],[AnaesthStart]]&lt;tbl_Case_mins[[#This Row],[ThClosePm]],tbl_Case_mins[[#This Row],[Anaesth End]]&gt;tbl_Case_mins[[#This Row],[ThClosePm]]),tbl_Case_mins[[#This Row],[Anaesth End]]-tbl_Case_mins[[#This Row],[ThClosePm]],0)</f>
        <v>#REF!</v>
      </c>
      <c r="BQ190" s="9" t="e" cm="1">
        <f t="array" ref="BQ19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0" s="9" t="e" cm="1">
        <f t="array" ref="BR190">IF(tbl_Case_mins[[#This Row],[Rank_Adjust]]=SUMPRODUCT(-(tbl_Case_mins[Surgery Start Date]=tbl_Case_mins[[#This Row],[Surgery Start Date]]),-(tbl_Case_mins[Theatre]=tbl_Case_mins[[#This Row],[Theatre]])),INDEX(Poss_Time,MATCH(TEXT(tbl_Case_mins[[#This Row],[Surgery Start Date]],"ddd"),Day,0)),0)</f>
        <v>#REF!</v>
      </c>
      <c r="BS190" s="9" t="e">
        <f>tbl_Case_mins[[#This Row],[Core_Time]]*Util_Goal</f>
        <v>#REF!</v>
      </c>
      <c r="BT190" s="9" t="e" cm="1">
        <f t="array" ref="BT1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0" s="9" t="e" cm="1">
        <f t="array" ref="BU1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0" s="9" t="e">
        <f>IF(tbl_Case_mins[[#This Row],[Surgery End Date]]&gt;tbl_Case_mins[[#This Row],[Surgery Start Date]],tbl_Case_mins[[#This Row],[Anaesth End]]-1440,0)</f>
        <v>#REF!</v>
      </c>
      <c r="BY190" s="9" t="e">
        <f>tbl_Case_mins[[#This Row],[Total_NonCore]]-tbl_Case_mins[[#This Row],[NextDay_NonCore]]</f>
        <v>#REF!</v>
      </c>
      <c r="BZ190" s="10" t="e">
        <f>tbl_Case_mins[[#This Row],[InCoreUse]]/60</f>
        <v>#REF!</v>
      </c>
      <c r="CA190" s="10" t="e">
        <f>tbl_Case_mins[[#This Row],[Total_NonCore]]/60</f>
        <v>#REF!</v>
      </c>
      <c r="CB190" t="e" cm="1">
        <f t="array" ref="CB1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0" s="9" t="e" cm="1">
        <f t="array" ref="CC19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0" s="9" t="e" cm="1">
        <f t="array" ref="CD1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0" s="9" t="e" cm="1">
        <f t="array" ref="CE19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0" s="9" cm="1">
        <f t="array" ref="CF190">IFERROR(_xlfn.AGGREGATE(14,6,(tbl_Case_mins[Rank_AnaEnd])/((tbl_Case_mins[Surgery Start Date]=tbl_Case_mins[[#This Row],[Surgery Start Date]])*(tbl_Case_mins[Theatre]=tbl_Case_mins[[#This Row],[Theatre]])*(tbl_Case_mins[NoInCoreTime]=0)),1),-1)</f>
        <v>-1</v>
      </c>
      <c r="CG190" s="9" cm="1">
        <f t="array" ref="CG190">IFERROR(_xlfn.AGGREGATE(15,6,(tbl_Case_mins[Rank_AnaSt])/((tbl_Case_mins[Surgery Start Date]=tbl_Case_mins[[#This Row],[Surgery Start Date]])*(tbl_Case_mins[Theatre]=tbl_Case_mins[[#This Row],[Theatre]])*(tbl_Case_mins[NoInCoreTime]=0)),1),-1)</f>
        <v>-1</v>
      </c>
      <c r="CH19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0" t="e" cm="1">
        <f t="array" ref="CJ19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0" s="9" cm="1">
        <f t="array" ref="CO1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0" s="9" cm="1">
        <f t="array" ref="CP1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0" s="9" cm="1">
        <f t="array" ref="CQ190">IFERROR(IF(AND(tbl_Case_mins[[#This Row],[FirstAMCase]]=0,tbl_Case_mins[[#This Row],[Rank]]=_xlfn.AGGREGATE(14,6,(tbl_Case_mins[Rank])/((tbl_Case_mins[Surgery Start Date]=tbl_Case_mins[[#This Row],[Surgery Start Date]])*(tbl_Case_mins[Theatre]=tbl_Case_mins[[#This Row],[Theatre]])*(tbl_Case_mins[AmCase]=1)),1)),1,0),0)</f>
        <v>0</v>
      </c>
      <c r="CR190" s="9" cm="1">
        <f t="array" ref="CR19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0" s="9" t="e" cm="1">
        <f t="array" ref="CS19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0" s="9" cm="1">
        <f t="array" ref="CT190">IFERROR(IF(tbl_Case_mins[[#This Row],[Rank]]=_xlfn.AGGREGATE(15,6,(tbl_Case_mins[Rank])/((tbl_Case_mins[Surgery Start Date]=tbl_Case_mins[[#This Row],[Surgery Start Date]])*(tbl_Case_mins[Theatre]=tbl_Case_mins[[#This Row],[Theatre]])*(tbl_Case_mins[PmCase]=1)),1),1,0),0)</f>
        <v>0</v>
      </c>
      <c r="CU190">
        <f>IFERROR(#REF!,0)</f>
        <v>0</v>
      </c>
      <c r="CV190" s="9" t="e" cm="1">
        <f t="array" ref="CV19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0" s="9">
        <f>IFERROR(IF(ISBLANK(INDEX(Bay_AmClose,MATCH(1,INDEX((tbl_Case_mins[[#This Row],[Bay]]=BayNo)*(tbl_Case_mins[[#This Row],[Surgery Start Date]]=BDate),0,1),0))*1440),0,INDEX(Bay_AmClose,MATCH(1,INDEX((tbl_Case_mins[[#This Row],[Bay]]=BayNo)*(tbl_Case_mins[[#This Row],[Surgery Start Date]]=BDate),0,1),0))*1440),0)</f>
        <v>0</v>
      </c>
      <c r="CX190" s="9" cm="1">
        <f t="array" ref="CX190">IFERROR(IF(ISBLANK(INDEX(Bay_PmOpen,MATCH(1,INDEX((tbl_Case_mins[[#This Row],[Bay]]=BayNo)*(tbl_Case_mins[[#This Row],[Surgery Start Date]]=BDate),0,1),0))*1440),0,INDEX(Bay_PmOpen,MATCH(1,INDEX((tbl_Case_mins[[#This Row],[Bay]]=BayNo)*(tbl_Case_mins[[#This Row],[Surgery Start Date]]=BDate),0,1),0))*1440),0)</f>
        <v>0</v>
      </c>
      <c r="CY19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0" s="9"/>
    </row>
    <row r="191" spans="1:104" x14ac:dyDescent="0.2">
      <c r="A191">
        <v>190</v>
      </c>
      <c r="B191" t="e">
        <f>#REF!</f>
        <v>#REF!</v>
      </c>
      <c r="C191" t="e">
        <f>#REF!</f>
        <v>#REF!</v>
      </c>
      <c r="D191" t="e">
        <f>#REF!</f>
        <v>#REF!</v>
      </c>
      <c r="E191" t="e">
        <f>#REF!</f>
        <v>#REF!</v>
      </c>
      <c r="F191" t="e">
        <f>#REF!</f>
        <v>#REF!</v>
      </c>
      <c r="G191" t="e">
        <f>#REF!</f>
        <v>#REF!</v>
      </c>
      <c r="H191" t="e">
        <f>#REF!</f>
        <v>#REF!</v>
      </c>
      <c r="I191" t="e">
        <f>IF(#REF!="Case Cancelled",1,IF(#REF!="No Cases",2,0))</f>
        <v>#REF!</v>
      </c>
      <c r="J191" t="e">
        <f>#REF!</f>
        <v>#REF!</v>
      </c>
      <c r="K191" s="4" t="e">
        <f>#REF!</f>
        <v>#REF!</v>
      </c>
      <c r="L191" t="e">
        <f>"Wk "&amp;WEEKNUM(tbl_Case_mins[[#This Row],[Surgery Start Date]],21)</f>
        <v>#REF!</v>
      </c>
      <c r="M191" t="e">
        <f>TEXT(tbl_Case_mins[[#This Row],[Surgery Start Date]],"ddd")</f>
        <v>#REF!</v>
      </c>
      <c r="N191" s="9" t="e">
        <f>(#REF!-TIME(0,0,0))*1440</f>
        <v>#REF!</v>
      </c>
      <c r="O191" t="e">
        <f>IF(AND(ROUND((#REF!-TIME(0,0,0))*1440,0)&gt;0,ROUND((#REF!-TIME(0,0,0))*1440,0)&lt;tbl_Case_mins[[#This Row],[Patient Called]],tbl_Case_mins[[#This Row],[Surgery End Date]]&gt;tbl_Case_mins[[#This Row],[Surgery Start Date]]),ROUND((#REF!-TIME(0,0,0))*1440,0)+1440,ROUND((#REF!-TIME(0,0,0))*1440,0))</f>
        <v>#REF!</v>
      </c>
      <c r="P191" s="9" t="e">
        <f>IF(AND(ROUND((#REF!-TIME(0,0,0))*1440,0)&gt;0,ROUND((#REF!-TIME(0,0,0))*1440,0)&lt;tbl_Case_mins[[#This Row],[Arrival]],tbl_Case_mins[[#This Row],[Surgery End Date]]&gt;tbl_Case_mins[[#This Row],[Surgery Start Date]]),ROUND((#REF!-TIME(0,0,0))*1440,0)+1440,ROUND((#REF!-TIME(0,0,0))*1440,0))</f>
        <v>#REF!</v>
      </c>
      <c r="Q191" s="9" t="e">
        <f>IF(AND(ROUND((#REF!-TIME(0,0,0))*1440,0)&gt;0,ROUND((#REF!-TIME(0,0,0))*1440,0)&lt;tbl_Case_mins[[#This Row],[Into Th or AR]],tbl_Case_mins[[#This Row],[Surgery End Date]]&gt;tbl_Case_mins[[#This Row],[Surgery Start Date]]),ROUND((#REF!-TIME(0,0,0))*1440,0)+1440,ROUND((#REF!-TIME(0,0,0))*1440,0))</f>
        <v>#REF!</v>
      </c>
      <c r="R191" s="9" t="e">
        <f>IF(AND(ROUND((#REF!-TIME(0,0,0))*1440,0)&gt;0,ROUND((#REF!-TIME(0,0,0))*1440,0)&lt;tbl_Case_mins[[#This Row],[AnaesthStart]],tbl_Case_mins[[#This Row],[Surgery End Date]]&gt;tbl_Case_mins[[#This Row],[Surgery Start Date]]),ROUND((#REF!-TIME(0,0,0))*1440,0)+1440,ROUND((#REF!-TIME(0,0,0))*1440,0))</f>
        <v>#REF!</v>
      </c>
      <c r="S191" s="9" t="e">
        <f>IF(AND(ROUND((#REF!-TIME(0,0,0))*1440,0),ROUND((#REF!-TIME(0,0,0))*1440,0)&lt;tbl_Case_mins[[#This Row],[Surgery Start]],tbl_Case_mins[[#This Row],[Surgery End Date]]&gt;tbl_Case_mins[[#This Row],[Surgery Start Date]]),ROUND((#REF!-TIME(0,0,0))*1440,0)+1440,ROUND((#REF!-TIME(0,0,0))*1440,0))</f>
        <v>#REF!</v>
      </c>
      <c r="T191" s="9" t="e">
        <f>IF(AND(ROUND((#REF!-TIME(0,0,0))*1440,0)&gt;0,ROUND((#REF!-TIME(0,0,0))*1440,0)&lt;tbl_Case_mins[[#This Row],[Surgery Finish]],tbl_Case_mins[[#This Row],[Surgery End Date]]&gt;tbl_Case_mins[[#This Row],[Surgery Start Date]]),ROUND((#REF!-TIME(0,0,0))*1440,0)+1440,ROUND((#REF!-TIME(0,0,0))*1440,0))</f>
        <v>#REF!</v>
      </c>
      <c r="U191" s="9" t="e">
        <f>IF(AND(ROUND((#REF!-TIME(0,0,0))*1440,0)&gt;0,ROUND((#REF!-TIME(0,0,0))*1440,0)&lt;tbl_Case_mins[[#This Row],[Anaesth End]],tbl_Case_mins[[#This Row],[Surgery End Date]]&gt;tbl_Case_mins[[#This Row],[Surgery Start Date]]),ROUND((#REF!-TIME(0,0,0))*1440,0)+1440,ROUND((#REF!-TIME(0,0,0))*1440,0))</f>
        <v>#REF!</v>
      </c>
      <c r="V191" s="9" t="e">
        <f>IF(AND(ROUND((#REF!-TIME(0,0,0))*1440,0)&gt;0,ROUND((#REF!-TIME(0,0,0))*1440,0)&lt;tbl_Case_mins[[#This Row],[Into Recov]],tbl_Case_mins[[#This Row],[Surgery End Date]]&gt;tbl_Case_mins[[#This Row],[Surgery Start Date]]),ROUND((#REF!-TIME(0,0,0))*1440,0)+1440,ROUND((#REF!-TIME(0,0,0))*1440,0))</f>
        <v>#REF!</v>
      </c>
      <c r="W191" s="9" t="e">
        <f>IF(AND(ROUND((#REF!-TIME(0,0,0))*1440,0)&gt;0,ROUND((#REF!-TIME(0,0,0))*1440,0)&lt;tbl_Case_mins[[#This Row],[Ward Called]],tbl_Case_mins[[#This Row],[Surgery End Date]]&gt;tbl_Case_mins[[#This Row],[Surgery Start Date]]),ROUND((#REF!-TIME(0,0,0))*1440,0)+1440,ROUND((#REF!-TIME(0,0,0))*1440,0))</f>
        <v>#REF!</v>
      </c>
      <c r="X191" s="4" t="e">
        <f>IF(ISBLANK(#REF!),tbl_Case_mins[[#This Row],[Surgery Start Date]],#REF!)</f>
        <v>#REF!</v>
      </c>
      <c r="Y191">
        <f>IFERROR(IF(VLOOKUP(tbl_Case_mins[[#This Row],[Theatre]],'Mng Theatres'!$C$7:$G$12,3,FALSE)="Yes","Yes","No"),0)</f>
        <v>0</v>
      </c>
      <c r="Z191" s="9" t="e" cm="1">
        <f t="array" ref="Z19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1" s="9" t="e" cm="1">
        <f t="array" ref="AA19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1" s="9" t="e">
        <f>IF(tbl_Case_mins[[#This Row],[Case Type]]="Unsch",1,0)</f>
        <v>#REF!</v>
      </c>
      <c r="AD191" s="9" t="e">
        <f>IF(tbl_Case_mins[[#This Row],[Case Type]]="Sch",1,0)</f>
        <v>#REF!</v>
      </c>
      <c r="AE19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1" s="9">
        <f>IFERROR(IF(ISBLANK(INDEX(Am_Close,MATCH(1,INDEX((tbl_Case_mins[[#This Row],[Theatre]]=Theatre_No)*(tbl_Case_mins[[#This Row],[Surgery Start Date]]=Date),0,1),0))*1440),0,INDEX(Am_Close,MATCH(1,INDEX((tbl_Case_mins[[#This Row],[Theatre]]=Theatre_No)*(tbl_Case_mins[[#This Row],[Surgery Start Date]]=Date),0,1),0))*1440),0)</f>
        <v>0</v>
      </c>
      <c r="AG191" s="9">
        <f>IFERROR(IF(ISBLANK(INDEX(PM_Open,MATCH(1,INDEX((tbl_Case_mins[[#This Row],[Theatre]]=Theatre_No)*(tbl_Case_mins[[#This Row],[Surgery Start Date]]=Date),0,1),0))*1440),0,INDEX(PM_Open,MATCH(1,INDEX((tbl_Case_mins[[#This Row],[Theatre]]=Theatre_No)*(tbl_Case_mins[[#This Row],[Surgery Start Date]]=Date),0,1),0))*1440),0)</f>
        <v>0</v>
      </c>
      <c r="AH19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1" s="9" t="e">
        <f>IF(tbl_Case_mins[[#This Row],[ThOpenAm]]=0,tbl_Case_mins[[#This Row],[ThOpenPM]],tbl_Case_mins[[#This Row],[ThOpenAm]])</f>
        <v>#REF!</v>
      </c>
      <c r="AJ191" s="9" t="e">
        <f>IF(tbl_Case_mins[[#This Row],[ThCloseAm]]&gt;0,IF(tbl_Case_mins[[#This Row],[ThOpenPM]]&gt;0,tbl_Case_mins[[#This Row],[ThClosePm]],tbl_Case_mins[[#This Row],[ThCloseAm]]),tbl_Case_mins[[#This Row],[ThClosePm]])</f>
        <v>#REF!</v>
      </c>
      <c r="AK191" s="9" t="e">
        <f>IF(tbl_Case_mins[[#This Row],[TOT]]&gt;0,1,0)</f>
        <v>#REF!</v>
      </c>
      <c r="AL19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1" s="9" t="e">
        <f>IF(AND(tbl_Case_mins[[#This Row],[Surgery Status]]&lt;&gt;2,tbl_Case_mins[[#This Row],[InCoreCase]]=0,tbl_Case_mins[[#This Row],[CancelledCase]]=0),1,0)</f>
        <v>#REF!</v>
      </c>
      <c r="AN191" s="9" t="e">
        <f>IF(tbl_Case_mins[[#This Row],[Surgery Status]]=1,1,0)</f>
        <v>#REF!</v>
      </c>
      <c r="AO19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1" s="9" t="e">
        <f>IF(AND(tbl_Case_mins[[#This Row],[NonCoreCase]]=1,tbl_Case_mins[[#This Row],[NoInCoreTime]]=0),1,0)</f>
        <v>#REF!</v>
      </c>
      <c r="AQ191" s="9" t="e">
        <f>IF(tbl_Case_mins[[#This Row],[Rank_AnaEnd]]&lt;tbl_Case_mins[[#This Row],[Rank_AnaSt]],1,0)</f>
        <v>#REF!</v>
      </c>
      <c r="AR191" s="9" t="e">
        <f>IF(AND(tbl_Case_mins[[#This Row],[InCoreCase]]=1,tbl_Case_mins[[#This Row],[Sch]]=1),1,0)</f>
        <v>#REF!</v>
      </c>
      <c r="AS191" s="9" t="e">
        <f>IF(AND(tbl_Case_mins[[#This Row],[InCoreCase]]=1,tbl_Case_mins[[#This Row],[Unsch]]=1),1,0)</f>
        <v>#REF!</v>
      </c>
      <c r="AT19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1" s="9" t="e">
        <f>IF(tbl_Case_mins[[#This Row],[Surgery Status]]=0,(tbl_Case_mins[[#This Row],[Anaesth End]]-tbl_Case_mins[[#This Row],[AnaesthStart]]),0)</f>
        <v>#REF!</v>
      </c>
      <c r="AX191" s="9" t="e">
        <f>IF(tbl_Case_mins[[#This Row],[Surgery Status]]=0,(tbl_Case_mins[[#This Row],[Surgery Finish]]-tbl_Case_mins[[#This Row],[Surgery Start]]),0)</f>
        <v>#REF!</v>
      </c>
      <c r="AY191" s="9" t="e">
        <f>tbl_Case_mins[[#This Row],[Surgery Start]]-tbl_Case_mins[[#This Row],[AnaesthStart]]</f>
        <v>#REF!</v>
      </c>
      <c r="AZ191" s="9" t="e">
        <f>tbl_Case_mins[[#This Row],[Anaesth End]]-tbl_Case_mins[[#This Row],[Surgery Finish]]</f>
        <v>#REF!</v>
      </c>
      <c r="BA19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1" s="16" cm="1">
        <f t="array" ref="BC19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1" s="16" t="e">
        <f>IF(AND(tbl_Case_mins[[#This Row],[FirstAMCase]]=1,tbl_Case_mins[[#This Row],[CancelledCase]]=0,OR(tbl_Case_mins[[#This Row],[EarlyStartAM]]&gt;0,tbl_Case_mins[[#This Row],[AnaesthStart]]=tbl_Case_mins[[#This Row],[ThOpenAm]])),1,0)</f>
        <v>#REF!</v>
      </c>
      <c r="BE191" s="16" t="e">
        <f>IF(AND(tbl_Case_mins[[#This Row],[Rank_AnaSt]]=tbl_Case_mins[[#This Row],[Min_RankAnaSt]],tbl_Case_mins[[#This Row],[Anaesth End]]&gt;=tbl_Case_mins[[#This Row],[ThOpenAm]],tbl_Case_mins[[#This Row],[PmCase]]=0),1,0)</f>
        <v>#REF!</v>
      </c>
      <c r="BF19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1" s="9" t="e" cm="1">
        <f t="array" ref="BH19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1" s="9" t="e">
        <f>IF(AND(tbl_Case_mins[[#This Row],[ThOpenPM]]&gt;0,tbl_Case_mins[[#This Row],[AnaesthStart]]&gt;tbl_Case_mins[[#This Row],[ThOpenPM]],tbl_Case_mins[[#This Row],[First PM Case]]=1),tbl_Case_mins[[#This Row],[AnaesthStart]]-tbl_Case_mins[[#This Row],[ThOpenPM]],0)</f>
        <v>#REF!</v>
      </c>
      <c r="BL19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1" s="9" t="e" cm="1">
        <f t="array" ref="BN19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1" s="9" t="e">
        <f>IF(AND(tbl_Case_mins[[#This Row],[ThClosePm]]&gt;0,tbl_Case_mins[[#This Row],[Anaesth End]]&gt;tbl_Case_mins[[#This Row],[ThClosePm]],tbl_Case_mins[[#This Row],[AnaesthStart]]&gt;tbl_Case_mins[[#This Row],[ThClosePm]]),tbl_Case_mins[[#This Row],[Into Recov]]-tbl_Case_mins[[#This Row],[AnaesthStart]],0)</f>
        <v>#REF!</v>
      </c>
      <c r="BP191" s="9" t="e">
        <f>IF(AND(tbl_Case_mins[[#This Row],[AnaesthStart]]&lt;tbl_Case_mins[[#This Row],[ThClosePm]],tbl_Case_mins[[#This Row],[Anaesth End]]&gt;tbl_Case_mins[[#This Row],[ThClosePm]]),tbl_Case_mins[[#This Row],[Anaesth End]]-tbl_Case_mins[[#This Row],[ThClosePm]],0)</f>
        <v>#REF!</v>
      </c>
      <c r="BQ191" s="9" t="e" cm="1">
        <f t="array" ref="BQ19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1" s="9" t="e" cm="1">
        <f t="array" ref="BR191">IF(tbl_Case_mins[[#This Row],[Rank_Adjust]]=SUMPRODUCT(-(tbl_Case_mins[Surgery Start Date]=tbl_Case_mins[[#This Row],[Surgery Start Date]]),-(tbl_Case_mins[Theatre]=tbl_Case_mins[[#This Row],[Theatre]])),INDEX(Poss_Time,MATCH(TEXT(tbl_Case_mins[[#This Row],[Surgery Start Date]],"ddd"),Day,0)),0)</f>
        <v>#REF!</v>
      </c>
      <c r="BS191" s="9" t="e">
        <f>tbl_Case_mins[[#This Row],[Core_Time]]*Util_Goal</f>
        <v>#REF!</v>
      </c>
      <c r="BT191" s="9" t="e" cm="1">
        <f t="array" ref="BT1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1" s="9" t="e" cm="1">
        <f t="array" ref="BU1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1" s="9" t="e">
        <f>IF(tbl_Case_mins[[#This Row],[Surgery End Date]]&gt;tbl_Case_mins[[#This Row],[Surgery Start Date]],tbl_Case_mins[[#This Row],[Anaesth End]]-1440,0)</f>
        <v>#REF!</v>
      </c>
      <c r="BY191" s="9" t="e">
        <f>tbl_Case_mins[[#This Row],[Total_NonCore]]-tbl_Case_mins[[#This Row],[NextDay_NonCore]]</f>
        <v>#REF!</v>
      </c>
      <c r="BZ191" s="10" t="e">
        <f>tbl_Case_mins[[#This Row],[InCoreUse]]/60</f>
        <v>#REF!</v>
      </c>
      <c r="CA191" s="10" t="e">
        <f>tbl_Case_mins[[#This Row],[Total_NonCore]]/60</f>
        <v>#REF!</v>
      </c>
      <c r="CB191" t="e" cm="1">
        <f t="array" ref="CB1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1" s="9" t="e" cm="1">
        <f t="array" ref="CC19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1" s="9" t="e" cm="1">
        <f t="array" ref="CD1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1" s="9" t="e" cm="1">
        <f t="array" ref="CE19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1" s="9" cm="1">
        <f t="array" ref="CF191">IFERROR(_xlfn.AGGREGATE(14,6,(tbl_Case_mins[Rank_AnaEnd])/((tbl_Case_mins[Surgery Start Date]=tbl_Case_mins[[#This Row],[Surgery Start Date]])*(tbl_Case_mins[Theatre]=tbl_Case_mins[[#This Row],[Theatre]])*(tbl_Case_mins[NoInCoreTime]=0)),1),-1)</f>
        <v>-1</v>
      </c>
      <c r="CG191" s="9" cm="1">
        <f t="array" ref="CG191">IFERROR(_xlfn.AGGREGATE(15,6,(tbl_Case_mins[Rank_AnaSt])/((tbl_Case_mins[Surgery Start Date]=tbl_Case_mins[[#This Row],[Surgery Start Date]])*(tbl_Case_mins[Theatre]=tbl_Case_mins[[#This Row],[Theatre]])*(tbl_Case_mins[NoInCoreTime]=0)),1),-1)</f>
        <v>-1</v>
      </c>
      <c r="CH19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1" t="e" cm="1">
        <f t="array" ref="CJ19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1" s="9" cm="1">
        <f t="array" ref="CO1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1" s="9" cm="1">
        <f t="array" ref="CP1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1" s="9" cm="1">
        <f t="array" ref="CQ191">IFERROR(IF(AND(tbl_Case_mins[[#This Row],[FirstAMCase]]=0,tbl_Case_mins[[#This Row],[Rank]]=_xlfn.AGGREGATE(14,6,(tbl_Case_mins[Rank])/((tbl_Case_mins[Surgery Start Date]=tbl_Case_mins[[#This Row],[Surgery Start Date]])*(tbl_Case_mins[Theatre]=tbl_Case_mins[[#This Row],[Theatre]])*(tbl_Case_mins[AmCase]=1)),1)),1,0),0)</f>
        <v>0</v>
      </c>
      <c r="CR191" s="9" cm="1">
        <f t="array" ref="CR19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1" s="9" t="e" cm="1">
        <f t="array" ref="CS19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1" s="9" cm="1">
        <f t="array" ref="CT191">IFERROR(IF(tbl_Case_mins[[#This Row],[Rank]]=_xlfn.AGGREGATE(15,6,(tbl_Case_mins[Rank])/((tbl_Case_mins[Surgery Start Date]=tbl_Case_mins[[#This Row],[Surgery Start Date]])*(tbl_Case_mins[Theatre]=tbl_Case_mins[[#This Row],[Theatre]])*(tbl_Case_mins[PmCase]=1)),1),1,0),0)</f>
        <v>0</v>
      </c>
      <c r="CU191">
        <f>IFERROR(#REF!,0)</f>
        <v>0</v>
      </c>
      <c r="CV191" s="9" t="e" cm="1">
        <f t="array" ref="CV19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1" s="9">
        <f>IFERROR(IF(ISBLANK(INDEX(Bay_AmClose,MATCH(1,INDEX((tbl_Case_mins[[#This Row],[Bay]]=BayNo)*(tbl_Case_mins[[#This Row],[Surgery Start Date]]=BDate),0,1),0))*1440),0,INDEX(Bay_AmClose,MATCH(1,INDEX((tbl_Case_mins[[#This Row],[Bay]]=BayNo)*(tbl_Case_mins[[#This Row],[Surgery Start Date]]=BDate),0,1),0))*1440),0)</f>
        <v>0</v>
      </c>
      <c r="CX191" s="9" cm="1">
        <f t="array" ref="CX191">IFERROR(IF(ISBLANK(INDEX(Bay_PmOpen,MATCH(1,INDEX((tbl_Case_mins[[#This Row],[Bay]]=BayNo)*(tbl_Case_mins[[#This Row],[Surgery Start Date]]=BDate),0,1),0))*1440),0,INDEX(Bay_PmOpen,MATCH(1,INDEX((tbl_Case_mins[[#This Row],[Bay]]=BayNo)*(tbl_Case_mins[[#This Row],[Surgery Start Date]]=BDate),0,1),0))*1440),0)</f>
        <v>0</v>
      </c>
      <c r="CY19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1" s="9"/>
    </row>
    <row r="192" spans="1:104" x14ac:dyDescent="0.2">
      <c r="A192">
        <v>191</v>
      </c>
      <c r="B192" t="e">
        <f>#REF!</f>
        <v>#REF!</v>
      </c>
      <c r="C192" t="e">
        <f>#REF!</f>
        <v>#REF!</v>
      </c>
      <c r="D192" t="e">
        <f>#REF!</f>
        <v>#REF!</v>
      </c>
      <c r="E192" t="e">
        <f>#REF!</f>
        <v>#REF!</v>
      </c>
      <c r="F192" t="e">
        <f>#REF!</f>
        <v>#REF!</v>
      </c>
      <c r="G192" t="e">
        <f>#REF!</f>
        <v>#REF!</v>
      </c>
      <c r="H192" t="e">
        <f>#REF!</f>
        <v>#REF!</v>
      </c>
      <c r="I192" t="e">
        <f>IF(#REF!="Case Cancelled",1,IF(#REF!="No Cases",2,0))</f>
        <v>#REF!</v>
      </c>
      <c r="J192" t="e">
        <f>#REF!</f>
        <v>#REF!</v>
      </c>
      <c r="K192" s="4" t="e">
        <f>#REF!</f>
        <v>#REF!</v>
      </c>
      <c r="L192" t="e">
        <f>"Wk "&amp;WEEKNUM(tbl_Case_mins[[#This Row],[Surgery Start Date]],21)</f>
        <v>#REF!</v>
      </c>
      <c r="M192" t="e">
        <f>TEXT(tbl_Case_mins[[#This Row],[Surgery Start Date]],"ddd")</f>
        <v>#REF!</v>
      </c>
      <c r="N192" s="9" t="e">
        <f>(#REF!-TIME(0,0,0))*1440</f>
        <v>#REF!</v>
      </c>
      <c r="O192" t="e">
        <f>IF(AND(ROUND((#REF!-TIME(0,0,0))*1440,0)&gt;0,ROUND((#REF!-TIME(0,0,0))*1440,0)&lt;tbl_Case_mins[[#This Row],[Patient Called]],tbl_Case_mins[[#This Row],[Surgery End Date]]&gt;tbl_Case_mins[[#This Row],[Surgery Start Date]]),ROUND((#REF!-TIME(0,0,0))*1440,0)+1440,ROUND((#REF!-TIME(0,0,0))*1440,0))</f>
        <v>#REF!</v>
      </c>
      <c r="P192" s="9" t="e">
        <f>IF(AND(ROUND((#REF!-TIME(0,0,0))*1440,0)&gt;0,ROUND((#REF!-TIME(0,0,0))*1440,0)&lt;tbl_Case_mins[[#This Row],[Arrival]],tbl_Case_mins[[#This Row],[Surgery End Date]]&gt;tbl_Case_mins[[#This Row],[Surgery Start Date]]),ROUND((#REF!-TIME(0,0,0))*1440,0)+1440,ROUND((#REF!-TIME(0,0,0))*1440,0))</f>
        <v>#REF!</v>
      </c>
      <c r="Q192" s="9" t="e">
        <f>IF(AND(ROUND((#REF!-TIME(0,0,0))*1440,0)&gt;0,ROUND((#REF!-TIME(0,0,0))*1440,0)&lt;tbl_Case_mins[[#This Row],[Into Th or AR]],tbl_Case_mins[[#This Row],[Surgery End Date]]&gt;tbl_Case_mins[[#This Row],[Surgery Start Date]]),ROUND((#REF!-TIME(0,0,0))*1440,0)+1440,ROUND((#REF!-TIME(0,0,0))*1440,0))</f>
        <v>#REF!</v>
      </c>
      <c r="R192" s="9" t="e">
        <f>IF(AND(ROUND((#REF!-TIME(0,0,0))*1440,0)&gt;0,ROUND((#REF!-TIME(0,0,0))*1440,0)&lt;tbl_Case_mins[[#This Row],[AnaesthStart]],tbl_Case_mins[[#This Row],[Surgery End Date]]&gt;tbl_Case_mins[[#This Row],[Surgery Start Date]]),ROUND((#REF!-TIME(0,0,0))*1440,0)+1440,ROUND((#REF!-TIME(0,0,0))*1440,0))</f>
        <v>#REF!</v>
      </c>
      <c r="S192" s="9" t="e">
        <f>IF(AND(ROUND((#REF!-TIME(0,0,0))*1440,0),ROUND((#REF!-TIME(0,0,0))*1440,0)&lt;tbl_Case_mins[[#This Row],[Surgery Start]],tbl_Case_mins[[#This Row],[Surgery End Date]]&gt;tbl_Case_mins[[#This Row],[Surgery Start Date]]),ROUND((#REF!-TIME(0,0,0))*1440,0)+1440,ROUND((#REF!-TIME(0,0,0))*1440,0))</f>
        <v>#REF!</v>
      </c>
      <c r="T192" s="9" t="e">
        <f>IF(AND(ROUND((#REF!-TIME(0,0,0))*1440,0)&gt;0,ROUND((#REF!-TIME(0,0,0))*1440,0)&lt;tbl_Case_mins[[#This Row],[Surgery Finish]],tbl_Case_mins[[#This Row],[Surgery End Date]]&gt;tbl_Case_mins[[#This Row],[Surgery Start Date]]),ROUND((#REF!-TIME(0,0,0))*1440,0)+1440,ROUND((#REF!-TIME(0,0,0))*1440,0))</f>
        <v>#REF!</v>
      </c>
      <c r="U192" s="9" t="e">
        <f>IF(AND(ROUND((#REF!-TIME(0,0,0))*1440,0)&gt;0,ROUND((#REF!-TIME(0,0,0))*1440,0)&lt;tbl_Case_mins[[#This Row],[Anaesth End]],tbl_Case_mins[[#This Row],[Surgery End Date]]&gt;tbl_Case_mins[[#This Row],[Surgery Start Date]]),ROUND((#REF!-TIME(0,0,0))*1440,0)+1440,ROUND((#REF!-TIME(0,0,0))*1440,0))</f>
        <v>#REF!</v>
      </c>
      <c r="V192" s="9" t="e">
        <f>IF(AND(ROUND((#REF!-TIME(0,0,0))*1440,0)&gt;0,ROUND((#REF!-TIME(0,0,0))*1440,0)&lt;tbl_Case_mins[[#This Row],[Into Recov]],tbl_Case_mins[[#This Row],[Surgery End Date]]&gt;tbl_Case_mins[[#This Row],[Surgery Start Date]]),ROUND((#REF!-TIME(0,0,0))*1440,0)+1440,ROUND((#REF!-TIME(0,0,0))*1440,0))</f>
        <v>#REF!</v>
      </c>
      <c r="W192" s="9" t="e">
        <f>IF(AND(ROUND((#REF!-TIME(0,0,0))*1440,0)&gt;0,ROUND((#REF!-TIME(0,0,0))*1440,0)&lt;tbl_Case_mins[[#This Row],[Ward Called]],tbl_Case_mins[[#This Row],[Surgery End Date]]&gt;tbl_Case_mins[[#This Row],[Surgery Start Date]]),ROUND((#REF!-TIME(0,0,0))*1440,0)+1440,ROUND((#REF!-TIME(0,0,0))*1440,0))</f>
        <v>#REF!</v>
      </c>
      <c r="X192" s="4" t="e">
        <f>IF(ISBLANK(#REF!),tbl_Case_mins[[#This Row],[Surgery Start Date]],#REF!)</f>
        <v>#REF!</v>
      </c>
      <c r="Y192">
        <f>IFERROR(IF(VLOOKUP(tbl_Case_mins[[#This Row],[Theatre]],'Mng Theatres'!$C$7:$G$12,3,FALSE)="Yes","Yes","No"),0)</f>
        <v>0</v>
      </c>
      <c r="Z192" s="9" t="e" cm="1">
        <f t="array" ref="Z19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2" s="9" t="e" cm="1">
        <f t="array" ref="AA19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2" s="9" t="e">
        <f>IF(tbl_Case_mins[[#This Row],[Case Type]]="Unsch",1,0)</f>
        <v>#REF!</v>
      </c>
      <c r="AD192" s="9" t="e">
        <f>IF(tbl_Case_mins[[#This Row],[Case Type]]="Sch",1,0)</f>
        <v>#REF!</v>
      </c>
      <c r="AE19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2" s="9">
        <f>IFERROR(IF(ISBLANK(INDEX(Am_Close,MATCH(1,INDEX((tbl_Case_mins[[#This Row],[Theatre]]=Theatre_No)*(tbl_Case_mins[[#This Row],[Surgery Start Date]]=Date),0,1),0))*1440),0,INDEX(Am_Close,MATCH(1,INDEX((tbl_Case_mins[[#This Row],[Theatre]]=Theatre_No)*(tbl_Case_mins[[#This Row],[Surgery Start Date]]=Date),0,1),0))*1440),0)</f>
        <v>0</v>
      </c>
      <c r="AG192" s="9">
        <f>IFERROR(IF(ISBLANK(INDEX(PM_Open,MATCH(1,INDEX((tbl_Case_mins[[#This Row],[Theatre]]=Theatre_No)*(tbl_Case_mins[[#This Row],[Surgery Start Date]]=Date),0,1),0))*1440),0,INDEX(PM_Open,MATCH(1,INDEX((tbl_Case_mins[[#This Row],[Theatre]]=Theatre_No)*(tbl_Case_mins[[#This Row],[Surgery Start Date]]=Date),0,1),0))*1440),0)</f>
        <v>0</v>
      </c>
      <c r="AH19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2" s="9" t="e">
        <f>IF(tbl_Case_mins[[#This Row],[ThOpenAm]]=0,tbl_Case_mins[[#This Row],[ThOpenPM]],tbl_Case_mins[[#This Row],[ThOpenAm]])</f>
        <v>#REF!</v>
      </c>
      <c r="AJ192" s="9" t="e">
        <f>IF(tbl_Case_mins[[#This Row],[ThCloseAm]]&gt;0,IF(tbl_Case_mins[[#This Row],[ThOpenPM]]&gt;0,tbl_Case_mins[[#This Row],[ThClosePm]],tbl_Case_mins[[#This Row],[ThCloseAm]]),tbl_Case_mins[[#This Row],[ThClosePm]])</f>
        <v>#REF!</v>
      </c>
      <c r="AK192" s="9" t="e">
        <f>IF(tbl_Case_mins[[#This Row],[TOT]]&gt;0,1,0)</f>
        <v>#REF!</v>
      </c>
      <c r="AL19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2" s="9" t="e">
        <f>IF(AND(tbl_Case_mins[[#This Row],[Surgery Status]]&lt;&gt;2,tbl_Case_mins[[#This Row],[InCoreCase]]=0,tbl_Case_mins[[#This Row],[CancelledCase]]=0),1,0)</f>
        <v>#REF!</v>
      </c>
      <c r="AN192" s="9" t="e">
        <f>IF(tbl_Case_mins[[#This Row],[Surgery Status]]=1,1,0)</f>
        <v>#REF!</v>
      </c>
      <c r="AO19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2" s="9" t="e">
        <f>IF(AND(tbl_Case_mins[[#This Row],[NonCoreCase]]=1,tbl_Case_mins[[#This Row],[NoInCoreTime]]=0),1,0)</f>
        <v>#REF!</v>
      </c>
      <c r="AQ192" s="9" t="e">
        <f>IF(tbl_Case_mins[[#This Row],[Rank_AnaEnd]]&lt;tbl_Case_mins[[#This Row],[Rank_AnaSt]],1,0)</f>
        <v>#REF!</v>
      </c>
      <c r="AR192" s="9" t="e">
        <f>IF(AND(tbl_Case_mins[[#This Row],[InCoreCase]]=1,tbl_Case_mins[[#This Row],[Sch]]=1),1,0)</f>
        <v>#REF!</v>
      </c>
      <c r="AS192" s="9" t="e">
        <f>IF(AND(tbl_Case_mins[[#This Row],[InCoreCase]]=1,tbl_Case_mins[[#This Row],[Unsch]]=1),1,0)</f>
        <v>#REF!</v>
      </c>
      <c r="AT19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2" s="9" t="e">
        <f>IF(tbl_Case_mins[[#This Row],[Surgery Status]]=0,(tbl_Case_mins[[#This Row],[Anaesth End]]-tbl_Case_mins[[#This Row],[AnaesthStart]]),0)</f>
        <v>#REF!</v>
      </c>
      <c r="AX192" s="9" t="e">
        <f>IF(tbl_Case_mins[[#This Row],[Surgery Status]]=0,(tbl_Case_mins[[#This Row],[Surgery Finish]]-tbl_Case_mins[[#This Row],[Surgery Start]]),0)</f>
        <v>#REF!</v>
      </c>
      <c r="AY192" s="9" t="e">
        <f>tbl_Case_mins[[#This Row],[Surgery Start]]-tbl_Case_mins[[#This Row],[AnaesthStart]]</f>
        <v>#REF!</v>
      </c>
      <c r="AZ192" s="9" t="e">
        <f>tbl_Case_mins[[#This Row],[Anaesth End]]-tbl_Case_mins[[#This Row],[Surgery Finish]]</f>
        <v>#REF!</v>
      </c>
      <c r="BA19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2" s="16" cm="1">
        <f t="array" ref="BC19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2" s="16" t="e">
        <f>IF(AND(tbl_Case_mins[[#This Row],[FirstAMCase]]=1,tbl_Case_mins[[#This Row],[CancelledCase]]=0,OR(tbl_Case_mins[[#This Row],[EarlyStartAM]]&gt;0,tbl_Case_mins[[#This Row],[AnaesthStart]]=tbl_Case_mins[[#This Row],[ThOpenAm]])),1,0)</f>
        <v>#REF!</v>
      </c>
      <c r="BE192" s="16" t="e">
        <f>IF(AND(tbl_Case_mins[[#This Row],[Rank_AnaSt]]=tbl_Case_mins[[#This Row],[Min_RankAnaSt]],tbl_Case_mins[[#This Row],[Anaesth End]]&gt;=tbl_Case_mins[[#This Row],[ThOpenAm]],tbl_Case_mins[[#This Row],[PmCase]]=0),1,0)</f>
        <v>#REF!</v>
      </c>
      <c r="BF19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2" s="9" t="e" cm="1">
        <f t="array" ref="BH19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2" s="9" t="e">
        <f>IF(AND(tbl_Case_mins[[#This Row],[ThOpenPM]]&gt;0,tbl_Case_mins[[#This Row],[AnaesthStart]]&gt;tbl_Case_mins[[#This Row],[ThOpenPM]],tbl_Case_mins[[#This Row],[First PM Case]]=1),tbl_Case_mins[[#This Row],[AnaesthStart]]-tbl_Case_mins[[#This Row],[ThOpenPM]],0)</f>
        <v>#REF!</v>
      </c>
      <c r="BL19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2" s="9" t="e" cm="1">
        <f t="array" ref="BN19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2" s="9" t="e">
        <f>IF(AND(tbl_Case_mins[[#This Row],[ThClosePm]]&gt;0,tbl_Case_mins[[#This Row],[Anaesth End]]&gt;tbl_Case_mins[[#This Row],[ThClosePm]],tbl_Case_mins[[#This Row],[AnaesthStart]]&gt;tbl_Case_mins[[#This Row],[ThClosePm]]),tbl_Case_mins[[#This Row],[Into Recov]]-tbl_Case_mins[[#This Row],[AnaesthStart]],0)</f>
        <v>#REF!</v>
      </c>
      <c r="BP192" s="9" t="e">
        <f>IF(AND(tbl_Case_mins[[#This Row],[AnaesthStart]]&lt;tbl_Case_mins[[#This Row],[ThClosePm]],tbl_Case_mins[[#This Row],[Anaesth End]]&gt;tbl_Case_mins[[#This Row],[ThClosePm]]),tbl_Case_mins[[#This Row],[Anaesth End]]-tbl_Case_mins[[#This Row],[ThClosePm]],0)</f>
        <v>#REF!</v>
      </c>
      <c r="BQ192" s="9" t="e" cm="1">
        <f t="array" ref="BQ19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2" s="9" t="e" cm="1">
        <f t="array" ref="BR192">IF(tbl_Case_mins[[#This Row],[Rank_Adjust]]=SUMPRODUCT(-(tbl_Case_mins[Surgery Start Date]=tbl_Case_mins[[#This Row],[Surgery Start Date]]),-(tbl_Case_mins[Theatre]=tbl_Case_mins[[#This Row],[Theatre]])),INDEX(Poss_Time,MATCH(TEXT(tbl_Case_mins[[#This Row],[Surgery Start Date]],"ddd"),Day,0)),0)</f>
        <v>#REF!</v>
      </c>
      <c r="BS192" s="9" t="e">
        <f>tbl_Case_mins[[#This Row],[Core_Time]]*Util_Goal</f>
        <v>#REF!</v>
      </c>
      <c r="BT192" s="9" t="e" cm="1">
        <f t="array" ref="BT1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2" s="9" t="e" cm="1">
        <f t="array" ref="BU1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2" s="9" t="e">
        <f>IF(tbl_Case_mins[[#This Row],[Surgery End Date]]&gt;tbl_Case_mins[[#This Row],[Surgery Start Date]],tbl_Case_mins[[#This Row],[Anaesth End]]-1440,0)</f>
        <v>#REF!</v>
      </c>
      <c r="BY192" s="9" t="e">
        <f>tbl_Case_mins[[#This Row],[Total_NonCore]]-tbl_Case_mins[[#This Row],[NextDay_NonCore]]</f>
        <v>#REF!</v>
      </c>
      <c r="BZ192" s="10" t="e">
        <f>tbl_Case_mins[[#This Row],[InCoreUse]]/60</f>
        <v>#REF!</v>
      </c>
      <c r="CA192" s="10" t="e">
        <f>tbl_Case_mins[[#This Row],[Total_NonCore]]/60</f>
        <v>#REF!</v>
      </c>
      <c r="CB192" t="e" cm="1">
        <f t="array" ref="CB1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2" s="9" t="e" cm="1">
        <f t="array" ref="CC19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2" s="9" t="e" cm="1">
        <f t="array" ref="CD1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2" s="9" t="e" cm="1">
        <f t="array" ref="CE19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2" s="9" cm="1">
        <f t="array" ref="CF192">IFERROR(_xlfn.AGGREGATE(14,6,(tbl_Case_mins[Rank_AnaEnd])/((tbl_Case_mins[Surgery Start Date]=tbl_Case_mins[[#This Row],[Surgery Start Date]])*(tbl_Case_mins[Theatre]=tbl_Case_mins[[#This Row],[Theatre]])*(tbl_Case_mins[NoInCoreTime]=0)),1),-1)</f>
        <v>-1</v>
      </c>
      <c r="CG192" s="9" cm="1">
        <f t="array" ref="CG192">IFERROR(_xlfn.AGGREGATE(15,6,(tbl_Case_mins[Rank_AnaSt])/((tbl_Case_mins[Surgery Start Date]=tbl_Case_mins[[#This Row],[Surgery Start Date]])*(tbl_Case_mins[Theatre]=tbl_Case_mins[[#This Row],[Theatre]])*(tbl_Case_mins[NoInCoreTime]=0)),1),-1)</f>
        <v>-1</v>
      </c>
      <c r="CH19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2" t="e" cm="1">
        <f t="array" ref="CJ19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2" s="9" cm="1">
        <f t="array" ref="CO1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2" s="9" cm="1">
        <f t="array" ref="CP1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2" s="9" cm="1">
        <f t="array" ref="CQ192">IFERROR(IF(AND(tbl_Case_mins[[#This Row],[FirstAMCase]]=0,tbl_Case_mins[[#This Row],[Rank]]=_xlfn.AGGREGATE(14,6,(tbl_Case_mins[Rank])/((tbl_Case_mins[Surgery Start Date]=tbl_Case_mins[[#This Row],[Surgery Start Date]])*(tbl_Case_mins[Theatre]=tbl_Case_mins[[#This Row],[Theatre]])*(tbl_Case_mins[AmCase]=1)),1)),1,0),0)</f>
        <v>0</v>
      </c>
      <c r="CR192" s="9" cm="1">
        <f t="array" ref="CR19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2" s="9" t="e" cm="1">
        <f t="array" ref="CS19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2" s="9" cm="1">
        <f t="array" ref="CT192">IFERROR(IF(tbl_Case_mins[[#This Row],[Rank]]=_xlfn.AGGREGATE(15,6,(tbl_Case_mins[Rank])/((tbl_Case_mins[Surgery Start Date]=tbl_Case_mins[[#This Row],[Surgery Start Date]])*(tbl_Case_mins[Theatre]=tbl_Case_mins[[#This Row],[Theatre]])*(tbl_Case_mins[PmCase]=1)),1),1,0),0)</f>
        <v>0</v>
      </c>
      <c r="CU192">
        <f>IFERROR(#REF!,0)</f>
        <v>0</v>
      </c>
      <c r="CV192" s="9" t="e" cm="1">
        <f t="array" ref="CV19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2" s="9">
        <f>IFERROR(IF(ISBLANK(INDEX(Bay_AmClose,MATCH(1,INDEX((tbl_Case_mins[[#This Row],[Bay]]=BayNo)*(tbl_Case_mins[[#This Row],[Surgery Start Date]]=BDate),0,1),0))*1440),0,INDEX(Bay_AmClose,MATCH(1,INDEX((tbl_Case_mins[[#This Row],[Bay]]=BayNo)*(tbl_Case_mins[[#This Row],[Surgery Start Date]]=BDate),0,1),0))*1440),0)</f>
        <v>0</v>
      </c>
      <c r="CX192" s="9" cm="1">
        <f t="array" ref="CX192">IFERROR(IF(ISBLANK(INDEX(Bay_PmOpen,MATCH(1,INDEX((tbl_Case_mins[[#This Row],[Bay]]=BayNo)*(tbl_Case_mins[[#This Row],[Surgery Start Date]]=BDate),0,1),0))*1440),0,INDEX(Bay_PmOpen,MATCH(1,INDEX((tbl_Case_mins[[#This Row],[Bay]]=BayNo)*(tbl_Case_mins[[#This Row],[Surgery Start Date]]=BDate),0,1),0))*1440),0)</f>
        <v>0</v>
      </c>
      <c r="CY19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2" s="9"/>
    </row>
    <row r="193" spans="1:104" x14ac:dyDescent="0.2">
      <c r="A193">
        <v>192</v>
      </c>
      <c r="B193" t="e">
        <f>#REF!</f>
        <v>#REF!</v>
      </c>
      <c r="C193" t="e">
        <f>#REF!</f>
        <v>#REF!</v>
      </c>
      <c r="D193" t="e">
        <f>#REF!</f>
        <v>#REF!</v>
      </c>
      <c r="E193" t="e">
        <f>#REF!</f>
        <v>#REF!</v>
      </c>
      <c r="F193" t="e">
        <f>#REF!</f>
        <v>#REF!</v>
      </c>
      <c r="G193" t="e">
        <f>#REF!</f>
        <v>#REF!</v>
      </c>
      <c r="H193" t="e">
        <f>#REF!</f>
        <v>#REF!</v>
      </c>
      <c r="I193" t="e">
        <f>IF(#REF!="Case Cancelled",1,IF(#REF!="No Cases",2,0))</f>
        <v>#REF!</v>
      </c>
      <c r="J193" t="e">
        <f>#REF!</f>
        <v>#REF!</v>
      </c>
      <c r="K193" s="4" t="e">
        <f>#REF!</f>
        <v>#REF!</v>
      </c>
      <c r="L193" t="e">
        <f>"Wk "&amp;WEEKNUM(tbl_Case_mins[[#This Row],[Surgery Start Date]],21)</f>
        <v>#REF!</v>
      </c>
      <c r="M193" t="e">
        <f>TEXT(tbl_Case_mins[[#This Row],[Surgery Start Date]],"ddd")</f>
        <v>#REF!</v>
      </c>
      <c r="N193" s="9" t="e">
        <f>(#REF!-TIME(0,0,0))*1440</f>
        <v>#REF!</v>
      </c>
      <c r="O193" t="e">
        <f>IF(AND(ROUND((#REF!-TIME(0,0,0))*1440,0)&gt;0,ROUND((#REF!-TIME(0,0,0))*1440,0)&lt;tbl_Case_mins[[#This Row],[Patient Called]],tbl_Case_mins[[#This Row],[Surgery End Date]]&gt;tbl_Case_mins[[#This Row],[Surgery Start Date]]),ROUND((#REF!-TIME(0,0,0))*1440,0)+1440,ROUND((#REF!-TIME(0,0,0))*1440,0))</f>
        <v>#REF!</v>
      </c>
      <c r="P193" s="9" t="e">
        <f>IF(AND(ROUND((#REF!-TIME(0,0,0))*1440,0)&gt;0,ROUND((#REF!-TIME(0,0,0))*1440,0)&lt;tbl_Case_mins[[#This Row],[Arrival]],tbl_Case_mins[[#This Row],[Surgery End Date]]&gt;tbl_Case_mins[[#This Row],[Surgery Start Date]]),ROUND((#REF!-TIME(0,0,0))*1440,0)+1440,ROUND((#REF!-TIME(0,0,0))*1440,0))</f>
        <v>#REF!</v>
      </c>
      <c r="Q193" s="9" t="e">
        <f>IF(AND(ROUND((#REF!-TIME(0,0,0))*1440,0)&gt;0,ROUND((#REF!-TIME(0,0,0))*1440,0)&lt;tbl_Case_mins[[#This Row],[Into Th or AR]],tbl_Case_mins[[#This Row],[Surgery End Date]]&gt;tbl_Case_mins[[#This Row],[Surgery Start Date]]),ROUND((#REF!-TIME(0,0,0))*1440,0)+1440,ROUND((#REF!-TIME(0,0,0))*1440,0))</f>
        <v>#REF!</v>
      </c>
      <c r="R193" s="9" t="e">
        <f>IF(AND(ROUND((#REF!-TIME(0,0,0))*1440,0)&gt;0,ROUND((#REF!-TIME(0,0,0))*1440,0)&lt;tbl_Case_mins[[#This Row],[AnaesthStart]],tbl_Case_mins[[#This Row],[Surgery End Date]]&gt;tbl_Case_mins[[#This Row],[Surgery Start Date]]),ROUND((#REF!-TIME(0,0,0))*1440,0)+1440,ROUND((#REF!-TIME(0,0,0))*1440,0))</f>
        <v>#REF!</v>
      </c>
      <c r="S193" s="9" t="e">
        <f>IF(AND(ROUND((#REF!-TIME(0,0,0))*1440,0),ROUND((#REF!-TIME(0,0,0))*1440,0)&lt;tbl_Case_mins[[#This Row],[Surgery Start]],tbl_Case_mins[[#This Row],[Surgery End Date]]&gt;tbl_Case_mins[[#This Row],[Surgery Start Date]]),ROUND((#REF!-TIME(0,0,0))*1440,0)+1440,ROUND((#REF!-TIME(0,0,0))*1440,0))</f>
        <v>#REF!</v>
      </c>
      <c r="T193" s="9" t="e">
        <f>IF(AND(ROUND((#REF!-TIME(0,0,0))*1440,0)&gt;0,ROUND((#REF!-TIME(0,0,0))*1440,0)&lt;tbl_Case_mins[[#This Row],[Surgery Finish]],tbl_Case_mins[[#This Row],[Surgery End Date]]&gt;tbl_Case_mins[[#This Row],[Surgery Start Date]]),ROUND((#REF!-TIME(0,0,0))*1440,0)+1440,ROUND((#REF!-TIME(0,0,0))*1440,0))</f>
        <v>#REF!</v>
      </c>
      <c r="U193" s="9" t="e">
        <f>IF(AND(ROUND((#REF!-TIME(0,0,0))*1440,0)&gt;0,ROUND((#REF!-TIME(0,0,0))*1440,0)&lt;tbl_Case_mins[[#This Row],[Anaesth End]],tbl_Case_mins[[#This Row],[Surgery End Date]]&gt;tbl_Case_mins[[#This Row],[Surgery Start Date]]),ROUND((#REF!-TIME(0,0,0))*1440,0)+1440,ROUND((#REF!-TIME(0,0,0))*1440,0))</f>
        <v>#REF!</v>
      </c>
      <c r="V193" s="9" t="e">
        <f>IF(AND(ROUND((#REF!-TIME(0,0,0))*1440,0)&gt;0,ROUND((#REF!-TIME(0,0,0))*1440,0)&lt;tbl_Case_mins[[#This Row],[Into Recov]],tbl_Case_mins[[#This Row],[Surgery End Date]]&gt;tbl_Case_mins[[#This Row],[Surgery Start Date]]),ROUND((#REF!-TIME(0,0,0))*1440,0)+1440,ROUND((#REF!-TIME(0,0,0))*1440,0))</f>
        <v>#REF!</v>
      </c>
      <c r="W193" s="9" t="e">
        <f>IF(AND(ROUND((#REF!-TIME(0,0,0))*1440,0)&gt;0,ROUND((#REF!-TIME(0,0,0))*1440,0)&lt;tbl_Case_mins[[#This Row],[Ward Called]],tbl_Case_mins[[#This Row],[Surgery End Date]]&gt;tbl_Case_mins[[#This Row],[Surgery Start Date]]),ROUND((#REF!-TIME(0,0,0))*1440,0)+1440,ROUND((#REF!-TIME(0,0,0))*1440,0))</f>
        <v>#REF!</v>
      </c>
      <c r="X193" s="4" t="e">
        <f>IF(ISBLANK(#REF!),tbl_Case_mins[[#This Row],[Surgery Start Date]],#REF!)</f>
        <v>#REF!</v>
      </c>
      <c r="Y193">
        <f>IFERROR(IF(VLOOKUP(tbl_Case_mins[[#This Row],[Theatre]],'Mng Theatres'!$C$7:$G$12,3,FALSE)="Yes","Yes","No"),0)</f>
        <v>0</v>
      </c>
      <c r="Z193" s="9" t="e" cm="1">
        <f t="array" ref="Z19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3" s="9" t="e" cm="1">
        <f t="array" ref="AA19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3" s="9" t="e">
        <f>IF(tbl_Case_mins[[#This Row],[Case Type]]="Unsch",1,0)</f>
        <v>#REF!</v>
      </c>
      <c r="AD193" s="9" t="e">
        <f>IF(tbl_Case_mins[[#This Row],[Case Type]]="Sch",1,0)</f>
        <v>#REF!</v>
      </c>
      <c r="AE19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3" s="9">
        <f>IFERROR(IF(ISBLANK(INDEX(Am_Close,MATCH(1,INDEX((tbl_Case_mins[[#This Row],[Theatre]]=Theatre_No)*(tbl_Case_mins[[#This Row],[Surgery Start Date]]=Date),0,1),0))*1440),0,INDEX(Am_Close,MATCH(1,INDEX((tbl_Case_mins[[#This Row],[Theatre]]=Theatre_No)*(tbl_Case_mins[[#This Row],[Surgery Start Date]]=Date),0,1),0))*1440),0)</f>
        <v>0</v>
      </c>
      <c r="AG193" s="9">
        <f>IFERROR(IF(ISBLANK(INDEX(PM_Open,MATCH(1,INDEX((tbl_Case_mins[[#This Row],[Theatre]]=Theatre_No)*(tbl_Case_mins[[#This Row],[Surgery Start Date]]=Date),0,1),0))*1440),0,INDEX(PM_Open,MATCH(1,INDEX((tbl_Case_mins[[#This Row],[Theatre]]=Theatre_No)*(tbl_Case_mins[[#This Row],[Surgery Start Date]]=Date),0,1),0))*1440),0)</f>
        <v>0</v>
      </c>
      <c r="AH19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3" s="9" t="e">
        <f>IF(tbl_Case_mins[[#This Row],[ThOpenAm]]=0,tbl_Case_mins[[#This Row],[ThOpenPM]],tbl_Case_mins[[#This Row],[ThOpenAm]])</f>
        <v>#REF!</v>
      </c>
      <c r="AJ193" s="9" t="e">
        <f>IF(tbl_Case_mins[[#This Row],[ThCloseAm]]&gt;0,IF(tbl_Case_mins[[#This Row],[ThOpenPM]]&gt;0,tbl_Case_mins[[#This Row],[ThClosePm]],tbl_Case_mins[[#This Row],[ThCloseAm]]),tbl_Case_mins[[#This Row],[ThClosePm]])</f>
        <v>#REF!</v>
      </c>
      <c r="AK193" s="9" t="e">
        <f>IF(tbl_Case_mins[[#This Row],[TOT]]&gt;0,1,0)</f>
        <v>#REF!</v>
      </c>
      <c r="AL19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3" s="9" t="e">
        <f>IF(AND(tbl_Case_mins[[#This Row],[Surgery Status]]&lt;&gt;2,tbl_Case_mins[[#This Row],[InCoreCase]]=0,tbl_Case_mins[[#This Row],[CancelledCase]]=0),1,0)</f>
        <v>#REF!</v>
      </c>
      <c r="AN193" s="9" t="e">
        <f>IF(tbl_Case_mins[[#This Row],[Surgery Status]]=1,1,0)</f>
        <v>#REF!</v>
      </c>
      <c r="AO19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3" s="9" t="e">
        <f>IF(AND(tbl_Case_mins[[#This Row],[NonCoreCase]]=1,tbl_Case_mins[[#This Row],[NoInCoreTime]]=0),1,0)</f>
        <v>#REF!</v>
      </c>
      <c r="AQ193" s="9" t="e">
        <f>IF(tbl_Case_mins[[#This Row],[Rank_AnaEnd]]&lt;tbl_Case_mins[[#This Row],[Rank_AnaSt]],1,0)</f>
        <v>#REF!</v>
      </c>
      <c r="AR193" s="9" t="e">
        <f>IF(AND(tbl_Case_mins[[#This Row],[InCoreCase]]=1,tbl_Case_mins[[#This Row],[Sch]]=1),1,0)</f>
        <v>#REF!</v>
      </c>
      <c r="AS193" s="9" t="e">
        <f>IF(AND(tbl_Case_mins[[#This Row],[InCoreCase]]=1,tbl_Case_mins[[#This Row],[Unsch]]=1),1,0)</f>
        <v>#REF!</v>
      </c>
      <c r="AT19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3" s="9" t="e">
        <f>IF(tbl_Case_mins[[#This Row],[Surgery Status]]=0,(tbl_Case_mins[[#This Row],[Anaesth End]]-tbl_Case_mins[[#This Row],[AnaesthStart]]),0)</f>
        <v>#REF!</v>
      </c>
      <c r="AX193" s="9" t="e">
        <f>IF(tbl_Case_mins[[#This Row],[Surgery Status]]=0,(tbl_Case_mins[[#This Row],[Surgery Finish]]-tbl_Case_mins[[#This Row],[Surgery Start]]),0)</f>
        <v>#REF!</v>
      </c>
      <c r="AY193" s="9" t="e">
        <f>tbl_Case_mins[[#This Row],[Surgery Start]]-tbl_Case_mins[[#This Row],[AnaesthStart]]</f>
        <v>#REF!</v>
      </c>
      <c r="AZ193" s="9" t="e">
        <f>tbl_Case_mins[[#This Row],[Anaesth End]]-tbl_Case_mins[[#This Row],[Surgery Finish]]</f>
        <v>#REF!</v>
      </c>
      <c r="BA19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3" s="16" cm="1">
        <f t="array" ref="BC19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3" s="16" t="e">
        <f>IF(AND(tbl_Case_mins[[#This Row],[FirstAMCase]]=1,tbl_Case_mins[[#This Row],[CancelledCase]]=0,OR(tbl_Case_mins[[#This Row],[EarlyStartAM]]&gt;0,tbl_Case_mins[[#This Row],[AnaesthStart]]=tbl_Case_mins[[#This Row],[ThOpenAm]])),1,0)</f>
        <v>#REF!</v>
      </c>
      <c r="BE193" s="16" t="e">
        <f>IF(AND(tbl_Case_mins[[#This Row],[Rank_AnaSt]]=tbl_Case_mins[[#This Row],[Min_RankAnaSt]],tbl_Case_mins[[#This Row],[Anaesth End]]&gt;=tbl_Case_mins[[#This Row],[ThOpenAm]],tbl_Case_mins[[#This Row],[PmCase]]=0),1,0)</f>
        <v>#REF!</v>
      </c>
      <c r="BF19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3" s="9" t="e" cm="1">
        <f t="array" ref="BH19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3" s="9" t="e">
        <f>IF(AND(tbl_Case_mins[[#This Row],[ThOpenPM]]&gt;0,tbl_Case_mins[[#This Row],[AnaesthStart]]&gt;tbl_Case_mins[[#This Row],[ThOpenPM]],tbl_Case_mins[[#This Row],[First PM Case]]=1),tbl_Case_mins[[#This Row],[AnaesthStart]]-tbl_Case_mins[[#This Row],[ThOpenPM]],0)</f>
        <v>#REF!</v>
      </c>
      <c r="BL19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3" s="9" t="e" cm="1">
        <f t="array" ref="BN19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3" s="9" t="e">
        <f>IF(AND(tbl_Case_mins[[#This Row],[ThClosePm]]&gt;0,tbl_Case_mins[[#This Row],[Anaesth End]]&gt;tbl_Case_mins[[#This Row],[ThClosePm]],tbl_Case_mins[[#This Row],[AnaesthStart]]&gt;tbl_Case_mins[[#This Row],[ThClosePm]]),tbl_Case_mins[[#This Row],[Into Recov]]-tbl_Case_mins[[#This Row],[AnaesthStart]],0)</f>
        <v>#REF!</v>
      </c>
      <c r="BP193" s="9" t="e">
        <f>IF(AND(tbl_Case_mins[[#This Row],[AnaesthStart]]&lt;tbl_Case_mins[[#This Row],[ThClosePm]],tbl_Case_mins[[#This Row],[Anaesth End]]&gt;tbl_Case_mins[[#This Row],[ThClosePm]]),tbl_Case_mins[[#This Row],[Anaesth End]]-tbl_Case_mins[[#This Row],[ThClosePm]],0)</f>
        <v>#REF!</v>
      </c>
      <c r="BQ193" s="9" t="e" cm="1">
        <f t="array" ref="BQ19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3" s="9" t="e" cm="1">
        <f t="array" ref="BR193">IF(tbl_Case_mins[[#This Row],[Rank_Adjust]]=SUMPRODUCT(-(tbl_Case_mins[Surgery Start Date]=tbl_Case_mins[[#This Row],[Surgery Start Date]]),-(tbl_Case_mins[Theatre]=tbl_Case_mins[[#This Row],[Theatre]])),INDEX(Poss_Time,MATCH(TEXT(tbl_Case_mins[[#This Row],[Surgery Start Date]],"ddd"),Day,0)),0)</f>
        <v>#REF!</v>
      </c>
      <c r="BS193" s="9" t="e">
        <f>tbl_Case_mins[[#This Row],[Core_Time]]*Util_Goal</f>
        <v>#REF!</v>
      </c>
      <c r="BT193" s="9" t="e" cm="1">
        <f t="array" ref="BT1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3" s="9" t="e" cm="1">
        <f t="array" ref="BU1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3" s="9" t="e">
        <f>IF(tbl_Case_mins[[#This Row],[Surgery End Date]]&gt;tbl_Case_mins[[#This Row],[Surgery Start Date]],tbl_Case_mins[[#This Row],[Anaesth End]]-1440,0)</f>
        <v>#REF!</v>
      </c>
      <c r="BY193" s="9" t="e">
        <f>tbl_Case_mins[[#This Row],[Total_NonCore]]-tbl_Case_mins[[#This Row],[NextDay_NonCore]]</f>
        <v>#REF!</v>
      </c>
      <c r="BZ193" s="10" t="e">
        <f>tbl_Case_mins[[#This Row],[InCoreUse]]/60</f>
        <v>#REF!</v>
      </c>
      <c r="CA193" s="10" t="e">
        <f>tbl_Case_mins[[#This Row],[Total_NonCore]]/60</f>
        <v>#REF!</v>
      </c>
      <c r="CB193" t="e" cm="1">
        <f t="array" ref="CB1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3" s="9" t="e" cm="1">
        <f t="array" ref="CC19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3" s="9" t="e" cm="1">
        <f t="array" ref="CD1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3" s="9" t="e" cm="1">
        <f t="array" ref="CE19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3" s="9" cm="1">
        <f t="array" ref="CF193">IFERROR(_xlfn.AGGREGATE(14,6,(tbl_Case_mins[Rank_AnaEnd])/((tbl_Case_mins[Surgery Start Date]=tbl_Case_mins[[#This Row],[Surgery Start Date]])*(tbl_Case_mins[Theatre]=tbl_Case_mins[[#This Row],[Theatre]])*(tbl_Case_mins[NoInCoreTime]=0)),1),-1)</f>
        <v>-1</v>
      </c>
      <c r="CG193" s="9" cm="1">
        <f t="array" ref="CG193">IFERROR(_xlfn.AGGREGATE(15,6,(tbl_Case_mins[Rank_AnaSt])/((tbl_Case_mins[Surgery Start Date]=tbl_Case_mins[[#This Row],[Surgery Start Date]])*(tbl_Case_mins[Theatre]=tbl_Case_mins[[#This Row],[Theatre]])*(tbl_Case_mins[NoInCoreTime]=0)),1),-1)</f>
        <v>-1</v>
      </c>
      <c r="CH19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3" t="e" cm="1">
        <f t="array" ref="CJ19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3" s="9" cm="1">
        <f t="array" ref="CO1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3" s="9" cm="1">
        <f t="array" ref="CP1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3" s="9" cm="1">
        <f t="array" ref="CQ193">IFERROR(IF(AND(tbl_Case_mins[[#This Row],[FirstAMCase]]=0,tbl_Case_mins[[#This Row],[Rank]]=_xlfn.AGGREGATE(14,6,(tbl_Case_mins[Rank])/((tbl_Case_mins[Surgery Start Date]=tbl_Case_mins[[#This Row],[Surgery Start Date]])*(tbl_Case_mins[Theatre]=tbl_Case_mins[[#This Row],[Theatre]])*(tbl_Case_mins[AmCase]=1)),1)),1,0),0)</f>
        <v>0</v>
      </c>
      <c r="CR193" s="9" cm="1">
        <f t="array" ref="CR19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3" s="9" t="e" cm="1">
        <f t="array" ref="CS19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3" s="9" cm="1">
        <f t="array" ref="CT193">IFERROR(IF(tbl_Case_mins[[#This Row],[Rank]]=_xlfn.AGGREGATE(15,6,(tbl_Case_mins[Rank])/((tbl_Case_mins[Surgery Start Date]=tbl_Case_mins[[#This Row],[Surgery Start Date]])*(tbl_Case_mins[Theatre]=tbl_Case_mins[[#This Row],[Theatre]])*(tbl_Case_mins[PmCase]=1)),1),1,0),0)</f>
        <v>0</v>
      </c>
      <c r="CU193">
        <f>IFERROR(#REF!,0)</f>
        <v>0</v>
      </c>
      <c r="CV193" s="9" t="e" cm="1">
        <f t="array" ref="CV19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3" s="9">
        <f>IFERROR(IF(ISBLANK(INDEX(Bay_AmClose,MATCH(1,INDEX((tbl_Case_mins[[#This Row],[Bay]]=BayNo)*(tbl_Case_mins[[#This Row],[Surgery Start Date]]=BDate),0,1),0))*1440),0,INDEX(Bay_AmClose,MATCH(1,INDEX((tbl_Case_mins[[#This Row],[Bay]]=BayNo)*(tbl_Case_mins[[#This Row],[Surgery Start Date]]=BDate),0,1),0))*1440),0)</f>
        <v>0</v>
      </c>
      <c r="CX193" s="9" cm="1">
        <f t="array" ref="CX193">IFERROR(IF(ISBLANK(INDEX(Bay_PmOpen,MATCH(1,INDEX((tbl_Case_mins[[#This Row],[Bay]]=BayNo)*(tbl_Case_mins[[#This Row],[Surgery Start Date]]=BDate),0,1),0))*1440),0,INDEX(Bay_PmOpen,MATCH(1,INDEX((tbl_Case_mins[[#This Row],[Bay]]=BayNo)*(tbl_Case_mins[[#This Row],[Surgery Start Date]]=BDate),0,1),0))*1440),0)</f>
        <v>0</v>
      </c>
      <c r="CY19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3" s="9"/>
    </row>
    <row r="194" spans="1:104" x14ac:dyDescent="0.2">
      <c r="A194">
        <v>193</v>
      </c>
      <c r="B194" t="e">
        <f>#REF!</f>
        <v>#REF!</v>
      </c>
      <c r="C194" t="e">
        <f>#REF!</f>
        <v>#REF!</v>
      </c>
      <c r="D194" t="e">
        <f>#REF!</f>
        <v>#REF!</v>
      </c>
      <c r="E194" t="e">
        <f>#REF!</f>
        <v>#REF!</v>
      </c>
      <c r="F194" t="e">
        <f>#REF!</f>
        <v>#REF!</v>
      </c>
      <c r="G194" t="e">
        <f>#REF!</f>
        <v>#REF!</v>
      </c>
      <c r="H194" t="e">
        <f>#REF!</f>
        <v>#REF!</v>
      </c>
      <c r="I194" t="e">
        <f>IF(#REF!="Case Cancelled",1,IF(#REF!="No Cases",2,0))</f>
        <v>#REF!</v>
      </c>
      <c r="J194" t="e">
        <f>#REF!</f>
        <v>#REF!</v>
      </c>
      <c r="K194" s="4" t="e">
        <f>#REF!</f>
        <v>#REF!</v>
      </c>
      <c r="L194" t="e">
        <f>"Wk "&amp;WEEKNUM(tbl_Case_mins[[#This Row],[Surgery Start Date]],21)</f>
        <v>#REF!</v>
      </c>
      <c r="M194" t="e">
        <f>TEXT(tbl_Case_mins[[#This Row],[Surgery Start Date]],"ddd")</f>
        <v>#REF!</v>
      </c>
      <c r="N194" s="9" t="e">
        <f>(#REF!-TIME(0,0,0))*1440</f>
        <v>#REF!</v>
      </c>
      <c r="O194" t="e">
        <f>IF(AND(ROUND((#REF!-TIME(0,0,0))*1440,0)&gt;0,ROUND((#REF!-TIME(0,0,0))*1440,0)&lt;tbl_Case_mins[[#This Row],[Patient Called]],tbl_Case_mins[[#This Row],[Surgery End Date]]&gt;tbl_Case_mins[[#This Row],[Surgery Start Date]]),ROUND((#REF!-TIME(0,0,0))*1440,0)+1440,ROUND((#REF!-TIME(0,0,0))*1440,0))</f>
        <v>#REF!</v>
      </c>
      <c r="P194" s="9" t="e">
        <f>IF(AND(ROUND((#REF!-TIME(0,0,0))*1440,0)&gt;0,ROUND((#REF!-TIME(0,0,0))*1440,0)&lt;tbl_Case_mins[[#This Row],[Arrival]],tbl_Case_mins[[#This Row],[Surgery End Date]]&gt;tbl_Case_mins[[#This Row],[Surgery Start Date]]),ROUND((#REF!-TIME(0,0,0))*1440,0)+1440,ROUND((#REF!-TIME(0,0,0))*1440,0))</f>
        <v>#REF!</v>
      </c>
      <c r="Q194" s="9" t="e">
        <f>IF(AND(ROUND((#REF!-TIME(0,0,0))*1440,0)&gt;0,ROUND((#REF!-TIME(0,0,0))*1440,0)&lt;tbl_Case_mins[[#This Row],[Into Th or AR]],tbl_Case_mins[[#This Row],[Surgery End Date]]&gt;tbl_Case_mins[[#This Row],[Surgery Start Date]]),ROUND((#REF!-TIME(0,0,0))*1440,0)+1440,ROUND((#REF!-TIME(0,0,0))*1440,0))</f>
        <v>#REF!</v>
      </c>
      <c r="R194" s="9" t="e">
        <f>IF(AND(ROUND((#REF!-TIME(0,0,0))*1440,0)&gt;0,ROUND((#REF!-TIME(0,0,0))*1440,0)&lt;tbl_Case_mins[[#This Row],[AnaesthStart]],tbl_Case_mins[[#This Row],[Surgery End Date]]&gt;tbl_Case_mins[[#This Row],[Surgery Start Date]]),ROUND((#REF!-TIME(0,0,0))*1440,0)+1440,ROUND((#REF!-TIME(0,0,0))*1440,0))</f>
        <v>#REF!</v>
      </c>
      <c r="S194" s="9" t="e">
        <f>IF(AND(ROUND((#REF!-TIME(0,0,0))*1440,0),ROUND((#REF!-TIME(0,0,0))*1440,0)&lt;tbl_Case_mins[[#This Row],[Surgery Start]],tbl_Case_mins[[#This Row],[Surgery End Date]]&gt;tbl_Case_mins[[#This Row],[Surgery Start Date]]),ROUND((#REF!-TIME(0,0,0))*1440,0)+1440,ROUND((#REF!-TIME(0,0,0))*1440,0))</f>
        <v>#REF!</v>
      </c>
      <c r="T194" s="9" t="e">
        <f>IF(AND(ROUND((#REF!-TIME(0,0,0))*1440,0)&gt;0,ROUND((#REF!-TIME(0,0,0))*1440,0)&lt;tbl_Case_mins[[#This Row],[Surgery Finish]],tbl_Case_mins[[#This Row],[Surgery End Date]]&gt;tbl_Case_mins[[#This Row],[Surgery Start Date]]),ROUND((#REF!-TIME(0,0,0))*1440,0)+1440,ROUND((#REF!-TIME(0,0,0))*1440,0))</f>
        <v>#REF!</v>
      </c>
      <c r="U194" s="9" t="e">
        <f>IF(AND(ROUND((#REF!-TIME(0,0,0))*1440,0)&gt;0,ROUND((#REF!-TIME(0,0,0))*1440,0)&lt;tbl_Case_mins[[#This Row],[Anaesth End]],tbl_Case_mins[[#This Row],[Surgery End Date]]&gt;tbl_Case_mins[[#This Row],[Surgery Start Date]]),ROUND((#REF!-TIME(0,0,0))*1440,0)+1440,ROUND((#REF!-TIME(0,0,0))*1440,0))</f>
        <v>#REF!</v>
      </c>
      <c r="V194" s="9" t="e">
        <f>IF(AND(ROUND((#REF!-TIME(0,0,0))*1440,0)&gt;0,ROUND((#REF!-TIME(0,0,0))*1440,0)&lt;tbl_Case_mins[[#This Row],[Into Recov]],tbl_Case_mins[[#This Row],[Surgery End Date]]&gt;tbl_Case_mins[[#This Row],[Surgery Start Date]]),ROUND((#REF!-TIME(0,0,0))*1440,0)+1440,ROUND((#REF!-TIME(0,0,0))*1440,0))</f>
        <v>#REF!</v>
      </c>
      <c r="W194" s="9" t="e">
        <f>IF(AND(ROUND((#REF!-TIME(0,0,0))*1440,0)&gt;0,ROUND((#REF!-TIME(0,0,0))*1440,0)&lt;tbl_Case_mins[[#This Row],[Ward Called]],tbl_Case_mins[[#This Row],[Surgery End Date]]&gt;tbl_Case_mins[[#This Row],[Surgery Start Date]]),ROUND((#REF!-TIME(0,0,0))*1440,0)+1440,ROUND((#REF!-TIME(0,0,0))*1440,0))</f>
        <v>#REF!</v>
      </c>
      <c r="X194" s="4" t="e">
        <f>IF(ISBLANK(#REF!),tbl_Case_mins[[#This Row],[Surgery Start Date]],#REF!)</f>
        <v>#REF!</v>
      </c>
      <c r="Y194">
        <f>IFERROR(IF(VLOOKUP(tbl_Case_mins[[#This Row],[Theatre]],'Mng Theatres'!$C$7:$G$12,3,FALSE)="Yes","Yes","No"),0)</f>
        <v>0</v>
      </c>
      <c r="Z194" s="9" t="e" cm="1">
        <f t="array" ref="Z19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4" s="9" t="e" cm="1">
        <f t="array" ref="AA19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4" s="9" t="e">
        <f>IF(tbl_Case_mins[[#This Row],[Case Type]]="Unsch",1,0)</f>
        <v>#REF!</v>
      </c>
      <c r="AD194" s="9" t="e">
        <f>IF(tbl_Case_mins[[#This Row],[Case Type]]="Sch",1,0)</f>
        <v>#REF!</v>
      </c>
      <c r="AE19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4" s="9">
        <f>IFERROR(IF(ISBLANK(INDEX(Am_Close,MATCH(1,INDEX((tbl_Case_mins[[#This Row],[Theatre]]=Theatre_No)*(tbl_Case_mins[[#This Row],[Surgery Start Date]]=Date),0,1),0))*1440),0,INDEX(Am_Close,MATCH(1,INDEX((tbl_Case_mins[[#This Row],[Theatre]]=Theatre_No)*(tbl_Case_mins[[#This Row],[Surgery Start Date]]=Date),0,1),0))*1440),0)</f>
        <v>0</v>
      </c>
      <c r="AG194" s="9">
        <f>IFERROR(IF(ISBLANK(INDEX(PM_Open,MATCH(1,INDEX((tbl_Case_mins[[#This Row],[Theatre]]=Theatre_No)*(tbl_Case_mins[[#This Row],[Surgery Start Date]]=Date),0,1),0))*1440),0,INDEX(PM_Open,MATCH(1,INDEX((tbl_Case_mins[[#This Row],[Theatre]]=Theatre_No)*(tbl_Case_mins[[#This Row],[Surgery Start Date]]=Date),0,1),0))*1440),0)</f>
        <v>0</v>
      </c>
      <c r="AH19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4" s="9" t="e">
        <f>IF(tbl_Case_mins[[#This Row],[ThOpenAm]]=0,tbl_Case_mins[[#This Row],[ThOpenPM]],tbl_Case_mins[[#This Row],[ThOpenAm]])</f>
        <v>#REF!</v>
      </c>
      <c r="AJ194" s="9" t="e">
        <f>IF(tbl_Case_mins[[#This Row],[ThCloseAm]]&gt;0,IF(tbl_Case_mins[[#This Row],[ThOpenPM]]&gt;0,tbl_Case_mins[[#This Row],[ThClosePm]],tbl_Case_mins[[#This Row],[ThCloseAm]]),tbl_Case_mins[[#This Row],[ThClosePm]])</f>
        <v>#REF!</v>
      </c>
      <c r="AK194" s="9" t="e">
        <f>IF(tbl_Case_mins[[#This Row],[TOT]]&gt;0,1,0)</f>
        <v>#REF!</v>
      </c>
      <c r="AL19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4" s="9" t="e">
        <f>IF(AND(tbl_Case_mins[[#This Row],[Surgery Status]]&lt;&gt;2,tbl_Case_mins[[#This Row],[InCoreCase]]=0,tbl_Case_mins[[#This Row],[CancelledCase]]=0),1,0)</f>
        <v>#REF!</v>
      </c>
      <c r="AN194" s="9" t="e">
        <f>IF(tbl_Case_mins[[#This Row],[Surgery Status]]=1,1,0)</f>
        <v>#REF!</v>
      </c>
      <c r="AO19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4" s="9" t="e">
        <f>IF(AND(tbl_Case_mins[[#This Row],[NonCoreCase]]=1,tbl_Case_mins[[#This Row],[NoInCoreTime]]=0),1,0)</f>
        <v>#REF!</v>
      </c>
      <c r="AQ194" s="9" t="e">
        <f>IF(tbl_Case_mins[[#This Row],[Rank_AnaEnd]]&lt;tbl_Case_mins[[#This Row],[Rank_AnaSt]],1,0)</f>
        <v>#REF!</v>
      </c>
      <c r="AR194" s="9" t="e">
        <f>IF(AND(tbl_Case_mins[[#This Row],[InCoreCase]]=1,tbl_Case_mins[[#This Row],[Sch]]=1),1,0)</f>
        <v>#REF!</v>
      </c>
      <c r="AS194" s="9" t="e">
        <f>IF(AND(tbl_Case_mins[[#This Row],[InCoreCase]]=1,tbl_Case_mins[[#This Row],[Unsch]]=1),1,0)</f>
        <v>#REF!</v>
      </c>
      <c r="AT19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4" s="9" t="e">
        <f>IF(tbl_Case_mins[[#This Row],[Surgery Status]]=0,(tbl_Case_mins[[#This Row],[Anaesth End]]-tbl_Case_mins[[#This Row],[AnaesthStart]]),0)</f>
        <v>#REF!</v>
      </c>
      <c r="AX194" s="9" t="e">
        <f>IF(tbl_Case_mins[[#This Row],[Surgery Status]]=0,(tbl_Case_mins[[#This Row],[Surgery Finish]]-tbl_Case_mins[[#This Row],[Surgery Start]]),0)</f>
        <v>#REF!</v>
      </c>
      <c r="AY194" s="9" t="e">
        <f>tbl_Case_mins[[#This Row],[Surgery Start]]-tbl_Case_mins[[#This Row],[AnaesthStart]]</f>
        <v>#REF!</v>
      </c>
      <c r="AZ194" s="9" t="e">
        <f>tbl_Case_mins[[#This Row],[Anaesth End]]-tbl_Case_mins[[#This Row],[Surgery Finish]]</f>
        <v>#REF!</v>
      </c>
      <c r="BA19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4" s="16" cm="1">
        <f t="array" ref="BC19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4" s="16" t="e">
        <f>IF(AND(tbl_Case_mins[[#This Row],[FirstAMCase]]=1,tbl_Case_mins[[#This Row],[CancelledCase]]=0,OR(tbl_Case_mins[[#This Row],[EarlyStartAM]]&gt;0,tbl_Case_mins[[#This Row],[AnaesthStart]]=tbl_Case_mins[[#This Row],[ThOpenAm]])),1,0)</f>
        <v>#REF!</v>
      </c>
      <c r="BE194" s="16" t="e">
        <f>IF(AND(tbl_Case_mins[[#This Row],[Rank_AnaSt]]=tbl_Case_mins[[#This Row],[Min_RankAnaSt]],tbl_Case_mins[[#This Row],[Anaesth End]]&gt;=tbl_Case_mins[[#This Row],[ThOpenAm]],tbl_Case_mins[[#This Row],[PmCase]]=0),1,0)</f>
        <v>#REF!</v>
      </c>
      <c r="BF19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4" s="9" t="e" cm="1">
        <f t="array" ref="BH19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4" s="9" t="e">
        <f>IF(AND(tbl_Case_mins[[#This Row],[ThOpenPM]]&gt;0,tbl_Case_mins[[#This Row],[AnaesthStart]]&gt;tbl_Case_mins[[#This Row],[ThOpenPM]],tbl_Case_mins[[#This Row],[First PM Case]]=1),tbl_Case_mins[[#This Row],[AnaesthStart]]-tbl_Case_mins[[#This Row],[ThOpenPM]],0)</f>
        <v>#REF!</v>
      </c>
      <c r="BL19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4" s="9" t="e" cm="1">
        <f t="array" ref="BN19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4" s="9" t="e">
        <f>IF(AND(tbl_Case_mins[[#This Row],[ThClosePm]]&gt;0,tbl_Case_mins[[#This Row],[Anaesth End]]&gt;tbl_Case_mins[[#This Row],[ThClosePm]],tbl_Case_mins[[#This Row],[AnaesthStart]]&gt;tbl_Case_mins[[#This Row],[ThClosePm]]),tbl_Case_mins[[#This Row],[Into Recov]]-tbl_Case_mins[[#This Row],[AnaesthStart]],0)</f>
        <v>#REF!</v>
      </c>
      <c r="BP194" s="9" t="e">
        <f>IF(AND(tbl_Case_mins[[#This Row],[AnaesthStart]]&lt;tbl_Case_mins[[#This Row],[ThClosePm]],tbl_Case_mins[[#This Row],[Anaesth End]]&gt;tbl_Case_mins[[#This Row],[ThClosePm]]),tbl_Case_mins[[#This Row],[Anaesth End]]-tbl_Case_mins[[#This Row],[ThClosePm]],0)</f>
        <v>#REF!</v>
      </c>
      <c r="BQ194" s="9" t="e" cm="1">
        <f t="array" ref="BQ19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4" s="9" t="e" cm="1">
        <f t="array" ref="BR194">IF(tbl_Case_mins[[#This Row],[Rank_Adjust]]=SUMPRODUCT(-(tbl_Case_mins[Surgery Start Date]=tbl_Case_mins[[#This Row],[Surgery Start Date]]),-(tbl_Case_mins[Theatre]=tbl_Case_mins[[#This Row],[Theatre]])),INDEX(Poss_Time,MATCH(TEXT(tbl_Case_mins[[#This Row],[Surgery Start Date]],"ddd"),Day,0)),0)</f>
        <v>#REF!</v>
      </c>
      <c r="BS194" s="9" t="e">
        <f>tbl_Case_mins[[#This Row],[Core_Time]]*Util_Goal</f>
        <v>#REF!</v>
      </c>
      <c r="BT194" s="9" t="e" cm="1">
        <f t="array" ref="BT1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4" s="9" t="e" cm="1">
        <f t="array" ref="BU1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4" s="9" t="e">
        <f>IF(tbl_Case_mins[[#This Row],[Surgery End Date]]&gt;tbl_Case_mins[[#This Row],[Surgery Start Date]],tbl_Case_mins[[#This Row],[Anaesth End]]-1440,0)</f>
        <v>#REF!</v>
      </c>
      <c r="BY194" s="9" t="e">
        <f>tbl_Case_mins[[#This Row],[Total_NonCore]]-tbl_Case_mins[[#This Row],[NextDay_NonCore]]</f>
        <v>#REF!</v>
      </c>
      <c r="BZ194" s="10" t="e">
        <f>tbl_Case_mins[[#This Row],[InCoreUse]]/60</f>
        <v>#REF!</v>
      </c>
      <c r="CA194" s="10" t="e">
        <f>tbl_Case_mins[[#This Row],[Total_NonCore]]/60</f>
        <v>#REF!</v>
      </c>
      <c r="CB194" t="e" cm="1">
        <f t="array" ref="CB1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4" s="9" t="e" cm="1">
        <f t="array" ref="CC19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4" s="9" t="e" cm="1">
        <f t="array" ref="CD1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4" s="9" t="e" cm="1">
        <f t="array" ref="CE19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4" s="9" cm="1">
        <f t="array" ref="CF194">IFERROR(_xlfn.AGGREGATE(14,6,(tbl_Case_mins[Rank_AnaEnd])/((tbl_Case_mins[Surgery Start Date]=tbl_Case_mins[[#This Row],[Surgery Start Date]])*(tbl_Case_mins[Theatre]=tbl_Case_mins[[#This Row],[Theatre]])*(tbl_Case_mins[NoInCoreTime]=0)),1),-1)</f>
        <v>-1</v>
      </c>
      <c r="CG194" s="9" cm="1">
        <f t="array" ref="CG194">IFERROR(_xlfn.AGGREGATE(15,6,(tbl_Case_mins[Rank_AnaSt])/((tbl_Case_mins[Surgery Start Date]=tbl_Case_mins[[#This Row],[Surgery Start Date]])*(tbl_Case_mins[Theatre]=tbl_Case_mins[[#This Row],[Theatre]])*(tbl_Case_mins[NoInCoreTime]=0)),1),-1)</f>
        <v>-1</v>
      </c>
      <c r="CH19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4" t="e" cm="1">
        <f t="array" ref="CJ19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4" s="9" cm="1">
        <f t="array" ref="CO1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4" s="9" cm="1">
        <f t="array" ref="CP1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4" s="9" cm="1">
        <f t="array" ref="CQ194">IFERROR(IF(AND(tbl_Case_mins[[#This Row],[FirstAMCase]]=0,tbl_Case_mins[[#This Row],[Rank]]=_xlfn.AGGREGATE(14,6,(tbl_Case_mins[Rank])/((tbl_Case_mins[Surgery Start Date]=tbl_Case_mins[[#This Row],[Surgery Start Date]])*(tbl_Case_mins[Theatre]=tbl_Case_mins[[#This Row],[Theatre]])*(tbl_Case_mins[AmCase]=1)),1)),1,0),0)</f>
        <v>0</v>
      </c>
      <c r="CR194" s="9" cm="1">
        <f t="array" ref="CR19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4" s="9" t="e" cm="1">
        <f t="array" ref="CS19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4" s="9" cm="1">
        <f t="array" ref="CT194">IFERROR(IF(tbl_Case_mins[[#This Row],[Rank]]=_xlfn.AGGREGATE(15,6,(tbl_Case_mins[Rank])/((tbl_Case_mins[Surgery Start Date]=tbl_Case_mins[[#This Row],[Surgery Start Date]])*(tbl_Case_mins[Theatre]=tbl_Case_mins[[#This Row],[Theatre]])*(tbl_Case_mins[PmCase]=1)),1),1,0),0)</f>
        <v>0</v>
      </c>
      <c r="CU194">
        <f>IFERROR(#REF!,0)</f>
        <v>0</v>
      </c>
      <c r="CV194" s="9" t="e" cm="1">
        <f t="array" ref="CV19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4" s="9">
        <f>IFERROR(IF(ISBLANK(INDEX(Bay_AmClose,MATCH(1,INDEX((tbl_Case_mins[[#This Row],[Bay]]=BayNo)*(tbl_Case_mins[[#This Row],[Surgery Start Date]]=BDate),0,1),0))*1440),0,INDEX(Bay_AmClose,MATCH(1,INDEX((tbl_Case_mins[[#This Row],[Bay]]=BayNo)*(tbl_Case_mins[[#This Row],[Surgery Start Date]]=BDate),0,1),0))*1440),0)</f>
        <v>0</v>
      </c>
      <c r="CX194" s="9" cm="1">
        <f t="array" ref="CX194">IFERROR(IF(ISBLANK(INDEX(Bay_PmOpen,MATCH(1,INDEX((tbl_Case_mins[[#This Row],[Bay]]=BayNo)*(tbl_Case_mins[[#This Row],[Surgery Start Date]]=BDate),0,1),0))*1440),0,INDEX(Bay_PmOpen,MATCH(1,INDEX((tbl_Case_mins[[#This Row],[Bay]]=BayNo)*(tbl_Case_mins[[#This Row],[Surgery Start Date]]=BDate),0,1),0))*1440),0)</f>
        <v>0</v>
      </c>
      <c r="CY19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4" s="9"/>
    </row>
    <row r="195" spans="1:104" x14ac:dyDescent="0.2">
      <c r="A195">
        <v>194</v>
      </c>
      <c r="B195" t="e">
        <f>#REF!</f>
        <v>#REF!</v>
      </c>
      <c r="C195" t="e">
        <f>#REF!</f>
        <v>#REF!</v>
      </c>
      <c r="D195" t="e">
        <f>#REF!</f>
        <v>#REF!</v>
      </c>
      <c r="E195" t="e">
        <f>#REF!</f>
        <v>#REF!</v>
      </c>
      <c r="F195" t="e">
        <f>#REF!</f>
        <v>#REF!</v>
      </c>
      <c r="G195" t="e">
        <f>#REF!</f>
        <v>#REF!</v>
      </c>
      <c r="H195" t="e">
        <f>#REF!</f>
        <v>#REF!</v>
      </c>
      <c r="I195" t="e">
        <f>IF(#REF!="Case Cancelled",1,IF(#REF!="No Cases",2,0))</f>
        <v>#REF!</v>
      </c>
      <c r="J195" t="e">
        <f>#REF!</f>
        <v>#REF!</v>
      </c>
      <c r="K195" s="4" t="e">
        <f>#REF!</f>
        <v>#REF!</v>
      </c>
      <c r="L195" t="e">
        <f>"Wk "&amp;WEEKNUM(tbl_Case_mins[[#This Row],[Surgery Start Date]],21)</f>
        <v>#REF!</v>
      </c>
      <c r="M195" t="e">
        <f>TEXT(tbl_Case_mins[[#This Row],[Surgery Start Date]],"ddd")</f>
        <v>#REF!</v>
      </c>
      <c r="N195" s="9" t="e">
        <f>(#REF!-TIME(0,0,0))*1440</f>
        <v>#REF!</v>
      </c>
      <c r="O195" t="e">
        <f>IF(AND(ROUND((#REF!-TIME(0,0,0))*1440,0)&gt;0,ROUND((#REF!-TIME(0,0,0))*1440,0)&lt;tbl_Case_mins[[#This Row],[Patient Called]],tbl_Case_mins[[#This Row],[Surgery End Date]]&gt;tbl_Case_mins[[#This Row],[Surgery Start Date]]),ROUND((#REF!-TIME(0,0,0))*1440,0)+1440,ROUND((#REF!-TIME(0,0,0))*1440,0))</f>
        <v>#REF!</v>
      </c>
      <c r="P195" s="9" t="e">
        <f>IF(AND(ROUND((#REF!-TIME(0,0,0))*1440,0)&gt;0,ROUND((#REF!-TIME(0,0,0))*1440,0)&lt;tbl_Case_mins[[#This Row],[Arrival]],tbl_Case_mins[[#This Row],[Surgery End Date]]&gt;tbl_Case_mins[[#This Row],[Surgery Start Date]]),ROUND((#REF!-TIME(0,0,0))*1440,0)+1440,ROUND((#REF!-TIME(0,0,0))*1440,0))</f>
        <v>#REF!</v>
      </c>
      <c r="Q195" s="9" t="e">
        <f>IF(AND(ROUND((#REF!-TIME(0,0,0))*1440,0)&gt;0,ROUND((#REF!-TIME(0,0,0))*1440,0)&lt;tbl_Case_mins[[#This Row],[Into Th or AR]],tbl_Case_mins[[#This Row],[Surgery End Date]]&gt;tbl_Case_mins[[#This Row],[Surgery Start Date]]),ROUND((#REF!-TIME(0,0,0))*1440,0)+1440,ROUND((#REF!-TIME(0,0,0))*1440,0))</f>
        <v>#REF!</v>
      </c>
      <c r="R195" s="9" t="e">
        <f>IF(AND(ROUND((#REF!-TIME(0,0,0))*1440,0)&gt;0,ROUND((#REF!-TIME(0,0,0))*1440,0)&lt;tbl_Case_mins[[#This Row],[AnaesthStart]],tbl_Case_mins[[#This Row],[Surgery End Date]]&gt;tbl_Case_mins[[#This Row],[Surgery Start Date]]),ROUND((#REF!-TIME(0,0,0))*1440,0)+1440,ROUND((#REF!-TIME(0,0,0))*1440,0))</f>
        <v>#REF!</v>
      </c>
      <c r="S195" s="9" t="e">
        <f>IF(AND(ROUND((#REF!-TIME(0,0,0))*1440,0),ROUND((#REF!-TIME(0,0,0))*1440,0)&lt;tbl_Case_mins[[#This Row],[Surgery Start]],tbl_Case_mins[[#This Row],[Surgery End Date]]&gt;tbl_Case_mins[[#This Row],[Surgery Start Date]]),ROUND((#REF!-TIME(0,0,0))*1440,0)+1440,ROUND((#REF!-TIME(0,0,0))*1440,0))</f>
        <v>#REF!</v>
      </c>
      <c r="T195" s="9" t="e">
        <f>IF(AND(ROUND((#REF!-TIME(0,0,0))*1440,0)&gt;0,ROUND((#REF!-TIME(0,0,0))*1440,0)&lt;tbl_Case_mins[[#This Row],[Surgery Finish]],tbl_Case_mins[[#This Row],[Surgery End Date]]&gt;tbl_Case_mins[[#This Row],[Surgery Start Date]]),ROUND((#REF!-TIME(0,0,0))*1440,0)+1440,ROUND((#REF!-TIME(0,0,0))*1440,0))</f>
        <v>#REF!</v>
      </c>
      <c r="U195" s="9" t="e">
        <f>IF(AND(ROUND((#REF!-TIME(0,0,0))*1440,0)&gt;0,ROUND((#REF!-TIME(0,0,0))*1440,0)&lt;tbl_Case_mins[[#This Row],[Anaesth End]],tbl_Case_mins[[#This Row],[Surgery End Date]]&gt;tbl_Case_mins[[#This Row],[Surgery Start Date]]),ROUND((#REF!-TIME(0,0,0))*1440,0)+1440,ROUND((#REF!-TIME(0,0,0))*1440,0))</f>
        <v>#REF!</v>
      </c>
      <c r="V195" s="9" t="e">
        <f>IF(AND(ROUND((#REF!-TIME(0,0,0))*1440,0)&gt;0,ROUND((#REF!-TIME(0,0,0))*1440,0)&lt;tbl_Case_mins[[#This Row],[Into Recov]],tbl_Case_mins[[#This Row],[Surgery End Date]]&gt;tbl_Case_mins[[#This Row],[Surgery Start Date]]),ROUND((#REF!-TIME(0,0,0))*1440,0)+1440,ROUND((#REF!-TIME(0,0,0))*1440,0))</f>
        <v>#REF!</v>
      </c>
      <c r="W195" s="9" t="e">
        <f>IF(AND(ROUND((#REF!-TIME(0,0,0))*1440,0)&gt;0,ROUND((#REF!-TIME(0,0,0))*1440,0)&lt;tbl_Case_mins[[#This Row],[Ward Called]],tbl_Case_mins[[#This Row],[Surgery End Date]]&gt;tbl_Case_mins[[#This Row],[Surgery Start Date]]),ROUND((#REF!-TIME(0,0,0))*1440,0)+1440,ROUND((#REF!-TIME(0,0,0))*1440,0))</f>
        <v>#REF!</v>
      </c>
      <c r="X195" s="4" t="e">
        <f>IF(ISBLANK(#REF!),tbl_Case_mins[[#This Row],[Surgery Start Date]],#REF!)</f>
        <v>#REF!</v>
      </c>
      <c r="Y195">
        <f>IFERROR(IF(VLOOKUP(tbl_Case_mins[[#This Row],[Theatre]],'Mng Theatres'!$C$7:$G$12,3,FALSE)="Yes","Yes","No"),0)</f>
        <v>0</v>
      </c>
      <c r="Z195" s="9" t="e" cm="1">
        <f t="array" ref="Z19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5" s="9" t="e" cm="1">
        <f t="array" ref="AA19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5" s="9" t="e">
        <f>IF(tbl_Case_mins[[#This Row],[Case Type]]="Unsch",1,0)</f>
        <v>#REF!</v>
      </c>
      <c r="AD195" s="9" t="e">
        <f>IF(tbl_Case_mins[[#This Row],[Case Type]]="Sch",1,0)</f>
        <v>#REF!</v>
      </c>
      <c r="AE19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5" s="9">
        <f>IFERROR(IF(ISBLANK(INDEX(Am_Close,MATCH(1,INDEX((tbl_Case_mins[[#This Row],[Theatre]]=Theatre_No)*(tbl_Case_mins[[#This Row],[Surgery Start Date]]=Date),0,1),0))*1440),0,INDEX(Am_Close,MATCH(1,INDEX((tbl_Case_mins[[#This Row],[Theatre]]=Theatre_No)*(tbl_Case_mins[[#This Row],[Surgery Start Date]]=Date),0,1),0))*1440),0)</f>
        <v>0</v>
      </c>
      <c r="AG195" s="9">
        <f>IFERROR(IF(ISBLANK(INDEX(PM_Open,MATCH(1,INDEX((tbl_Case_mins[[#This Row],[Theatre]]=Theatre_No)*(tbl_Case_mins[[#This Row],[Surgery Start Date]]=Date),0,1),0))*1440),0,INDEX(PM_Open,MATCH(1,INDEX((tbl_Case_mins[[#This Row],[Theatre]]=Theatre_No)*(tbl_Case_mins[[#This Row],[Surgery Start Date]]=Date),0,1),0))*1440),0)</f>
        <v>0</v>
      </c>
      <c r="AH19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5" s="9" t="e">
        <f>IF(tbl_Case_mins[[#This Row],[ThOpenAm]]=0,tbl_Case_mins[[#This Row],[ThOpenPM]],tbl_Case_mins[[#This Row],[ThOpenAm]])</f>
        <v>#REF!</v>
      </c>
      <c r="AJ195" s="9" t="e">
        <f>IF(tbl_Case_mins[[#This Row],[ThCloseAm]]&gt;0,IF(tbl_Case_mins[[#This Row],[ThOpenPM]]&gt;0,tbl_Case_mins[[#This Row],[ThClosePm]],tbl_Case_mins[[#This Row],[ThCloseAm]]),tbl_Case_mins[[#This Row],[ThClosePm]])</f>
        <v>#REF!</v>
      </c>
      <c r="AK195" s="9" t="e">
        <f>IF(tbl_Case_mins[[#This Row],[TOT]]&gt;0,1,0)</f>
        <v>#REF!</v>
      </c>
      <c r="AL19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5" s="9" t="e">
        <f>IF(AND(tbl_Case_mins[[#This Row],[Surgery Status]]&lt;&gt;2,tbl_Case_mins[[#This Row],[InCoreCase]]=0,tbl_Case_mins[[#This Row],[CancelledCase]]=0),1,0)</f>
        <v>#REF!</v>
      </c>
      <c r="AN195" s="9" t="e">
        <f>IF(tbl_Case_mins[[#This Row],[Surgery Status]]=1,1,0)</f>
        <v>#REF!</v>
      </c>
      <c r="AO19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5" s="9" t="e">
        <f>IF(AND(tbl_Case_mins[[#This Row],[NonCoreCase]]=1,tbl_Case_mins[[#This Row],[NoInCoreTime]]=0),1,0)</f>
        <v>#REF!</v>
      </c>
      <c r="AQ195" s="9" t="e">
        <f>IF(tbl_Case_mins[[#This Row],[Rank_AnaEnd]]&lt;tbl_Case_mins[[#This Row],[Rank_AnaSt]],1,0)</f>
        <v>#REF!</v>
      </c>
      <c r="AR195" s="9" t="e">
        <f>IF(AND(tbl_Case_mins[[#This Row],[InCoreCase]]=1,tbl_Case_mins[[#This Row],[Sch]]=1),1,0)</f>
        <v>#REF!</v>
      </c>
      <c r="AS195" s="9" t="e">
        <f>IF(AND(tbl_Case_mins[[#This Row],[InCoreCase]]=1,tbl_Case_mins[[#This Row],[Unsch]]=1),1,0)</f>
        <v>#REF!</v>
      </c>
      <c r="AT19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5" s="9" t="e">
        <f>IF(tbl_Case_mins[[#This Row],[Surgery Status]]=0,(tbl_Case_mins[[#This Row],[Anaesth End]]-tbl_Case_mins[[#This Row],[AnaesthStart]]),0)</f>
        <v>#REF!</v>
      </c>
      <c r="AX195" s="9" t="e">
        <f>IF(tbl_Case_mins[[#This Row],[Surgery Status]]=0,(tbl_Case_mins[[#This Row],[Surgery Finish]]-tbl_Case_mins[[#This Row],[Surgery Start]]),0)</f>
        <v>#REF!</v>
      </c>
      <c r="AY195" s="9" t="e">
        <f>tbl_Case_mins[[#This Row],[Surgery Start]]-tbl_Case_mins[[#This Row],[AnaesthStart]]</f>
        <v>#REF!</v>
      </c>
      <c r="AZ195" s="9" t="e">
        <f>tbl_Case_mins[[#This Row],[Anaesth End]]-tbl_Case_mins[[#This Row],[Surgery Finish]]</f>
        <v>#REF!</v>
      </c>
      <c r="BA19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5" s="16" cm="1">
        <f t="array" ref="BC19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5" s="16" t="e">
        <f>IF(AND(tbl_Case_mins[[#This Row],[FirstAMCase]]=1,tbl_Case_mins[[#This Row],[CancelledCase]]=0,OR(tbl_Case_mins[[#This Row],[EarlyStartAM]]&gt;0,tbl_Case_mins[[#This Row],[AnaesthStart]]=tbl_Case_mins[[#This Row],[ThOpenAm]])),1,0)</f>
        <v>#REF!</v>
      </c>
      <c r="BE195" s="16" t="e">
        <f>IF(AND(tbl_Case_mins[[#This Row],[Rank_AnaSt]]=tbl_Case_mins[[#This Row],[Min_RankAnaSt]],tbl_Case_mins[[#This Row],[Anaesth End]]&gt;=tbl_Case_mins[[#This Row],[ThOpenAm]],tbl_Case_mins[[#This Row],[PmCase]]=0),1,0)</f>
        <v>#REF!</v>
      </c>
      <c r="BF19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5" s="9" t="e" cm="1">
        <f t="array" ref="BH19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5" s="9" t="e">
        <f>IF(AND(tbl_Case_mins[[#This Row],[ThOpenPM]]&gt;0,tbl_Case_mins[[#This Row],[AnaesthStart]]&gt;tbl_Case_mins[[#This Row],[ThOpenPM]],tbl_Case_mins[[#This Row],[First PM Case]]=1),tbl_Case_mins[[#This Row],[AnaesthStart]]-tbl_Case_mins[[#This Row],[ThOpenPM]],0)</f>
        <v>#REF!</v>
      </c>
      <c r="BL19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5" s="9" t="e" cm="1">
        <f t="array" ref="BN19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5" s="9" t="e">
        <f>IF(AND(tbl_Case_mins[[#This Row],[ThClosePm]]&gt;0,tbl_Case_mins[[#This Row],[Anaesth End]]&gt;tbl_Case_mins[[#This Row],[ThClosePm]],tbl_Case_mins[[#This Row],[AnaesthStart]]&gt;tbl_Case_mins[[#This Row],[ThClosePm]]),tbl_Case_mins[[#This Row],[Into Recov]]-tbl_Case_mins[[#This Row],[AnaesthStart]],0)</f>
        <v>#REF!</v>
      </c>
      <c r="BP195" s="9" t="e">
        <f>IF(AND(tbl_Case_mins[[#This Row],[AnaesthStart]]&lt;tbl_Case_mins[[#This Row],[ThClosePm]],tbl_Case_mins[[#This Row],[Anaesth End]]&gt;tbl_Case_mins[[#This Row],[ThClosePm]]),tbl_Case_mins[[#This Row],[Anaesth End]]-tbl_Case_mins[[#This Row],[ThClosePm]],0)</f>
        <v>#REF!</v>
      </c>
      <c r="BQ195" s="9" t="e" cm="1">
        <f t="array" ref="BQ19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5" s="9" t="e" cm="1">
        <f t="array" ref="BR195">IF(tbl_Case_mins[[#This Row],[Rank_Adjust]]=SUMPRODUCT(-(tbl_Case_mins[Surgery Start Date]=tbl_Case_mins[[#This Row],[Surgery Start Date]]),-(tbl_Case_mins[Theatre]=tbl_Case_mins[[#This Row],[Theatre]])),INDEX(Poss_Time,MATCH(TEXT(tbl_Case_mins[[#This Row],[Surgery Start Date]],"ddd"),Day,0)),0)</f>
        <v>#REF!</v>
      </c>
      <c r="BS195" s="9" t="e">
        <f>tbl_Case_mins[[#This Row],[Core_Time]]*Util_Goal</f>
        <v>#REF!</v>
      </c>
      <c r="BT195" s="9" t="e" cm="1">
        <f t="array" ref="BT1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5" s="9" t="e" cm="1">
        <f t="array" ref="BU1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5" s="9" t="e">
        <f>IF(tbl_Case_mins[[#This Row],[Surgery End Date]]&gt;tbl_Case_mins[[#This Row],[Surgery Start Date]],tbl_Case_mins[[#This Row],[Anaesth End]]-1440,0)</f>
        <v>#REF!</v>
      </c>
      <c r="BY195" s="9" t="e">
        <f>tbl_Case_mins[[#This Row],[Total_NonCore]]-tbl_Case_mins[[#This Row],[NextDay_NonCore]]</f>
        <v>#REF!</v>
      </c>
      <c r="BZ195" s="10" t="e">
        <f>tbl_Case_mins[[#This Row],[InCoreUse]]/60</f>
        <v>#REF!</v>
      </c>
      <c r="CA195" s="10" t="e">
        <f>tbl_Case_mins[[#This Row],[Total_NonCore]]/60</f>
        <v>#REF!</v>
      </c>
      <c r="CB195" t="e" cm="1">
        <f t="array" ref="CB1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5" s="9" t="e" cm="1">
        <f t="array" ref="CC19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5" s="9" t="e" cm="1">
        <f t="array" ref="CD1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5" s="9" t="e" cm="1">
        <f t="array" ref="CE19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5" s="9" cm="1">
        <f t="array" ref="CF195">IFERROR(_xlfn.AGGREGATE(14,6,(tbl_Case_mins[Rank_AnaEnd])/((tbl_Case_mins[Surgery Start Date]=tbl_Case_mins[[#This Row],[Surgery Start Date]])*(tbl_Case_mins[Theatre]=tbl_Case_mins[[#This Row],[Theatre]])*(tbl_Case_mins[NoInCoreTime]=0)),1),-1)</f>
        <v>-1</v>
      </c>
      <c r="CG195" s="9" cm="1">
        <f t="array" ref="CG195">IFERROR(_xlfn.AGGREGATE(15,6,(tbl_Case_mins[Rank_AnaSt])/((tbl_Case_mins[Surgery Start Date]=tbl_Case_mins[[#This Row],[Surgery Start Date]])*(tbl_Case_mins[Theatre]=tbl_Case_mins[[#This Row],[Theatre]])*(tbl_Case_mins[NoInCoreTime]=0)),1),-1)</f>
        <v>-1</v>
      </c>
      <c r="CH19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5" t="e" cm="1">
        <f t="array" ref="CJ19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5" s="9" cm="1">
        <f t="array" ref="CO1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5" s="9" cm="1">
        <f t="array" ref="CP1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5" s="9" cm="1">
        <f t="array" ref="CQ195">IFERROR(IF(AND(tbl_Case_mins[[#This Row],[FirstAMCase]]=0,tbl_Case_mins[[#This Row],[Rank]]=_xlfn.AGGREGATE(14,6,(tbl_Case_mins[Rank])/((tbl_Case_mins[Surgery Start Date]=tbl_Case_mins[[#This Row],[Surgery Start Date]])*(tbl_Case_mins[Theatre]=tbl_Case_mins[[#This Row],[Theatre]])*(tbl_Case_mins[AmCase]=1)),1)),1,0),0)</f>
        <v>0</v>
      </c>
      <c r="CR195" s="9" cm="1">
        <f t="array" ref="CR19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5" s="9" t="e" cm="1">
        <f t="array" ref="CS19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5" s="9" cm="1">
        <f t="array" ref="CT195">IFERROR(IF(tbl_Case_mins[[#This Row],[Rank]]=_xlfn.AGGREGATE(15,6,(tbl_Case_mins[Rank])/((tbl_Case_mins[Surgery Start Date]=tbl_Case_mins[[#This Row],[Surgery Start Date]])*(tbl_Case_mins[Theatre]=tbl_Case_mins[[#This Row],[Theatre]])*(tbl_Case_mins[PmCase]=1)),1),1,0),0)</f>
        <v>0</v>
      </c>
      <c r="CU195">
        <f>IFERROR(#REF!,0)</f>
        <v>0</v>
      </c>
      <c r="CV195" s="9" t="e" cm="1">
        <f t="array" ref="CV19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5" s="9">
        <f>IFERROR(IF(ISBLANK(INDEX(Bay_AmClose,MATCH(1,INDEX((tbl_Case_mins[[#This Row],[Bay]]=BayNo)*(tbl_Case_mins[[#This Row],[Surgery Start Date]]=BDate),0,1),0))*1440),0,INDEX(Bay_AmClose,MATCH(1,INDEX((tbl_Case_mins[[#This Row],[Bay]]=BayNo)*(tbl_Case_mins[[#This Row],[Surgery Start Date]]=BDate),0,1),0))*1440),0)</f>
        <v>0</v>
      </c>
      <c r="CX195" s="9" cm="1">
        <f t="array" ref="CX195">IFERROR(IF(ISBLANK(INDEX(Bay_PmOpen,MATCH(1,INDEX((tbl_Case_mins[[#This Row],[Bay]]=BayNo)*(tbl_Case_mins[[#This Row],[Surgery Start Date]]=BDate),0,1),0))*1440),0,INDEX(Bay_PmOpen,MATCH(1,INDEX((tbl_Case_mins[[#This Row],[Bay]]=BayNo)*(tbl_Case_mins[[#This Row],[Surgery Start Date]]=BDate),0,1),0))*1440),0)</f>
        <v>0</v>
      </c>
      <c r="CY19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5" s="9"/>
    </row>
    <row r="196" spans="1:104" x14ac:dyDescent="0.2">
      <c r="A196">
        <v>195</v>
      </c>
      <c r="B196" t="e">
        <f>#REF!</f>
        <v>#REF!</v>
      </c>
      <c r="C196" t="e">
        <f>#REF!</f>
        <v>#REF!</v>
      </c>
      <c r="D196" t="e">
        <f>#REF!</f>
        <v>#REF!</v>
      </c>
      <c r="E196" t="e">
        <f>#REF!</f>
        <v>#REF!</v>
      </c>
      <c r="F196" t="e">
        <f>#REF!</f>
        <v>#REF!</v>
      </c>
      <c r="G196" t="e">
        <f>#REF!</f>
        <v>#REF!</v>
      </c>
      <c r="H196" t="e">
        <f>#REF!</f>
        <v>#REF!</v>
      </c>
      <c r="I196" t="e">
        <f>IF(#REF!="Case Cancelled",1,IF(#REF!="No Cases",2,0))</f>
        <v>#REF!</v>
      </c>
      <c r="J196" t="e">
        <f>#REF!</f>
        <v>#REF!</v>
      </c>
      <c r="K196" s="4" t="e">
        <f>#REF!</f>
        <v>#REF!</v>
      </c>
      <c r="L196" t="e">
        <f>"Wk "&amp;WEEKNUM(tbl_Case_mins[[#This Row],[Surgery Start Date]],21)</f>
        <v>#REF!</v>
      </c>
      <c r="M196" t="e">
        <f>TEXT(tbl_Case_mins[[#This Row],[Surgery Start Date]],"ddd")</f>
        <v>#REF!</v>
      </c>
      <c r="N196" s="9" t="e">
        <f>(#REF!-TIME(0,0,0))*1440</f>
        <v>#REF!</v>
      </c>
      <c r="O196" t="e">
        <f>IF(AND(ROUND((#REF!-TIME(0,0,0))*1440,0)&gt;0,ROUND((#REF!-TIME(0,0,0))*1440,0)&lt;tbl_Case_mins[[#This Row],[Patient Called]],tbl_Case_mins[[#This Row],[Surgery End Date]]&gt;tbl_Case_mins[[#This Row],[Surgery Start Date]]),ROUND((#REF!-TIME(0,0,0))*1440,0)+1440,ROUND((#REF!-TIME(0,0,0))*1440,0))</f>
        <v>#REF!</v>
      </c>
      <c r="P196" s="9" t="e">
        <f>IF(AND(ROUND((#REF!-TIME(0,0,0))*1440,0)&gt;0,ROUND((#REF!-TIME(0,0,0))*1440,0)&lt;tbl_Case_mins[[#This Row],[Arrival]],tbl_Case_mins[[#This Row],[Surgery End Date]]&gt;tbl_Case_mins[[#This Row],[Surgery Start Date]]),ROUND((#REF!-TIME(0,0,0))*1440,0)+1440,ROUND((#REF!-TIME(0,0,0))*1440,0))</f>
        <v>#REF!</v>
      </c>
      <c r="Q196" s="9" t="e">
        <f>IF(AND(ROUND((#REF!-TIME(0,0,0))*1440,0)&gt;0,ROUND((#REF!-TIME(0,0,0))*1440,0)&lt;tbl_Case_mins[[#This Row],[Into Th or AR]],tbl_Case_mins[[#This Row],[Surgery End Date]]&gt;tbl_Case_mins[[#This Row],[Surgery Start Date]]),ROUND((#REF!-TIME(0,0,0))*1440,0)+1440,ROUND((#REF!-TIME(0,0,0))*1440,0))</f>
        <v>#REF!</v>
      </c>
      <c r="R196" s="9" t="e">
        <f>IF(AND(ROUND((#REF!-TIME(0,0,0))*1440,0)&gt;0,ROUND((#REF!-TIME(0,0,0))*1440,0)&lt;tbl_Case_mins[[#This Row],[AnaesthStart]],tbl_Case_mins[[#This Row],[Surgery End Date]]&gt;tbl_Case_mins[[#This Row],[Surgery Start Date]]),ROUND((#REF!-TIME(0,0,0))*1440,0)+1440,ROUND((#REF!-TIME(0,0,0))*1440,0))</f>
        <v>#REF!</v>
      </c>
      <c r="S196" s="9" t="e">
        <f>IF(AND(ROUND((#REF!-TIME(0,0,0))*1440,0),ROUND((#REF!-TIME(0,0,0))*1440,0)&lt;tbl_Case_mins[[#This Row],[Surgery Start]],tbl_Case_mins[[#This Row],[Surgery End Date]]&gt;tbl_Case_mins[[#This Row],[Surgery Start Date]]),ROUND((#REF!-TIME(0,0,0))*1440,0)+1440,ROUND((#REF!-TIME(0,0,0))*1440,0))</f>
        <v>#REF!</v>
      </c>
      <c r="T196" s="9" t="e">
        <f>IF(AND(ROUND((#REF!-TIME(0,0,0))*1440,0)&gt;0,ROUND((#REF!-TIME(0,0,0))*1440,0)&lt;tbl_Case_mins[[#This Row],[Surgery Finish]],tbl_Case_mins[[#This Row],[Surgery End Date]]&gt;tbl_Case_mins[[#This Row],[Surgery Start Date]]),ROUND((#REF!-TIME(0,0,0))*1440,0)+1440,ROUND((#REF!-TIME(0,0,0))*1440,0))</f>
        <v>#REF!</v>
      </c>
      <c r="U196" s="9" t="e">
        <f>IF(AND(ROUND((#REF!-TIME(0,0,0))*1440,0)&gt;0,ROUND((#REF!-TIME(0,0,0))*1440,0)&lt;tbl_Case_mins[[#This Row],[Anaesth End]],tbl_Case_mins[[#This Row],[Surgery End Date]]&gt;tbl_Case_mins[[#This Row],[Surgery Start Date]]),ROUND((#REF!-TIME(0,0,0))*1440,0)+1440,ROUND((#REF!-TIME(0,0,0))*1440,0))</f>
        <v>#REF!</v>
      </c>
      <c r="V196" s="9" t="e">
        <f>IF(AND(ROUND((#REF!-TIME(0,0,0))*1440,0)&gt;0,ROUND((#REF!-TIME(0,0,0))*1440,0)&lt;tbl_Case_mins[[#This Row],[Into Recov]],tbl_Case_mins[[#This Row],[Surgery End Date]]&gt;tbl_Case_mins[[#This Row],[Surgery Start Date]]),ROUND((#REF!-TIME(0,0,0))*1440,0)+1440,ROUND((#REF!-TIME(0,0,0))*1440,0))</f>
        <v>#REF!</v>
      </c>
      <c r="W196" s="9" t="e">
        <f>IF(AND(ROUND((#REF!-TIME(0,0,0))*1440,0)&gt;0,ROUND((#REF!-TIME(0,0,0))*1440,0)&lt;tbl_Case_mins[[#This Row],[Ward Called]],tbl_Case_mins[[#This Row],[Surgery End Date]]&gt;tbl_Case_mins[[#This Row],[Surgery Start Date]]),ROUND((#REF!-TIME(0,0,0))*1440,0)+1440,ROUND((#REF!-TIME(0,0,0))*1440,0))</f>
        <v>#REF!</v>
      </c>
      <c r="X196" s="4" t="e">
        <f>IF(ISBLANK(#REF!),tbl_Case_mins[[#This Row],[Surgery Start Date]],#REF!)</f>
        <v>#REF!</v>
      </c>
      <c r="Y196">
        <f>IFERROR(IF(VLOOKUP(tbl_Case_mins[[#This Row],[Theatre]],'Mng Theatres'!$C$7:$G$12,3,FALSE)="Yes","Yes","No"),0)</f>
        <v>0</v>
      </c>
      <c r="Z196" s="9" t="e" cm="1">
        <f t="array" ref="Z19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6" s="9" t="e" cm="1">
        <f t="array" ref="AA19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6" s="9" t="e">
        <f>IF(tbl_Case_mins[[#This Row],[Case Type]]="Unsch",1,0)</f>
        <v>#REF!</v>
      </c>
      <c r="AD196" s="9" t="e">
        <f>IF(tbl_Case_mins[[#This Row],[Case Type]]="Sch",1,0)</f>
        <v>#REF!</v>
      </c>
      <c r="AE19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6" s="9">
        <f>IFERROR(IF(ISBLANK(INDEX(Am_Close,MATCH(1,INDEX((tbl_Case_mins[[#This Row],[Theatre]]=Theatre_No)*(tbl_Case_mins[[#This Row],[Surgery Start Date]]=Date),0,1),0))*1440),0,INDEX(Am_Close,MATCH(1,INDEX((tbl_Case_mins[[#This Row],[Theatre]]=Theatre_No)*(tbl_Case_mins[[#This Row],[Surgery Start Date]]=Date),0,1),0))*1440),0)</f>
        <v>0</v>
      </c>
      <c r="AG196" s="9">
        <f>IFERROR(IF(ISBLANK(INDEX(PM_Open,MATCH(1,INDEX((tbl_Case_mins[[#This Row],[Theatre]]=Theatre_No)*(tbl_Case_mins[[#This Row],[Surgery Start Date]]=Date),0,1),0))*1440),0,INDEX(PM_Open,MATCH(1,INDEX((tbl_Case_mins[[#This Row],[Theatre]]=Theatre_No)*(tbl_Case_mins[[#This Row],[Surgery Start Date]]=Date),0,1),0))*1440),0)</f>
        <v>0</v>
      </c>
      <c r="AH19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6" s="9" t="e">
        <f>IF(tbl_Case_mins[[#This Row],[ThOpenAm]]=0,tbl_Case_mins[[#This Row],[ThOpenPM]],tbl_Case_mins[[#This Row],[ThOpenAm]])</f>
        <v>#REF!</v>
      </c>
      <c r="AJ196" s="9" t="e">
        <f>IF(tbl_Case_mins[[#This Row],[ThCloseAm]]&gt;0,IF(tbl_Case_mins[[#This Row],[ThOpenPM]]&gt;0,tbl_Case_mins[[#This Row],[ThClosePm]],tbl_Case_mins[[#This Row],[ThCloseAm]]),tbl_Case_mins[[#This Row],[ThClosePm]])</f>
        <v>#REF!</v>
      </c>
      <c r="AK196" s="9" t="e">
        <f>IF(tbl_Case_mins[[#This Row],[TOT]]&gt;0,1,0)</f>
        <v>#REF!</v>
      </c>
      <c r="AL19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6" s="9" t="e">
        <f>IF(AND(tbl_Case_mins[[#This Row],[Surgery Status]]&lt;&gt;2,tbl_Case_mins[[#This Row],[InCoreCase]]=0,tbl_Case_mins[[#This Row],[CancelledCase]]=0),1,0)</f>
        <v>#REF!</v>
      </c>
      <c r="AN196" s="9" t="e">
        <f>IF(tbl_Case_mins[[#This Row],[Surgery Status]]=1,1,0)</f>
        <v>#REF!</v>
      </c>
      <c r="AO19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6" s="9" t="e">
        <f>IF(AND(tbl_Case_mins[[#This Row],[NonCoreCase]]=1,tbl_Case_mins[[#This Row],[NoInCoreTime]]=0),1,0)</f>
        <v>#REF!</v>
      </c>
      <c r="AQ196" s="9" t="e">
        <f>IF(tbl_Case_mins[[#This Row],[Rank_AnaEnd]]&lt;tbl_Case_mins[[#This Row],[Rank_AnaSt]],1,0)</f>
        <v>#REF!</v>
      </c>
      <c r="AR196" s="9" t="e">
        <f>IF(AND(tbl_Case_mins[[#This Row],[InCoreCase]]=1,tbl_Case_mins[[#This Row],[Sch]]=1),1,0)</f>
        <v>#REF!</v>
      </c>
      <c r="AS196" s="9" t="e">
        <f>IF(AND(tbl_Case_mins[[#This Row],[InCoreCase]]=1,tbl_Case_mins[[#This Row],[Unsch]]=1),1,0)</f>
        <v>#REF!</v>
      </c>
      <c r="AT19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6" s="9" t="e">
        <f>IF(tbl_Case_mins[[#This Row],[Surgery Status]]=0,(tbl_Case_mins[[#This Row],[Anaesth End]]-tbl_Case_mins[[#This Row],[AnaesthStart]]),0)</f>
        <v>#REF!</v>
      </c>
      <c r="AX196" s="9" t="e">
        <f>IF(tbl_Case_mins[[#This Row],[Surgery Status]]=0,(tbl_Case_mins[[#This Row],[Surgery Finish]]-tbl_Case_mins[[#This Row],[Surgery Start]]),0)</f>
        <v>#REF!</v>
      </c>
      <c r="AY196" s="9" t="e">
        <f>tbl_Case_mins[[#This Row],[Surgery Start]]-tbl_Case_mins[[#This Row],[AnaesthStart]]</f>
        <v>#REF!</v>
      </c>
      <c r="AZ196" s="9" t="e">
        <f>tbl_Case_mins[[#This Row],[Anaesth End]]-tbl_Case_mins[[#This Row],[Surgery Finish]]</f>
        <v>#REF!</v>
      </c>
      <c r="BA19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6" s="16" cm="1">
        <f t="array" ref="BC19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6" s="16" t="e">
        <f>IF(AND(tbl_Case_mins[[#This Row],[FirstAMCase]]=1,tbl_Case_mins[[#This Row],[CancelledCase]]=0,OR(tbl_Case_mins[[#This Row],[EarlyStartAM]]&gt;0,tbl_Case_mins[[#This Row],[AnaesthStart]]=tbl_Case_mins[[#This Row],[ThOpenAm]])),1,0)</f>
        <v>#REF!</v>
      </c>
      <c r="BE196" s="16" t="e">
        <f>IF(AND(tbl_Case_mins[[#This Row],[Rank_AnaSt]]=tbl_Case_mins[[#This Row],[Min_RankAnaSt]],tbl_Case_mins[[#This Row],[Anaesth End]]&gt;=tbl_Case_mins[[#This Row],[ThOpenAm]],tbl_Case_mins[[#This Row],[PmCase]]=0),1,0)</f>
        <v>#REF!</v>
      </c>
      <c r="BF19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6" s="9" t="e" cm="1">
        <f t="array" ref="BH19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6" s="9" t="e">
        <f>IF(AND(tbl_Case_mins[[#This Row],[ThOpenPM]]&gt;0,tbl_Case_mins[[#This Row],[AnaesthStart]]&gt;tbl_Case_mins[[#This Row],[ThOpenPM]],tbl_Case_mins[[#This Row],[First PM Case]]=1),tbl_Case_mins[[#This Row],[AnaesthStart]]-tbl_Case_mins[[#This Row],[ThOpenPM]],0)</f>
        <v>#REF!</v>
      </c>
      <c r="BL19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6" s="9" t="e" cm="1">
        <f t="array" ref="BN19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6" s="9" t="e">
        <f>IF(AND(tbl_Case_mins[[#This Row],[ThClosePm]]&gt;0,tbl_Case_mins[[#This Row],[Anaesth End]]&gt;tbl_Case_mins[[#This Row],[ThClosePm]],tbl_Case_mins[[#This Row],[AnaesthStart]]&gt;tbl_Case_mins[[#This Row],[ThClosePm]]),tbl_Case_mins[[#This Row],[Into Recov]]-tbl_Case_mins[[#This Row],[AnaesthStart]],0)</f>
        <v>#REF!</v>
      </c>
      <c r="BP196" s="9" t="e">
        <f>IF(AND(tbl_Case_mins[[#This Row],[AnaesthStart]]&lt;tbl_Case_mins[[#This Row],[ThClosePm]],tbl_Case_mins[[#This Row],[Anaesth End]]&gt;tbl_Case_mins[[#This Row],[ThClosePm]]),tbl_Case_mins[[#This Row],[Anaesth End]]-tbl_Case_mins[[#This Row],[ThClosePm]],0)</f>
        <v>#REF!</v>
      </c>
      <c r="BQ196" s="9" t="e" cm="1">
        <f t="array" ref="BQ19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6" s="9" t="e" cm="1">
        <f t="array" ref="BR196">IF(tbl_Case_mins[[#This Row],[Rank_Adjust]]=SUMPRODUCT(-(tbl_Case_mins[Surgery Start Date]=tbl_Case_mins[[#This Row],[Surgery Start Date]]),-(tbl_Case_mins[Theatre]=tbl_Case_mins[[#This Row],[Theatre]])),INDEX(Poss_Time,MATCH(TEXT(tbl_Case_mins[[#This Row],[Surgery Start Date]],"ddd"),Day,0)),0)</f>
        <v>#REF!</v>
      </c>
      <c r="BS196" s="9" t="e">
        <f>tbl_Case_mins[[#This Row],[Core_Time]]*Util_Goal</f>
        <v>#REF!</v>
      </c>
      <c r="BT196" s="9" t="e" cm="1">
        <f t="array" ref="BT1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6" s="9" t="e" cm="1">
        <f t="array" ref="BU1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6" s="9" t="e">
        <f>IF(tbl_Case_mins[[#This Row],[Surgery End Date]]&gt;tbl_Case_mins[[#This Row],[Surgery Start Date]],tbl_Case_mins[[#This Row],[Anaesth End]]-1440,0)</f>
        <v>#REF!</v>
      </c>
      <c r="BY196" s="9" t="e">
        <f>tbl_Case_mins[[#This Row],[Total_NonCore]]-tbl_Case_mins[[#This Row],[NextDay_NonCore]]</f>
        <v>#REF!</v>
      </c>
      <c r="BZ196" s="10" t="e">
        <f>tbl_Case_mins[[#This Row],[InCoreUse]]/60</f>
        <v>#REF!</v>
      </c>
      <c r="CA196" s="10" t="e">
        <f>tbl_Case_mins[[#This Row],[Total_NonCore]]/60</f>
        <v>#REF!</v>
      </c>
      <c r="CB196" t="e" cm="1">
        <f t="array" ref="CB1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6" s="9" t="e" cm="1">
        <f t="array" ref="CC19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6" s="9" t="e" cm="1">
        <f t="array" ref="CD1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6" s="9" t="e" cm="1">
        <f t="array" ref="CE19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6" s="9" cm="1">
        <f t="array" ref="CF196">IFERROR(_xlfn.AGGREGATE(14,6,(tbl_Case_mins[Rank_AnaEnd])/((tbl_Case_mins[Surgery Start Date]=tbl_Case_mins[[#This Row],[Surgery Start Date]])*(tbl_Case_mins[Theatre]=tbl_Case_mins[[#This Row],[Theatre]])*(tbl_Case_mins[NoInCoreTime]=0)),1),-1)</f>
        <v>-1</v>
      </c>
      <c r="CG196" s="9" cm="1">
        <f t="array" ref="CG196">IFERROR(_xlfn.AGGREGATE(15,6,(tbl_Case_mins[Rank_AnaSt])/((tbl_Case_mins[Surgery Start Date]=tbl_Case_mins[[#This Row],[Surgery Start Date]])*(tbl_Case_mins[Theatre]=tbl_Case_mins[[#This Row],[Theatre]])*(tbl_Case_mins[NoInCoreTime]=0)),1),-1)</f>
        <v>-1</v>
      </c>
      <c r="CH19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6" t="e" cm="1">
        <f t="array" ref="CJ19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6" s="9" cm="1">
        <f t="array" ref="CO1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6" s="9" cm="1">
        <f t="array" ref="CP1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6" s="9" cm="1">
        <f t="array" ref="CQ196">IFERROR(IF(AND(tbl_Case_mins[[#This Row],[FirstAMCase]]=0,tbl_Case_mins[[#This Row],[Rank]]=_xlfn.AGGREGATE(14,6,(tbl_Case_mins[Rank])/((tbl_Case_mins[Surgery Start Date]=tbl_Case_mins[[#This Row],[Surgery Start Date]])*(tbl_Case_mins[Theatre]=tbl_Case_mins[[#This Row],[Theatre]])*(tbl_Case_mins[AmCase]=1)),1)),1,0),0)</f>
        <v>0</v>
      </c>
      <c r="CR196" s="9" cm="1">
        <f t="array" ref="CR19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6" s="9" t="e" cm="1">
        <f t="array" ref="CS19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6" s="9" cm="1">
        <f t="array" ref="CT196">IFERROR(IF(tbl_Case_mins[[#This Row],[Rank]]=_xlfn.AGGREGATE(15,6,(tbl_Case_mins[Rank])/((tbl_Case_mins[Surgery Start Date]=tbl_Case_mins[[#This Row],[Surgery Start Date]])*(tbl_Case_mins[Theatre]=tbl_Case_mins[[#This Row],[Theatre]])*(tbl_Case_mins[PmCase]=1)),1),1,0),0)</f>
        <v>0</v>
      </c>
      <c r="CU196">
        <f>IFERROR(#REF!,0)</f>
        <v>0</v>
      </c>
      <c r="CV196" s="9" t="e" cm="1">
        <f t="array" ref="CV19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6" s="9">
        <f>IFERROR(IF(ISBLANK(INDEX(Bay_AmClose,MATCH(1,INDEX((tbl_Case_mins[[#This Row],[Bay]]=BayNo)*(tbl_Case_mins[[#This Row],[Surgery Start Date]]=BDate),0,1),0))*1440),0,INDEX(Bay_AmClose,MATCH(1,INDEX((tbl_Case_mins[[#This Row],[Bay]]=BayNo)*(tbl_Case_mins[[#This Row],[Surgery Start Date]]=BDate),0,1),0))*1440),0)</f>
        <v>0</v>
      </c>
      <c r="CX196" s="9" cm="1">
        <f t="array" ref="CX196">IFERROR(IF(ISBLANK(INDEX(Bay_PmOpen,MATCH(1,INDEX((tbl_Case_mins[[#This Row],[Bay]]=BayNo)*(tbl_Case_mins[[#This Row],[Surgery Start Date]]=BDate),0,1),0))*1440),0,INDEX(Bay_PmOpen,MATCH(1,INDEX((tbl_Case_mins[[#This Row],[Bay]]=BayNo)*(tbl_Case_mins[[#This Row],[Surgery Start Date]]=BDate),0,1),0))*1440),0)</f>
        <v>0</v>
      </c>
      <c r="CY19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6" s="9"/>
    </row>
    <row r="197" spans="1:104" x14ac:dyDescent="0.2">
      <c r="A197">
        <v>196</v>
      </c>
      <c r="B197" t="e">
        <f>#REF!</f>
        <v>#REF!</v>
      </c>
      <c r="C197" t="e">
        <f>#REF!</f>
        <v>#REF!</v>
      </c>
      <c r="D197" t="e">
        <f>#REF!</f>
        <v>#REF!</v>
      </c>
      <c r="E197" t="e">
        <f>#REF!</f>
        <v>#REF!</v>
      </c>
      <c r="F197" t="e">
        <f>#REF!</f>
        <v>#REF!</v>
      </c>
      <c r="G197" t="e">
        <f>#REF!</f>
        <v>#REF!</v>
      </c>
      <c r="H197" t="e">
        <f>#REF!</f>
        <v>#REF!</v>
      </c>
      <c r="I197" t="e">
        <f>IF(#REF!="Case Cancelled",1,IF(#REF!="No Cases",2,0))</f>
        <v>#REF!</v>
      </c>
      <c r="J197" t="e">
        <f>#REF!</f>
        <v>#REF!</v>
      </c>
      <c r="K197" s="4" t="e">
        <f>#REF!</f>
        <v>#REF!</v>
      </c>
      <c r="L197" t="e">
        <f>"Wk "&amp;WEEKNUM(tbl_Case_mins[[#This Row],[Surgery Start Date]],21)</f>
        <v>#REF!</v>
      </c>
      <c r="M197" t="e">
        <f>TEXT(tbl_Case_mins[[#This Row],[Surgery Start Date]],"ddd")</f>
        <v>#REF!</v>
      </c>
      <c r="N197" s="9" t="e">
        <f>(#REF!-TIME(0,0,0))*1440</f>
        <v>#REF!</v>
      </c>
      <c r="O197" t="e">
        <f>IF(AND(ROUND((#REF!-TIME(0,0,0))*1440,0)&gt;0,ROUND((#REF!-TIME(0,0,0))*1440,0)&lt;tbl_Case_mins[[#This Row],[Patient Called]],tbl_Case_mins[[#This Row],[Surgery End Date]]&gt;tbl_Case_mins[[#This Row],[Surgery Start Date]]),ROUND((#REF!-TIME(0,0,0))*1440,0)+1440,ROUND((#REF!-TIME(0,0,0))*1440,0))</f>
        <v>#REF!</v>
      </c>
      <c r="P197" s="9" t="e">
        <f>IF(AND(ROUND((#REF!-TIME(0,0,0))*1440,0)&gt;0,ROUND((#REF!-TIME(0,0,0))*1440,0)&lt;tbl_Case_mins[[#This Row],[Arrival]],tbl_Case_mins[[#This Row],[Surgery End Date]]&gt;tbl_Case_mins[[#This Row],[Surgery Start Date]]),ROUND((#REF!-TIME(0,0,0))*1440,0)+1440,ROUND((#REF!-TIME(0,0,0))*1440,0))</f>
        <v>#REF!</v>
      </c>
      <c r="Q197" s="9" t="e">
        <f>IF(AND(ROUND((#REF!-TIME(0,0,0))*1440,0)&gt;0,ROUND((#REF!-TIME(0,0,0))*1440,0)&lt;tbl_Case_mins[[#This Row],[Into Th or AR]],tbl_Case_mins[[#This Row],[Surgery End Date]]&gt;tbl_Case_mins[[#This Row],[Surgery Start Date]]),ROUND((#REF!-TIME(0,0,0))*1440,0)+1440,ROUND((#REF!-TIME(0,0,0))*1440,0))</f>
        <v>#REF!</v>
      </c>
      <c r="R197" s="9" t="e">
        <f>IF(AND(ROUND((#REF!-TIME(0,0,0))*1440,0)&gt;0,ROUND((#REF!-TIME(0,0,0))*1440,0)&lt;tbl_Case_mins[[#This Row],[AnaesthStart]],tbl_Case_mins[[#This Row],[Surgery End Date]]&gt;tbl_Case_mins[[#This Row],[Surgery Start Date]]),ROUND((#REF!-TIME(0,0,0))*1440,0)+1440,ROUND((#REF!-TIME(0,0,0))*1440,0))</f>
        <v>#REF!</v>
      </c>
      <c r="S197" s="9" t="e">
        <f>IF(AND(ROUND((#REF!-TIME(0,0,0))*1440,0),ROUND((#REF!-TIME(0,0,0))*1440,0)&lt;tbl_Case_mins[[#This Row],[Surgery Start]],tbl_Case_mins[[#This Row],[Surgery End Date]]&gt;tbl_Case_mins[[#This Row],[Surgery Start Date]]),ROUND((#REF!-TIME(0,0,0))*1440,0)+1440,ROUND((#REF!-TIME(0,0,0))*1440,0))</f>
        <v>#REF!</v>
      </c>
      <c r="T197" s="9" t="e">
        <f>IF(AND(ROUND((#REF!-TIME(0,0,0))*1440,0)&gt;0,ROUND((#REF!-TIME(0,0,0))*1440,0)&lt;tbl_Case_mins[[#This Row],[Surgery Finish]],tbl_Case_mins[[#This Row],[Surgery End Date]]&gt;tbl_Case_mins[[#This Row],[Surgery Start Date]]),ROUND((#REF!-TIME(0,0,0))*1440,0)+1440,ROUND((#REF!-TIME(0,0,0))*1440,0))</f>
        <v>#REF!</v>
      </c>
      <c r="U197" s="9" t="e">
        <f>IF(AND(ROUND((#REF!-TIME(0,0,0))*1440,0)&gt;0,ROUND((#REF!-TIME(0,0,0))*1440,0)&lt;tbl_Case_mins[[#This Row],[Anaesth End]],tbl_Case_mins[[#This Row],[Surgery End Date]]&gt;tbl_Case_mins[[#This Row],[Surgery Start Date]]),ROUND((#REF!-TIME(0,0,0))*1440,0)+1440,ROUND((#REF!-TIME(0,0,0))*1440,0))</f>
        <v>#REF!</v>
      </c>
      <c r="V197" s="9" t="e">
        <f>IF(AND(ROUND((#REF!-TIME(0,0,0))*1440,0)&gt;0,ROUND((#REF!-TIME(0,0,0))*1440,0)&lt;tbl_Case_mins[[#This Row],[Into Recov]],tbl_Case_mins[[#This Row],[Surgery End Date]]&gt;tbl_Case_mins[[#This Row],[Surgery Start Date]]),ROUND((#REF!-TIME(0,0,0))*1440,0)+1440,ROUND((#REF!-TIME(0,0,0))*1440,0))</f>
        <v>#REF!</v>
      </c>
      <c r="W197" s="9" t="e">
        <f>IF(AND(ROUND((#REF!-TIME(0,0,0))*1440,0)&gt;0,ROUND((#REF!-TIME(0,0,0))*1440,0)&lt;tbl_Case_mins[[#This Row],[Ward Called]],tbl_Case_mins[[#This Row],[Surgery End Date]]&gt;tbl_Case_mins[[#This Row],[Surgery Start Date]]),ROUND((#REF!-TIME(0,0,0))*1440,0)+1440,ROUND((#REF!-TIME(0,0,0))*1440,0))</f>
        <v>#REF!</v>
      </c>
      <c r="X197" s="4" t="e">
        <f>IF(ISBLANK(#REF!),tbl_Case_mins[[#This Row],[Surgery Start Date]],#REF!)</f>
        <v>#REF!</v>
      </c>
      <c r="Y197">
        <f>IFERROR(IF(VLOOKUP(tbl_Case_mins[[#This Row],[Theatre]],'Mng Theatres'!$C$7:$G$12,3,FALSE)="Yes","Yes","No"),0)</f>
        <v>0</v>
      </c>
      <c r="Z197" s="9" t="e" cm="1">
        <f t="array" ref="Z19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7" s="9" t="e" cm="1">
        <f t="array" ref="AA19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7" s="9" t="e">
        <f>IF(tbl_Case_mins[[#This Row],[Case Type]]="Unsch",1,0)</f>
        <v>#REF!</v>
      </c>
      <c r="AD197" s="9" t="e">
        <f>IF(tbl_Case_mins[[#This Row],[Case Type]]="Sch",1,0)</f>
        <v>#REF!</v>
      </c>
      <c r="AE19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7" s="9">
        <f>IFERROR(IF(ISBLANK(INDEX(Am_Close,MATCH(1,INDEX((tbl_Case_mins[[#This Row],[Theatre]]=Theatre_No)*(tbl_Case_mins[[#This Row],[Surgery Start Date]]=Date),0,1),0))*1440),0,INDEX(Am_Close,MATCH(1,INDEX((tbl_Case_mins[[#This Row],[Theatre]]=Theatre_No)*(tbl_Case_mins[[#This Row],[Surgery Start Date]]=Date),0,1),0))*1440),0)</f>
        <v>0</v>
      </c>
      <c r="AG197" s="9">
        <f>IFERROR(IF(ISBLANK(INDEX(PM_Open,MATCH(1,INDEX((tbl_Case_mins[[#This Row],[Theatre]]=Theatre_No)*(tbl_Case_mins[[#This Row],[Surgery Start Date]]=Date),0,1),0))*1440),0,INDEX(PM_Open,MATCH(1,INDEX((tbl_Case_mins[[#This Row],[Theatre]]=Theatre_No)*(tbl_Case_mins[[#This Row],[Surgery Start Date]]=Date),0,1),0))*1440),0)</f>
        <v>0</v>
      </c>
      <c r="AH19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7" s="9" t="e">
        <f>IF(tbl_Case_mins[[#This Row],[ThOpenAm]]=0,tbl_Case_mins[[#This Row],[ThOpenPM]],tbl_Case_mins[[#This Row],[ThOpenAm]])</f>
        <v>#REF!</v>
      </c>
      <c r="AJ197" s="9" t="e">
        <f>IF(tbl_Case_mins[[#This Row],[ThCloseAm]]&gt;0,IF(tbl_Case_mins[[#This Row],[ThOpenPM]]&gt;0,tbl_Case_mins[[#This Row],[ThClosePm]],tbl_Case_mins[[#This Row],[ThCloseAm]]),tbl_Case_mins[[#This Row],[ThClosePm]])</f>
        <v>#REF!</v>
      </c>
      <c r="AK197" s="9" t="e">
        <f>IF(tbl_Case_mins[[#This Row],[TOT]]&gt;0,1,0)</f>
        <v>#REF!</v>
      </c>
      <c r="AL19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7" s="9" t="e">
        <f>IF(AND(tbl_Case_mins[[#This Row],[Surgery Status]]&lt;&gt;2,tbl_Case_mins[[#This Row],[InCoreCase]]=0,tbl_Case_mins[[#This Row],[CancelledCase]]=0),1,0)</f>
        <v>#REF!</v>
      </c>
      <c r="AN197" s="9" t="e">
        <f>IF(tbl_Case_mins[[#This Row],[Surgery Status]]=1,1,0)</f>
        <v>#REF!</v>
      </c>
      <c r="AO19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7" s="9" t="e">
        <f>IF(AND(tbl_Case_mins[[#This Row],[NonCoreCase]]=1,tbl_Case_mins[[#This Row],[NoInCoreTime]]=0),1,0)</f>
        <v>#REF!</v>
      </c>
      <c r="AQ197" s="9" t="e">
        <f>IF(tbl_Case_mins[[#This Row],[Rank_AnaEnd]]&lt;tbl_Case_mins[[#This Row],[Rank_AnaSt]],1,0)</f>
        <v>#REF!</v>
      </c>
      <c r="AR197" s="9" t="e">
        <f>IF(AND(tbl_Case_mins[[#This Row],[InCoreCase]]=1,tbl_Case_mins[[#This Row],[Sch]]=1),1,0)</f>
        <v>#REF!</v>
      </c>
      <c r="AS197" s="9" t="e">
        <f>IF(AND(tbl_Case_mins[[#This Row],[InCoreCase]]=1,tbl_Case_mins[[#This Row],[Unsch]]=1),1,0)</f>
        <v>#REF!</v>
      </c>
      <c r="AT19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7" s="9" t="e">
        <f>IF(tbl_Case_mins[[#This Row],[Surgery Status]]=0,(tbl_Case_mins[[#This Row],[Anaesth End]]-tbl_Case_mins[[#This Row],[AnaesthStart]]),0)</f>
        <v>#REF!</v>
      </c>
      <c r="AX197" s="9" t="e">
        <f>IF(tbl_Case_mins[[#This Row],[Surgery Status]]=0,(tbl_Case_mins[[#This Row],[Surgery Finish]]-tbl_Case_mins[[#This Row],[Surgery Start]]),0)</f>
        <v>#REF!</v>
      </c>
      <c r="AY197" s="9" t="e">
        <f>tbl_Case_mins[[#This Row],[Surgery Start]]-tbl_Case_mins[[#This Row],[AnaesthStart]]</f>
        <v>#REF!</v>
      </c>
      <c r="AZ197" s="9" t="e">
        <f>tbl_Case_mins[[#This Row],[Anaesth End]]-tbl_Case_mins[[#This Row],[Surgery Finish]]</f>
        <v>#REF!</v>
      </c>
      <c r="BA19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7" s="16" cm="1">
        <f t="array" ref="BC19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7" s="16" t="e">
        <f>IF(AND(tbl_Case_mins[[#This Row],[FirstAMCase]]=1,tbl_Case_mins[[#This Row],[CancelledCase]]=0,OR(tbl_Case_mins[[#This Row],[EarlyStartAM]]&gt;0,tbl_Case_mins[[#This Row],[AnaesthStart]]=tbl_Case_mins[[#This Row],[ThOpenAm]])),1,0)</f>
        <v>#REF!</v>
      </c>
      <c r="BE197" s="16" t="e">
        <f>IF(AND(tbl_Case_mins[[#This Row],[Rank_AnaSt]]=tbl_Case_mins[[#This Row],[Min_RankAnaSt]],tbl_Case_mins[[#This Row],[Anaesth End]]&gt;=tbl_Case_mins[[#This Row],[ThOpenAm]],tbl_Case_mins[[#This Row],[PmCase]]=0),1,0)</f>
        <v>#REF!</v>
      </c>
      <c r="BF19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7" s="9" t="e" cm="1">
        <f t="array" ref="BH19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7" s="9" t="e">
        <f>IF(AND(tbl_Case_mins[[#This Row],[ThOpenPM]]&gt;0,tbl_Case_mins[[#This Row],[AnaesthStart]]&gt;tbl_Case_mins[[#This Row],[ThOpenPM]],tbl_Case_mins[[#This Row],[First PM Case]]=1),tbl_Case_mins[[#This Row],[AnaesthStart]]-tbl_Case_mins[[#This Row],[ThOpenPM]],0)</f>
        <v>#REF!</v>
      </c>
      <c r="BL19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7" s="9" t="e" cm="1">
        <f t="array" ref="BN19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7" s="9" t="e">
        <f>IF(AND(tbl_Case_mins[[#This Row],[ThClosePm]]&gt;0,tbl_Case_mins[[#This Row],[Anaesth End]]&gt;tbl_Case_mins[[#This Row],[ThClosePm]],tbl_Case_mins[[#This Row],[AnaesthStart]]&gt;tbl_Case_mins[[#This Row],[ThClosePm]]),tbl_Case_mins[[#This Row],[Into Recov]]-tbl_Case_mins[[#This Row],[AnaesthStart]],0)</f>
        <v>#REF!</v>
      </c>
      <c r="BP197" s="9" t="e">
        <f>IF(AND(tbl_Case_mins[[#This Row],[AnaesthStart]]&lt;tbl_Case_mins[[#This Row],[ThClosePm]],tbl_Case_mins[[#This Row],[Anaesth End]]&gt;tbl_Case_mins[[#This Row],[ThClosePm]]),tbl_Case_mins[[#This Row],[Anaesth End]]-tbl_Case_mins[[#This Row],[ThClosePm]],0)</f>
        <v>#REF!</v>
      </c>
      <c r="BQ197" s="9" t="e" cm="1">
        <f t="array" ref="BQ19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7" s="9" t="e" cm="1">
        <f t="array" ref="BR197">IF(tbl_Case_mins[[#This Row],[Rank_Adjust]]=SUMPRODUCT(-(tbl_Case_mins[Surgery Start Date]=tbl_Case_mins[[#This Row],[Surgery Start Date]]),-(tbl_Case_mins[Theatre]=tbl_Case_mins[[#This Row],[Theatre]])),INDEX(Poss_Time,MATCH(TEXT(tbl_Case_mins[[#This Row],[Surgery Start Date]],"ddd"),Day,0)),0)</f>
        <v>#REF!</v>
      </c>
      <c r="BS197" s="9" t="e">
        <f>tbl_Case_mins[[#This Row],[Core_Time]]*Util_Goal</f>
        <v>#REF!</v>
      </c>
      <c r="BT197" s="9" t="e" cm="1">
        <f t="array" ref="BT1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7" s="9" t="e" cm="1">
        <f t="array" ref="BU1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7" s="9" t="e">
        <f>IF(tbl_Case_mins[[#This Row],[Surgery End Date]]&gt;tbl_Case_mins[[#This Row],[Surgery Start Date]],tbl_Case_mins[[#This Row],[Anaesth End]]-1440,0)</f>
        <v>#REF!</v>
      </c>
      <c r="BY197" s="9" t="e">
        <f>tbl_Case_mins[[#This Row],[Total_NonCore]]-tbl_Case_mins[[#This Row],[NextDay_NonCore]]</f>
        <v>#REF!</v>
      </c>
      <c r="BZ197" s="10" t="e">
        <f>tbl_Case_mins[[#This Row],[InCoreUse]]/60</f>
        <v>#REF!</v>
      </c>
      <c r="CA197" s="10" t="e">
        <f>tbl_Case_mins[[#This Row],[Total_NonCore]]/60</f>
        <v>#REF!</v>
      </c>
      <c r="CB197" t="e" cm="1">
        <f t="array" ref="CB1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7" s="9" t="e" cm="1">
        <f t="array" ref="CC19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7" s="9" t="e" cm="1">
        <f t="array" ref="CD1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7" s="9" t="e" cm="1">
        <f t="array" ref="CE19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7" s="9" cm="1">
        <f t="array" ref="CF197">IFERROR(_xlfn.AGGREGATE(14,6,(tbl_Case_mins[Rank_AnaEnd])/((tbl_Case_mins[Surgery Start Date]=tbl_Case_mins[[#This Row],[Surgery Start Date]])*(tbl_Case_mins[Theatre]=tbl_Case_mins[[#This Row],[Theatre]])*(tbl_Case_mins[NoInCoreTime]=0)),1),-1)</f>
        <v>-1</v>
      </c>
      <c r="CG197" s="9" cm="1">
        <f t="array" ref="CG197">IFERROR(_xlfn.AGGREGATE(15,6,(tbl_Case_mins[Rank_AnaSt])/((tbl_Case_mins[Surgery Start Date]=tbl_Case_mins[[#This Row],[Surgery Start Date]])*(tbl_Case_mins[Theatre]=tbl_Case_mins[[#This Row],[Theatre]])*(tbl_Case_mins[NoInCoreTime]=0)),1),-1)</f>
        <v>-1</v>
      </c>
      <c r="CH19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7" t="e" cm="1">
        <f t="array" ref="CJ19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7" s="9" cm="1">
        <f t="array" ref="CO1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7" s="9" cm="1">
        <f t="array" ref="CP1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7" s="9" cm="1">
        <f t="array" ref="CQ197">IFERROR(IF(AND(tbl_Case_mins[[#This Row],[FirstAMCase]]=0,tbl_Case_mins[[#This Row],[Rank]]=_xlfn.AGGREGATE(14,6,(tbl_Case_mins[Rank])/((tbl_Case_mins[Surgery Start Date]=tbl_Case_mins[[#This Row],[Surgery Start Date]])*(tbl_Case_mins[Theatre]=tbl_Case_mins[[#This Row],[Theatre]])*(tbl_Case_mins[AmCase]=1)),1)),1,0),0)</f>
        <v>0</v>
      </c>
      <c r="CR197" s="9" cm="1">
        <f t="array" ref="CR19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7" s="9" t="e" cm="1">
        <f t="array" ref="CS19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7" s="9" cm="1">
        <f t="array" ref="CT197">IFERROR(IF(tbl_Case_mins[[#This Row],[Rank]]=_xlfn.AGGREGATE(15,6,(tbl_Case_mins[Rank])/((tbl_Case_mins[Surgery Start Date]=tbl_Case_mins[[#This Row],[Surgery Start Date]])*(tbl_Case_mins[Theatre]=tbl_Case_mins[[#This Row],[Theatre]])*(tbl_Case_mins[PmCase]=1)),1),1,0),0)</f>
        <v>0</v>
      </c>
      <c r="CU197">
        <f>IFERROR(#REF!,0)</f>
        <v>0</v>
      </c>
      <c r="CV197" s="9" t="e" cm="1">
        <f t="array" ref="CV19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7" s="9">
        <f>IFERROR(IF(ISBLANK(INDEX(Bay_AmClose,MATCH(1,INDEX((tbl_Case_mins[[#This Row],[Bay]]=BayNo)*(tbl_Case_mins[[#This Row],[Surgery Start Date]]=BDate),0,1),0))*1440),0,INDEX(Bay_AmClose,MATCH(1,INDEX((tbl_Case_mins[[#This Row],[Bay]]=BayNo)*(tbl_Case_mins[[#This Row],[Surgery Start Date]]=BDate),0,1),0))*1440),0)</f>
        <v>0</v>
      </c>
      <c r="CX197" s="9" cm="1">
        <f t="array" ref="CX197">IFERROR(IF(ISBLANK(INDEX(Bay_PmOpen,MATCH(1,INDEX((tbl_Case_mins[[#This Row],[Bay]]=BayNo)*(tbl_Case_mins[[#This Row],[Surgery Start Date]]=BDate),0,1),0))*1440),0,INDEX(Bay_PmOpen,MATCH(1,INDEX((tbl_Case_mins[[#This Row],[Bay]]=BayNo)*(tbl_Case_mins[[#This Row],[Surgery Start Date]]=BDate),0,1),0))*1440),0)</f>
        <v>0</v>
      </c>
      <c r="CY19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7" s="9"/>
    </row>
    <row r="198" spans="1:104" x14ac:dyDescent="0.2">
      <c r="A198">
        <v>197</v>
      </c>
      <c r="B198" t="e">
        <f>#REF!</f>
        <v>#REF!</v>
      </c>
      <c r="C198" t="e">
        <f>#REF!</f>
        <v>#REF!</v>
      </c>
      <c r="D198" t="e">
        <f>#REF!</f>
        <v>#REF!</v>
      </c>
      <c r="E198" t="e">
        <f>#REF!</f>
        <v>#REF!</v>
      </c>
      <c r="F198" t="e">
        <f>#REF!</f>
        <v>#REF!</v>
      </c>
      <c r="G198" t="e">
        <f>#REF!</f>
        <v>#REF!</v>
      </c>
      <c r="H198" t="e">
        <f>#REF!</f>
        <v>#REF!</v>
      </c>
      <c r="I198" t="e">
        <f>IF(#REF!="Case Cancelled",1,IF(#REF!="No Cases",2,0))</f>
        <v>#REF!</v>
      </c>
      <c r="J198" t="e">
        <f>#REF!</f>
        <v>#REF!</v>
      </c>
      <c r="K198" s="4" t="e">
        <f>#REF!</f>
        <v>#REF!</v>
      </c>
      <c r="L198" t="e">
        <f>"Wk "&amp;WEEKNUM(tbl_Case_mins[[#This Row],[Surgery Start Date]],21)</f>
        <v>#REF!</v>
      </c>
      <c r="M198" t="e">
        <f>TEXT(tbl_Case_mins[[#This Row],[Surgery Start Date]],"ddd")</f>
        <v>#REF!</v>
      </c>
      <c r="N198" s="9" t="e">
        <f>(#REF!-TIME(0,0,0))*1440</f>
        <v>#REF!</v>
      </c>
      <c r="O198" t="e">
        <f>IF(AND(ROUND((#REF!-TIME(0,0,0))*1440,0)&gt;0,ROUND((#REF!-TIME(0,0,0))*1440,0)&lt;tbl_Case_mins[[#This Row],[Patient Called]],tbl_Case_mins[[#This Row],[Surgery End Date]]&gt;tbl_Case_mins[[#This Row],[Surgery Start Date]]),ROUND((#REF!-TIME(0,0,0))*1440,0)+1440,ROUND((#REF!-TIME(0,0,0))*1440,0))</f>
        <v>#REF!</v>
      </c>
      <c r="P198" s="9" t="e">
        <f>IF(AND(ROUND((#REF!-TIME(0,0,0))*1440,0)&gt;0,ROUND((#REF!-TIME(0,0,0))*1440,0)&lt;tbl_Case_mins[[#This Row],[Arrival]],tbl_Case_mins[[#This Row],[Surgery End Date]]&gt;tbl_Case_mins[[#This Row],[Surgery Start Date]]),ROUND((#REF!-TIME(0,0,0))*1440,0)+1440,ROUND((#REF!-TIME(0,0,0))*1440,0))</f>
        <v>#REF!</v>
      </c>
      <c r="Q198" s="9" t="e">
        <f>IF(AND(ROUND((#REF!-TIME(0,0,0))*1440,0)&gt;0,ROUND((#REF!-TIME(0,0,0))*1440,0)&lt;tbl_Case_mins[[#This Row],[Into Th or AR]],tbl_Case_mins[[#This Row],[Surgery End Date]]&gt;tbl_Case_mins[[#This Row],[Surgery Start Date]]),ROUND((#REF!-TIME(0,0,0))*1440,0)+1440,ROUND((#REF!-TIME(0,0,0))*1440,0))</f>
        <v>#REF!</v>
      </c>
      <c r="R198" s="9" t="e">
        <f>IF(AND(ROUND((#REF!-TIME(0,0,0))*1440,0)&gt;0,ROUND((#REF!-TIME(0,0,0))*1440,0)&lt;tbl_Case_mins[[#This Row],[AnaesthStart]],tbl_Case_mins[[#This Row],[Surgery End Date]]&gt;tbl_Case_mins[[#This Row],[Surgery Start Date]]),ROUND((#REF!-TIME(0,0,0))*1440,0)+1440,ROUND((#REF!-TIME(0,0,0))*1440,0))</f>
        <v>#REF!</v>
      </c>
      <c r="S198" s="9" t="e">
        <f>IF(AND(ROUND((#REF!-TIME(0,0,0))*1440,0),ROUND((#REF!-TIME(0,0,0))*1440,0)&lt;tbl_Case_mins[[#This Row],[Surgery Start]],tbl_Case_mins[[#This Row],[Surgery End Date]]&gt;tbl_Case_mins[[#This Row],[Surgery Start Date]]),ROUND((#REF!-TIME(0,0,0))*1440,0)+1440,ROUND((#REF!-TIME(0,0,0))*1440,0))</f>
        <v>#REF!</v>
      </c>
      <c r="T198" s="9" t="e">
        <f>IF(AND(ROUND((#REF!-TIME(0,0,0))*1440,0)&gt;0,ROUND((#REF!-TIME(0,0,0))*1440,0)&lt;tbl_Case_mins[[#This Row],[Surgery Finish]],tbl_Case_mins[[#This Row],[Surgery End Date]]&gt;tbl_Case_mins[[#This Row],[Surgery Start Date]]),ROUND((#REF!-TIME(0,0,0))*1440,0)+1440,ROUND((#REF!-TIME(0,0,0))*1440,0))</f>
        <v>#REF!</v>
      </c>
      <c r="U198" s="9" t="e">
        <f>IF(AND(ROUND((#REF!-TIME(0,0,0))*1440,0)&gt;0,ROUND((#REF!-TIME(0,0,0))*1440,0)&lt;tbl_Case_mins[[#This Row],[Anaesth End]],tbl_Case_mins[[#This Row],[Surgery End Date]]&gt;tbl_Case_mins[[#This Row],[Surgery Start Date]]),ROUND((#REF!-TIME(0,0,0))*1440,0)+1440,ROUND((#REF!-TIME(0,0,0))*1440,0))</f>
        <v>#REF!</v>
      </c>
      <c r="V198" s="9" t="e">
        <f>IF(AND(ROUND((#REF!-TIME(0,0,0))*1440,0)&gt;0,ROUND((#REF!-TIME(0,0,0))*1440,0)&lt;tbl_Case_mins[[#This Row],[Into Recov]],tbl_Case_mins[[#This Row],[Surgery End Date]]&gt;tbl_Case_mins[[#This Row],[Surgery Start Date]]),ROUND((#REF!-TIME(0,0,0))*1440,0)+1440,ROUND((#REF!-TIME(0,0,0))*1440,0))</f>
        <v>#REF!</v>
      </c>
      <c r="W198" s="9" t="e">
        <f>IF(AND(ROUND((#REF!-TIME(0,0,0))*1440,0)&gt;0,ROUND((#REF!-TIME(0,0,0))*1440,0)&lt;tbl_Case_mins[[#This Row],[Ward Called]],tbl_Case_mins[[#This Row],[Surgery End Date]]&gt;tbl_Case_mins[[#This Row],[Surgery Start Date]]),ROUND((#REF!-TIME(0,0,0))*1440,0)+1440,ROUND((#REF!-TIME(0,0,0))*1440,0))</f>
        <v>#REF!</v>
      </c>
      <c r="X198" s="4" t="e">
        <f>IF(ISBLANK(#REF!),tbl_Case_mins[[#This Row],[Surgery Start Date]],#REF!)</f>
        <v>#REF!</v>
      </c>
      <c r="Y198">
        <f>IFERROR(IF(VLOOKUP(tbl_Case_mins[[#This Row],[Theatre]],'Mng Theatres'!$C$7:$G$12,3,FALSE)="Yes","Yes","No"),0)</f>
        <v>0</v>
      </c>
      <c r="Z198" s="9" t="e" cm="1">
        <f t="array" ref="Z19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8" s="9" t="e" cm="1">
        <f t="array" ref="AA19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8" s="9" t="e">
        <f>IF(tbl_Case_mins[[#This Row],[Case Type]]="Unsch",1,0)</f>
        <v>#REF!</v>
      </c>
      <c r="AD198" s="9" t="e">
        <f>IF(tbl_Case_mins[[#This Row],[Case Type]]="Sch",1,0)</f>
        <v>#REF!</v>
      </c>
      <c r="AE19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8" s="9">
        <f>IFERROR(IF(ISBLANK(INDEX(Am_Close,MATCH(1,INDEX((tbl_Case_mins[[#This Row],[Theatre]]=Theatre_No)*(tbl_Case_mins[[#This Row],[Surgery Start Date]]=Date),0,1),0))*1440),0,INDEX(Am_Close,MATCH(1,INDEX((tbl_Case_mins[[#This Row],[Theatre]]=Theatre_No)*(tbl_Case_mins[[#This Row],[Surgery Start Date]]=Date),0,1),0))*1440),0)</f>
        <v>0</v>
      </c>
      <c r="AG198" s="9">
        <f>IFERROR(IF(ISBLANK(INDEX(PM_Open,MATCH(1,INDEX((tbl_Case_mins[[#This Row],[Theatre]]=Theatre_No)*(tbl_Case_mins[[#This Row],[Surgery Start Date]]=Date),0,1),0))*1440),0,INDEX(PM_Open,MATCH(1,INDEX((tbl_Case_mins[[#This Row],[Theatre]]=Theatre_No)*(tbl_Case_mins[[#This Row],[Surgery Start Date]]=Date),0,1),0))*1440),0)</f>
        <v>0</v>
      </c>
      <c r="AH19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8" s="9" t="e">
        <f>IF(tbl_Case_mins[[#This Row],[ThOpenAm]]=0,tbl_Case_mins[[#This Row],[ThOpenPM]],tbl_Case_mins[[#This Row],[ThOpenAm]])</f>
        <v>#REF!</v>
      </c>
      <c r="AJ198" s="9" t="e">
        <f>IF(tbl_Case_mins[[#This Row],[ThCloseAm]]&gt;0,IF(tbl_Case_mins[[#This Row],[ThOpenPM]]&gt;0,tbl_Case_mins[[#This Row],[ThClosePm]],tbl_Case_mins[[#This Row],[ThCloseAm]]),tbl_Case_mins[[#This Row],[ThClosePm]])</f>
        <v>#REF!</v>
      </c>
      <c r="AK198" s="9" t="e">
        <f>IF(tbl_Case_mins[[#This Row],[TOT]]&gt;0,1,0)</f>
        <v>#REF!</v>
      </c>
      <c r="AL19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8" s="9" t="e">
        <f>IF(AND(tbl_Case_mins[[#This Row],[Surgery Status]]&lt;&gt;2,tbl_Case_mins[[#This Row],[InCoreCase]]=0,tbl_Case_mins[[#This Row],[CancelledCase]]=0),1,0)</f>
        <v>#REF!</v>
      </c>
      <c r="AN198" s="9" t="e">
        <f>IF(tbl_Case_mins[[#This Row],[Surgery Status]]=1,1,0)</f>
        <v>#REF!</v>
      </c>
      <c r="AO19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8" s="9" t="e">
        <f>IF(AND(tbl_Case_mins[[#This Row],[NonCoreCase]]=1,tbl_Case_mins[[#This Row],[NoInCoreTime]]=0),1,0)</f>
        <v>#REF!</v>
      </c>
      <c r="AQ198" s="9" t="e">
        <f>IF(tbl_Case_mins[[#This Row],[Rank_AnaEnd]]&lt;tbl_Case_mins[[#This Row],[Rank_AnaSt]],1,0)</f>
        <v>#REF!</v>
      </c>
      <c r="AR198" s="9" t="e">
        <f>IF(AND(tbl_Case_mins[[#This Row],[InCoreCase]]=1,tbl_Case_mins[[#This Row],[Sch]]=1),1,0)</f>
        <v>#REF!</v>
      </c>
      <c r="AS198" s="9" t="e">
        <f>IF(AND(tbl_Case_mins[[#This Row],[InCoreCase]]=1,tbl_Case_mins[[#This Row],[Unsch]]=1),1,0)</f>
        <v>#REF!</v>
      </c>
      <c r="AT19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8" s="9" t="e">
        <f>IF(tbl_Case_mins[[#This Row],[Surgery Status]]=0,(tbl_Case_mins[[#This Row],[Anaesth End]]-tbl_Case_mins[[#This Row],[AnaesthStart]]),0)</f>
        <v>#REF!</v>
      </c>
      <c r="AX198" s="9" t="e">
        <f>IF(tbl_Case_mins[[#This Row],[Surgery Status]]=0,(tbl_Case_mins[[#This Row],[Surgery Finish]]-tbl_Case_mins[[#This Row],[Surgery Start]]),0)</f>
        <v>#REF!</v>
      </c>
      <c r="AY198" s="9" t="e">
        <f>tbl_Case_mins[[#This Row],[Surgery Start]]-tbl_Case_mins[[#This Row],[AnaesthStart]]</f>
        <v>#REF!</v>
      </c>
      <c r="AZ198" s="9" t="e">
        <f>tbl_Case_mins[[#This Row],[Anaesth End]]-tbl_Case_mins[[#This Row],[Surgery Finish]]</f>
        <v>#REF!</v>
      </c>
      <c r="BA19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8" s="16" cm="1">
        <f t="array" ref="BC19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8" s="16" t="e">
        <f>IF(AND(tbl_Case_mins[[#This Row],[FirstAMCase]]=1,tbl_Case_mins[[#This Row],[CancelledCase]]=0,OR(tbl_Case_mins[[#This Row],[EarlyStartAM]]&gt;0,tbl_Case_mins[[#This Row],[AnaesthStart]]=tbl_Case_mins[[#This Row],[ThOpenAm]])),1,0)</f>
        <v>#REF!</v>
      </c>
      <c r="BE198" s="16" t="e">
        <f>IF(AND(tbl_Case_mins[[#This Row],[Rank_AnaSt]]=tbl_Case_mins[[#This Row],[Min_RankAnaSt]],tbl_Case_mins[[#This Row],[Anaesth End]]&gt;=tbl_Case_mins[[#This Row],[ThOpenAm]],tbl_Case_mins[[#This Row],[PmCase]]=0),1,0)</f>
        <v>#REF!</v>
      </c>
      <c r="BF19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8" s="9" t="e" cm="1">
        <f t="array" ref="BH19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8" s="9" t="e">
        <f>IF(AND(tbl_Case_mins[[#This Row],[ThOpenPM]]&gt;0,tbl_Case_mins[[#This Row],[AnaesthStart]]&gt;tbl_Case_mins[[#This Row],[ThOpenPM]],tbl_Case_mins[[#This Row],[First PM Case]]=1),tbl_Case_mins[[#This Row],[AnaesthStart]]-tbl_Case_mins[[#This Row],[ThOpenPM]],0)</f>
        <v>#REF!</v>
      </c>
      <c r="BL19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8" s="9" t="e" cm="1">
        <f t="array" ref="BN19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8" s="9" t="e">
        <f>IF(AND(tbl_Case_mins[[#This Row],[ThClosePm]]&gt;0,tbl_Case_mins[[#This Row],[Anaesth End]]&gt;tbl_Case_mins[[#This Row],[ThClosePm]],tbl_Case_mins[[#This Row],[AnaesthStart]]&gt;tbl_Case_mins[[#This Row],[ThClosePm]]),tbl_Case_mins[[#This Row],[Into Recov]]-tbl_Case_mins[[#This Row],[AnaesthStart]],0)</f>
        <v>#REF!</v>
      </c>
      <c r="BP198" s="9" t="e">
        <f>IF(AND(tbl_Case_mins[[#This Row],[AnaesthStart]]&lt;tbl_Case_mins[[#This Row],[ThClosePm]],tbl_Case_mins[[#This Row],[Anaesth End]]&gt;tbl_Case_mins[[#This Row],[ThClosePm]]),tbl_Case_mins[[#This Row],[Anaesth End]]-tbl_Case_mins[[#This Row],[ThClosePm]],0)</f>
        <v>#REF!</v>
      </c>
      <c r="BQ198" s="9" t="e" cm="1">
        <f t="array" ref="BQ19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8" s="9" t="e" cm="1">
        <f t="array" ref="BR198">IF(tbl_Case_mins[[#This Row],[Rank_Adjust]]=SUMPRODUCT(-(tbl_Case_mins[Surgery Start Date]=tbl_Case_mins[[#This Row],[Surgery Start Date]]),-(tbl_Case_mins[Theatre]=tbl_Case_mins[[#This Row],[Theatre]])),INDEX(Poss_Time,MATCH(TEXT(tbl_Case_mins[[#This Row],[Surgery Start Date]],"ddd"),Day,0)),0)</f>
        <v>#REF!</v>
      </c>
      <c r="BS198" s="9" t="e">
        <f>tbl_Case_mins[[#This Row],[Core_Time]]*Util_Goal</f>
        <v>#REF!</v>
      </c>
      <c r="BT198" s="9" t="e" cm="1">
        <f t="array" ref="BT1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8" s="9" t="e" cm="1">
        <f t="array" ref="BU1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8" s="9" t="e">
        <f>IF(tbl_Case_mins[[#This Row],[Surgery End Date]]&gt;tbl_Case_mins[[#This Row],[Surgery Start Date]],tbl_Case_mins[[#This Row],[Anaesth End]]-1440,0)</f>
        <v>#REF!</v>
      </c>
      <c r="BY198" s="9" t="e">
        <f>tbl_Case_mins[[#This Row],[Total_NonCore]]-tbl_Case_mins[[#This Row],[NextDay_NonCore]]</f>
        <v>#REF!</v>
      </c>
      <c r="BZ198" s="10" t="e">
        <f>tbl_Case_mins[[#This Row],[InCoreUse]]/60</f>
        <v>#REF!</v>
      </c>
      <c r="CA198" s="10" t="e">
        <f>tbl_Case_mins[[#This Row],[Total_NonCore]]/60</f>
        <v>#REF!</v>
      </c>
      <c r="CB198" t="e" cm="1">
        <f t="array" ref="CB1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8" s="9" t="e" cm="1">
        <f t="array" ref="CC19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8" s="9" t="e" cm="1">
        <f t="array" ref="CD1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8" s="9" t="e" cm="1">
        <f t="array" ref="CE19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8" s="9" cm="1">
        <f t="array" ref="CF198">IFERROR(_xlfn.AGGREGATE(14,6,(tbl_Case_mins[Rank_AnaEnd])/((tbl_Case_mins[Surgery Start Date]=tbl_Case_mins[[#This Row],[Surgery Start Date]])*(tbl_Case_mins[Theatre]=tbl_Case_mins[[#This Row],[Theatre]])*(tbl_Case_mins[NoInCoreTime]=0)),1),-1)</f>
        <v>-1</v>
      </c>
      <c r="CG198" s="9" cm="1">
        <f t="array" ref="CG198">IFERROR(_xlfn.AGGREGATE(15,6,(tbl_Case_mins[Rank_AnaSt])/((tbl_Case_mins[Surgery Start Date]=tbl_Case_mins[[#This Row],[Surgery Start Date]])*(tbl_Case_mins[Theatre]=tbl_Case_mins[[#This Row],[Theatre]])*(tbl_Case_mins[NoInCoreTime]=0)),1),-1)</f>
        <v>-1</v>
      </c>
      <c r="CH19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8" t="e" cm="1">
        <f t="array" ref="CJ19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8" s="9" cm="1">
        <f t="array" ref="CO1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8" s="9" cm="1">
        <f t="array" ref="CP1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8" s="9" cm="1">
        <f t="array" ref="CQ198">IFERROR(IF(AND(tbl_Case_mins[[#This Row],[FirstAMCase]]=0,tbl_Case_mins[[#This Row],[Rank]]=_xlfn.AGGREGATE(14,6,(tbl_Case_mins[Rank])/((tbl_Case_mins[Surgery Start Date]=tbl_Case_mins[[#This Row],[Surgery Start Date]])*(tbl_Case_mins[Theatre]=tbl_Case_mins[[#This Row],[Theatre]])*(tbl_Case_mins[AmCase]=1)),1)),1,0),0)</f>
        <v>0</v>
      </c>
      <c r="CR198" s="9" cm="1">
        <f t="array" ref="CR19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8" s="9" t="e" cm="1">
        <f t="array" ref="CS19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8" s="9" cm="1">
        <f t="array" ref="CT198">IFERROR(IF(tbl_Case_mins[[#This Row],[Rank]]=_xlfn.AGGREGATE(15,6,(tbl_Case_mins[Rank])/((tbl_Case_mins[Surgery Start Date]=tbl_Case_mins[[#This Row],[Surgery Start Date]])*(tbl_Case_mins[Theatre]=tbl_Case_mins[[#This Row],[Theatre]])*(tbl_Case_mins[PmCase]=1)),1),1,0),0)</f>
        <v>0</v>
      </c>
      <c r="CU198">
        <f>IFERROR(#REF!,0)</f>
        <v>0</v>
      </c>
      <c r="CV198" s="9" t="e" cm="1">
        <f t="array" ref="CV19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8" s="9">
        <f>IFERROR(IF(ISBLANK(INDEX(Bay_AmClose,MATCH(1,INDEX((tbl_Case_mins[[#This Row],[Bay]]=BayNo)*(tbl_Case_mins[[#This Row],[Surgery Start Date]]=BDate),0,1),0))*1440),0,INDEX(Bay_AmClose,MATCH(1,INDEX((tbl_Case_mins[[#This Row],[Bay]]=BayNo)*(tbl_Case_mins[[#This Row],[Surgery Start Date]]=BDate),0,1),0))*1440),0)</f>
        <v>0</v>
      </c>
      <c r="CX198" s="9" cm="1">
        <f t="array" ref="CX198">IFERROR(IF(ISBLANK(INDEX(Bay_PmOpen,MATCH(1,INDEX((tbl_Case_mins[[#This Row],[Bay]]=BayNo)*(tbl_Case_mins[[#This Row],[Surgery Start Date]]=BDate),0,1),0))*1440),0,INDEX(Bay_PmOpen,MATCH(1,INDEX((tbl_Case_mins[[#This Row],[Bay]]=BayNo)*(tbl_Case_mins[[#This Row],[Surgery Start Date]]=BDate),0,1),0))*1440),0)</f>
        <v>0</v>
      </c>
      <c r="CY19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8" s="9"/>
    </row>
    <row r="199" spans="1:104" x14ac:dyDescent="0.2">
      <c r="A199">
        <v>198</v>
      </c>
      <c r="B199" t="e">
        <f>#REF!</f>
        <v>#REF!</v>
      </c>
      <c r="C199" t="e">
        <f>#REF!</f>
        <v>#REF!</v>
      </c>
      <c r="D199" t="e">
        <f>#REF!</f>
        <v>#REF!</v>
      </c>
      <c r="E199" t="e">
        <f>#REF!</f>
        <v>#REF!</v>
      </c>
      <c r="F199" t="e">
        <f>#REF!</f>
        <v>#REF!</v>
      </c>
      <c r="G199" t="e">
        <f>#REF!</f>
        <v>#REF!</v>
      </c>
      <c r="H199" t="e">
        <f>#REF!</f>
        <v>#REF!</v>
      </c>
      <c r="I199" t="e">
        <f>IF(#REF!="Case Cancelled",1,IF(#REF!="No Cases",2,0))</f>
        <v>#REF!</v>
      </c>
      <c r="J199" t="e">
        <f>#REF!</f>
        <v>#REF!</v>
      </c>
      <c r="K199" s="4" t="e">
        <f>#REF!</f>
        <v>#REF!</v>
      </c>
      <c r="L199" t="e">
        <f>"Wk "&amp;WEEKNUM(tbl_Case_mins[[#This Row],[Surgery Start Date]],21)</f>
        <v>#REF!</v>
      </c>
      <c r="M199" t="e">
        <f>TEXT(tbl_Case_mins[[#This Row],[Surgery Start Date]],"ddd")</f>
        <v>#REF!</v>
      </c>
      <c r="N199" s="9" t="e">
        <f>(#REF!-TIME(0,0,0))*1440</f>
        <v>#REF!</v>
      </c>
      <c r="O199" t="e">
        <f>IF(AND(ROUND((#REF!-TIME(0,0,0))*1440,0)&gt;0,ROUND((#REF!-TIME(0,0,0))*1440,0)&lt;tbl_Case_mins[[#This Row],[Patient Called]],tbl_Case_mins[[#This Row],[Surgery End Date]]&gt;tbl_Case_mins[[#This Row],[Surgery Start Date]]),ROUND((#REF!-TIME(0,0,0))*1440,0)+1440,ROUND((#REF!-TIME(0,0,0))*1440,0))</f>
        <v>#REF!</v>
      </c>
      <c r="P199" s="9" t="e">
        <f>IF(AND(ROUND((#REF!-TIME(0,0,0))*1440,0)&gt;0,ROUND((#REF!-TIME(0,0,0))*1440,0)&lt;tbl_Case_mins[[#This Row],[Arrival]],tbl_Case_mins[[#This Row],[Surgery End Date]]&gt;tbl_Case_mins[[#This Row],[Surgery Start Date]]),ROUND((#REF!-TIME(0,0,0))*1440,0)+1440,ROUND((#REF!-TIME(0,0,0))*1440,0))</f>
        <v>#REF!</v>
      </c>
      <c r="Q199" s="9" t="e">
        <f>IF(AND(ROUND((#REF!-TIME(0,0,0))*1440,0)&gt;0,ROUND((#REF!-TIME(0,0,0))*1440,0)&lt;tbl_Case_mins[[#This Row],[Into Th or AR]],tbl_Case_mins[[#This Row],[Surgery End Date]]&gt;tbl_Case_mins[[#This Row],[Surgery Start Date]]),ROUND((#REF!-TIME(0,0,0))*1440,0)+1440,ROUND((#REF!-TIME(0,0,0))*1440,0))</f>
        <v>#REF!</v>
      </c>
      <c r="R199" s="9" t="e">
        <f>IF(AND(ROUND((#REF!-TIME(0,0,0))*1440,0)&gt;0,ROUND((#REF!-TIME(0,0,0))*1440,0)&lt;tbl_Case_mins[[#This Row],[AnaesthStart]],tbl_Case_mins[[#This Row],[Surgery End Date]]&gt;tbl_Case_mins[[#This Row],[Surgery Start Date]]),ROUND((#REF!-TIME(0,0,0))*1440,0)+1440,ROUND((#REF!-TIME(0,0,0))*1440,0))</f>
        <v>#REF!</v>
      </c>
      <c r="S199" s="9" t="e">
        <f>IF(AND(ROUND((#REF!-TIME(0,0,0))*1440,0),ROUND((#REF!-TIME(0,0,0))*1440,0)&lt;tbl_Case_mins[[#This Row],[Surgery Start]],tbl_Case_mins[[#This Row],[Surgery End Date]]&gt;tbl_Case_mins[[#This Row],[Surgery Start Date]]),ROUND((#REF!-TIME(0,0,0))*1440,0)+1440,ROUND((#REF!-TIME(0,0,0))*1440,0))</f>
        <v>#REF!</v>
      </c>
      <c r="T199" s="9" t="e">
        <f>IF(AND(ROUND((#REF!-TIME(0,0,0))*1440,0)&gt;0,ROUND((#REF!-TIME(0,0,0))*1440,0)&lt;tbl_Case_mins[[#This Row],[Surgery Finish]],tbl_Case_mins[[#This Row],[Surgery End Date]]&gt;tbl_Case_mins[[#This Row],[Surgery Start Date]]),ROUND((#REF!-TIME(0,0,0))*1440,0)+1440,ROUND((#REF!-TIME(0,0,0))*1440,0))</f>
        <v>#REF!</v>
      </c>
      <c r="U199" s="9" t="e">
        <f>IF(AND(ROUND((#REF!-TIME(0,0,0))*1440,0)&gt;0,ROUND((#REF!-TIME(0,0,0))*1440,0)&lt;tbl_Case_mins[[#This Row],[Anaesth End]],tbl_Case_mins[[#This Row],[Surgery End Date]]&gt;tbl_Case_mins[[#This Row],[Surgery Start Date]]),ROUND((#REF!-TIME(0,0,0))*1440,0)+1440,ROUND((#REF!-TIME(0,0,0))*1440,0))</f>
        <v>#REF!</v>
      </c>
      <c r="V199" s="9" t="e">
        <f>IF(AND(ROUND((#REF!-TIME(0,0,0))*1440,0)&gt;0,ROUND((#REF!-TIME(0,0,0))*1440,0)&lt;tbl_Case_mins[[#This Row],[Into Recov]],tbl_Case_mins[[#This Row],[Surgery End Date]]&gt;tbl_Case_mins[[#This Row],[Surgery Start Date]]),ROUND((#REF!-TIME(0,0,0))*1440,0)+1440,ROUND((#REF!-TIME(0,0,0))*1440,0))</f>
        <v>#REF!</v>
      </c>
      <c r="W199" s="9" t="e">
        <f>IF(AND(ROUND((#REF!-TIME(0,0,0))*1440,0)&gt;0,ROUND((#REF!-TIME(0,0,0))*1440,0)&lt;tbl_Case_mins[[#This Row],[Ward Called]],tbl_Case_mins[[#This Row],[Surgery End Date]]&gt;tbl_Case_mins[[#This Row],[Surgery Start Date]]),ROUND((#REF!-TIME(0,0,0))*1440,0)+1440,ROUND((#REF!-TIME(0,0,0))*1440,0))</f>
        <v>#REF!</v>
      </c>
      <c r="X199" s="4" t="e">
        <f>IF(ISBLANK(#REF!),tbl_Case_mins[[#This Row],[Surgery Start Date]],#REF!)</f>
        <v>#REF!</v>
      </c>
      <c r="Y199">
        <f>IFERROR(IF(VLOOKUP(tbl_Case_mins[[#This Row],[Theatre]],'Mng Theatres'!$C$7:$G$12,3,FALSE)="Yes","Yes","No"),0)</f>
        <v>0</v>
      </c>
      <c r="Z199" s="9" t="e" cm="1">
        <f t="array" ref="Z19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199" s="9" t="e" cm="1">
        <f t="array" ref="AA19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19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199" s="9" t="e">
        <f>IF(tbl_Case_mins[[#This Row],[Case Type]]="Unsch",1,0)</f>
        <v>#REF!</v>
      </c>
      <c r="AD199" s="9" t="e">
        <f>IF(tbl_Case_mins[[#This Row],[Case Type]]="Sch",1,0)</f>
        <v>#REF!</v>
      </c>
      <c r="AE19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199" s="9">
        <f>IFERROR(IF(ISBLANK(INDEX(Am_Close,MATCH(1,INDEX((tbl_Case_mins[[#This Row],[Theatre]]=Theatre_No)*(tbl_Case_mins[[#This Row],[Surgery Start Date]]=Date),0,1),0))*1440),0,INDEX(Am_Close,MATCH(1,INDEX((tbl_Case_mins[[#This Row],[Theatre]]=Theatre_No)*(tbl_Case_mins[[#This Row],[Surgery Start Date]]=Date),0,1),0))*1440),0)</f>
        <v>0</v>
      </c>
      <c r="AG199" s="9">
        <f>IFERROR(IF(ISBLANK(INDEX(PM_Open,MATCH(1,INDEX((tbl_Case_mins[[#This Row],[Theatre]]=Theatre_No)*(tbl_Case_mins[[#This Row],[Surgery Start Date]]=Date),0,1),0))*1440),0,INDEX(PM_Open,MATCH(1,INDEX((tbl_Case_mins[[#This Row],[Theatre]]=Theatre_No)*(tbl_Case_mins[[#This Row],[Surgery Start Date]]=Date),0,1),0))*1440),0)</f>
        <v>0</v>
      </c>
      <c r="AH19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199" s="9" t="e">
        <f>IF(tbl_Case_mins[[#This Row],[ThOpenAm]]=0,tbl_Case_mins[[#This Row],[ThOpenPM]],tbl_Case_mins[[#This Row],[ThOpenAm]])</f>
        <v>#REF!</v>
      </c>
      <c r="AJ199" s="9" t="e">
        <f>IF(tbl_Case_mins[[#This Row],[ThCloseAm]]&gt;0,IF(tbl_Case_mins[[#This Row],[ThOpenPM]]&gt;0,tbl_Case_mins[[#This Row],[ThClosePm]],tbl_Case_mins[[#This Row],[ThCloseAm]]),tbl_Case_mins[[#This Row],[ThClosePm]])</f>
        <v>#REF!</v>
      </c>
      <c r="AK199" s="9" t="e">
        <f>IF(tbl_Case_mins[[#This Row],[TOT]]&gt;0,1,0)</f>
        <v>#REF!</v>
      </c>
      <c r="AL19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199" s="9" t="e">
        <f>IF(AND(tbl_Case_mins[[#This Row],[Surgery Status]]&lt;&gt;2,tbl_Case_mins[[#This Row],[InCoreCase]]=0,tbl_Case_mins[[#This Row],[CancelledCase]]=0),1,0)</f>
        <v>#REF!</v>
      </c>
      <c r="AN199" s="9" t="e">
        <f>IF(tbl_Case_mins[[#This Row],[Surgery Status]]=1,1,0)</f>
        <v>#REF!</v>
      </c>
      <c r="AO19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199" s="9" t="e">
        <f>IF(AND(tbl_Case_mins[[#This Row],[NonCoreCase]]=1,tbl_Case_mins[[#This Row],[NoInCoreTime]]=0),1,0)</f>
        <v>#REF!</v>
      </c>
      <c r="AQ199" s="9" t="e">
        <f>IF(tbl_Case_mins[[#This Row],[Rank_AnaEnd]]&lt;tbl_Case_mins[[#This Row],[Rank_AnaSt]],1,0)</f>
        <v>#REF!</v>
      </c>
      <c r="AR199" s="9" t="e">
        <f>IF(AND(tbl_Case_mins[[#This Row],[InCoreCase]]=1,tbl_Case_mins[[#This Row],[Sch]]=1),1,0)</f>
        <v>#REF!</v>
      </c>
      <c r="AS199" s="9" t="e">
        <f>IF(AND(tbl_Case_mins[[#This Row],[InCoreCase]]=1,tbl_Case_mins[[#This Row],[Unsch]]=1),1,0)</f>
        <v>#REF!</v>
      </c>
      <c r="AT19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19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19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199" s="9" t="e">
        <f>IF(tbl_Case_mins[[#This Row],[Surgery Status]]=0,(tbl_Case_mins[[#This Row],[Anaesth End]]-tbl_Case_mins[[#This Row],[AnaesthStart]]),0)</f>
        <v>#REF!</v>
      </c>
      <c r="AX199" s="9" t="e">
        <f>IF(tbl_Case_mins[[#This Row],[Surgery Status]]=0,(tbl_Case_mins[[#This Row],[Surgery Finish]]-tbl_Case_mins[[#This Row],[Surgery Start]]),0)</f>
        <v>#REF!</v>
      </c>
      <c r="AY199" s="9" t="e">
        <f>tbl_Case_mins[[#This Row],[Surgery Start]]-tbl_Case_mins[[#This Row],[AnaesthStart]]</f>
        <v>#REF!</v>
      </c>
      <c r="AZ199" s="9" t="e">
        <f>tbl_Case_mins[[#This Row],[Anaesth End]]-tbl_Case_mins[[#This Row],[Surgery Finish]]</f>
        <v>#REF!</v>
      </c>
      <c r="BA19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19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199" s="16" cm="1">
        <f t="array" ref="BC19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199" s="16" t="e">
        <f>IF(AND(tbl_Case_mins[[#This Row],[FirstAMCase]]=1,tbl_Case_mins[[#This Row],[CancelledCase]]=0,OR(tbl_Case_mins[[#This Row],[EarlyStartAM]]&gt;0,tbl_Case_mins[[#This Row],[AnaesthStart]]=tbl_Case_mins[[#This Row],[ThOpenAm]])),1,0)</f>
        <v>#REF!</v>
      </c>
      <c r="BE199" s="16" t="e">
        <f>IF(AND(tbl_Case_mins[[#This Row],[Rank_AnaSt]]=tbl_Case_mins[[#This Row],[Min_RankAnaSt]],tbl_Case_mins[[#This Row],[Anaesth End]]&gt;=tbl_Case_mins[[#This Row],[ThOpenAm]],tbl_Case_mins[[#This Row],[PmCase]]=0),1,0)</f>
        <v>#REF!</v>
      </c>
      <c r="BF19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19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199" s="9" t="e" cm="1">
        <f t="array" ref="BH19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19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19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199" s="9" t="e">
        <f>IF(AND(tbl_Case_mins[[#This Row],[ThOpenPM]]&gt;0,tbl_Case_mins[[#This Row],[AnaesthStart]]&gt;tbl_Case_mins[[#This Row],[ThOpenPM]],tbl_Case_mins[[#This Row],[First PM Case]]=1),tbl_Case_mins[[#This Row],[AnaesthStart]]-tbl_Case_mins[[#This Row],[ThOpenPM]],0)</f>
        <v>#REF!</v>
      </c>
      <c r="BL19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19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199" s="9" t="e" cm="1">
        <f t="array" ref="BN19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199" s="9" t="e">
        <f>IF(AND(tbl_Case_mins[[#This Row],[ThClosePm]]&gt;0,tbl_Case_mins[[#This Row],[Anaesth End]]&gt;tbl_Case_mins[[#This Row],[ThClosePm]],tbl_Case_mins[[#This Row],[AnaesthStart]]&gt;tbl_Case_mins[[#This Row],[ThClosePm]]),tbl_Case_mins[[#This Row],[Into Recov]]-tbl_Case_mins[[#This Row],[AnaesthStart]],0)</f>
        <v>#REF!</v>
      </c>
      <c r="BP199" s="9" t="e">
        <f>IF(AND(tbl_Case_mins[[#This Row],[AnaesthStart]]&lt;tbl_Case_mins[[#This Row],[ThClosePm]],tbl_Case_mins[[#This Row],[Anaesth End]]&gt;tbl_Case_mins[[#This Row],[ThClosePm]]),tbl_Case_mins[[#This Row],[Anaesth End]]-tbl_Case_mins[[#This Row],[ThClosePm]],0)</f>
        <v>#REF!</v>
      </c>
      <c r="BQ199" s="9" t="e" cm="1">
        <f t="array" ref="BQ19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199" s="9" t="e" cm="1">
        <f t="array" ref="BR199">IF(tbl_Case_mins[[#This Row],[Rank_Adjust]]=SUMPRODUCT(-(tbl_Case_mins[Surgery Start Date]=tbl_Case_mins[[#This Row],[Surgery Start Date]]),-(tbl_Case_mins[Theatre]=tbl_Case_mins[[#This Row],[Theatre]])),INDEX(Poss_Time,MATCH(TEXT(tbl_Case_mins[[#This Row],[Surgery Start Date]],"ddd"),Day,0)),0)</f>
        <v>#REF!</v>
      </c>
      <c r="BS199" s="9" t="e">
        <f>tbl_Case_mins[[#This Row],[Core_Time]]*Util_Goal</f>
        <v>#REF!</v>
      </c>
      <c r="BT199" s="9" t="e" cm="1">
        <f t="array" ref="BT1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199" s="9" t="e" cm="1">
        <f t="array" ref="BU1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19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19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199" s="9" t="e">
        <f>IF(tbl_Case_mins[[#This Row],[Surgery End Date]]&gt;tbl_Case_mins[[#This Row],[Surgery Start Date]],tbl_Case_mins[[#This Row],[Anaesth End]]-1440,0)</f>
        <v>#REF!</v>
      </c>
      <c r="BY199" s="9" t="e">
        <f>tbl_Case_mins[[#This Row],[Total_NonCore]]-tbl_Case_mins[[#This Row],[NextDay_NonCore]]</f>
        <v>#REF!</v>
      </c>
      <c r="BZ199" s="10" t="e">
        <f>tbl_Case_mins[[#This Row],[InCoreUse]]/60</f>
        <v>#REF!</v>
      </c>
      <c r="CA199" s="10" t="e">
        <f>tbl_Case_mins[[#This Row],[Total_NonCore]]/60</f>
        <v>#REF!</v>
      </c>
      <c r="CB199" t="e" cm="1">
        <f t="array" ref="CB1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199" s="9" t="e" cm="1">
        <f t="array" ref="CC19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199" s="9" t="e" cm="1">
        <f t="array" ref="CD1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199" s="9" t="e" cm="1">
        <f t="array" ref="CE19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199" s="9" cm="1">
        <f t="array" ref="CF199">IFERROR(_xlfn.AGGREGATE(14,6,(tbl_Case_mins[Rank_AnaEnd])/((tbl_Case_mins[Surgery Start Date]=tbl_Case_mins[[#This Row],[Surgery Start Date]])*(tbl_Case_mins[Theatre]=tbl_Case_mins[[#This Row],[Theatre]])*(tbl_Case_mins[NoInCoreTime]=0)),1),-1)</f>
        <v>-1</v>
      </c>
      <c r="CG199" s="9" cm="1">
        <f t="array" ref="CG199">IFERROR(_xlfn.AGGREGATE(15,6,(tbl_Case_mins[Rank_AnaSt])/((tbl_Case_mins[Surgery Start Date]=tbl_Case_mins[[#This Row],[Surgery Start Date]])*(tbl_Case_mins[Theatre]=tbl_Case_mins[[#This Row],[Theatre]])*(tbl_Case_mins[NoInCoreTime]=0)),1),-1)</f>
        <v>-1</v>
      </c>
      <c r="CH19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19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199" t="e" cm="1">
        <f t="array" ref="CJ19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19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19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1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1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199" s="9" cm="1">
        <f t="array" ref="CO1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199" s="9" cm="1">
        <f t="array" ref="CP1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199" s="9" cm="1">
        <f t="array" ref="CQ199">IFERROR(IF(AND(tbl_Case_mins[[#This Row],[FirstAMCase]]=0,tbl_Case_mins[[#This Row],[Rank]]=_xlfn.AGGREGATE(14,6,(tbl_Case_mins[Rank])/((tbl_Case_mins[Surgery Start Date]=tbl_Case_mins[[#This Row],[Surgery Start Date]])*(tbl_Case_mins[Theatre]=tbl_Case_mins[[#This Row],[Theatre]])*(tbl_Case_mins[AmCase]=1)),1)),1,0),0)</f>
        <v>0</v>
      </c>
      <c r="CR199" s="9" cm="1">
        <f t="array" ref="CR19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199" s="9" t="e" cm="1">
        <f t="array" ref="CS19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199" s="9" cm="1">
        <f t="array" ref="CT199">IFERROR(IF(tbl_Case_mins[[#This Row],[Rank]]=_xlfn.AGGREGATE(15,6,(tbl_Case_mins[Rank])/((tbl_Case_mins[Surgery Start Date]=tbl_Case_mins[[#This Row],[Surgery Start Date]])*(tbl_Case_mins[Theatre]=tbl_Case_mins[[#This Row],[Theatre]])*(tbl_Case_mins[PmCase]=1)),1),1,0),0)</f>
        <v>0</v>
      </c>
      <c r="CU199">
        <f>IFERROR(#REF!,0)</f>
        <v>0</v>
      </c>
      <c r="CV199" s="9" t="e" cm="1">
        <f t="array" ref="CV19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199" s="9">
        <f>IFERROR(IF(ISBLANK(INDEX(Bay_AmClose,MATCH(1,INDEX((tbl_Case_mins[[#This Row],[Bay]]=BayNo)*(tbl_Case_mins[[#This Row],[Surgery Start Date]]=BDate),0,1),0))*1440),0,INDEX(Bay_AmClose,MATCH(1,INDEX((tbl_Case_mins[[#This Row],[Bay]]=BayNo)*(tbl_Case_mins[[#This Row],[Surgery Start Date]]=BDate),0,1),0))*1440),0)</f>
        <v>0</v>
      </c>
      <c r="CX199" s="9" cm="1">
        <f t="array" ref="CX199">IFERROR(IF(ISBLANK(INDEX(Bay_PmOpen,MATCH(1,INDEX((tbl_Case_mins[[#This Row],[Bay]]=BayNo)*(tbl_Case_mins[[#This Row],[Surgery Start Date]]=BDate),0,1),0))*1440),0,INDEX(Bay_PmOpen,MATCH(1,INDEX((tbl_Case_mins[[#This Row],[Bay]]=BayNo)*(tbl_Case_mins[[#This Row],[Surgery Start Date]]=BDate),0,1),0))*1440),0)</f>
        <v>0</v>
      </c>
      <c r="CY19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199" s="9"/>
    </row>
    <row r="200" spans="1:104" x14ac:dyDescent="0.2">
      <c r="A200">
        <v>199</v>
      </c>
      <c r="B200" t="e">
        <f>#REF!</f>
        <v>#REF!</v>
      </c>
      <c r="C200" t="e">
        <f>#REF!</f>
        <v>#REF!</v>
      </c>
      <c r="D200" t="e">
        <f>#REF!</f>
        <v>#REF!</v>
      </c>
      <c r="E200" t="e">
        <f>#REF!</f>
        <v>#REF!</v>
      </c>
      <c r="F200" t="e">
        <f>#REF!</f>
        <v>#REF!</v>
      </c>
      <c r="G200" t="e">
        <f>#REF!</f>
        <v>#REF!</v>
      </c>
      <c r="H200" t="e">
        <f>#REF!</f>
        <v>#REF!</v>
      </c>
      <c r="I200" t="e">
        <f>IF(#REF!="Case Cancelled",1,IF(#REF!="No Cases",2,0))</f>
        <v>#REF!</v>
      </c>
      <c r="J200" t="e">
        <f>#REF!</f>
        <v>#REF!</v>
      </c>
      <c r="K200" s="4" t="e">
        <f>#REF!</f>
        <v>#REF!</v>
      </c>
      <c r="L200" t="e">
        <f>"Wk "&amp;WEEKNUM(tbl_Case_mins[[#This Row],[Surgery Start Date]],21)</f>
        <v>#REF!</v>
      </c>
      <c r="M200" t="e">
        <f>TEXT(tbl_Case_mins[[#This Row],[Surgery Start Date]],"ddd")</f>
        <v>#REF!</v>
      </c>
      <c r="N200" s="9" t="e">
        <f>(#REF!-TIME(0,0,0))*1440</f>
        <v>#REF!</v>
      </c>
      <c r="O200" t="e">
        <f>IF(AND(ROUND((#REF!-TIME(0,0,0))*1440,0)&gt;0,ROUND((#REF!-TIME(0,0,0))*1440,0)&lt;tbl_Case_mins[[#This Row],[Patient Called]],tbl_Case_mins[[#This Row],[Surgery End Date]]&gt;tbl_Case_mins[[#This Row],[Surgery Start Date]]),ROUND((#REF!-TIME(0,0,0))*1440,0)+1440,ROUND((#REF!-TIME(0,0,0))*1440,0))</f>
        <v>#REF!</v>
      </c>
      <c r="P200" s="9" t="e">
        <f>IF(AND(ROUND((#REF!-TIME(0,0,0))*1440,0)&gt;0,ROUND((#REF!-TIME(0,0,0))*1440,0)&lt;tbl_Case_mins[[#This Row],[Arrival]],tbl_Case_mins[[#This Row],[Surgery End Date]]&gt;tbl_Case_mins[[#This Row],[Surgery Start Date]]),ROUND((#REF!-TIME(0,0,0))*1440,0)+1440,ROUND((#REF!-TIME(0,0,0))*1440,0))</f>
        <v>#REF!</v>
      </c>
      <c r="Q200" s="9" t="e">
        <f>IF(AND(ROUND((#REF!-TIME(0,0,0))*1440,0)&gt;0,ROUND((#REF!-TIME(0,0,0))*1440,0)&lt;tbl_Case_mins[[#This Row],[Into Th or AR]],tbl_Case_mins[[#This Row],[Surgery End Date]]&gt;tbl_Case_mins[[#This Row],[Surgery Start Date]]),ROUND((#REF!-TIME(0,0,0))*1440,0)+1440,ROUND((#REF!-TIME(0,0,0))*1440,0))</f>
        <v>#REF!</v>
      </c>
      <c r="R200" s="9" t="e">
        <f>IF(AND(ROUND((#REF!-TIME(0,0,0))*1440,0)&gt;0,ROUND((#REF!-TIME(0,0,0))*1440,0)&lt;tbl_Case_mins[[#This Row],[AnaesthStart]],tbl_Case_mins[[#This Row],[Surgery End Date]]&gt;tbl_Case_mins[[#This Row],[Surgery Start Date]]),ROUND((#REF!-TIME(0,0,0))*1440,0)+1440,ROUND((#REF!-TIME(0,0,0))*1440,0))</f>
        <v>#REF!</v>
      </c>
      <c r="S200" s="9" t="e">
        <f>IF(AND(ROUND((#REF!-TIME(0,0,0))*1440,0),ROUND((#REF!-TIME(0,0,0))*1440,0)&lt;tbl_Case_mins[[#This Row],[Surgery Start]],tbl_Case_mins[[#This Row],[Surgery End Date]]&gt;tbl_Case_mins[[#This Row],[Surgery Start Date]]),ROUND((#REF!-TIME(0,0,0))*1440,0)+1440,ROUND((#REF!-TIME(0,0,0))*1440,0))</f>
        <v>#REF!</v>
      </c>
      <c r="T200" s="9" t="e">
        <f>IF(AND(ROUND((#REF!-TIME(0,0,0))*1440,0)&gt;0,ROUND((#REF!-TIME(0,0,0))*1440,0)&lt;tbl_Case_mins[[#This Row],[Surgery Finish]],tbl_Case_mins[[#This Row],[Surgery End Date]]&gt;tbl_Case_mins[[#This Row],[Surgery Start Date]]),ROUND((#REF!-TIME(0,0,0))*1440,0)+1440,ROUND((#REF!-TIME(0,0,0))*1440,0))</f>
        <v>#REF!</v>
      </c>
      <c r="U200" s="9" t="e">
        <f>IF(AND(ROUND((#REF!-TIME(0,0,0))*1440,0)&gt;0,ROUND((#REF!-TIME(0,0,0))*1440,0)&lt;tbl_Case_mins[[#This Row],[Anaesth End]],tbl_Case_mins[[#This Row],[Surgery End Date]]&gt;tbl_Case_mins[[#This Row],[Surgery Start Date]]),ROUND((#REF!-TIME(0,0,0))*1440,0)+1440,ROUND((#REF!-TIME(0,0,0))*1440,0))</f>
        <v>#REF!</v>
      </c>
      <c r="V200" s="9" t="e">
        <f>IF(AND(ROUND((#REF!-TIME(0,0,0))*1440,0)&gt;0,ROUND((#REF!-TIME(0,0,0))*1440,0)&lt;tbl_Case_mins[[#This Row],[Into Recov]],tbl_Case_mins[[#This Row],[Surgery End Date]]&gt;tbl_Case_mins[[#This Row],[Surgery Start Date]]),ROUND((#REF!-TIME(0,0,0))*1440,0)+1440,ROUND((#REF!-TIME(0,0,0))*1440,0))</f>
        <v>#REF!</v>
      </c>
      <c r="W200" s="9" t="e">
        <f>IF(AND(ROUND((#REF!-TIME(0,0,0))*1440,0)&gt;0,ROUND((#REF!-TIME(0,0,0))*1440,0)&lt;tbl_Case_mins[[#This Row],[Ward Called]],tbl_Case_mins[[#This Row],[Surgery End Date]]&gt;tbl_Case_mins[[#This Row],[Surgery Start Date]]),ROUND((#REF!-TIME(0,0,0))*1440,0)+1440,ROUND((#REF!-TIME(0,0,0))*1440,0))</f>
        <v>#REF!</v>
      </c>
      <c r="X200" s="4" t="e">
        <f>IF(ISBLANK(#REF!),tbl_Case_mins[[#This Row],[Surgery Start Date]],#REF!)</f>
        <v>#REF!</v>
      </c>
      <c r="Y200">
        <f>IFERROR(IF(VLOOKUP(tbl_Case_mins[[#This Row],[Theatre]],'Mng Theatres'!$C$7:$G$12,3,FALSE)="Yes","Yes","No"),0)</f>
        <v>0</v>
      </c>
      <c r="Z200" s="9" t="e" cm="1">
        <f t="array" ref="Z20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0" s="9" t="e" cm="1">
        <f t="array" ref="AA20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0" s="9" t="e">
        <f>IF(tbl_Case_mins[[#This Row],[Case Type]]="Unsch",1,0)</f>
        <v>#REF!</v>
      </c>
      <c r="AD200" s="9" t="e">
        <f>IF(tbl_Case_mins[[#This Row],[Case Type]]="Sch",1,0)</f>
        <v>#REF!</v>
      </c>
      <c r="AE20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0" s="9">
        <f>IFERROR(IF(ISBLANK(INDEX(Am_Close,MATCH(1,INDEX((tbl_Case_mins[[#This Row],[Theatre]]=Theatre_No)*(tbl_Case_mins[[#This Row],[Surgery Start Date]]=Date),0,1),0))*1440),0,INDEX(Am_Close,MATCH(1,INDEX((tbl_Case_mins[[#This Row],[Theatre]]=Theatre_No)*(tbl_Case_mins[[#This Row],[Surgery Start Date]]=Date),0,1),0))*1440),0)</f>
        <v>0</v>
      </c>
      <c r="AG200" s="9">
        <f>IFERROR(IF(ISBLANK(INDEX(PM_Open,MATCH(1,INDEX((tbl_Case_mins[[#This Row],[Theatre]]=Theatre_No)*(tbl_Case_mins[[#This Row],[Surgery Start Date]]=Date),0,1),0))*1440),0,INDEX(PM_Open,MATCH(1,INDEX((tbl_Case_mins[[#This Row],[Theatre]]=Theatre_No)*(tbl_Case_mins[[#This Row],[Surgery Start Date]]=Date),0,1),0))*1440),0)</f>
        <v>0</v>
      </c>
      <c r="AH20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0" s="9" t="e">
        <f>IF(tbl_Case_mins[[#This Row],[ThOpenAm]]=0,tbl_Case_mins[[#This Row],[ThOpenPM]],tbl_Case_mins[[#This Row],[ThOpenAm]])</f>
        <v>#REF!</v>
      </c>
      <c r="AJ200" s="9" t="e">
        <f>IF(tbl_Case_mins[[#This Row],[ThCloseAm]]&gt;0,IF(tbl_Case_mins[[#This Row],[ThOpenPM]]&gt;0,tbl_Case_mins[[#This Row],[ThClosePm]],tbl_Case_mins[[#This Row],[ThCloseAm]]),tbl_Case_mins[[#This Row],[ThClosePm]])</f>
        <v>#REF!</v>
      </c>
      <c r="AK200" s="9" t="e">
        <f>IF(tbl_Case_mins[[#This Row],[TOT]]&gt;0,1,0)</f>
        <v>#REF!</v>
      </c>
      <c r="AL20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0" s="9" t="e">
        <f>IF(AND(tbl_Case_mins[[#This Row],[Surgery Status]]&lt;&gt;2,tbl_Case_mins[[#This Row],[InCoreCase]]=0,tbl_Case_mins[[#This Row],[CancelledCase]]=0),1,0)</f>
        <v>#REF!</v>
      </c>
      <c r="AN200" s="9" t="e">
        <f>IF(tbl_Case_mins[[#This Row],[Surgery Status]]=1,1,0)</f>
        <v>#REF!</v>
      </c>
      <c r="AO20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0" s="9" t="e">
        <f>IF(AND(tbl_Case_mins[[#This Row],[NonCoreCase]]=1,tbl_Case_mins[[#This Row],[NoInCoreTime]]=0),1,0)</f>
        <v>#REF!</v>
      </c>
      <c r="AQ200" s="9" t="e">
        <f>IF(tbl_Case_mins[[#This Row],[Rank_AnaEnd]]&lt;tbl_Case_mins[[#This Row],[Rank_AnaSt]],1,0)</f>
        <v>#REF!</v>
      </c>
      <c r="AR200" s="9" t="e">
        <f>IF(AND(tbl_Case_mins[[#This Row],[InCoreCase]]=1,tbl_Case_mins[[#This Row],[Sch]]=1),1,0)</f>
        <v>#REF!</v>
      </c>
      <c r="AS200" s="9" t="e">
        <f>IF(AND(tbl_Case_mins[[#This Row],[InCoreCase]]=1,tbl_Case_mins[[#This Row],[Unsch]]=1),1,0)</f>
        <v>#REF!</v>
      </c>
      <c r="AT20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0" s="9" t="e">
        <f>IF(tbl_Case_mins[[#This Row],[Surgery Status]]=0,(tbl_Case_mins[[#This Row],[Anaesth End]]-tbl_Case_mins[[#This Row],[AnaesthStart]]),0)</f>
        <v>#REF!</v>
      </c>
      <c r="AX200" s="9" t="e">
        <f>IF(tbl_Case_mins[[#This Row],[Surgery Status]]=0,(tbl_Case_mins[[#This Row],[Surgery Finish]]-tbl_Case_mins[[#This Row],[Surgery Start]]),0)</f>
        <v>#REF!</v>
      </c>
      <c r="AY200" s="9" t="e">
        <f>tbl_Case_mins[[#This Row],[Surgery Start]]-tbl_Case_mins[[#This Row],[AnaesthStart]]</f>
        <v>#REF!</v>
      </c>
      <c r="AZ200" s="9" t="e">
        <f>tbl_Case_mins[[#This Row],[Anaesth End]]-tbl_Case_mins[[#This Row],[Surgery Finish]]</f>
        <v>#REF!</v>
      </c>
      <c r="BA20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0" s="16" cm="1">
        <f t="array" ref="BC20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0" s="16" t="e">
        <f>IF(AND(tbl_Case_mins[[#This Row],[FirstAMCase]]=1,tbl_Case_mins[[#This Row],[CancelledCase]]=0,OR(tbl_Case_mins[[#This Row],[EarlyStartAM]]&gt;0,tbl_Case_mins[[#This Row],[AnaesthStart]]=tbl_Case_mins[[#This Row],[ThOpenAm]])),1,0)</f>
        <v>#REF!</v>
      </c>
      <c r="BE200" s="16" t="e">
        <f>IF(AND(tbl_Case_mins[[#This Row],[Rank_AnaSt]]=tbl_Case_mins[[#This Row],[Min_RankAnaSt]],tbl_Case_mins[[#This Row],[Anaesth End]]&gt;=tbl_Case_mins[[#This Row],[ThOpenAm]],tbl_Case_mins[[#This Row],[PmCase]]=0),1,0)</f>
        <v>#REF!</v>
      </c>
      <c r="BF20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0" s="9" t="e" cm="1">
        <f t="array" ref="BH20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0" s="9" t="e">
        <f>IF(AND(tbl_Case_mins[[#This Row],[ThOpenPM]]&gt;0,tbl_Case_mins[[#This Row],[AnaesthStart]]&gt;tbl_Case_mins[[#This Row],[ThOpenPM]],tbl_Case_mins[[#This Row],[First PM Case]]=1),tbl_Case_mins[[#This Row],[AnaesthStart]]-tbl_Case_mins[[#This Row],[ThOpenPM]],0)</f>
        <v>#REF!</v>
      </c>
      <c r="BL20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0" s="9" t="e" cm="1">
        <f t="array" ref="BN20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0" s="9" t="e">
        <f>IF(AND(tbl_Case_mins[[#This Row],[ThClosePm]]&gt;0,tbl_Case_mins[[#This Row],[Anaesth End]]&gt;tbl_Case_mins[[#This Row],[ThClosePm]],tbl_Case_mins[[#This Row],[AnaesthStart]]&gt;tbl_Case_mins[[#This Row],[ThClosePm]]),tbl_Case_mins[[#This Row],[Into Recov]]-tbl_Case_mins[[#This Row],[AnaesthStart]],0)</f>
        <v>#REF!</v>
      </c>
      <c r="BP200" s="9" t="e">
        <f>IF(AND(tbl_Case_mins[[#This Row],[AnaesthStart]]&lt;tbl_Case_mins[[#This Row],[ThClosePm]],tbl_Case_mins[[#This Row],[Anaesth End]]&gt;tbl_Case_mins[[#This Row],[ThClosePm]]),tbl_Case_mins[[#This Row],[Anaesth End]]-tbl_Case_mins[[#This Row],[ThClosePm]],0)</f>
        <v>#REF!</v>
      </c>
      <c r="BQ200" s="9" t="e" cm="1">
        <f t="array" ref="BQ20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0" s="9" t="e" cm="1">
        <f t="array" ref="BR200">IF(tbl_Case_mins[[#This Row],[Rank_Adjust]]=SUMPRODUCT(-(tbl_Case_mins[Surgery Start Date]=tbl_Case_mins[[#This Row],[Surgery Start Date]]),-(tbl_Case_mins[Theatre]=tbl_Case_mins[[#This Row],[Theatre]])),INDEX(Poss_Time,MATCH(TEXT(tbl_Case_mins[[#This Row],[Surgery Start Date]],"ddd"),Day,0)),0)</f>
        <v>#REF!</v>
      </c>
      <c r="BS200" s="9" t="e">
        <f>tbl_Case_mins[[#This Row],[Core_Time]]*Util_Goal</f>
        <v>#REF!</v>
      </c>
      <c r="BT200" s="9" t="e" cm="1">
        <f t="array" ref="BT2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0" s="9" t="e" cm="1">
        <f t="array" ref="BU2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0" s="9" t="e">
        <f>IF(tbl_Case_mins[[#This Row],[Surgery End Date]]&gt;tbl_Case_mins[[#This Row],[Surgery Start Date]],tbl_Case_mins[[#This Row],[Anaesth End]]-1440,0)</f>
        <v>#REF!</v>
      </c>
      <c r="BY200" s="9" t="e">
        <f>tbl_Case_mins[[#This Row],[Total_NonCore]]-tbl_Case_mins[[#This Row],[NextDay_NonCore]]</f>
        <v>#REF!</v>
      </c>
      <c r="BZ200" s="10" t="e">
        <f>tbl_Case_mins[[#This Row],[InCoreUse]]/60</f>
        <v>#REF!</v>
      </c>
      <c r="CA200" s="10" t="e">
        <f>tbl_Case_mins[[#This Row],[Total_NonCore]]/60</f>
        <v>#REF!</v>
      </c>
      <c r="CB200" t="e" cm="1">
        <f t="array" ref="CB2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0" s="9" t="e" cm="1">
        <f t="array" ref="CC20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0" s="9" t="e" cm="1">
        <f t="array" ref="CD2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0" s="9" t="e" cm="1">
        <f t="array" ref="CE20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0" s="9" cm="1">
        <f t="array" ref="CF200">IFERROR(_xlfn.AGGREGATE(14,6,(tbl_Case_mins[Rank_AnaEnd])/((tbl_Case_mins[Surgery Start Date]=tbl_Case_mins[[#This Row],[Surgery Start Date]])*(tbl_Case_mins[Theatre]=tbl_Case_mins[[#This Row],[Theatre]])*(tbl_Case_mins[NoInCoreTime]=0)),1),-1)</f>
        <v>-1</v>
      </c>
      <c r="CG200" s="9" cm="1">
        <f t="array" ref="CG200">IFERROR(_xlfn.AGGREGATE(15,6,(tbl_Case_mins[Rank_AnaSt])/((tbl_Case_mins[Surgery Start Date]=tbl_Case_mins[[#This Row],[Surgery Start Date]])*(tbl_Case_mins[Theatre]=tbl_Case_mins[[#This Row],[Theatre]])*(tbl_Case_mins[NoInCoreTime]=0)),1),-1)</f>
        <v>-1</v>
      </c>
      <c r="CH20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0" t="e" cm="1">
        <f t="array" ref="CJ20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0" s="9" cm="1">
        <f t="array" ref="CO2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0" s="9" cm="1">
        <f t="array" ref="CP2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0" s="9" cm="1">
        <f t="array" ref="CQ200">IFERROR(IF(AND(tbl_Case_mins[[#This Row],[FirstAMCase]]=0,tbl_Case_mins[[#This Row],[Rank]]=_xlfn.AGGREGATE(14,6,(tbl_Case_mins[Rank])/((tbl_Case_mins[Surgery Start Date]=tbl_Case_mins[[#This Row],[Surgery Start Date]])*(tbl_Case_mins[Theatre]=tbl_Case_mins[[#This Row],[Theatre]])*(tbl_Case_mins[AmCase]=1)),1)),1,0),0)</f>
        <v>0</v>
      </c>
      <c r="CR200" s="9" cm="1">
        <f t="array" ref="CR20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0" s="9" t="e" cm="1">
        <f t="array" ref="CS20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0" s="9" cm="1">
        <f t="array" ref="CT200">IFERROR(IF(tbl_Case_mins[[#This Row],[Rank]]=_xlfn.AGGREGATE(15,6,(tbl_Case_mins[Rank])/((tbl_Case_mins[Surgery Start Date]=tbl_Case_mins[[#This Row],[Surgery Start Date]])*(tbl_Case_mins[Theatre]=tbl_Case_mins[[#This Row],[Theatre]])*(tbl_Case_mins[PmCase]=1)),1),1,0),0)</f>
        <v>0</v>
      </c>
      <c r="CU200">
        <f>IFERROR(#REF!,0)</f>
        <v>0</v>
      </c>
      <c r="CV200" s="9" t="e" cm="1">
        <f t="array" ref="CV20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0" s="9">
        <f>IFERROR(IF(ISBLANK(INDEX(Bay_AmClose,MATCH(1,INDEX((tbl_Case_mins[[#This Row],[Bay]]=BayNo)*(tbl_Case_mins[[#This Row],[Surgery Start Date]]=BDate),0,1),0))*1440),0,INDEX(Bay_AmClose,MATCH(1,INDEX((tbl_Case_mins[[#This Row],[Bay]]=BayNo)*(tbl_Case_mins[[#This Row],[Surgery Start Date]]=BDate),0,1),0))*1440),0)</f>
        <v>0</v>
      </c>
      <c r="CX200" s="9" cm="1">
        <f t="array" ref="CX200">IFERROR(IF(ISBLANK(INDEX(Bay_PmOpen,MATCH(1,INDEX((tbl_Case_mins[[#This Row],[Bay]]=BayNo)*(tbl_Case_mins[[#This Row],[Surgery Start Date]]=BDate),0,1),0))*1440),0,INDEX(Bay_PmOpen,MATCH(1,INDEX((tbl_Case_mins[[#This Row],[Bay]]=BayNo)*(tbl_Case_mins[[#This Row],[Surgery Start Date]]=BDate),0,1),0))*1440),0)</f>
        <v>0</v>
      </c>
      <c r="CY20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0" s="9"/>
    </row>
    <row r="201" spans="1:104" x14ac:dyDescent="0.2">
      <c r="A201">
        <v>200</v>
      </c>
      <c r="B201" t="e">
        <f>#REF!</f>
        <v>#REF!</v>
      </c>
      <c r="C201" t="e">
        <f>#REF!</f>
        <v>#REF!</v>
      </c>
      <c r="D201" t="e">
        <f>#REF!</f>
        <v>#REF!</v>
      </c>
      <c r="E201" t="e">
        <f>#REF!</f>
        <v>#REF!</v>
      </c>
      <c r="F201" t="e">
        <f>#REF!</f>
        <v>#REF!</v>
      </c>
      <c r="G201" t="e">
        <f>#REF!</f>
        <v>#REF!</v>
      </c>
      <c r="H201" t="e">
        <f>#REF!</f>
        <v>#REF!</v>
      </c>
      <c r="I201" t="e">
        <f>IF(#REF!="Case Cancelled",1,IF(#REF!="No Cases",2,0))</f>
        <v>#REF!</v>
      </c>
      <c r="J201" t="e">
        <f>#REF!</f>
        <v>#REF!</v>
      </c>
      <c r="K201" s="4" t="e">
        <f>#REF!</f>
        <v>#REF!</v>
      </c>
      <c r="L201" t="e">
        <f>"Wk "&amp;WEEKNUM(tbl_Case_mins[[#This Row],[Surgery Start Date]],21)</f>
        <v>#REF!</v>
      </c>
      <c r="M201" t="e">
        <f>TEXT(tbl_Case_mins[[#This Row],[Surgery Start Date]],"ddd")</f>
        <v>#REF!</v>
      </c>
      <c r="N201" s="9" t="e">
        <f>(#REF!-TIME(0,0,0))*1440</f>
        <v>#REF!</v>
      </c>
      <c r="O201" t="e">
        <f>IF(AND(ROUND((#REF!-TIME(0,0,0))*1440,0)&gt;0,ROUND((#REF!-TIME(0,0,0))*1440,0)&lt;tbl_Case_mins[[#This Row],[Patient Called]],tbl_Case_mins[[#This Row],[Surgery End Date]]&gt;tbl_Case_mins[[#This Row],[Surgery Start Date]]),ROUND((#REF!-TIME(0,0,0))*1440,0)+1440,ROUND((#REF!-TIME(0,0,0))*1440,0))</f>
        <v>#REF!</v>
      </c>
      <c r="P201" s="9" t="e">
        <f>IF(AND(ROUND((#REF!-TIME(0,0,0))*1440,0)&gt;0,ROUND((#REF!-TIME(0,0,0))*1440,0)&lt;tbl_Case_mins[[#This Row],[Arrival]],tbl_Case_mins[[#This Row],[Surgery End Date]]&gt;tbl_Case_mins[[#This Row],[Surgery Start Date]]),ROUND((#REF!-TIME(0,0,0))*1440,0)+1440,ROUND((#REF!-TIME(0,0,0))*1440,0))</f>
        <v>#REF!</v>
      </c>
      <c r="Q201" s="9" t="e">
        <f>IF(AND(ROUND((#REF!-TIME(0,0,0))*1440,0)&gt;0,ROUND((#REF!-TIME(0,0,0))*1440,0)&lt;tbl_Case_mins[[#This Row],[Into Th or AR]],tbl_Case_mins[[#This Row],[Surgery End Date]]&gt;tbl_Case_mins[[#This Row],[Surgery Start Date]]),ROUND((#REF!-TIME(0,0,0))*1440,0)+1440,ROUND((#REF!-TIME(0,0,0))*1440,0))</f>
        <v>#REF!</v>
      </c>
      <c r="R201" s="9" t="e">
        <f>IF(AND(ROUND((#REF!-TIME(0,0,0))*1440,0)&gt;0,ROUND((#REF!-TIME(0,0,0))*1440,0)&lt;tbl_Case_mins[[#This Row],[AnaesthStart]],tbl_Case_mins[[#This Row],[Surgery End Date]]&gt;tbl_Case_mins[[#This Row],[Surgery Start Date]]),ROUND((#REF!-TIME(0,0,0))*1440,0)+1440,ROUND((#REF!-TIME(0,0,0))*1440,0))</f>
        <v>#REF!</v>
      </c>
      <c r="S201" s="9" t="e">
        <f>IF(AND(ROUND((#REF!-TIME(0,0,0))*1440,0),ROUND((#REF!-TIME(0,0,0))*1440,0)&lt;tbl_Case_mins[[#This Row],[Surgery Start]],tbl_Case_mins[[#This Row],[Surgery End Date]]&gt;tbl_Case_mins[[#This Row],[Surgery Start Date]]),ROUND((#REF!-TIME(0,0,0))*1440,0)+1440,ROUND((#REF!-TIME(0,0,0))*1440,0))</f>
        <v>#REF!</v>
      </c>
      <c r="T201" s="9" t="e">
        <f>IF(AND(ROUND((#REF!-TIME(0,0,0))*1440,0)&gt;0,ROUND((#REF!-TIME(0,0,0))*1440,0)&lt;tbl_Case_mins[[#This Row],[Surgery Finish]],tbl_Case_mins[[#This Row],[Surgery End Date]]&gt;tbl_Case_mins[[#This Row],[Surgery Start Date]]),ROUND((#REF!-TIME(0,0,0))*1440,0)+1440,ROUND((#REF!-TIME(0,0,0))*1440,0))</f>
        <v>#REF!</v>
      </c>
      <c r="U201" s="9" t="e">
        <f>IF(AND(ROUND((#REF!-TIME(0,0,0))*1440,0)&gt;0,ROUND((#REF!-TIME(0,0,0))*1440,0)&lt;tbl_Case_mins[[#This Row],[Anaesth End]],tbl_Case_mins[[#This Row],[Surgery End Date]]&gt;tbl_Case_mins[[#This Row],[Surgery Start Date]]),ROUND((#REF!-TIME(0,0,0))*1440,0)+1440,ROUND((#REF!-TIME(0,0,0))*1440,0))</f>
        <v>#REF!</v>
      </c>
      <c r="V201" s="9" t="e">
        <f>IF(AND(ROUND((#REF!-TIME(0,0,0))*1440,0)&gt;0,ROUND((#REF!-TIME(0,0,0))*1440,0)&lt;tbl_Case_mins[[#This Row],[Into Recov]],tbl_Case_mins[[#This Row],[Surgery End Date]]&gt;tbl_Case_mins[[#This Row],[Surgery Start Date]]),ROUND((#REF!-TIME(0,0,0))*1440,0)+1440,ROUND((#REF!-TIME(0,0,0))*1440,0))</f>
        <v>#REF!</v>
      </c>
      <c r="W201" s="9" t="e">
        <f>IF(AND(ROUND((#REF!-TIME(0,0,0))*1440,0)&gt;0,ROUND((#REF!-TIME(0,0,0))*1440,0)&lt;tbl_Case_mins[[#This Row],[Ward Called]],tbl_Case_mins[[#This Row],[Surgery End Date]]&gt;tbl_Case_mins[[#This Row],[Surgery Start Date]]),ROUND((#REF!-TIME(0,0,0))*1440,0)+1440,ROUND((#REF!-TIME(0,0,0))*1440,0))</f>
        <v>#REF!</v>
      </c>
      <c r="X201" s="4" t="e">
        <f>IF(ISBLANK(#REF!),tbl_Case_mins[[#This Row],[Surgery Start Date]],#REF!)</f>
        <v>#REF!</v>
      </c>
      <c r="Y201">
        <f>IFERROR(IF(VLOOKUP(tbl_Case_mins[[#This Row],[Theatre]],'Mng Theatres'!$C$7:$G$12,3,FALSE)="Yes","Yes","No"),0)</f>
        <v>0</v>
      </c>
      <c r="Z201" s="9" t="e" cm="1">
        <f t="array" ref="Z20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1" s="9" t="e" cm="1">
        <f t="array" ref="AA20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1" s="9" t="e">
        <f>IF(tbl_Case_mins[[#This Row],[Case Type]]="Unsch",1,0)</f>
        <v>#REF!</v>
      </c>
      <c r="AD201" s="9" t="e">
        <f>IF(tbl_Case_mins[[#This Row],[Case Type]]="Sch",1,0)</f>
        <v>#REF!</v>
      </c>
      <c r="AE20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1" s="9">
        <f>IFERROR(IF(ISBLANK(INDEX(Am_Close,MATCH(1,INDEX((tbl_Case_mins[[#This Row],[Theatre]]=Theatre_No)*(tbl_Case_mins[[#This Row],[Surgery Start Date]]=Date),0,1),0))*1440),0,INDEX(Am_Close,MATCH(1,INDEX((tbl_Case_mins[[#This Row],[Theatre]]=Theatre_No)*(tbl_Case_mins[[#This Row],[Surgery Start Date]]=Date),0,1),0))*1440),0)</f>
        <v>0</v>
      </c>
      <c r="AG201" s="9">
        <f>IFERROR(IF(ISBLANK(INDEX(PM_Open,MATCH(1,INDEX((tbl_Case_mins[[#This Row],[Theatre]]=Theatre_No)*(tbl_Case_mins[[#This Row],[Surgery Start Date]]=Date),0,1),0))*1440),0,INDEX(PM_Open,MATCH(1,INDEX((tbl_Case_mins[[#This Row],[Theatre]]=Theatre_No)*(tbl_Case_mins[[#This Row],[Surgery Start Date]]=Date),0,1),0))*1440),0)</f>
        <v>0</v>
      </c>
      <c r="AH20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1" s="9" t="e">
        <f>IF(tbl_Case_mins[[#This Row],[ThOpenAm]]=0,tbl_Case_mins[[#This Row],[ThOpenPM]],tbl_Case_mins[[#This Row],[ThOpenAm]])</f>
        <v>#REF!</v>
      </c>
      <c r="AJ201" s="9" t="e">
        <f>IF(tbl_Case_mins[[#This Row],[ThCloseAm]]&gt;0,IF(tbl_Case_mins[[#This Row],[ThOpenPM]]&gt;0,tbl_Case_mins[[#This Row],[ThClosePm]],tbl_Case_mins[[#This Row],[ThCloseAm]]),tbl_Case_mins[[#This Row],[ThClosePm]])</f>
        <v>#REF!</v>
      </c>
      <c r="AK201" s="9" t="e">
        <f>IF(tbl_Case_mins[[#This Row],[TOT]]&gt;0,1,0)</f>
        <v>#REF!</v>
      </c>
      <c r="AL20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1" s="9" t="e">
        <f>IF(AND(tbl_Case_mins[[#This Row],[Surgery Status]]&lt;&gt;2,tbl_Case_mins[[#This Row],[InCoreCase]]=0,tbl_Case_mins[[#This Row],[CancelledCase]]=0),1,0)</f>
        <v>#REF!</v>
      </c>
      <c r="AN201" s="9" t="e">
        <f>IF(tbl_Case_mins[[#This Row],[Surgery Status]]=1,1,0)</f>
        <v>#REF!</v>
      </c>
      <c r="AO20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1" s="9" t="e">
        <f>IF(AND(tbl_Case_mins[[#This Row],[NonCoreCase]]=1,tbl_Case_mins[[#This Row],[NoInCoreTime]]=0),1,0)</f>
        <v>#REF!</v>
      </c>
      <c r="AQ201" s="9" t="e">
        <f>IF(tbl_Case_mins[[#This Row],[Rank_AnaEnd]]&lt;tbl_Case_mins[[#This Row],[Rank_AnaSt]],1,0)</f>
        <v>#REF!</v>
      </c>
      <c r="AR201" s="9" t="e">
        <f>IF(AND(tbl_Case_mins[[#This Row],[InCoreCase]]=1,tbl_Case_mins[[#This Row],[Sch]]=1),1,0)</f>
        <v>#REF!</v>
      </c>
      <c r="AS201" s="9" t="e">
        <f>IF(AND(tbl_Case_mins[[#This Row],[InCoreCase]]=1,tbl_Case_mins[[#This Row],[Unsch]]=1),1,0)</f>
        <v>#REF!</v>
      </c>
      <c r="AT20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1" s="9" t="e">
        <f>IF(tbl_Case_mins[[#This Row],[Surgery Status]]=0,(tbl_Case_mins[[#This Row],[Anaesth End]]-tbl_Case_mins[[#This Row],[AnaesthStart]]),0)</f>
        <v>#REF!</v>
      </c>
      <c r="AX201" s="9" t="e">
        <f>IF(tbl_Case_mins[[#This Row],[Surgery Status]]=0,(tbl_Case_mins[[#This Row],[Surgery Finish]]-tbl_Case_mins[[#This Row],[Surgery Start]]),0)</f>
        <v>#REF!</v>
      </c>
      <c r="AY201" s="9" t="e">
        <f>tbl_Case_mins[[#This Row],[Surgery Start]]-tbl_Case_mins[[#This Row],[AnaesthStart]]</f>
        <v>#REF!</v>
      </c>
      <c r="AZ201" s="9" t="e">
        <f>tbl_Case_mins[[#This Row],[Anaesth End]]-tbl_Case_mins[[#This Row],[Surgery Finish]]</f>
        <v>#REF!</v>
      </c>
      <c r="BA20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1" s="16" cm="1">
        <f t="array" ref="BC20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1" s="16" t="e">
        <f>IF(AND(tbl_Case_mins[[#This Row],[FirstAMCase]]=1,tbl_Case_mins[[#This Row],[CancelledCase]]=0,OR(tbl_Case_mins[[#This Row],[EarlyStartAM]]&gt;0,tbl_Case_mins[[#This Row],[AnaesthStart]]=tbl_Case_mins[[#This Row],[ThOpenAm]])),1,0)</f>
        <v>#REF!</v>
      </c>
      <c r="BE201" s="16" t="e">
        <f>IF(AND(tbl_Case_mins[[#This Row],[Rank_AnaSt]]=tbl_Case_mins[[#This Row],[Min_RankAnaSt]],tbl_Case_mins[[#This Row],[Anaesth End]]&gt;=tbl_Case_mins[[#This Row],[ThOpenAm]],tbl_Case_mins[[#This Row],[PmCase]]=0),1,0)</f>
        <v>#REF!</v>
      </c>
      <c r="BF20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1" s="9" t="e" cm="1">
        <f t="array" ref="BH20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1" s="9" t="e">
        <f>IF(AND(tbl_Case_mins[[#This Row],[ThOpenPM]]&gt;0,tbl_Case_mins[[#This Row],[AnaesthStart]]&gt;tbl_Case_mins[[#This Row],[ThOpenPM]],tbl_Case_mins[[#This Row],[First PM Case]]=1),tbl_Case_mins[[#This Row],[AnaesthStart]]-tbl_Case_mins[[#This Row],[ThOpenPM]],0)</f>
        <v>#REF!</v>
      </c>
      <c r="BL20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1" s="9" t="e" cm="1">
        <f t="array" ref="BN20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1" s="9" t="e">
        <f>IF(AND(tbl_Case_mins[[#This Row],[ThClosePm]]&gt;0,tbl_Case_mins[[#This Row],[Anaesth End]]&gt;tbl_Case_mins[[#This Row],[ThClosePm]],tbl_Case_mins[[#This Row],[AnaesthStart]]&gt;tbl_Case_mins[[#This Row],[ThClosePm]]),tbl_Case_mins[[#This Row],[Into Recov]]-tbl_Case_mins[[#This Row],[AnaesthStart]],0)</f>
        <v>#REF!</v>
      </c>
      <c r="BP201" s="9" t="e">
        <f>IF(AND(tbl_Case_mins[[#This Row],[AnaesthStart]]&lt;tbl_Case_mins[[#This Row],[ThClosePm]],tbl_Case_mins[[#This Row],[Anaesth End]]&gt;tbl_Case_mins[[#This Row],[ThClosePm]]),tbl_Case_mins[[#This Row],[Anaesth End]]-tbl_Case_mins[[#This Row],[ThClosePm]],0)</f>
        <v>#REF!</v>
      </c>
      <c r="BQ201" s="9" t="e" cm="1">
        <f t="array" ref="BQ20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1" s="9" t="e" cm="1">
        <f t="array" ref="BR201">IF(tbl_Case_mins[[#This Row],[Rank_Adjust]]=SUMPRODUCT(-(tbl_Case_mins[Surgery Start Date]=tbl_Case_mins[[#This Row],[Surgery Start Date]]),-(tbl_Case_mins[Theatre]=tbl_Case_mins[[#This Row],[Theatre]])),INDEX(Poss_Time,MATCH(TEXT(tbl_Case_mins[[#This Row],[Surgery Start Date]],"ddd"),Day,0)),0)</f>
        <v>#REF!</v>
      </c>
      <c r="BS201" s="9" t="e">
        <f>tbl_Case_mins[[#This Row],[Core_Time]]*Util_Goal</f>
        <v>#REF!</v>
      </c>
      <c r="BT201" s="9" t="e" cm="1">
        <f t="array" ref="BT2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1" s="9" t="e" cm="1">
        <f t="array" ref="BU2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1" s="9" t="e">
        <f>IF(tbl_Case_mins[[#This Row],[Surgery End Date]]&gt;tbl_Case_mins[[#This Row],[Surgery Start Date]],tbl_Case_mins[[#This Row],[Anaesth End]]-1440,0)</f>
        <v>#REF!</v>
      </c>
      <c r="BY201" s="9" t="e">
        <f>tbl_Case_mins[[#This Row],[Total_NonCore]]-tbl_Case_mins[[#This Row],[NextDay_NonCore]]</f>
        <v>#REF!</v>
      </c>
      <c r="BZ201" s="10" t="e">
        <f>tbl_Case_mins[[#This Row],[InCoreUse]]/60</f>
        <v>#REF!</v>
      </c>
      <c r="CA201" s="10" t="e">
        <f>tbl_Case_mins[[#This Row],[Total_NonCore]]/60</f>
        <v>#REF!</v>
      </c>
      <c r="CB201" t="e" cm="1">
        <f t="array" ref="CB2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1" s="9" t="e" cm="1">
        <f t="array" ref="CC20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1" s="9" t="e" cm="1">
        <f t="array" ref="CD2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1" s="9" t="e" cm="1">
        <f t="array" ref="CE20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1" s="9" cm="1">
        <f t="array" ref="CF201">IFERROR(_xlfn.AGGREGATE(14,6,(tbl_Case_mins[Rank_AnaEnd])/((tbl_Case_mins[Surgery Start Date]=tbl_Case_mins[[#This Row],[Surgery Start Date]])*(tbl_Case_mins[Theatre]=tbl_Case_mins[[#This Row],[Theatre]])*(tbl_Case_mins[NoInCoreTime]=0)),1),-1)</f>
        <v>-1</v>
      </c>
      <c r="CG201" s="9" cm="1">
        <f t="array" ref="CG201">IFERROR(_xlfn.AGGREGATE(15,6,(tbl_Case_mins[Rank_AnaSt])/((tbl_Case_mins[Surgery Start Date]=tbl_Case_mins[[#This Row],[Surgery Start Date]])*(tbl_Case_mins[Theatre]=tbl_Case_mins[[#This Row],[Theatre]])*(tbl_Case_mins[NoInCoreTime]=0)),1),-1)</f>
        <v>-1</v>
      </c>
      <c r="CH20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1" t="e" cm="1">
        <f t="array" ref="CJ20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1" s="9" cm="1">
        <f t="array" ref="CO2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1" s="9" cm="1">
        <f t="array" ref="CP2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1" s="9" cm="1">
        <f t="array" ref="CQ201">IFERROR(IF(AND(tbl_Case_mins[[#This Row],[FirstAMCase]]=0,tbl_Case_mins[[#This Row],[Rank]]=_xlfn.AGGREGATE(14,6,(tbl_Case_mins[Rank])/((tbl_Case_mins[Surgery Start Date]=tbl_Case_mins[[#This Row],[Surgery Start Date]])*(tbl_Case_mins[Theatre]=tbl_Case_mins[[#This Row],[Theatre]])*(tbl_Case_mins[AmCase]=1)),1)),1,0),0)</f>
        <v>0</v>
      </c>
      <c r="CR201" s="9" cm="1">
        <f t="array" ref="CR20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1" s="9" t="e" cm="1">
        <f t="array" ref="CS20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1" s="9" cm="1">
        <f t="array" ref="CT201">IFERROR(IF(tbl_Case_mins[[#This Row],[Rank]]=_xlfn.AGGREGATE(15,6,(tbl_Case_mins[Rank])/((tbl_Case_mins[Surgery Start Date]=tbl_Case_mins[[#This Row],[Surgery Start Date]])*(tbl_Case_mins[Theatre]=tbl_Case_mins[[#This Row],[Theatre]])*(tbl_Case_mins[PmCase]=1)),1),1,0),0)</f>
        <v>0</v>
      </c>
      <c r="CU201">
        <f>IFERROR(#REF!,0)</f>
        <v>0</v>
      </c>
      <c r="CV201" s="9" t="e" cm="1">
        <f t="array" ref="CV20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1" s="9">
        <f>IFERROR(IF(ISBLANK(INDEX(Bay_AmClose,MATCH(1,INDEX((tbl_Case_mins[[#This Row],[Bay]]=BayNo)*(tbl_Case_mins[[#This Row],[Surgery Start Date]]=BDate),0,1),0))*1440),0,INDEX(Bay_AmClose,MATCH(1,INDEX((tbl_Case_mins[[#This Row],[Bay]]=BayNo)*(tbl_Case_mins[[#This Row],[Surgery Start Date]]=BDate),0,1),0))*1440),0)</f>
        <v>0</v>
      </c>
      <c r="CX201" s="9" cm="1">
        <f t="array" ref="CX201">IFERROR(IF(ISBLANK(INDEX(Bay_PmOpen,MATCH(1,INDEX((tbl_Case_mins[[#This Row],[Bay]]=BayNo)*(tbl_Case_mins[[#This Row],[Surgery Start Date]]=BDate),0,1),0))*1440),0,INDEX(Bay_PmOpen,MATCH(1,INDEX((tbl_Case_mins[[#This Row],[Bay]]=BayNo)*(tbl_Case_mins[[#This Row],[Surgery Start Date]]=BDate),0,1),0))*1440),0)</f>
        <v>0</v>
      </c>
      <c r="CY20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1" s="9"/>
    </row>
    <row r="202" spans="1:104" x14ac:dyDescent="0.2">
      <c r="A202">
        <v>201</v>
      </c>
      <c r="B202" t="e">
        <f>#REF!</f>
        <v>#REF!</v>
      </c>
      <c r="C202" t="e">
        <f>#REF!</f>
        <v>#REF!</v>
      </c>
      <c r="D202" t="e">
        <f>#REF!</f>
        <v>#REF!</v>
      </c>
      <c r="E202" t="e">
        <f>#REF!</f>
        <v>#REF!</v>
      </c>
      <c r="F202" t="e">
        <f>#REF!</f>
        <v>#REF!</v>
      </c>
      <c r="G202" t="e">
        <f>#REF!</f>
        <v>#REF!</v>
      </c>
      <c r="H202" t="e">
        <f>#REF!</f>
        <v>#REF!</v>
      </c>
      <c r="I202" t="e">
        <f>IF(#REF!="Case Cancelled",1,IF(#REF!="No Cases",2,0))</f>
        <v>#REF!</v>
      </c>
      <c r="J202" t="e">
        <f>#REF!</f>
        <v>#REF!</v>
      </c>
      <c r="K202" s="4" t="e">
        <f>#REF!</f>
        <v>#REF!</v>
      </c>
      <c r="L202" t="e">
        <f>"Wk "&amp;WEEKNUM(tbl_Case_mins[[#This Row],[Surgery Start Date]],21)</f>
        <v>#REF!</v>
      </c>
      <c r="M202" t="e">
        <f>TEXT(tbl_Case_mins[[#This Row],[Surgery Start Date]],"ddd")</f>
        <v>#REF!</v>
      </c>
      <c r="N202" s="9" t="e">
        <f>(#REF!-TIME(0,0,0))*1440</f>
        <v>#REF!</v>
      </c>
      <c r="O202" t="e">
        <f>IF(AND(ROUND((#REF!-TIME(0,0,0))*1440,0)&gt;0,ROUND((#REF!-TIME(0,0,0))*1440,0)&lt;tbl_Case_mins[[#This Row],[Patient Called]],tbl_Case_mins[[#This Row],[Surgery End Date]]&gt;tbl_Case_mins[[#This Row],[Surgery Start Date]]),ROUND((#REF!-TIME(0,0,0))*1440,0)+1440,ROUND((#REF!-TIME(0,0,0))*1440,0))</f>
        <v>#REF!</v>
      </c>
      <c r="P202" s="9" t="e">
        <f>IF(AND(ROUND((#REF!-TIME(0,0,0))*1440,0)&gt;0,ROUND((#REF!-TIME(0,0,0))*1440,0)&lt;tbl_Case_mins[[#This Row],[Arrival]],tbl_Case_mins[[#This Row],[Surgery End Date]]&gt;tbl_Case_mins[[#This Row],[Surgery Start Date]]),ROUND((#REF!-TIME(0,0,0))*1440,0)+1440,ROUND((#REF!-TIME(0,0,0))*1440,0))</f>
        <v>#REF!</v>
      </c>
      <c r="Q202" s="9" t="e">
        <f>IF(AND(ROUND((#REF!-TIME(0,0,0))*1440,0)&gt;0,ROUND((#REF!-TIME(0,0,0))*1440,0)&lt;tbl_Case_mins[[#This Row],[Into Th or AR]],tbl_Case_mins[[#This Row],[Surgery End Date]]&gt;tbl_Case_mins[[#This Row],[Surgery Start Date]]),ROUND((#REF!-TIME(0,0,0))*1440,0)+1440,ROUND((#REF!-TIME(0,0,0))*1440,0))</f>
        <v>#REF!</v>
      </c>
      <c r="R202" s="9" t="e">
        <f>IF(AND(ROUND((#REF!-TIME(0,0,0))*1440,0)&gt;0,ROUND((#REF!-TIME(0,0,0))*1440,0)&lt;tbl_Case_mins[[#This Row],[AnaesthStart]],tbl_Case_mins[[#This Row],[Surgery End Date]]&gt;tbl_Case_mins[[#This Row],[Surgery Start Date]]),ROUND((#REF!-TIME(0,0,0))*1440,0)+1440,ROUND((#REF!-TIME(0,0,0))*1440,0))</f>
        <v>#REF!</v>
      </c>
      <c r="S202" s="9" t="e">
        <f>IF(AND(ROUND((#REF!-TIME(0,0,0))*1440,0),ROUND((#REF!-TIME(0,0,0))*1440,0)&lt;tbl_Case_mins[[#This Row],[Surgery Start]],tbl_Case_mins[[#This Row],[Surgery End Date]]&gt;tbl_Case_mins[[#This Row],[Surgery Start Date]]),ROUND((#REF!-TIME(0,0,0))*1440,0)+1440,ROUND((#REF!-TIME(0,0,0))*1440,0))</f>
        <v>#REF!</v>
      </c>
      <c r="T202" s="9" t="e">
        <f>IF(AND(ROUND((#REF!-TIME(0,0,0))*1440,0)&gt;0,ROUND((#REF!-TIME(0,0,0))*1440,0)&lt;tbl_Case_mins[[#This Row],[Surgery Finish]],tbl_Case_mins[[#This Row],[Surgery End Date]]&gt;tbl_Case_mins[[#This Row],[Surgery Start Date]]),ROUND((#REF!-TIME(0,0,0))*1440,0)+1440,ROUND((#REF!-TIME(0,0,0))*1440,0))</f>
        <v>#REF!</v>
      </c>
      <c r="U202" s="9" t="e">
        <f>IF(AND(ROUND((#REF!-TIME(0,0,0))*1440,0)&gt;0,ROUND((#REF!-TIME(0,0,0))*1440,0)&lt;tbl_Case_mins[[#This Row],[Anaesth End]],tbl_Case_mins[[#This Row],[Surgery End Date]]&gt;tbl_Case_mins[[#This Row],[Surgery Start Date]]),ROUND((#REF!-TIME(0,0,0))*1440,0)+1440,ROUND((#REF!-TIME(0,0,0))*1440,0))</f>
        <v>#REF!</v>
      </c>
      <c r="V202" s="9" t="e">
        <f>IF(AND(ROUND((#REF!-TIME(0,0,0))*1440,0)&gt;0,ROUND((#REF!-TIME(0,0,0))*1440,0)&lt;tbl_Case_mins[[#This Row],[Into Recov]],tbl_Case_mins[[#This Row],[Surgery End Date]]&gt;tbl_Case_mins[[#This Row],[Surgery Start Date]]),ROUND((#REF!-TIME(0,0,0))*1440,0)+1440,ROUND((#REF!-TIME(0,0,0))*1440,0))</f>
        <v>#REF!</v>
      </c>
      <c r="W202" s="9" t="e">
        <f>IF(AND(ROUND((#REF!-TIME(0,0,0))*1440,0)&gt;0,ROUND((#REF!-TIME(0,0,0))*1440,0)&lt;tbl_Case_mins[[#This Row],[Ward Called]],tbl_Case_mins[[#This Row],[Surgery End Date]]&gt;tbl_Case_mins[[#This Row],[Surgery Start Date]]),ROUND((#REF!-TIME(0,0,0))*1440,0)+1440,ROUND((#REF!-TIME(0,0,0))*1440,0))</f>
        <v>#REF!</v>
      </c>
      <c r="X202" s="4" t="e">
        <f>IF(ISBLANK(#REF!),tbl_Case_mins[[#This Row],[Surgery Start Date]],#REF!)</f>
        <v>#REF!</v>
      </c>
      <c r="Y202">
        <f>IFERROR(IF(VLOOKUP(tbl_Case_mins[[#This Row],[Theatre]],'Mng Theatres'!$C$7:$G$12,3,FALSE)="Yes","Yes","No"),0)</f>
        <v>0</v>
      </c>
      <c r="Z202" s="9" t="e" cm="1">
        <f t="array" ref="Z20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2" s="9" t="e" cm="1">
        <f t="array" ref="AA20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2" s="9" t="e">
        <f>IF(tbl_Case_mins[[#This Row],[Case Type]]="Unsch",1,0)</f>
        <v>#REF!</v>
      </c>
      <c r="AD202" s="9" t="e">
        <f>IF(tbl_Case_mins[[#This Row],[Case Type]]="Sch",1,0)</f>
        <v>#REF!</v>
      </c>
      <c r="AE20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2" s="9">
        <f>IFERROR(IF(ISBLANK(INDEX(Am_Close,MATCH(1,INDEX((tbl_Case_mins[[#This Row],[Theatre]]=Theatre_No)*(tbl_Case_mins[[#This Row],[Surgery Start Date]]=Date),0,1),0))*1440),0,INDEX(Am_Close,MATCH(1,INDEX((tbl_Case_mins[[#This Row],[Theatre]]=Theatre_No)*(tbl_Case_mins[[#This Row],[Surgery Start Date]]=Date),0,1),0))*1440),0)</f>
        <v>0</v>
      </c>
      <c r="AG202" s="9">
        <f>IFERROR(IF(ISBLANK(INDEX(PM_Open,MATCH(1,INDEX((tbl_Case_mins[[#This Row],[Theatre]]=Theatre_No)*(tbl_Case_mins[[#This Row],[Surgery Start Date]]=Date),0,1),0))*1440),0,INDEX(PM_Open,MATCH(1,INDEX((tbl_Case_mins[[#This Row],[Theatre]]=Theatre_No)*(tbl_Case_mins[[#This Row],[Surgery Start Date]]=Date),0,1),0))*1440),0)</f>
        <v>0</v>
      </c>
      <c r="AH20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2" s="9" t="e">
        <f>IF(tbl_Case_mins[[#This Row],[ThOpenAm]]=0,tbl_Case_mins[[#This Row],[ThOpenPM]],tbl_Case_mins[[#This Row],[ThOpenAm]])</f>
        <v>#REF!</v>
      </c>
      <c r="AJ202" s="9" t="e">
        <f>IF(tbl_Case_mins[[#This Row],[ThCloseAm]]&gt;0,IF(tbl_Case_mins[[#This Row],[ThOpenPM]]&gt;0,tbl_Case_mins[[#This Row],[ThClosePm]],tbl_Case_mins[[#This Row],[ThCloseAm]]),tbl_Case_mins[[#This Row],[ThClosePm]])</f>
        <v>#REF!</v>
      </c>
      <c r="AK202" s="9" t="e">
        <f>IF(tbl_Case_mins[[#This Row],[TOT]]&gt;0,1,0)</f>
        <v>#REF!</v>
      </c>
      <c r="AL20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2" s="9" t="e">
        <f>IF(AND(tbl_Case_mins[[#This Row],[Surgery Status]]&lt;&gt;2,tbl_Case_mins[[#This Row],[InCoreCase]]=0,tbl_Case_mins[[#This Row],[CancelledCase]]=0),1,0)</f>
        <v>#REF!</v>
      </c>
      <c r="AN202" s="9" t="e">
        <f>IF(tbl_Case_mins[[#This Row],[Surgery Status]]=1,1,0)</f>
        <v>#REF!</v>
      </c>
      <c r="AO20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2" s="9" t="e">
        <f>IF(AND(tbl_Case_mins[[#This Row],[NonCoreCase]]=1,tbl_Case_mins[[#This Row],[NoInCoreTime]]=0),1,0)</f>
        <v>#REF!</v>
      </c>
      <c r="AQ202" s="9" t="e">
        <f>IF(tbl_Case_mins[[#This Row],[Rank_AnaEnd]]&lt;tbl_Case_mins[[#This Row],[Rank_AnaSt]],1,0)</f>
        <v>#REF!</v>
      </c>
      <c r="AR202" s="9" t="e">
        <f>IF(AND(tbl_Case_mins[[#This Row],[InCoreCase]]=1,tbl_Case_mins[[#This Row],[Sch]]=1),1,0)</f>
        <v>#REF!</v>
      </c>
      <c r="AS202" s="9" t="e">
        <f>IF(AND(tbl_Case_mins[[#This Row],[InCoreCase]]=1,tbl_Case_mins[[#This Row],[Unsch]]=1),1,0)</f>
        <v>#REF!</v>
      </c>
      <c r="AT20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2" s="9" t="e">
        <f>IF(tbl_Case_mins[[#This Row],[Surgery Status]]=0,(tbl_Case_mins[[#This Row],[Anaesth End]]-tbl_Case_mins[[#This Row],[AnaesthStart]]),0)</f>
        <v>#REF!</v>
      </c>
      <c r="AX202" s="9" t="e">
        <f>IF(tbl_Case_mins[[#This Row],[Surgery Status]]=0,(tbl_Case_mins[[#This Row],[Surgery Finish]]-tbl_Case_mins[[#This Row],[Surgery Start]]),0)</f>
        <v>#REF!</v>
      </c>
      <c r="AY202" s="9" t="e">
        <f>tbl_Case_mins[[#This Row],[Surgery Start]]-tbl_Case_mins[[#This Row],[AnaesthStart]]</f>
        <v>#REF!</v>
      </c>
      <c r="AZ202" s="9" t="e">
        <f>tbl_Case_mins[[#This Row],[Anaesth End]]-tbl_Case_mins[[#This Row],[Surgery Finish]]</f>
        <v>#REF!</v>
      </c>
      <c r="BA20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2" s="16" cm="1">
        <f t="array" ref="BC20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2" s="16" t="e">
        <f>IF(AND(tbl_Case_mins[[#This Row],[FirstAMCase]]=1,tbl_Case_mins[[#This Row],[CancelledCase]]=0,OR(tbl_Case_mins[[#This Row],[EarlyStartAM]]&gt;0,tbl_Case_mins[[#This Row],[AnaesthStart]]=tbl_Case_mins[[#This Row],[ThOpenAm]])),1,0)</f>
        <v>#REF!</v>
      </c>
      <c r="BE202" s="16" t="e">
        <f>IF(AND(tbl_Case_mins[[#This Row],[Rank_AnaSt]]=tbl_Case_mins[[#This Row],[Min_RankAnaSt]],tbl_Case_mins[[#This Row],[Anaesth End]]&gt;=tbl_Case_mins[[#This Row],[ThOpenAm]],tbl_Case_mins[[#This Row],[PmCase]]=0),1,0)</f>
        <v>#REF!</v>
      </c>
      <c r="BF20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2" s="9" t="e" cm="1">
        <f t="array" ref="BH20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2" s="9" t="e">
        <f>IF(AND(tbl_Case_mins[[#This Row],[ThOpenPM]]&gt;0,tbl_Case_mins[[#This Row],[AnaesthStart]]&gt;tbl_Case_mins[[#This Row],[ThOpenPM]],tbl_Case_mins[[#This Row],[First PM Case]]=1),tbl_Case_mins[[#This Row],[AnaesthStart]]-tbl_Case_mins[[#This Row],[ThOpenPM]],0)</f>
        <v>#REF!</v>
      </c>
      <c r="BL20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2" s="9" t="e" cm="1">
        <f t="array" ref="BN20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2" s="9" t="e">
        <f>IF(AND(tbl_Case_mins[[#This Row],[ThClosePm]]&gt;0,tbl_Case_mins[[#This Row],[Anaesth End]]&gt;tbl_Case_mins[[#This Row],[ThClosePm]],tbl_Case_mins[[#This Row],[AnaesthStart]]&gt;tbl_Case_mins[[#This Row],[ThClosePm]]),tbl_Case_mins[[#This Row],[Into Recov]]-tbl_Case_mins[[#This Row],[AnaesthStart]],0)</f>
        <v>#REF!</v>
      </c>
      <c r="BP202" s="9" t="e">
        <f>IF(AND(tbl_Case_mins[[#This Row],[AnaesthStart]]&lt;tbl_Case_mins[[#This Row],[ThClosePm]],tbl_Case_mins[[#This Row],[Anaesth End]]&gt;tbl_Case_mins[[#This Row],[ThClosePm]]),tbl_Case_mins[[#This Row],[Anaesth End]]-tbl_Case_mins[[#This Row],[ThClosePm]],0)</f>
        <v>#REF!</v>
      </c>
      <c r="BQ202" s="9" t="e" cm="1">
        <f t="array" ref="BQ20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2" s="9" t="e" cm="1">
        <f t="array" ref="BR202">IF(tbl_Case_mins[[#This Row],[Rank_Adjust]]=SUMPRODUCT(-(tbl_Case_mins[Surgery Start Date]=tbl_Case_mins[[#This Row],[Surgery Start Date]]),-(tbl_Case_mins[Theatre]=tbl_Case_mins[[#This Row],[Theatre]])),INDEX(Poss_Time,MATCH(TEXT(tbl_Case_mins[[#This Row],[Surgery Start Date]],"ddd"),Day,0)),0)</f>
        <v>#REF!</v>
      </c>
      <c r="BS202" s="9" t="e">
        <f>tbl_Case_mins[[#This Row],[Core_Time]]*Util_Goal</f>
        <v>#REF!</v>
      </c>
      <c r="BT202" s="9" t="e" cm="1">
        <f t="array" ref="BT2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2" s="9" t="e" cm="1">
        <f t="array" ref="BU2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2" s="9" t="e">
        <f>IF(tbl_Case_mins[[#This Row],[Surgery End Date]]&gt;tbl_Case_mins[[#This Row],[Surgery Start Date]],tbl_Case_mins[[#This Row],[Anaesth End]]-1440,0)</f>
        <v>#REF!</v>
      </c>
      <c r="BY202" s="9" t="e">
        <f>tbl_Case_mins[[#This Row],[Total_NonCore]]-tbl_Case_mins[[#This Row],[NextDay_NonCore]]</f>
        <v>#REF!</v>
      </c>
      <c r="BZ202" s="10" t="e">
        <f>tbl_Case_mins[[#This Row],[InCoreUse]]/60</f>
        <v>#REF!</v>
      </c>
      <c r="CA202" s="10" t="e">
        <f>tbl_Case_mins[[#This Row],[Total_NonCore]]/60</f>
        <v>#REF!</v>
      </c>
      <c r="CB202" t="e" cm="1">
        <f t="array" ref="CB2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2" s="9" t="e" cm="1">
        <f t="array" ref="CC20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2" s="9" t="e" cm="1">
        <f t="array" ref="CD2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2" s="9" t="e" cm="1">
        <f t="array" ref="CE20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2" s="9" cm="1">
        <f t="array" ref="CF202">IFERROR(_xlfn.AGGREGATE(14,6,(tbl_Case_mins[Rank_AnaEnd])/((tbl_Case_mins[Surgery Start Date]=tbl_Case_mins[[#This Row],[Surgery Start Date]])*(tbl_Case_mins[Theatre]=tbl_Case_mins[[#This Row],[Theatre]])*(tbl_Case_mins[NoInCoreTime]=0)),1),-1)</f>
        <v>-1</v>
      </c>
      <c r="CG202" s="9" cm="1">
        <f t="array" ref="CG202">IFERROR(_xlfn.AGGREGATE(15,6,(tbl_Case_mins[Rank_AnaSt])/((tbl_Case_mins[Surgery Start Date]=tbl_Case_mins[[#This Row],[Surgery Start Date]])*(tbl_Case_mins[Theatre]=tbl_Case_mins[[#This Row],[Theatre]])*(tbl_Case_mins[NoInCoreTime]=0)),1),-1)</f>
        <v>-1</v>
      </c>
      <c r="CH20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2" t="e" cm="1">
        <f t="array" ref="CJ20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2" s="9" cm="1">
        <f t="array" ref="CO2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2" s="9" cm="1">
        <f t="array" ref="CP2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2" s="9" cm="1">
        <f t="array" ref="CQ202">IFERROR(IF(AND(tbl_Case_mins[[#This Row],[FirstAMCase]]=0,tbl_Case_mins[[#This Row],[Rank]]=_xlfn.AGGREGATE(14,6,(tbl_Case_mins[Rank])/((tbl_Case_mins[Surgery Start Date]=tbl_Case_mins[[#This Row],[Surgery Start Date]])*(tbl_Case_mins[Theatre]=tbl_Case_mins[[#This Row],[Theatre]])*(tbl_Case_mins[AmCase]=1)),1)),1,0),0)</f>
        <v>0</v>
      </c>
      <c r="CR202" s="9" cm="1">
        <f t="array" ref="CR20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2" s="9" t="e" cm="1">
        <f t="array" ref="CS20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2" s="9" cm="1">
        <f t="array" ref="CT202">IFERROR(IF(tbl_Case_mins[[#This Row],[Rank]]=_xlfn.AGGREGATE(15,6,(tbl_Case_mins[Rank])/((tbl_Case_mins[Surgery Start Date]=tbl_Case_mins[[#This Row],[Surgery Start Date]])*(tbl_Case_mins[Theatre]=tbl_Case_mins[[#This Row],[Theatre]])*(tbl_Case_mins[PmCase]=1)),1),1,0),0)</f>
        <v>0</v>
      </c>
      <c r="CU202">
        <f>IFERROR(#REF!,0)</f>
        <v>0</v>
      </c>
      <c r="CV202" s="9" t="e" cm="1">
        <f t="array" ref="CV20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2" s="9">
        <f>IFERROR(IF(ISBLANK(INDEX(Bay_AmClose,MATCH(1,INDEX((tbl_Case_mins[[#This Row],[Bay]]=BayNo)*(tbl_Case_mins[[#This Row],[Surgery Start Date]]=BDate),0,1),0))*1440),0,INDEX(Bay_AmClose,MATCH(1,INDEX((tbl_Case_mins[[#This Row],[Bay]]=BayNo)*(tbl_Case_mins[[#This Row],[Surgery Start Date]]=BDate),0,1),0))*1440),0)</f>
        <v>0</v>
      </c>
      <c r="CX202" s="9" cm="1">
        <f t="array" ref="CX202">IFERROR(IF(ISBLANK(INDEX(Bay_PmOpen,MATCH(1,INDEX((tbl_Case_mins[[#This Row],[Bay]]=BayNo)*(tbl_Case_mins[[#This Row],[Surgery Start Date]]=BDate),0,1),0))*1440),0,INDEX(Bay_PmOpen,MATCH(1,INDEX((tbl_Case_mins[[#This Row],[Bay]]=BayNo)*(tbl_Case_mins[[#This Row],[Surgery Start Date]]=BDate),0,1),0))*1440),0)</f>
        <v>0</v>
      </c>
      <c r="CY20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2" s="9"/>
    </row>
    <row r="203" spans="1:104" x14ac:dyDescent="0.2">
      <c r="A203">
        <v>202</v>
      </c>
      <c r="B203" t="e">
        <f>#REF!</f>
        <v>#REF!</v>
      </c>
      <c r="C203" t="e">
        <f>#REF!</f>
        <v>#REF!</v>
      </c>
      <c r="D203" t="e">
        <f>#REF!</f>
        <v>#REF!</v>
      </c>
      <c r="E203" t="e">
        <f>#REF!</f>
        <v>#REF!</v>
      </c>
      <c r="F203" t="e">
        <f>#REF!</f>
        <v>#REF!</v>
      </c>
      <c r="G203" t="e">
        <f>#REF!</f>
        <v>#REF!</v>
      </c>
      <c r="H203" t="e">
        <f>#REF!</f>
        <v>#REF!</v>
      </c>
      <c r="I203" t="e">
        <f>IF(#REF!="Case Cancelled",1,IF(#REF!="No Cases",2,0))</f>
        <v>#REF!</v>
      </c>
      <c r="J203" t="e">
        <f>#REF!</f>
        <v>#REF!</v>
      </c>
      <c r="K203" s="4" t="e">
        <f>#REF!</f>
        <v>#REF!</v>
      </c>
      <c r="L203" t="e">
        <f>"Wk "&amp;WEEKNUM(tbl_Case_mins[[#This Row],[Surgery Start Date]],21)</f>
        <v>#REF!</v>
      </c>
      <c r="M203" t="e">
        <f>TEXT(tbl_Case_mins[[#This Row],[Surgery Start Date]],"ddd")</f>
        <v>#REF!</v>
      </c>
      <c r="N203" s="9" t="e">
        <f>(#REF!-TIME(0,0,0))*1440</f>
        <v>#REF!</v>
      </c>
      <c r="O203" t="e">
        <f>IF(AND(ROUND((#REF!-TIME(0,0,0))*1440,0)&gt;0,ROUND((#REF!-TIME(0,0,0))*1440,0)&lt;tbl_Case_mins[[#This Row],[Patient Called]],tbl_Case_mins[[#This Row],[Surgery End Date]]&gt;tbl_Case_mins[[#This Row],[Surgery Start Date]]),ROUND((#REF!-TIME(0,0,0))*1440,0)+1440,ROUND((#REF!-TIME(0,0,0))*1440,0))</f>
        <v>#REF!</v>
      </c>
      <c r="P203" s="9" t="e">
        <f>IF(AND(ROUND((#REF!-TIME(0,0,0))*1440,0)&gt;0,ROUND((#REF!-TIME(0,0,0))*1440,0)&lt;tbl_Case_mins[[#This Row],[Arrival]],tbl_Case_mins[[#This Row],[Surgery End Date]]&gt;tbl_Case_mins[[#This Row],[Surgery Start Date]]),ROUND((#REF!-TIME(0,0,0))*1440,0)+1440,ROUND((#REF!-TIME(0,0,0))*1440,0))</f>
        <v>#REF!</v>
      </c>
      <c r="Q203" s="9" t="e">
        <f>IF(AND(ROUND((#REF!-TIME(0,0,0))*1440,0)&gt;0,ROUND((#REF!-TIME(0,0,0))*1440,0)&lt;tbl_Case_mins[[#This Row],[Into Th or AR]],tbl_Case_mins[[#This Row],[Surgery End Date]]&gt;tbl_Case_mins[[#This Row],[Surgery Start Date]]),ROUND((#REF!-TIME(0,0,0))*1440,0)+1440,ROUND((#REF!-TIME(0,0,0))*1440,0))</f>
        <v>#REF!</v>
      </c>
      <c r="R203" s="9" t="e">
        <f>IF(AND(ROUND((#REF!-TIME(0,0,0))*1440,0)&gt;0,ROUND((#REF!-TIME(0,0,0))*1440,0)&lt;tbl_Case_mins[[#This Row],[AnaesthStart]],tbl_Case_mins[[#This Row],[Surgery End Date]]&gt;tbl_Case_mins[[#This Row],[Surgery Start Date]]),ROUND((#REF!-TIME(0,0,0))*1440,0)+1440,ROUND((#REF!-TIME(0,0,0))*1440,0))</f>
        <v>#REF!</v>
      </c>
      <c r="S203" s="9" t="e">
        <f>IF(AND(ROUND((#REF!-TIME(0,0,0))*1440,0),ROUND((#REF!-TIME(0,0,0))*1440,0)&lt;tbl_Case_mins[[#This Row],[Surgery Start]],tbl_Case_mins[[#This Row],[Surgery End Date]]&gt;tbl_Case_mins[[#This Row],[Surgery Start Date]]),ROUND((#REF!-TIME(0,0,0))*1440,0)+1440,ROUND((#REF!-TIME(0,0,0))*1440,0))</f>
        <v>#REF!</v>
      </c>
      <c r="T203" s="9" t="e">
        <f>IF(AND(ROUND((#REF!-TIME(0,0,0))*1440,0)&gt;0,ROUND((#REF!-TIME(0,0,0))*1440,0)&lt;tbl_Case_mins[[#This Row],[Surgery Finish]],tbl_Case_mins[[#This Row],[Surgery End Date]]&gt;tbl_Case_mins[[#This Row],[Surgery Start Date]]),ROUND((#REF!-TIME(0,0,0))*1440,0)+1440,ROUND((#REF!-TIME(0,0,0))*1440,0))</f>
        <v>#REF!</v>
      </c>
      <c r="U203" s="9" t="e">
        <f>IF(AND(ROUND((#REF!-TIME(0,0,0))*1440,0)&gt;0,ROUND((#REF!-TIME(0,0,0))*1440,0)&lt;tbl_Case_mins[[#This Row],[Anaesth End]],tbl_Case_mins[[#This Row],[Surgery End Date]]&gt;tbl_Case_mins[[#This Row],[Surgery Start Date]]),ROUND((#REF!-TIME(0,0,0))*1440,0)+1440,ROUND((#REF!-TIME(0,0,0))*1440,0))</f>
        <v>#REF!</v>
      </c>
      <c r="V203" s="9" t="e">
        <f>IF(AND(ROUND((#REF!-TIME(0,0,0))*1440,0)&gt;0,ROUND((#REF!-TIME(0,0,0))*1440,0)&lt;tbl_Case_mins[[#This Row],[Into Recov]],tbl_Case_mins[[#This Row],[Surgery End Date]]&gt;tbl_Case_mins[[#This Row],[Surgery Start Date]]),ROUND((#REF!-TIME(0,0,0))*1440,0)+1440,ROUND((#REF!-TIME(0,0,0))*1440,0))</f>
        <v>#REF!</v>
      </c>
      <c r="W203" s="9" t="e">
        <f>IF(AND(ROUND((#REF!-TIME(0,0,0))*1440,0)&gt;0,ROUND((#REF!-TIME(0,0,0))*1440,0)&lt;tbl_Case_mins[[#This Row],[Ward Called]],tbl_Case_mins[[#This Row],[Surgery End Date]]&gt;tbl_Case_mins[[#This Row],[Surgery Start Date]]),ROUND((#REF!-TIME(0,0,0))*1440,0)+1440,ROUND((#REF!-TIME(0,0,0))*1440,0))</f>
        <v>#REF!</v>
      </c>
      <c r="X203" s="4" t="e">
        <f>IF(ISBLANK(#REF!),tbl_Case_mins[[#This Row],[Surgery Start Date]],#REF!)</f>
        <v>#REF!</v>
      </c>
      <c r="Y203">
        <f>IFERROR(IF(VLOOKUP(tbl_Case_mins[[#This Row],[Theatre]],'Mng Theatres'!$C$7:$G$12,3,FALSE)="Yes","Yes","No"),0)</f>
        <v>0</v>
      </c>
      <c r="Z203" s="9" t="e" cm="1">
        <f t="array" ref="Z20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3" s="9" t="e" cm="1">
        <f t="array" ref="AA20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3" s="9" t="e">
        <f>IF(tbl_Case_mins[[#This Row],[Case Type]]="Unsch",1,0)</f>
        <v>#REF!</v>
      </c>
      <c r="AD203" s="9" t="e">
        <f>IF(tbl_Case_mins[[#This Row],[Case Type]]="Sch",1,0)</f>
        <v>#REF!</v>
      </c>
      <c r="AE20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3" s="9">
        <f>IFERROR(IF(ISBLANK(INDEX(Am_Close,MATCH(1,INDEX((tbl_Case_mins[[#This Row],[Theatre]]=Theatre_No)*(tbl_Case_mins[[#This Row],[Surgery Start Date]]=Date),0,1),0))*1440),0,INDEX(Am_Close,MATCH(1,INDEX((tbl_Case_mins[[#This Row],[Theatre]]=Theatre_No)*(tbl_Case_mins[[#This Row],[Surgery Start Date]]=Date),0,1),0))*1440),0)</f>
        <v>0</v>
      </c>
      <c r="AG203" s="9">
        <f>IFERROR(IF(ISBLANK(INDEX(PM_Open,MATCH(1,INDEX((tbl_Case_mins[[#This Row],[Theatre]]=Theatre_No)*(tbl_Case_mins[[#This Row],[Surgery Start Date]]=Date),0,1),0))*1440),0,INDEX(PM_Open,MATCH(1,INDEX((tbl_Case_mins[[#This Row],[Theatre]]=Theatre_No)*(tbl_Case_mins[[#This Row],[Surgery Start Date]]=Date),0,1),0))*1440),0)</f>
        <v>0</v>
      </c>
      <c r="AH20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3" s="9" t="e">
        <f>IF(tbl_Case_mins[[#This Row],[ThOpenAm]]=0,tbl_Case_mins[[#This Row],[ThOpenPM]],tbl_Case_mins[[#This Row],[ThOpenAm]])</f>
        <v>#REF!</v>
      </c>
      <c r="AJ203" s="9" t="e">
        <f>IF(tbl_Case_mins[[#This Row],[ThCloseAm]]&gt;0,IF(tbl_Case_mins[[#This Row],[ThOpenPM]]&gt;0,tbl_Case_mins[[#This Row],[ThClosePm]],tbl_Case_mins[[#This Row],[ThCloseAm]]),tbl_Case_mins[[#This Row],[ThClosePm]])</f>
        <v>#REF!</v>
      </c>
      <c r="AK203" s="9" t="e">
        <f>IF(tbl_Case_mins[[#This Row],[TOT]]&gt;0,1,0)</f>
        <v>#REF!</v>
      </c>
      <c r="AL20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3" s="9" t="e">
        <f>IF(AND(tbl_Case_mins[[#This Row],[Surgery Status]]&lt;&gt;2,tbl_Case_mins[[#This Row],[InCoreCase]]=0,tbl_Case_mins[[#This Row],[CancelledCase]]=0),1,0)</f>
        <v>#REF!</v>
      </c>
      <c r="AN203" s="9" t="e">
        <f>IF(tbl_Case_mins[[#This Row],[Surgery Status]]=1,1,0)</f>
        <v>#REF!</v>
      </c>
      <c r="AO20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3" s="9" t="e">
        <f>IF(AND(tbl_Case_mins[[#This Row],[NonCoreCase]]=1,tbl_Case_mins[[#This Row],[NoInCoreTime]]=0),1,0)</f>
        <v>#REF!</v>
      </c>
      <c r="AQ203" s="9" t="e">
        <f>IF(tbl_Case_mins[[#This Row],[Rank_AnaEnd]]&lt;tbl_Case_mins[[#This Row],[Rank_AnaSt]],1,0)</f>
        <v>#REF!</v>
      </c>
      <c r="AR203" s="9" t="e">
        <f>IF(AND(tbl_Case_mins[[#This Row],[InCoreCase]]=1,tbl_Case_mins[[#This Row],[Sch]]=1),1,0)</f>
        <v>#REF!</v>
      </c>
      <c r="AS203" s="9" t="e">
        <f>IF(AND(tbl_Case_mins[[#This Row],[InCoreCase]]=1,tbl_Case_mins[[#This Row],[Unsch]]=1),1,0)</f>
        <v>#REF!</v>
      </c>
      <c r="AT20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3" s="9" t="e">
        <f>IF(tbl_Case_mins[[#This Row],[Surgery Status]]=0,(tbl_Case_mins[[#This Row],[Anaesth End]]-tbl_Case_mins[[#This Row],[AnaesthStart]]),0)</f>
        <v>#REF!</v>
      </c>
      <c r="AX203" s="9" t="e">
        <f>IF(tbl_Case_mins[[#This Row],[Surgery Status]]=0,(tbl_Case_mins[[#This Row],[Surgery Finish]]-tbl_Case_mins[[#This Row],[Surgery Start]]),0)</f>
        <v>#REF!</v>
      </c>
      <c r="AY203" s="9" t="e">
        <f>tbl_Case_mins[[#This Row],[Surgery Start]]-tbl_Case_mins[[#This Row],[AnaesthStart]]</f>
        <v>#REF!</v>
      </c>
      <c r="AZ203" s="9" t="e">
        <f>tbl_Case_mins[[#This Row],[Anaesth End]]-tbl_Case_mins[[#This Row],[Surgery Finish]]</f>
        <v>#REF!</v>
      </c>
      <c r="BA20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3" s="16" cm="1">
        <f t="array" ref="BC20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3" s="16" t="e">
        <f>IF(AND(tbl_Case_mins[[#This Row],[FirstAMCase]]=1,tbl_Case_mins[[#This Row],[CancelledCase]]=0,OR(tbl_Case_mins[[#This Row],[EarlyStartAM]]&gt;0,tbl_Case_mins[[#This Row],[AnaesthStart]]=tbl_Case_mins[[#This Row],[ThOpenAm]])),1,0)</f>
        <v>#REF!</v>
      </c>
      <c r="BE203" s="16" t="e">
        <f>IF(AND(tbl_Case_mins[[#This Row],[Rank_AnaSt]]=tbl_Case_mins[[#This Row],[Min_RankAnaSt]],tbl_Case_mins[[#This Row],[Anaesth End]]&gt;=tbl_Case_mins[[#This Row],[ThOpenAm]],tbl_Case_mins[[#This Row],[PmCase]]=0),1,0)</f>
        <v>#REF!</v>
      </c>
      <c r="BF20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3" s="9" t="e" cm="1">
        <f t="array" ref="BH20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3" s="9" t="e">
        <f>IF(AND(tbl_Case_mins[[#This Row],[ThOpenPM]]&gt;0,tbl_Case_mins[[#This Row],[AnaesthStart]]&gt;tbl_Case_mins[[#This Row],[ThOpenPM]],tbl_Case_mins[[#This Row],[First PM Case]]=1),tbl_Case_mins[[#This Row],[AnaesthStart]]-tbl_Case_mins[[#This Row],[ThOpenPM]],0)</f>
        <v>#REF!</v>
      </c>
      <c r="BL20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3" s="9" t="e" cm="1">
        <f t="array" ref="BN20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3" s="9" t="e">
        <f>IF(AND(tbl_Case_mins[[#This Row],[ThClosePm]]&gt;0,tbl_Case_mins[[#This Row],[Anaesth End]]&gt;tbl_Case_mins[[#This Row],[ThClosePm]],tbl_Case_mins[[#This Row],[AnaesthStart]]&gt;tbl_Case_mins[[#This Row],[ThClosePm]]),tbl_Case_mins[[#This Row],[Into Recov]]-tbl_Case_mins[[#This Row],[AnaesthStart]],0)</f>
        <v>#REF!</v>
      </c>
      <c r="BP203" s="9" t="e">
        <f>IF(AND(tbl_Case_mins[[#This Row],[AnaesthStart]]&lt;tbl_Case_mins[[#This Row],[ThClosePm]],tbl_Case_mins[[#This Row],[Anaesth End]]&gt;tbl_Case_mins[[#This Row],[ThClosePm]]),tbl_Case_mins[[#This Row],[Anaesth End]]-tbl_Case_mins[[#This Row],[ThClosePm]],0)</f>
        <v>#REF!</v>
      </c>
      <c r="BQ203" s="9" t="e" cm="1">
        <f t="array" ref="BQ20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3" s="9" t="e" cm="1">
        <f t="array" ref="BR203">IF(tbl_Case_mins[[#This Row],[Rank_Adjust]]=SUMPRODUCT(-(tbl_Case_mins[Surgery Start Date]=tbl_Case_mins[[#This Row],[Surgery Start Date]]),-(tbl_Case_mins[Theatre]=tbl_Case_mins[[#This Row],[Theatre]])),INDEX(Poss_Time,MATCH(TEXT(tbl_Case_mins[[#This Row],[Surgery Start Date]],"ddd"),Day,0)),0)</f>
        <v>#REF!</v>
      </c>
      <c r="BS203" s="9" t="e">
        <f>tbl_Case_mins[[#This Row],[Core_Time]]*Util_Goal</f>
        <v>#REF!</v>
      </c>
      <c r="BT203" s="9" t="e" cm="1">
        <f t="array" ref="BT2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3" s="9" t="e" cm="1">
        <f t="array" ref="BU2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3" s="9" t="e">
        <f>IF(tbl_Case_mins[[#This Row],[Surgery End Date]]&gt;tbl_Case_mins[[#This Row],[Surgery Start Date]],tbl_Case_mins[[#This Row],[Anaesth End]]-1440,0)</f>
        <v>#REF!</v>
      </c>
      <c r="BY203" s="9" t="e">
        <f>tbl_Case_mins[[#This Row],[Total_NonCore]]-tbl_Case_mins[[#This Row],[NextDay_NonCore]]</f>
        <v>#REF!</v>
      </c>
      <c r="BZ203" s="10" t="e">
        <f>tbl_Case_mins[[#This Row],[InCoreUse]]/60</f>
        <v>#REF!</v>
      </c>
      <c r="CA203" s="10" t="e">
        <f>tbl_Case_mins[[#This Row],[Total_NonCore]]/60</f>
        <v>#REF!</v>
      </c>
      <c r="CB203" t="e" cm="1">
        <f t="array" ref="CB2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3" s="9" t="e" cm="1">
        <f t="array" ref="CC20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3" s="9" t="e" cm="1">
        <f t="array" ref="CD2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3" s="9" t="e" cm="1">
        <f t="array" ref="CE20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3" s="9" cm="1">
        <f t="array" ref="CF203">IFERROR(_xlfn.AGGREGATE(14,6,(tbl_Case_mins[Rank_AnaEnd])/((tbl_Case_mins[Surgery Start Date]=tbl_Case_mins[[#This Row],[Surgery Start Date]])*(tbl_Case_mins[Theatre]=tbl_Case_mins[[#This Row],[Theatre]])*(tbl_Case_mins[NoInCoreTime]=0)),1),-1)</f>
        <v>-1</v>
      </c>
      <c r="CG203" s="9" cm="1">
        <f t="array" ref="CG203">IFERROR(_xlfn.AGGREGATE(15,6,(tbl_Case_mins[Rank_AnaSt])/((tbl_Case_mins[Surgery Start Date]=tbl_Case_mins[[#This Row],[Surgery Start Date]])*(tbl_Case_mins[Theatre]=tbl_Case_mins[[#This Row],[Theatre]])*(tbl_Case_mins[NoInCoreTime]=0)),1),-1)</f>
        <v>-1</v>
      </c>
      <c r="CH20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3" t="e" cm="1">
        <f t="array" ref="CJ20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3" s="9" cm="1">
        <f t="array" ref="CO2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3" s="9" cm="1">
        <f t="array" ref="CP2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3" s="9" cm="1">
        <f t="array" ref="CQ203">IFERROR(IF(AND(tbl_Case_mins[[#This Row],[FirstAMCase]]=0,tbl_Case_mins[[#This Row],[Rank]]=_xlfn.AGGREGATE(14,6,(tbl_Case_mins[Rank])/((tbl_Case_mins[Surgery Start Date]=tbl_Case_mins[[#This Row],[Surgery Start Date]])*(tbl_Case_mins[Theatre]=tbl_Case_mins[[#This Row],[Theatre]])*(tbl_Case_mins[AmCase]=1)),1)),1,0),0)</f>
        <v>0</v>
      </c>
      <c r="CR203" s="9" cm="1">
        <f t="array" ref="CR20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3" s="9" t="e" cm="1">
        <f t="array" ref="CS20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3" s="9" cm="1">
        <f t="array" ref="CT203">IFERROR(IF(tbl_Case_mins[[#This Row],[Rank]]=_xlfn.AGGREGATE(15,6,(tbl_Case_mins[Rank])/((tbl_Case_mins[Surgery Start Date]=tbl_Case_mins[[#This Row],[Surgery Start Date]])*(tbl_Case_mins[Theatre]=tbl_Case_mins[[#This Row],[Theatre]])*(tbl_Case_mins[PmCase]=1)),1),1,0),0)</f>
        <v>0</v>
      </c>
      <c r="CU203">
        <f>IFERROR(#REF!,0)</f>
        <v>0</v>
      </c>
      <c r="CV203" s="9" t="e" cm="1">
        <f t="array" ref="CV20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3" s="9">
        <f>IFERROR(IF(ISBLANK(INDEX(Bay_AmClose,MATCH(1,INDEX((tbl_Case_mins[[#This Row],[Bay]]=BayNo)*(tbl_Case_mins[[#This Row],[Surgery Start Date]]=BDate),0,1),0))*1440),0,INDEX(Bay_AmClose,MATCH(1,INDEX((tbl_Case_mins[[#This Row],[Bay]]=BayNo)*(tbl_Case_mins[[#This Row],[Surgery Start Date]]=BDate),0,1),0))*1440),0)</f>
        <v>0</v>
      </c>
      <c r="CX203" s="9" cm="1">
        <f t="array" ref="CX203">IFERROR(IF(ISBLANK(INDEX(Bay_PmOpen,MATCH(1,INDEX((tbl_Case_mins[[#This Row],[Bay]]=BayNo)*(tbl_Case_mins[[#This Row],[Surgery Start Date]]=BDate),0,1),0))*1440),0,INDEX(Bay_PmOpen,MATCH(1,INDEX((tbl_Case_mins[[#This Row],[Bay]]=BayNo)*(tbl_Case_mins[[#This Row],[Surgery Start Date]]=BDate),0,1),0))*1440),0)</f>
        <v>0</v>
      </c>
      <c r="CY20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3" s="9"/>
    </row>
    <row r="204" spans="1:104" x14ac:dyDescent="0.2">
      <c r="A204">
        <v>203</v>
      </c>
      <c r="B204" t="e">
        <f>#REF!</f>
        <v>#REF!</v>
      </c>
      <c r="C204" t="e">
        <f>#REF!</f>
        <v>#REF!</v>
      </c>
      <c r="D204" t="e">
        <f>#REF!</f>
        <v>#REF!</v>
      </c>
      <c r="E204" t="e">
        <f>#REF!</f>
        <v>#REF!</v>
      </c>
      <c r="F204" t="e">
        <f>#REF!</f>
        <v>#REF!</v>
      </c>
      <c r="G204" t="e">
        <f>#REF!</f>
        <v>#REF!</v>
      </c>
      <c r="H204" t="e">
        <f>#REF!</f>
        <v>#REF!</v>
      </c>
      <c r="I204" t="e">
        <f>IF(#REF!="Case Cancelled",1,IF(#REF!="No Cases",2,0))</f>
        <v>#REF!</v>
      </c>
      <c r="J204" t="e">
        <f>#REF!</f>
        <v>#REF!</v>
      </c>
      <c r="K204" s="4" t="e">
        <f>#REF!</f>
        <v>#REF!</v>
      </c>
      <c r="L204" t="e">
        <f>"Wk "&amp;WEEKNUM(tbl_Case_mins[[#This Row],[Surgery Start Date]],21)</f>
        <v>#REF!</v>
      </c>
      <c r="M204" t="e">
        <f>TEXT(tbl_Case_mins[[#This Row],[Surgery Start Date]],"ddd")</f>
        <v>#REF!</v>
      </c>
      <c r="N204" s="9" t="e">
        <f>(#REF!-TIME(0,0,0))*1440</f>
        <v>#REF!</v>
      </c>
      <c r="O204" t="e">
        <f>IF(AND(ROUND((#REF!-TIME(0,0,0))*1440,0)&gt;0,ROUND((#REF!-TIME(0,0,0))*1440,0)&lt;tbl_Case_mins[[#This Row],[Patient Called]],tbl_Case_mins[[#This Row],[Surgery End Date]]&gt;tbl_Case_mins[[#This Row],[Surgery Start Date]]),ROUND((#REF!-TIME(0,0,0))*1440,0)+1440,ROUND((#REF!-TIME(0,0,0))*1440,0))</f>
        <v>#REF!</v>
      </c>
      <c r="P204" s="9" t="e">
        <f>IF(AND(ROUND((#REF!-TIME(0,0,0))*1440,0)&gt;0,ROUND((#REF!-TIME(0,0,0))*1440,0)&lt;tbl_Case_mins[[#This Row],[Arrival]],tbl_Case_mins[[#This Row],[Surgery End Date]]&gt;tbl_Case_mins[[#This Row],[Surgery Start Date]]),ROUND((#REF!-TIME(0,0,0))*1440,0)+1440,ROUND((#REF!-TIME(0,0,0))*1440,0))</f>
        <v>#REF!</v>
      </c>
      <c r="Q204" s="9" t="e">
        <f>IF(AND(ROUND((#REF!-TIME(0,0,0))*1440,0)&gt;0,ROUND((#REF!-TIME(0,0,0))*1440,0)&lt;tbl_Case_mins[[#This Row],[Into Th or AR]],tbl_Case_mins[[#This Row],[Surgery End Date]]&gt;tbl_Case_mins[[#This Row],[Surgery Start Date]]),ROUND((#REF!-TIME(0,0,0))*1440,0)+1440,ROUND((#REF!-TIME(0,0,0))*1440,0))</f>
        <v>#REF!</v>
      </c>
      <c r="R204" s="9" t="e">
        <f>IF(AND(ROUND((#REF!-TIME(0,0,0))*1440,0)&gt;0,ROUND((#REF!-TIME(0,0,0))*1440,0)&lt;tbl_Case_mins[[#This Row],[AnaesthStart]],tbl_Case_mins[[#This Row],[Surgery End Date]]&gt;tbl_Case_mins[[#This Row],[Surgery Start Date]]),ROUND((#REF!-TIME(0,0,0))*1440,0)+1440,ROUND((#REF!-TIME(0,0,0))*1440,0))</f>
        <v>#REF!</v>
      </c>
      <c r="S204" s="9" t="e">
        <f>IF(AND(ROUND((#REF!-TIME(0,0,0))*1440,0),ROUND((#REF!-TIME(0,0,0))*1440,0)&lt;tbl_Case_mins[[#This Row],[Surgery Start]],tbl_Case_mins[[#This Row],[Surgery End Date]]&gt;tbl_Case_mins[[#This Row],[Surgery Start Date]]),ROUND((#REF!-TIME(0,0,0))*1440,0)+1440,ROUND((#REF!-TIME(0,0,0))*1440,0))</f>
        <v>#REF!</v>
      </c>
      <c r="T204" s="9" t="e">
        <f>IF(AND(ROUND((#REF!-TIME(0,0,0))*1440,0)&gt;0,ROUND((#REF!-TIME(0,0,0))*1440,0)&lt;tbl_Case_mins[[#This Row],[Surgery Finish]],tbl_Case_mins[[#This Row],[Surgery End Date]]&gt;tbl_Case_mins[[#This Row],[Surgery Start Date]]),ROUND((#REF!-TIME(0,0,0))*1440,0)+1440,ROUND((#REF!-TIME(0,0,0))*1440,0))</f>
        <v>#REF!</v>
      </c>
      <c r="U204" s="9" t="e">
        <f>IF(AND(ROUND((#REF!-TIME(0,0,0))*1440,0)&gt;0,ROUND((#REF!-TIME(0,0,0))*1440,0)&lt;tbl_Case_mins[[#This Row],[Anaesth End]],tbl_Case_mins[[#This Row],[Surgery End Date]]&gt;tbl_Case_mins[[#This Row],[Surgery Start Date]]),ROUND((#REF!-TIME(0,0,0))*1440,0)+1440,ROUND((#REF!-TIME(0,0,0))*1440,0))</f>
        <v>#REF!</v>
      </c>
      <c r="V204" s="9" t="e">
        <f>IF(AND(ROUND((#REF!-TIME(0,0,0))*1440,0)&gt;0,ROUND((#REF!-TIME(0,0,0))*1440,0)&lt;tbl_Case_mins[[#This Row],[Into Recov]],tbl_Case_mins[[#This Row],[Surgery End Date]]&gt;tbl_Case_mins[[#This Row],[Surgery Start Date]]),ROUND((#REF!-TIME(0,0,0))*1440,0)+1440,ROUND((#REF!-TIME(0,0,0))*1440,0))</f>
        <v>#REF!</v>
      </c>
      <c r="W204" s="9" t="e">
        <f>IF(AND(ROUND((#REF!-TIME(0,0,0))*1440,0)&gt;0,ROUND((#REF!-TIME(0,0,0))*1440,0)&lt;tbl_Case_mins[[#This Row],[Ward Called]],tbl_Case_mins[[#This Row],[Surgery End Date]]&gt;tbl_Case_mins[[#This Row],[Surgery Start Date]]),ROUND((#REF!-TIME(0,0,0))*1440,0)+1440,ROUND((#REF!-TIME(0,0,0))*1440,0))</f>
        <v>#REF!</v>
      </c>
      <c r="X204" s="4" t="e">
        <f>IF(ISBLANK(#REF!),tbl_Case_mins[[#This Row],[Surgery Start Date]],#REF!)</f>
        <v>#REF!</v>
      </c>
      <c r="Y204">
        <f>IFERROR(IF(VLOOKUP(tbl_Case_mins[[#This Row],[Theatre]],'Mng Theatres'!$C$7:$G$12,3,FALSE)="Yes","Yes","No"),0)</f>
        <v>0</v>
      </c>
      <c r="Z204" s="9" t="e" cm="1">
        <f t="array" ref="Z20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4" s="9" t="e" cm="1">
        <f t="array" ref="AA20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4" s="9" t="e">
        <f>IF(tbl_Case_mins[[#This Row],[Case Type]]="Unsch",1,0)</f>
        <v>#REF!</v>
      </c>
      <c r="AD204" s="9" t="e">
        <f>IF(tbl_Case_mins[[#This Row],[Case Type]]="Sch",1,0)</f>
        <v>#REF!</v>
      </c>
      <c r="AE20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4" s="9">
        <f>IFERROR(IF(ISBLANK(INDEX(Am_Close,MATCH(1,INDEX((tbl_Case_mins[[#This Row],[Theatre]]=Theatre_No)*(tbl_Case_mins[[#This Row],[Surgery Start Date]]=Date),0,1),0))*1440),0,INDEX(Am_Close,MATCH(1,INDEX((tbl_Case_mins[[#This Row],[Theatre]]=Theatre_No)*(tbl_Case_mins[[#This Row],[Surgery Start Date]]=Date),0,1),0))*1440),0)</f>
        <v>0</v>
      </c>
      <c r="AG204" s="9">
        <f>IFERROR(IF(ISBLANK(INDEX(PM_Open,MATCH(1,INDEX((tbl_Case_mins[[#This Row],[Theatre]]=Theatre_No)*(tbl_Case_mins[[#This Row],[Surgery Start Date]]=Date),0,1),0))*1440),0,INDEX(PM_Open,MATCH(1,INDEX((tbl_Case_mins[[#This Row],[Theatre]]=Theatre_No)*(tbl_Case_mins[[#This Row],[Surgery Start Date]]=Date),0,1),0))*1440),0)</f>
        <v>0</v>
      </c>
      <c r="AH20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4" s="9" t="e">
        <f>IF(tbl_Case_mins[[#This Row],[ThOpenAm]]=0,tbl_Case_mins[[#This Row],[ThOpenPM]],tbl_Case_mins[[#This Row],[ThOpenAm]])</f>
        <v>#REF!</v>
      </c>
      <c r="AJ204" s="9" t="e">
        <f>IF(tbl_Case_mins[[#This Row],[ThCloseAm]]&gt;0,IF(tbl_Case_mins[[#This Row],[ThOpenPM]]&gt;0,tbl_Case_mins[[#This Row],[ThClosePm]],tbl_Case_mins[[#This Row],[ThCloseAm]]),tbl_Case_mins[[#This Row],[ThClosePm]])</f>
        <v>#REF!</v>
      </c>
      <c r="AK204" s="9" t="e">
        <f>IF(tbl_Case_mins[[#This Row],[TOT]]&gt;0,1,0)</f>
        <v>#REF!</v>
      </c>
      <c r="AL20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4" s="9" t="e">
        <f>IF(AND(tbl_Case_mins[[#This Row],[Surgery Status]]&lt;&gt;2,tbl_Case_mins[[#This Row],[InCoreCase]]=0,tbl_Case_mins[[#This Row],[CancelledCase]]=0),1,0)</f>
        <v>#REF!</v>
      </c>
      <c r="AN204" s="9" t="e">
        <f>IF(tbl_Case_mins[[#This Row],[Surgery Status]]=1,1,0)</f>
        <v>#REF!</v>
      </c>
      <c r="AO20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4" s="9" t="e">
        <f>IF(AND(tbl_Case_mins[[#This Row],[NonCoreCase]]=1,tbl_Case_mins[[#This Row],[NoInCoreTime]]=0),1,0)</f>
        <v>#REF!</v>
      </c>
      <c r="AQ204" s="9" t="e">
        <f>IF(tbl_Case_mins[[#This Row],[Rank_AnaEnd]]&lt;tbl_Case_mins[[#This Row],[Rank_AnaSt]],1,0)</f>
        <v>#REF!</v>
      </c>
      <c r="AR204" s="9" t="e">
        <f>IF(AND(tbl_Case_mins[[#This Row],[InCoreCase]]=1,tbl_Case_mins[[#This Row],[Sch]]=1),1,0)</f>
        <v>#REF!</v>
      </c>
      <c r="AS204" s="9" t="e">
        <f>IF(AND(tbl_Case_mins[[#This Row],[InCoreCase]]=1,tbl_Case_mins[[#This Row],[Unsch]]=1),1,0)</f>
        <v>#REF!</v>
      </c>
      <c r="AT20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4" s="9" t="e">
        <f>IF(tbl_Case_mins[[#This Row],[Surgery Status]]=0,(tbl_Case_mins[[#This Row],[Anaesth End]]-tbl_Case_mins[[#This Row],[AnaesthStart]]),0)</f>
        <v>#REF!</v>
      </c>
      <c r="AX204" s="9" t="e">
        <f>IF(tbl_Case_mins[[#This Row],[Surgery Status]]=0,(tbl_Case_mins[[#This Row],[Surgery Finish]]-tbl_Case_mins[[#This Row],[Surgery Start]]),0)</f>
        <v>#REF!</v>
      </c>
      <c r="AY204" s="9" t="e">
        <f>tbl_Case_mins[[#This Row],[Surgery Start]]-tbl_Case_mins[[#This Row],[AnaesthStart]]</f>
        <v>#REF!</v>
      </c>
      <c r="AZ204" s="9" t="e">
        <f>tbl_Case_mins[[#This Row],[Anaesth End]]-tbl_Case_mins[[#This Row],[Surgery Finish]]</f>
        <v>#REF!</v>
      </c>
      <c r="BA20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4" s="16" cm="1">
        <f t="array" ref="BC20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4" s="16" t="e">
        <f>IF(AND(tbl_Case_mins[[#This Row],[FirstAMCase]]=1,tbl_Case_mins[[#This Row],[CancelledCase]]=0,OR(tbl_Case_mins[[#This Row],[EarlyStartAM]]&gt;0,tbl_Case_mins[[#This Row],[AnaesthStart]]=tbl_Case_mins[[#This Row],[ThOpenAm]])),1,0)</f>
        <v>#REF!</v>
      </c>
      <c r="BE204" s="16" t="e">
        <f>IF(AND(tbl_Case_mins[[#This Row],[Rank_AnaSt]]=tbl_Case_mins[[#This Row],[Min_RankAnaSt]],tbl_Case_mins[[#This Row],[Anaesth End]]&gt;=tbl_Case_mins[[#This Row],[ThOpenAm]],tbl_Case_mins[[#This Row],[PmCase]]=0),1,0)</f>
        <v>#REF!</v>
      </c>
      <c r="BF20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4" s="9" t="e" cm="1">
        <f t="array" ref="BH20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4" s="9" t="e">
        <f>IF(AND(tbl_Case_mins[[#This Row],[ThOpenPM]]&gt;0,tbl_Case_mins[[#This Row],[AnaesthStart]]&gt;tbl_Case_mins[[#This Row],[ThOpenPM]],tbl_Case_mins[[#This Row],[First PM Case]]=1),tbl_Case_mins[[#This Row],[AnaesthStart]]-tbl_Case_mins[[#This Row],[ThOpenPM]],0)</f>
        <v>#REF!</v>
      </c>
      <c r="BL20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4" s="9" t="e" cm="1">
        <f t="array" ref="BN20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4" s="9" t="e">
        <f>IF(AND(tbl_Case_mins[[#This Row],[ThClosePm]]&gt;0,tbl_Case_mins[[#This Row],[Anaesth End]]&gt;tbl_Case_mins[[#This Row],[ThClosePm]],tbl_Case_mins[[#This Row],[AnaesthStart]]&gt;tbl_Case_mins[[#This Row],[ThClosePm]]),tbl_Case_mins[[#This Row],[Into Recov]]-tbl_Case_mins[[#This Row],[AnaesthStart]],0)</f>
        <v>#REF!</v>
      </c>
      <c r="BP204" s="9" t="e">
        <f>IF(AND(tbl_Case_mins[[#This Row],[AnaesthStart]]&lt;tbl_Case_mins[[#This Row],[ThClosePm]],tbl_Case_mins[[#This Row],[Anaesth End]]&gt;tbl_Case_mins[[#This Row],[ThClosePm]]),tbl_Case_mins[[#This Row],[Anaesth End]]-tbl_Case_mins[[#This Row],[ThClosePm]],0)</f>
        <v>#REF!</v>
      </c>
      <c r="BQ204" s="9" t="e" cm="1">
        <f t="array" ref="BQ20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4" s="9" t="e" cm="1">
        <f t="array" ref="BR204">IF(tbl_Case_mins[[#This Row],[Rank_Adjust]]=SUMPRODUCT(-(tbl_Case_mins[Surgery Start Date]=tbl_Case_mins[[#This Row],[Surgery Start Date]]),-(tbl_Case_mins[Theatre]=tbl_Case_mins[[#This Row],[Theatre]])),INDEX(Poss_Time,MATCH(TEXT(tbl_Case_mins[[#This Row],[Surgery Start Date]],"ddd"),Day,0)),0)</f>
        <v>#REF!</v>
      </c>
      <c r="BS204" s="9" t="e">
        <f>tbl_Case_mins[[#This Row],[Core_Time]]*Util_Goal</f>
        <v>#REF!</v>
      </c>
      <c r="BT204" s="9" t="e" cm="1">
        <f t="array" ref="BT2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4" s="9" t="e" cm="1">
        <f t="array" ref="BU2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4" s="9" t="e">
        <f>IF(tbl_Case_mins[[#This Row],[Surgery End Date]]&gt;tbl_Case_mins[[#This Row],[Surgery Start Date]],tbl_Case_mins[[#This Row],[Anaesth End]]-1440,0)</f>
        <v>#REF!</v>
      </c>
      <c r="BY204" s="9" t="e">
        <f>tbl_Case_mins[[#This Row],[Total_NonCore]]-tbl_Case_mins[[#This Row],[NextDay_NonCore]]</f>
        <v>#REF!</v>
      </c>
      <c r="BZ204" s="10" t="e">
        <f>tbl_Case_mins[[#This Row],[InCoreUse]]/60</f>
        <v>#REF!</v>
      </c>
      <c r="CA204" s="10" t="e">
        <f>tbl_Case_mins[[#This Row],[Total_NonCore]]/60</f>
        <v>#REF!</v>
      </c>
      <c r="CB204" t="e" cm="1">
        <f t="array" ref="CB2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4" s="9" t="e" cm="1">
        <f t="array" ref="CC20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4" s="9" t="e" cm="1">
        <f t="array" ref="CD2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4" s="9" t="e" cm="1">
        <f t="array" ref="CE20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4" s="9" cm="1">
        <f t="array" ref="CF204">IFERROR(_xlfn.AGGREGATE(14,6,(tbl_Case_mins[Rank_AnaEnd])/((tbl_Case_mins[Surgery Start Date]=tbl_Case_mins[[#This Row],[Surgery Start Date]])*(tbl_Case_mins[Theatre]=tbl_Case_mins[[#This Row],[Theatre]])*(tbl_Case_mins[NoInCoreTime]=0)),1),-1)</f>
        <v>-1</v>
      </c>
      <c r="CG204" s="9" cm="1">
        <f t="array" ref="CG204">IFERROR(_xlfn.AGGREGATE(15,6,(tbl_Case_mins[Rank_AnaSt])/((tbl_Case_mins[Surgery Start Date]=tbl_Case_mins[[#This Row],[Surgery Start Date]])*(tbl_Case_mins[Theatre]=tbl_Case_mins[[#This Row],[Theatre]])*(tbl_Case_mins[NoInCoreTime]=0)),1),-1)</f>
        <v>-1</v>
      </c>
      <c r="CH20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4" t="e" cm="1">
        <f t="array" ref="CJ20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4" s="9" cm="1">
        <f t="array" ref="CO2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4" s="9" cm="1">
        <f t="array" ref="CP2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4" s="9" cm="1">
        <f t="array" ref="CQ204">IFERROR(IF(AND(tbl_Case_mins[[#This Row],[FirstAMCase]]=0,tbl_Case_mins[[#This Row],[Rank]]=_xlfn.AGGREGATE(14,6,(tbl_Case_mins[Rank])/((tbl_Case_mins[Surgery Start Date]=tbl_Case_mins[[#This Row],[Surgery Start Date]])*(tbl_Case_mins[Theatre]=tbl_Case_mins[[#This Row],[Theatre]])*(tbl_Case_mins[AmCase]=1)),1)),1,0),0)</f>
        <v>0</v>
      </c>
      <c r="CR204" s="9" cm="1">
        <f t="array" ref="CR20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4" s="9" t="e" cm="1">
        <f t="array" ref="CS20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4" s="9" cm="1">
        <f t="array" ref="CT204">IFERROR(IF(tbl_Case_mins[[#This Row],[Rank]]=_xlfn.AGGREGATE(15,6,(tbl_Case_mins[Rank])/((tbl_Case_mins[Surgery Start Date]=tbl_Case_mins[[#This Row],[Surgery Start Date]])*(tbl_Case_mins[Theatre]=tbl_Case_mins[[#This Row],[Theatre]])*(tbl_Case_mins[PmCase]=1)),1),1,0),0)</f>
        <v>0</v>
      </c>
      <c r="CU204">
        <f>IFERROR(#REF!,0)</f>
        <v>0</v>
      </c>
      <c r="CV204" s="9" t="e" cm="1">
        <f t="array" ref="CV20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4" s="9">
        <f>IFERROR(IF(ISBLANK(INDEX(Bay_AmClose,MATCH(1,INDEX((tbl_Case_mins[[#This Row],[Bay]]=BayNo)*(tbl_Case_mins[[#This Row],[Surgery Start Date]]=BDate),0,1),0))*1440),0,INDEX(Bay_AmClose,MATCH(1,INDEX((tbl_Case_mins[[#This Row],[Bay]]=BayNo)*(tbl_Case_mins[[#This Row],[Surgery Start Date]]=BDate),0,1),0))*1440),0)</f>
        <v>0</v>
      </c>
      <c r="CX204" s="9" cm="1">
        <f t="array" ref="CX204">IFERROR(IF(ISBLANK(INDEX(Bay_PmOpen,MATCH(1,INDEX((tbl_Case_mins[[#This Row],[Bay]]=BayNo)*(tbl_Case_mins[[#This Row],[Surgery Start Date]]=BDate),0,1),0))*1440),0,INDEX(Bay_PmOpen,MATCH(1,INDEX((tbl_Case_mins[[#This Row],[Bay]]=BayNo)*(tbl_Case_mins[[#This Row],[Surgery Start Date]]=BDate),0,1),0))*1440),0)</f>
        <v>0</v>
      </c>
      <c r="CY20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4" s="9"/>
    </row>
    <row r="205" spans="1:104" x14ac:dyDescent="0.2">
      <c r="A205">
        <v>204</v>
      </c>
      <c r="B205" t="e">
        <f>#REF!</f>
        <v>#REF!</v>
      </c>
      <c r="C205" t="e">
        <f>#REF!</f>
        <v>#REF!</v>
      </c>
      <c r="D205" t="e">
        <f>#REF!</f>
        <v>#REF!</v>
      </c>
      <c r="E205" t="e">
        <f>#REF!</f>
        <v>#REF!</v>
      </c>
      <c r="F205" t="e">
        <f>#REF!</f>
        <v>#REF!</v>
      </c>
      <c r="G205" t="e">
        <f>#REF!</f>
        <v>#REF!</v>
      </c>
      <c r="H205" t="e">
        <f>#REF!</f>
        <v>#REF!</v>
      </c>
      <c r="I205" t="e">
        <f>IF(#REF!="Case Cancelled",1,IF(#REF!="No Cases",2,0))</f>
        <v>#REF!</v>
      </c>
      <c r="J205" t="e">
        <f>#REF!</f>
        <v>#REF!</v>
      </c>
      <c r="K205" s="4" t="e">
        <f>#REF!</f>
        <v>#REF!</v>
      </c>
      <c r="L205" t="e">
        <f>"Wk "&amp;WEEKNUM(tbl_Case_mins[[#This Row],[Surgery Start Date]],21)</f>
        <v>#REF!</v>
      </c>
      <c r="M205" t="e">
        <f>TEXT(tbl_Case_mins[[#This Row],[Surgery Start Date]],"ddd")</f>
        <v>#REF!</v>
      </c>
      <c r="N205" s="9" t="e">
        <f>(#REF!-TIME(0,0,0))*1440</f>
        <v>#REF!</v>
      </c>
      <c r="O205" t="e">
        <f>IF(AND(ROUND((#REF!-TIME(0,0,0))*1440,0)&gt;0,ROUND((#REF!-TIME(0,0,0))*1440,0)&lt;tbl_Case_mins[[#This Row],[Patient Called]],tbl_Case_mins[[#This Row],[Surgery End Date]]&gt;tbl_Case_mins[[#This Row],[Surgery Start Date]]),ROUND((#REF!-TIME(0,0,0))*1440,0)+1440,ROUND((#REF!-TIME(0,0,0))*1440,0))</f>
        <v>#REF!</v>
      </c>
      <c r="P205" s="9" t="e">
        <f>IF(AND(ROUND((#REF!-TIME(0,0,0))*1440,0)&gt;0,ROUND((#REF!-TIME(0,0,0))*1440,0)&lt;tbl_Case_mins[[#This Row],[Arrival]],tbl_Case_mins[[#This Row],[Surgery End Date]]&gt;tbl_Case_mins[[#This Row],[Surgery Start Date]]),ROUND((#REF!-TIME(0,0,0))*1440,0)+1440,ROUND((#REF!-TIME(0,0,0))*1440,0))</f>
        <v>#REF!</v>
      </c>
      <c r="Q205" s="9" t="e">
        <f>IF(AND(ROUND((#REF!-TIME(0,0,0))*1440,0)&gt;0,ROUND((#REF!-TIME(0,0,0))*1440,0)&lt;tbl_Case_mins[[#This Row],[Into Th or AR]],tbl_Case_mins[[#This Row],[Surgery End Date]]&gt;tbl_Case_mins[[#This Row],[Surgery Start Date]]),ROUND((#REF!-TIME(0,0,0))*1440,0)+1440,ROUND((#REF!-TIME(0,0,0))*1440,0))</f>
        <v>#REF!</v>
      </c>
      <c r="R205" s="9" t="e">
        <f>IF(AND(ROUND((#REF!-TIME(0,0,0))*1440,0)&gt;0,ROUND((#REF!-TIME(0,0,0))*1440,0)&lt;tbl_Case_mins[[#This Row],[AnaesthStart]],tbl_Case_mins[[#This Row],[Surgery End Date]]&gt;tbl_Case_mins[[#This Row],[Surgery Start Date]]),ROUND((#REF!-TIME(0,0,0))*1440,0)+1440,ROUND((#REF!-TIME(0,0,0))*1440,0))</f>
        <v>#REF!</v>
      </c>
      <c r="S205" s="9" t="e">
        <f>IF(AND(ROUND((#REF!-TIME(0,0,0))*1440,0),ROUND((#REF!-TIME(0,0,0))*1440,0)&lt;tbl_Case_mins[[#This Row],[Surgery Start]],tbl_Case_mins[[#This Row],[Surgery End Date]]&gt;tbl_Case_mins[[#This Row],[Surgery Start Date]]),ROUND((#REF!-TIME(0,0,0))*1440,0)+1440,ROUND((#REF!-TIME(0,0,0))*1440,0))</f>
        <v>#REF!</v>
      </c>
      <c r="T205" s="9" t="e">
        <f>IF(AND(ROUND((#REF!-TIME(0,0,0))*1440,0)&gt;0,ROUND((#REF!-TIME(0,0,0))*1440,0)&lt;tbl_Case_mins[[#This Row],[Surgery Finish]],tbl_Case_mins[[#This Row],[Surgery End Date]]&gt;tbl_Case_mins[[#This Row],[Surgery Start Date]]),ROUND((#REF!-TIME(0,0,0))*1440,0)+1440,ROUND((#REF!-TIME(0,0,0))*1440,0))</f>
        <v>#REF!</v>
      </c>
      <c r="U205" s="9" t="e">
        <f>IF(AND(ROUND((#REF!-TIME(0,0,0))*1440,0)&gt;0,ROUND((#REF!-TIME(0,0,0))*1440,0)&lt;tbl_Case_mins[[#This Row],[Anaesth End]],tbl_Case_mins[[#This Row],[Surgery End Date]]&gt;tbl_Case_mins[[#This Row],[Surgery Start Date]]),ROUND((#REF!-TIME(0,0,0))*1440,0)+1440,ROUND((#REF!-TIME(0,0,0))*1440,0))</f>
        <v>#REF!</v>
      </c>
      <c r="V205" s="9" t="e">
        <f>IF(AND(ROUND((#REF!-TIME(0,0,0))*1440,0)&gt;0,ROUND((#REF!-TIME(0,0,0))*1440,0)&lt;tbl_Case_mins[[#This Row],[Into Recov]],tbl_Case_mins[[#This Row],[Surgery End Date]]&gt;tbl_Case_mins[[#This Row],[Surgery Start Date]]),ROUND((#REF!-TIME(0,0,0))*1440,0)+1440,ROUND((#REF!-TIME(0,0,0))*1440,0))</f>
        <v>#REF!</v>
      </c>
      <c r="W205" s="9" t="e">
        <f>IF(AND(ROUND((#REF!-TIME(0,0,0))*1440,0)&gt;0,ROUND((#REF!-TIME(0,0,0))*1440,0)&lt;tbl_Case_mins[[#This Row],[Ward Called]],tbl_Case_mins[[#This Row],[Surgery End Date]]&gt;tbl_Case_mins[[#This Row],[Surgery Start Date]]),ROUND((#REF!-TIME(0,0,0))*1440,0)+1440,ROUND((#REF!-TIME(0,0,0))*1440,0))</f>
        <v>#REF!</v>
      </c>
      <c r="X205" s="4" t="e">
        <f>IF(ISBLANK(#REF!),tbl_Case_mins[[#This Row],[Surgery Start Date]],#REF!)</f>
        <v>#REF!</v>
      </c>
      <c r="Y205">
        <f>IFERROR(IF(VLOOKUP(tbl_Case_mins[[#This Row],[Theatre]],'Mng Theatres'!$C$7:$G$12,3,FALSE)="Yes","Yes","No"),0)</f>
        <v>0</v>
      </c>
      <c r="Z205" s="9" t="e" cm="1">
        <f t="array" ref="Z20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5" s="9" t="e" cm="1">
        <f t="array" ref="AA20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5" s="9" t="e">
        <f>IF(tbl_Case_mins[[#This Row],[Case Type]]="Unsch",1,0)</f>
        <v>#REF!</v>
      </c>
      <c r="AD205" s="9" t="e">
        <f>IF(tbl_Case_mins[[#This Row],[Case Type]]="Sch",1,0)</f>
        <v>#REF!</v>
      </c>
      <c r="AE20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5" s="9">
        <f>IFERROR(IF(ISBLANK(INDEX(Am_Close,MATCH(1,INDEX((tbl_Case_mins[[#This Row],[Theatre]]=Theatre_No)*(tbl_Case_mins[[#This Row],[Surgery Start Date]]=Date),0,1),0))*1440),0,INDEX(Am_Close,MATCH(1,INDEX((tbl_Case_mins[[#This Row],[Theatre]]=Theatre_No)*(tbl_Case_mins[[#This Row],[Surgery Start Date]]=Date),0,1),0))*1440),0)</f>
        <v>0</v>
      </c>
      <c r="AG205" s="9">
        <f>IFERROR(IF(ISBLANK(INDEX(PM_Open,MATCH(1,INDEX((tbl_Case_mins[[#This Row],[Theatre]]=Theatre_No)*(tbl_Case_mins[[#This Row],[Surgery Start Date]]=Date),0,1),0))*1440),0,INDEX(PM_Open,MATCH(1,INDEX((tbl_Case_mins[[#This Row],[Theatre]]=Theatre_No)*(tbl_Case_mins[[#This Row],[Surgery Start Date]]=Date),0,1),0))*1440),0)</f>
        <v>0</v>
      </c>
      <c r="AH20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5" s="9" t="e">
        <f>IF(tbl_Case_mins[[#This Row],[ThOpenAm]]=0,tbl_Case_mins[[#This Row],[ThOpenPM]],tbl_Case_mins[[#This Row],[ThOpenAm]])</f>
        <v>#REF!</v>
      </c>
      <c r="AJ205" s="9" t="e">
        <f>IF(tbl_Case_mins[[#This Row],[ThCloseAm]]&gt;0,IF(tbl_Case_mins[[#This Row],[ThOpenPM]]&gt;0,tbl_Case_mins[[#This Row],[ThClosePm]],tbl_Case_mins[[#This Row],[ThCloseAm]]),tbl_Case_mins[[#This Row],[ThClosePm]])</f>
        <v>#REF!</v>
      </c>
      <c r="AK205" s="9" t="e">
        <f>IF(tbl_Case_mins[[#This Row],[TOT]]&gt;0,1,0)</f>
        <v>#REF!</v>
      </c>
      <c r="AL20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5" s="9" t="e">
        <f>IF(AND(tbl_Case_mins[[#This Row],[Surgery Status]]&lt;&gt;2,tbl_Case_mins[[#This Row],[InCoreCase]]=0,tbl_Case_mins[[#This Row],[CancelledCase]]=0),1,0)</f>
        <v>#REF!</v>
      </c>
      <c r="AN205" s="9" t="e">
        <f>IF(tbl_Case_mins[[#This Row],[Surgery Status]]=1,1,0)</f>
        <v>#REF!</v>
      </c>
      <c r="AO20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5" s="9" t="e">
        <f>IF(AND(tbl_Case_mins[[#This Row],[NonCoreCase]]=1,tbl_Case_mins[[#This Row],[NoInCoreTime]]=0),1,0)</f>
        <v>#REF!</v>
      </c>
      <c r="AQ205" s="9" t="e">
        <f>IF(tbl_Case_mins[[#This Row],[Rank_AnaEnd]]&lt;tbl_Case_mins[[#This Row],[Rank_AnaSt]],1,0)</f>
        <v>#REF!</v>
      </c>
      <c r="AR205" s="9" t="e">
        <f>IF(AND(tbl_Case_mins[[#This Row],[InCoreCase]]=1,tbl_Case_mins[[#This Row],[Sch]]=1),1,0)</f>
        <v>#REF!</v>
      </c>
      <c r="AS205" s="9" t="e">
        <f>IF(AND(tbl_Case_mins[[#This Row],[InCoreCase]]=1,tbl_Case_mins[[#This Row],[Unsch]]=1),1,0)</f>
        <v>#REF!</v>
      </c>
      <c r="AT20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5" s="9" t="e">
        <f>IF(tbl_Case_mins[[#This Row],[Surgery Status]]=0,(tbl_Case_mins[[#This Row],[Anaesth End]]-tbl_Case_mins[[#This Row],[AnaesthStart]]),0)</f>
        <v>#REF!</v>
      </c>
      <c r="AX205" s="9" t="e">
        <f>IF(tbl_Case_mins[[#This Row],[Surgery Status]]=0,(tbl_Case_mins[[#This Row],[Surgery Finish]]-tbl_Case_mins[[#This Row],[Surgery Start]]),0)</f>
        <v>#REF!</v>
      </c>
      <c r="AY205" s="9" t="e">
        <f>tbl_Case_mins[[#This Row],[Surgery Start]]-tbl_Case_mins[[#This Row],[AnaesthStart]]</f>
        <v>#REF!</v>
      </c>
      <c r="AZ205" s="9" t="e">
        <f>tbl_Case_mins[[#This Row],[Anaesth End]]-tbl_Case_mins[[#This Row],[Surgery Finish]]</f>
        <v>#REF!</v>
      </c>
      <c r="BA20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5" s="16" cm="1">
        <f t="array" ref="BC20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5" s="16" t="e">
        <f>IF(AND(tbl_Case_mins[[#This Row],[FirstAMCase]]=1,tbl_Case_mins[[#This Row],[CancelledCase]]=0,OR(tbl_Case_mins[[#This Row],[EarlyStartAM]]&gt;0,tbl_Case_mins[[#This Row],[AnaesthStart]]=tbl_Case_mins[[#This Row],[ThOpenAm]])),1,0)</f>
        <v>#REF!</v>
      </c>
      <c r="BE205" s="16" t="e">
        <f>IF(AND(tbl_Case_mins[[#This Row],[Rank_AnaSt]]=tbl_Case_mins[[#This Row],[Min_RankAnaSt]],tbl_Case_mins[[#This Row],[Anaesth End]]&gt;=tbl_Case_mins[[#This Row],[ThOpenAm]],tbl_Case_mins[[#This Row],[PmCase]]=0),1,0)</f>
        <v>#REF!</v>
      </c>
      <c r="BF20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5" s="9" t="e" cm="1">
        <f t="array" ref="BH20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5" s="9" t="e">
        <f>IF(AND(tbl_Case_mins[[#This Row],[ThOpenPM]]&gt;0,tbl_Case_mins[[#This Row],[AnaesthStart]]&gt;tbl_Case_mins[[#This Row],[ThOpenPM]],tbl_Case_mins[[#This Row],[First PM Case]]=1),tbl_Case_mins[[#This Row],[AnaesthStart]]-tbl_Case_mins[[#This Row],[ThOpenPM]],0)</f>
        <v>#REF!</v>
      </c>
      <c r="BL20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5" s="9" t="e" cm="1">
        <f t="array" ref="BN20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5" s="9" t="e">
        <f>IF(AND(tbl_Case_mins[[#This Row],[ThClosePm]]&gt;0,tbl_Case_mins[[#This Row],[Anaesth End]]&gt;tbl_Case_mins[[#This Row],[ThClosePm]],tbl_Case_mins[[#This Row],[AnaesthStart]]&gt;tbl_Case_mins[[#This Row],[ThClosePm]]),tbl_Case_mins[[#This Row],[Into Recov]]-tbl_Case_mins[[#This Row],[AnaesthStart]],0)</f>
        <v>#REF!</v>
      </c>
      <c r="BP205" s="9" t="e">
        <f>IF(AND(tbl_Case_mins[[#This Row],[AnaesthStart]]&lt;tbl_Case_mins[[#This Row],[ThClosePm]],tbl_Case_mins[[#This Row],[Anaesth End]]&gt;tbl_Case_mins[[#This Row],[ThClosePm]]),tbl_Case_mins[[#This Row],[Anaesth End]]-tbl_Case_mins[[#This Row],[ThClosePm]],0)</f>
        <v>#REF!</v>
      </c>
      <c r="BQ205" s="9" t="e" cm="1">
        <f t="array" ref="BQ20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5" s="9" t="e" cm="1">
        <f t="array" ref="BR205">IF(tbl_Case_mins[[#This Row],[Rank_Adjust]]=SUMPRODUCT(-(tbl_Case_mins[Surgery Start Date]=tbl_Case_mins[[#This Row],[Surgery Start Date]]),-(tbl_Case_mins[Theatre]=tbl_Case_mins[[#This Row],[Theatre]])),INDEX(Poss_Time,MATCH(TEXT(tbl_Case_mins[[#This Row],[Surgery Start Date]],"ddd"),Day,0)),0)</f>
        <v>#REF!</v>
      </c>
      <c r="BS205" s="9" t="e">
        <f>tbl_Case_mins[[#This Row],[Core_Time]]*Util_Goal</f>
        <v>#REF!</v>
      </c>
      <c r="BT205" s="9" t="e" cm="1">
        <f t="array" ref="BT2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5" s="9" t="e" cm="1">
        <f t="array" ref="BU2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5" s="9" t="e">
        <f>IF(tbl_Case_mins[[#This Row],[Surgery End Date]]&gt;tbl_Case_mins[[#This Row],[Surgery Start Date]],tbl_Case_mins[[#This Row],[Anaesth End]]-1440,0)</f>
        <v>#REF!</v>
      </c>
      <c r="BY205" s="9" t="e">
        <f>tbl_Case_mins[[#This Row],[Total_NonCore]]-tbl_Case_mins[[#This Row],[NextDay_NonCore]]</f>
        <v>#REF!</v>
      </c>
      <c r="BZ205" s="10" t="e">
        <f>tbl_Case_mins[[#This Row],[InCoreUse]]/60</f>
        <v>#REF!</v>
      </c>
      <c r="CA205" s="10" t="e">
        <f>tbl_Case_mins[[#This Row],[Total_NonCore]]/60</f>
        <v>#REF!</v>
      </c>
      <c r="CB205" t="e" cm="1">
        <f t="array" ref="CB2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5" s="9" t="e" cm="1">
        <f t="array" ref="CC20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5" s="9" t="e" cm="1">
        <f t="array" ref="CD2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5" s="9" t="e" cm="1">
        <f t="array" ref="CE20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5" s="9" cm="1">
        <f t="array" ref="CF205">IFERROR(_xlfn.AGGREGATE(14,6,(tbl_Case_mins[Rank_AnaEnd])/((tbl_Case_mins[Surgery Start Date]=tbl_Case_mins[[#This Row],[Surgery Start Date]])*(tbl_Case_mins[Theatre]=tbl_Case_mins[[#This Row],[Theatre]])*(tbl_Case_mins[NoInCoreTime]=0)),1),-1)</f>
        <v>-1</v>
      </c>
      <c r="CG205" s="9" cm="1">
        <f t="array" ref="CG205">IFERROR(_xlfn.AGGREGATE(15,6,(tbl_Case_mins[Rank_AnaSt])/((tbl_Case_mins[Surgery Start Date]=tbl_Case_mins[[#This Row],[Surgery Start Date]])*(tbl_Case_mins[Theatre]=tbl_Case_mins[[#This Row],[Theatre]])*(tbl_Case_mins[NoInCoreTime]=0)),1),-1)</f>
        <v>-1</v>
      </c>
      <c r="CH20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5" t="e" cm="1">
        <f t="array" ref="CJ20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5" s="9" cm="1">
        <f t="array" ref="CO2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5" s="9" cm="1">
        <f t="array" ref="CP2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5" s="9" cm="1">
        <f t="array" ref="CQ205">IFERROR(IF(AND(tbl_Case_mins[[#This Row],[FirstAMCase]]=0,tbl_Case_mins[[#This Row],[Rank]]=_xlfn.AGGREGATE(14,6,(tbl_Case_mins[Rank])/((tbl_Case_mins[Surgery Start Date]=tbl_Case_mins[[#This Row],[Surgery Start Date]])*(tbl_Case_mins[Theatre]=tbl_Case_mins[[#This Row],[Theatre]])*(tbl_Case_mins[AmCase]=1)),1)),1,0),0)</f>
        <v>0</v>
      </c>
      <c r="CR205" s="9" cm="1">
        <f t="array" ref="CR20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5" s="9" t="e" cm="1">
        <f t="array" ref="CS20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5" s="9" cm="1">
        <f t="array" ref="CT205">IFERROR(IF(tbl_Case_mins[[#This Row],[Rank]]=_xlfn.AGGREGATE(15,6,(tbl_Case_mins[Rank])/((tbl_Case_mins[Surgery Start Date]=tbl_Case_mins[[#This Row],[Surgery Start Date]])*(tbl_Case_mins[Theatre]=tbl_Case_mins[[#This Row],[Theatre]])*(tbl_Case_mins[PmCase]=1)),1),1,0),0)</f>
        <v>0</v>
      </c>
      <c r="CU205">
        <f>IFERROR(#REF!,0)</f>
        <v>0</v>
      </c>
      <c r="CV205" s="9" t="e" cm="1">
        <f t="array" ref="CV20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5" s="9">
        <f>IFERROR(IF(ISBLANK(INDEX(Bay_AmClose,MATCH(1,INDEX((tbl_Case_mins[[#This Row],[Bay]]=BayNo)*(tbl_Case_mins[[#This Row],[Surgery Start Date]]=BDate),0,1),0))*1440),0,INDEX(Bay_AmClose,MATCH(1,INDEX((tbl_Case_mins[[#This Row],[Bay]]=BayNo)*(tbl_Case_mins[[#This Row],[Surgery Start Date]]=BDate),0,1),0))*1440),0)</f>
        <v>0</v>
      </c>
      <c r="CX205" s="9" cm="1">
        <f t="array" ref="CX205">IFERROR(IF(ISBLANK(INDEX(Bay_PmOpen,MATCH(1,INDEX((tbl_Case_mins[[#This Row],[Bay]]=BayNo)*(tbl_Case_mins[[#This Row],[Surgery Start Date]]=BDate),0,1),0))*1440),0,INDEX(Bay_PmOpen,MATCH(1,INDEX((tbl_Case_mins[[#This Row],[Bay]]=BayNo)*(tbl_Case_mins[[#This Row],[Surgery Start Date]]=BDate),0,1),0))*1440),0)</f>
        <v>0</v>
      </c>
      <c r="CY20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5" s="9"/>
    </row>
    <row r="206" spans="1:104" x14ac:dyDescent="0.2">
      <c r="A206">
        <v>205</v>
      </c>
      <c r="B206" t="e">
        <f>#REF!</f>
        <v>#REF!</v>
      </c>
      <c r="C206" t="e">
        <f>#REF!</f>
        <v>#REF!</v>
      </c>
      <c r="D206" t="e">
        <f>#REF!</f>
        <v>#REF!</v>
      </c>
      <c r="E206" t="e">
        <f>#REF!</f>
        <v>#REF!</v>
      </c>
      <c r="F206" t="e">
        <f>#REF!</f>
        <v>#REF!</v>
      </c>
      <c r="G206" t="e">
        <f>#REF!</f>
        <v>#REF!</v>
      </c>
      <c r="H206" t="e">
        <f>#REF!</f>
        <v>#REF!</v>
      </c>
      <c r="I206" t="e">
        <f>IF(#REF!="Case Cancelled",1,IF(#REF!="No Cases",2,0))</f>
        <v>#REF!</v>
      </c>
      <c r="J206" t="e">
        <f>#REF!</f>
        <v>#REF!</v>
      </c>
      <c r="K206" s="4" t="e">
        <f>#REF!</f>
        <v>#REF!</v>
      </c>
      <c r="L206" t="e">
        <f>"Wk "&amp;WEEKNUM(tbl_Case_mins[[#This Row],[Surgery Start Date]],21)</f>
        <v>#REF!</v>
      </c>
      <c r="M206" t="e">
        <f>TEXT(tbl_Case_mins[[#This Row],[Surgery Start Date]],"ddd")</f>
        <v>#REF!</v>
      </c>
      <c r="N206" s="9" t="e">
        <f>(#REF!-TIME(0,0,0))*1440</f>
        <v>#REF!</v>
      </c>
      <c r="O206" t="e">
        <f>IF(AND(ROUND((#REF!-TIME(0,0,0))*1440,0)&gt;0,ROUND((#REF!-TIME(0,0,0))*1440,0)&lt;tbl_Case_mins[[#This Row],[Patient Called]],tbl_Case_mins[[#This Row],[Surgery End Date]]&gt;tbl_Case_mins[[#This Row],[Surgery Start Date]]),ROUND((#REF!-TIME(0,0,0))*1440,0)+1440,ROUND((#REF!-TIME(0,0,0))*1440,0))</f>
        <v>#REF!</v>
      </c>
      <c r="P206" s="9" t="e">
        <f>IF(AND(ROUND((#REF!-TIME(0,0,0))*1440,0)&gt;0,ROUND((#REF!-TIME(0,0,0))*1440,0)&lt;tbl_Case_mins[[#This Row],[Arrival]],tbl_Case_mins[[#This Row],[Surgery End Date]]&gt;tbl_Case_mins[[#This Row],[Surgery Start Date]]),ROUND((#REF!-TIME(0,0,0))*1440,0)+1440,ROUND((#REF!-TIME(0,0,0))*1440,0))</f>
        <v>#REF!</v>
      </c>
      <c r="Q206" s="9" t="e">
        <f>IF(AND(ROUND((#REF!-TIME(0,0,0))*1440,0)&gt;0,ROUND((#REF!-TIME(0,0,0))*1440,0)&lt;tbl_Case_mins[[#This Row],[Into Th or AR]],tbl_Case_mins[[#This Row],[Surgery End Date]]&gt;tbl_Case_mins[[#This Row],[Surgery Start Date]]),ROUND((#REF!-TIME(0,0,0))*1440,0)+1440,ROUND((#REF!-TIME(0,0,0))*1440,0))</f>
        <v>#REF!</v>
      </c>
      <c r="R206" s="9" t="e">
        <f>IF(AND(ROUND((#REF!-TIME(0,0,0))*1440,0)&gt;0,ROUND((#REF!-TIME(0,0,0))*1440,0)&lt;tbl_Case_mins[[#This Row],[AnaesthStart]],tbl_Case_mins[[#This Row],[Surgery End Date]]&gt;tbl_Case_mins[[#This Row],[Surgery Start Date]]),ROUND((#REF!-TIME(0,0,0))*1440,0)+1440,ROUND((#REF!-TIME(0,0,0))*1440,0))</f>
        <v>#REF!</v>
      </c>
      <c r="S206" s="9" t="e">
        <f>IF(AND(ROUND((#REF!-TIME(0,0,0))*1440,0),ROUND((#REF!-TIME(0,0,0))*1440,0)&lt;tbl_Case_mins[[#This Row],[Surgery Start]],tbl_Case_mins[[#This Row],[Surgery End Date]]&gt;tbl_Case_mins[[#This Row],[Surgery Start Date]]),ROUND((#REF!-TIME(0,0,0))*1440,0)+1440,ROUND((#REF!-TIME(0,0,0))*1440,0))</f>
        <v>#REF!</v>
      </c>
      <c r="T206" s="9" t="e">
        <f>IF(AND(ROUND((#REF!-TIME(0,0,0))*1440,0)&gt;0,ROUND((#REF!-TIME(0,0,0))*1440,0)&lt;tbl_Case_mins[[#This Row],[Surgery Finish]],tbl_Case_mins[[#This Row],[Surgery End Date]]&gt;tbl_Case_mins[[#This Row],[Surgery Start Date]]),ROUND((#REF!-TIME(0,0,0))*1440,0)+1440,ROUND((#REF!-TIME(0,0,0))*1440,0))</f>
        <v>#REF!</v>
      </c>
      <c r="U206" s="9" t="e">
        <f>IF(AND(ROUND((#REF!-TIME(0,0,0))*1440,0)&gt;0,ROUND((#REF!-TIME(0,0,0))*1440,0)&lt;tbl_Case_mins[[#This Row],[Anaesth End]],tbl_Case_mins[[#This Row],[Surgery End Date]]&gt;tbl_Case_mins[[#This Row],[Surgery Start Date]]),ROUND((#REF!-TIME(0,0,0))*1440,0)+1440,ROUND((#REF!-TIME(0,0,0))*1440,0))</f>
        <v>#REF!</v>
      </c>
      <c r="V206" s="9" t="e">
        <f>IF(AND(ROUND((#REF!-TIME(0,0,0))*1440,0)&gt;0,ROUND((#REF!-TIME(0,0,0))*1440,0)&lt;tbl_Case_mins[[#This Row],[Into Recov]],tbl_Case_mins[[#This Row],[Surgery End Date]]&gt;tbl_Case_mins[[#This Row],[Surgery Start Date]]),ROUND((#REF!-TIME(0,0,0))*1440,0)+1440,ROUND((#REF!-TIME(0,0,0))*1440,0))</f>
        <v>#REF!</v>
      </c>
      <c r="W206" s="9" t="e">
        <f>IF(AND(ROUND((#REF!-TIME(0,0,0))*1440,0)&gt;0,ROUND((#REF!-TIME(0,0,0))*1440,0)&lt;tbl_Case_mins[[#This Row],[Ward Called]],tbl_Case_mins[[#This Row],[Surgery End Date]]&gt;tbl_Case_mins[[#This Row],[Surgery Start Date]]),ROUND((#REF!-TIME(0,0,0))*1440,0)+1440,ROUND((#REF!-TIME(0,0,0))*1440,0))</f>
        <v>#REF!</v>
      </c>
      <c r="X206" s="4" t="e">
        <f>IF(ISBLANK(#REF!),tbl_Case_mins[[#This Row],[Surgery Start Date]],#REF!)</f>
        <v>#REF!</v>
      </c>
      <c r="Y206">
        <f>IFERROR(IF(VLOOKUP(tbl_Case_mins[[#This Row],[Theatre]],'Mng Theatres'!$C$7:$G$12,3,FALSE)="Yes","Yes","No"),0)</f>
        <v>0</v>
      </c>
      <c r="Z206" s="9" t="e" cm="1">
        <f t="array" ref="Z20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6" s="9" t="e" cm="1">
        <f t="array" ref="AA20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6" s="9" t="e">
        <f>IF(tbl_Case_mins[[#This Row],[Case Type]]="Unsch",1,0)</f>
        <v>#REF!</v>
      </c>
      <c r="AD206" s="9" t="e">
        <f>IF(tbl_Case_mins[[#This Row],[Case Type]]="Sch",1,0)</f>
        <v>#REF!</v>
      </c>
      <c r="AE20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6" s="9">
        <f>IFERROR(IF(ISBLANK(INDEX(Am_Close,MATCH(1,INDEX((tbl_Case_mins[[#This Row],[Theatre]]=Theatre_No)*(tbl_Case_mins[[#This Row],[Surgery Start Date]]=Date),0,1),0))*1440),0,INDEX(Am_Close,MATCH(1,INDEX((tbl_Case_mins[[#This Row],[Theatre]]=Theatre_No)*(tbl_Case_mins[[#This Row],[Surgery Start Date]]=Date),0,1),0))*1440),0)</f>
        <v>0</v>
      </c>
      <c r="AG206" s="9">
        <f>IFERROR(IF(ISBLANK(INDEX(PM_Open,MATCH(1,INDEX((tbl_Case_mins[[#This Row],[Theatre]]=Theatre_No)*(tbl_Case_mins[[#This Row],[Surgery Start Date]]=Date),0,1),0))*1440),0,INDEX(PM_Open,MATCH(1,INDEX((tbl_Case_mins[[#This Row],[Theatre]]=Theatre_No)*(tbl_Case_mins[[#This Row],[Surgery Start Date]]=Date),0,1),0))*1440),0)</f>
        <v>0</v>
      </c>
      <c r="AH20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6" s="9" t="e">
        <f>IF(tbl_Case_mins[[#This Row],[ThOpenAm]]=0,tbl_Case_mins[[#This Row],[ThOpenPM]],tbl_Case_mins[[#This Row],[ThOpenAm]])</f>
        <v>#REF!</v>
      </c>
      <c r="AJ206" s="9" t="e">
        <f>IF(tbl_Case_mins[[#This Row],[ThCloseAm]]&gt;0,IF(tbl_Case_mins[[#This Row],[ThOpenPM]]&gt;0,tbl_Case_mins[[#This Row],[ThClosePm]],tbl_Case_mins[[#This Row],[ThCloseAm]]),tbl_Case_mins[[#This Row],[ThClosePm]])</f>
        <v>#REF!</v>
      </c>
      <c r="AK206" s="9" t="e">
        <f>IF(tbl_Case_mins[[#This Row],[TOT]]&gt;0,1,0)</f>
        <v>#REF!</v>
      </c>
      <c r="AL20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6" s="9" t="e">
        <f>IF(AND(tbl_Case_mins[[#This Row],[Surgery Status]]&lt;&gt;2,tbl_Case_mins[[#This Row],[InCoreCase]]=0,tbl_Case_mins[[#This Row],[CancelledCase]]=0),1,0)</f>
        <v>#REF!</v>
      </c>
      <c r="AN206" s="9" t="e">
        <f>IF(tbl_Case_mins[[#This Row],[Surgery Status]]=1,1,0)</f>
        <v>#REF!</v>
      </c>
      <c r="AO20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6" s="9" t="e">
        <f>IF(AND(tbl_Case_mins[[#This Row],[NonCoreCase]]=1,tbl_Case_mins[[#This Row],[NoInCoreTime]]=0),1,0)</f>
        <v>#REF!</v>
      </c>
      <c r="AQ206" s="9" t="e">
        <f>IF(tbl_Case_mins[[#This Row],[Rank_AnaEnd]]&lt;tbl_Case_mins[[#This Row],[Rank_AnaSt]],1,0)</f>
        <v>#REF!</v>
      </c>
      <c r="AR206" s="9" t="e">
        <f>IF(AND(tbl_Case_mins[[#This Row],[InCoreCase]]=1,tbl_Case_mins[[#This Row],[Sch]]=1),1,0)</f>
        <v>#REF!</v>
      </c>
      <c r="AS206" s="9" t="e">
        <f>IF(AND(tbl_Case_mins[[#This Row],[InCoreCase]]=1,tbl_Case_mins[[#This Row],[Unsch]]=1),1,0)</f>
        <v>#REF!</v>
      </c>
      <c r="AT20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6" s="9" t="e">
        <f>IF(tbl_Case_mins[[#This Row],[Surgery Status]]=0,(tbl_Case_mins[[#This Row],[Anaesth End]]-tbl_Case_mins[[#This Row],[AnaesthStart]]),0)</f>
        <v>#REF!</v>
      </c>
      <c r="AX206" s="9" t="e">
        <f>IF(tbl_Case_mins[[#This Row],[Surgery Status]]=0,(tbl_Case_mins[[#This Row],[Surgery Finish]]-tbl_Case_mins[[#This Row],[Surgery Start]]),0)</f>
        <v>#REF!</v>
      </c>
      <c r="AY206" s="9" t="e">
        <f>tbl_Case_mins[[#This Row],[Surgery Start]]-tbl_Case_mins[[#This Row],[AnaesthStart]]</f>
        <v>#REF!</v>
      </c>
      <c r="AZ206" s="9" t="e">
        <f>tbl_Case_mins[[#This Row],[Anaesth End]]-tbl_Case_mins[[#This Row],[Surgery Finish]]</f>
        <v>#REF!</v>
      </c>
      <c r="BA20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6" s="16" cm="1">
        <f t="array" ref="BC20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6" s="16" t="e">
        <f>IF(AND(tbl_Case_mins[[#This Row],[FirstAMCase]]=1,tbl_Case_mins[[#This Row],[CancelledCase]]=0,OR(tbl_Case_mins[[#This Row],[EarlyStartAM]]&gt;0,tbl_Case_mins[[#This Row],[AnaesthStart]]=tbl_Case_mins[[#This Row],[ThOpenAm]])),1,0)</f>
        <v>#REF!</v>
      </c>
      <c r="BE206" s="16" t="e">
        <f>IF(AND(tbl_Case_mins[[#This Row],[Rank_AnaSt]]=tbl_Case_mins[[#This Row],[Min_RankAnaSt]],tbl_Case_mins[[#This Row],[Anaesth End]]&gt;=tbl_Case_mins[[#This Row],[ThOpenAm]],tbl_Case_mins[[#This Row],[PmCase]]=0),1,0)</f>
        <v>#REF!</v>
      </c>
      <c r="BF20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6" s="9" t="e" cm="1">
        <f t="array" ref="BH20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6" s="9" t="e">
        <f>IF(AND(tbl_Case_mins[[#This Row],[ThOpenPM]]&gt;0,tbl_Case_mins[[#This Row],[AnaesthStart]]&gt;tbl_Case_mins[[#This Row],[ThOpenPM]],tbl_Case_mins[[#This Row],[First PM Case]]=1),tbl_Case_mins[[#This Row],[AnaesthStart]]-tbl_Case_mins[[#This Row],[ThOpenPM]],0)</f>
        <v>#REF!</v>
      </c>
      <c r="BL20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6" s="9" t="e" cm="1">
        <f t="array" ref="BN20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6" s="9" t="e">
        <f>IF(AND(tbl_Case_mins[[#This Row],[ThClosePm]]&gt;0,tbl_Case_mins[[#This Row],[Anaesth End]]&gt;tbl_Case_mins[[#This Row],[ThClosePm]],tbl_Case_mins[[#This Row],[AnaesthStart]]&gt;tbl_Case_mins[[#This Row],[ThClosePm]]),tbl_Case_mins[[#This Row],[Into Recov]]-tbl_Case_mins[[#This Row],[AnaesthStart]],0)</f>
        <v>#REF!</v>
      </c>
      <c r="BP206" s="9" t="e">
        <f>IF(AND(tbl_Case_mins[[#This Row],[AnaesthStart]]&lt;tbl_Case_mins[[#This Row],[ThClosePm]],tbl_Case_mins[[#This Row],[Anaesth End]]&gt;tbl_Case_mins[[#This Row],[ThClosePm]]),tbl_Case_mins[[#This Row],[Anaesth End]]-tbl_Case_mins[[#This Row],[ThClosePm]],0)</f>
        <v>#REF!</v>
      </c>
      <c r="BQ206" s="9" t="e" cm="1">
        <f t="array" ref="BQ20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6" s="9" t="e" cm="1">
        <f t="array" ref="BR206">IF(tbl_Case_mins[[#This Row],[Rank_Adjust]]=SUMPRODUCT(-(tbl_Case_mins[Surgery Start Date]=tbl_Case_mins[[#This Row],[Surgery Start Date]]),-(tbl_Case_mins[Theatre]=tbl_Case_mins[[#This Row],[Theatre]])),INDEX(Poss_Time,MATCH(TEXT(tbl_Case_mins[[#This Row],[Surgery Start Date]],"ddd"),Day,0)),0)</f>
        <v>#REF!</v>
      </c>
      <c r="BS206" s="9" t="e">
        <f>tbl_Case_mins[[#This Row],[Core_Time]]*Util_Goal</f>
        <v>#REF!</v>
      </c>
      <c r="BT206" s="9" t="e" cm="1">
        <f t="array" ref="BT2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6" s="9" t="e" cm="1">
        <f t="array" ref="BU2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6" s="9" t="e">
        <f>IF(tbl_Case_mins[[#This Row],[Surgery End Date]]&gt;tbl_Case_mins[[#This Row],[Surgery Start Date]],tbl_Case_mins[[#This Row],[Anaesth End]]-1440,0)</f>
        <v>#REF!</v>
      </c>
      <c r="BY206" s="9" t="e">
        <f>tbl_Case_mins[[#This Row],[Total_NonCore]]-tbl_Case_mins[[#This Row],[NextDay_NonCore]]</f>
        <v>#REF!</v>
      </c>
      <c r="BZ206" s="10" t="e">
        <f>tbl_Case_mins[[#This Row],[InCoreUse]]/60</f>
        <v>#REF!</v>
      </c>
      <c r="CA206" s="10" t="e">
        <f>tbl_Case_mins[[#This Row],[Total_NonCore]]/60</f>
        <v>#REF!</v>
      </c>
      <c r="CB206" t="e" cm="1">
        <f t="array" ref="CB2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6" s="9" t="e" cm="1">
        <f t="array" ref="CC20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6" s="9" t="e" cm="1">
        <f t="array" ref="CD2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6" s="9" t="e" cm="1">
        <f t="array" ref="CE20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6" s="9" cm="1">
        <f t="array" ref="CF206">IFERROR(_xlfn.AGGREGATE(14,6,(tbl_Case_mins[Rank_AnaEnd])/((tbl_Case_mins[Surgery Start Date]=tbl_Case_mins[[#This Row],[Surgery Start Date]])*(tbl_Case_mins[Theatre]=tbl_Case_mins[[#This Row],[Theatre]])*(tbl_Case_mins[NoInCoreTime]=0)),1),-1)</f>
        <v>-1</v>
      </c>
      <c r="CG206" s="9" cm="1">
        <f t="array" ref="CG206">IFERROR(_xlfn.AGGREGATE(15,6,(tbl_Case_mins[Rank_AnaSt])/((tbl_Case_mins[Surgery Start Date]=tbl_Case_mins[[#This Row],[Surgery Start Date]])*(tbl_Case_mins[Theatre]=tbl_Case_mins[[#This Row],[Theatre]])*(tbl_Case_mins[NoInCoreTime]=0)),1),-1)</f>
        <v>-1</v>
      </c>
      <c r="CH20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6" t="e" cm="1">
        <f t="array" ref="CJ20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6" s="9" cm="1">
        <f t="array" ref="CO2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6" s="9" cm="1">
        <f t="array" ref="CP2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6" s="9" cm="1">
        <f t="array" ref="CQ206">IFERROR(IF(AND(tbl_Case_mins[[#This Row],[FirstAMCase]]=0,tbl_Case_mins[[#This Row],[Rank]]=_xlfn.AGGREGATE(14,6,(tbl_Case_mins[Rank])/((tbl_Case_mins[Surgery Start Date]=tbl_Case_mins[[#This Row],[Surgery Start Date]])*(tbl_Case_mins[Theatre]=tbl_Case_mins[[#This Row],[Theatre]])*(tbl_Case_mins[AmCase]=1)),1)),1,0),0)</f>
        <v>0</v>
      </c>
      <c r="CR206" s="9" cm="1">
        <f t="array" ref="CR20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6" s="9" t="e" cm="1">
        <f t="array" ref="CS20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6" s="9" cm="1">
        <f t="array" ref="CT206">IFERROR(IF(tbl_Case_mins[[#This Row],[Rank]]=_xlfn.AGGREGATE(15,6,(tbl_Case_mins[Rank])/((tbl_Case_mins[Surgery Start Date]=tbl_Case_mins[[#This Row],[Surgery Start Date]])*(tbl_Case_mins[Theatre]=tbl_Case_mins[[#This Row],[Theatre]])*(tbl_Case_mins[PmCase]=1)),1),1,0),0)</f>
        <v>0</v>
      </c>
      <c r="CU206">
        <f>IFERROR(#REF!,0)</f>
        <v>0</v>
      </c>
      <c r="CV206" s="9" t="e" cm="1">
        <f t="array" ref="CV20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6" s="9">
        <f>IFERROR(IF(ISBLANK(INDEX(Bay_AmClose,MATCH(1,INDEX((tbl_Case_mins[[#This Row],[Bay]]=BayNo)*(tbl_Case_mins[[#This Row],[Surgery Start Date]]=BDate),0,1),0))*1440),0,INDEX(Bay_AmClose,MATCH(1,INDEX((tbl_Case_mins[[#This Row],[Bay]]=BayNo)*(tbl_Case_mins[[#This Row],[Surgery Start Date]]=BDate),0,1),0))*1440),0)</f>
        <v>0</v>
      </c>
      <c r="CX206" s="9" cm="1">
        <f t="array" ref="CX206">IFERROR(IF(ISBLANK(INDEX(Bay_PmOpen,MATCH(1,INDEX((tbl_Case_mins[[#This Row],[Bay]]=BayNo)*(tbl_Case_mins[[#This Row],[Surgery Start Date]]=BDate),0,1),0))*1440),0,INDEX(Bay_PmOpen,MATCH(1,INDEX((tbl_Case_mins[[#This Row],[Bay]]=BayNo)*(tbl_Case_mins[[#This Row],[Surgery Start Date]]=BDate),0,1),0))*1440),0)</f>
        <v>0</v>
      </c>
      <c r="CY20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6" s="9"/>
    </row>
    <row r="207" spans="1:104" x14ac:dyDescent="0.2">
      <c r="A207">
        <v>206</v>
      </c>
      <c r="B207" t="e">
        <f>#REF!</f>
        <v>#REF!</v>
      </c>
      <c r="C207" t="e">
        <f>#REF!</f>
        <v>#REF!</v>
      </c>
      <c r="D207" t="e">
        <f>#REF!</f>
        <v>#REF!</v>
      </c>
      <c r="E207" t="e">
        <f>#REF!</f>
        <v>#REF!</v>
      </c>
      <c r="F207" t="e">
        <f>#REF!</f>
        <v>#REF!</v>
      </c>
      <c r="G207" t="e">
        <f>#REF!</f>
        <v>#REF!</v>
      </c>
      <c r="H207" t="e">
        <f>#REF!</f>
        <v>#REF!</v>
      </c>
      <c r="I207" t="e">
        <f>IF(#REF!="Case Cancelled",1,IF(#REF!="No Cases",2,0))</f>
        <v>#REF!</v>
      </c>
      <c r="J207" t="e">
        <f>#REF!</f>
        <v>#REF!</v>
      </c>
      <c r="K207" s="4" t="e">
        <f>#REF!</f>
        <v>#REF!</v>
      </c>
      <c r="L207" t="e">
        <f>"Wk "&amp;WEEKNUM(tbl_Case_mins[[#This Row],[Surgery Start Date]],21)</f>
        <v>#REF!</v>
      </c>
      <c r="M207" t="e">
        <f>TEXT(tbl_Case_mins[[#This Row],[Surgery Start Date]],"ddd")</f>
        <v>#REF!</v>
      </c>
      <c r="N207" s="9" t="e">
        <f>(#REF!-TIME(0,0,0))*1440</f>
        <v>#REF!</v>
      </c>
      <c r="O207" t="e">
        <f>IF(AND(ROUND((#REF!-TIME(0,0,0))*1440,0)&gt;0,ROUND((#REF!-TIME(0,0,0))*1440,0)&lt;tbl_Case_mins[[#This Row],[Patient Called]],tbl_Case_mins[[#This Row],[Surgery End Date]]&gt;tbl_Case_mins[[#This Row],[Surgery Start Date]]),ROUND((#REF!-TIME(0,0,0))*1440,0)+1440,ROUND((#REF!-TIME(0,0,0))*1440,0))</f>
        <v>#REF!</v>
      </c>
      <c r="P207" s="9" t="e">
        <f>IF(AND(ROUND((#REF!-TIME(0,0,0))*1440,0)&gt;0,ROUND((#REF!-TIME(0,0,0))*1440,0)&lt;tbl_Case_mins[[#This Row],[Arrival]],tbl_Case_mins[[#This Row],[Surgery End Date]]&gt;tbl_Case_mins[[#This Row],[Surgery Start Date]]),ROUND((#REF!-TIME(0,0,0))*1440,0)+1440,ROUND((#REF!-TIME(0,0,0))*1440,0))</f>
        <v>#REF!</v>
      </c>
      <c r="Q207" s="9" t="e">
        <f>IF(AND(ROUND((#REF!-TIME(0,0,0))*1440,0)&gt;0,ROUND((#REF!-TIME(0,0,0))*1440,0)&lt;tbl_Case_mins[[#This Row],[Into Th or AR]],tbl_Case_mins[[#This Row],[Surgery End Date]]&gt;tbl_Case_mins[[#This Row],[Surgery Start Date]]),ROUND((#REF!-TIME(0,0,0))*1440,0)+1440,ROUND((#REF!-TIME(0,0,0))*1440,0))</f>
        <v>#REF!</v>
      </c>
      <c r="R207" s="9" t="e">
        <f>IF(AND(ROUND((#REF!-TIME(0,0,0))*1440,0)&gt;0,ROUND((#REF!-TIME(0,0,0))*1440,0)&lt;tbl_Case_mins[[#This Row],[AnaesthStart]],tbl_Case_mins[[#This Row],[Surgery End Date]]&gt;tbl_Case_mins[[#This Row],[Surgery Start Date]]),ROUND((#REF!-TIME(0,0,0))*1440,0)+1440,ROUND((#REF!-TIME(0,0,0))*1440,0))</f>
        <v>#REF!</v>
      </c>
      <c r="S207" s="9" t="e">
        <f>IF(AND(ROUND((#REF!-TIME(0,0,0))*1440,0),ROUND((#REF!-TIME(0,0,0))*1440,0)&lt;tbl_Case_mins[[#This Row],[Surgery Start]],tbl_Case_mins[[#This Row],[Surgery End Date]]&gt;tbl_Case_mins[[#This Row],[Surgery Start Date]]),ROUND((#REF!-TIME(0,0,0))*1440,0)+1440,ROUND((#REF!-TIME(0,0,0))*1440,0))</f>
        <v>#REF!</v>
      </c>
      <c r="T207" s="9" t="e">
        <f>IF(AND(ROUND((#REF!-TIME(0,0,0))*1440,0)&gt;0,ROUND((#REF!-TIME(0,0,0))*1440,0)&lt;tbl_Case_mins[[#This Row],[Surgery Finish]],tbl_Case_mins[[#This Row],[Surgery End Date]]&gt;tbl_Case_mins[[#This Row],[Surgery Start Date]]),ROUND((#REF!-TIME(0,0,0))*1440,0)+1440,ROUND((#REF!-TIME(0,0,0))*1440,0))</f>
        <v>#REF!</v>
      </c>
      <c r="U207" s="9" t="e">
        <f>IF(AND(ROUND((#REF!-TIME(0,0,0))*1440,0)&gt;0,ROUND((#REF!-TIME(0,0,0))*1440,0)&lt;tbl_Case_mins[[#This Row],[Anaesth End]],tbl_Case_mins[[#This Row],[Surgery End Date]]&gt;tbl_Case_mins[[#This Row],[Surgery Start Date]]),ROUND((#REF!-TIME(0,0,0))*1440,0)+1440,ROUND((#REF!-TIME(0,0,0))*1440,0))</f>
        <v>#REF!</v>
      </c>
      <c r="V207" s="9" t="e">
        <f>IF(AND(ROUND((#REF!-TIME(0,0,0))*1440,0)&gt;0,ROUND((#REF!-TIME(0,0,0))*1440,0)&lt;tbl_Case_mins[[#This Row],[Into Recov]],tbl_Case_mins[[#This Row],[Surgery End Date]]&gt;tbl_Case_mins[[#This Row],[Surgery Start Date]]),ROUND((#REF!-TIME(0,0,0))*1440,0)+1440,ROUND((#REF!-TIME(0,0,0))*1440,0))</f>
        <v>#REF!</v>
      </c>
      <c r="W207" s="9" t="e">
        <f>IF(AND(ROUND((#REF!-TIME(0,0,0))*1440,0)&gt;0,ROUND((#REF!-TIME(0,0,0))*1440,0)&lt;tbl_Case_mins[[#This Row],[Ward Called]],tbl_Case_mins[[#This Row],[Surgery End Date]]&gt;tbl_Case_mins[[#This Row],[Surgery Start Date]]),ROUND((#REF!-TIME(0,0,0))*1440,0)+1440,ROUND((#REF!-TIME(0,0,0))*1440,0))</f>
        <v>#REF!</v>
      </c>
      <c r="X207" s="4" t="e">
        <f>IF(ISBLANK(#REF!),tbl_Case_mins[[#This Row],[Surgery Start Date]],#REF!)</f>
        <v>#REF!</v>
      </c>
      <c r="Y207">
        <f>IFERROR(IF(VLOOKUP(tbl_Case_mins[[#This Row],[Theatre]],'Mng Theatres'!$C$7:$G$12,3,FALSE)="Yes","Yes","No"),0)</f>
        <v>0</v>
      </c>
      <c r="Z207" s="9" t="e" cm="1">
        <f t="array" ref="Z20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7" s="9" t="e" cm="1">
        <f t="array" ref="AA20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7" s="9" t="e">
        <f>IF(tbl_Case_mins[[#This Row],[Case Type]]="Unsch",1,0)</f>
        <v>#REF!</v>
      </c>
      <c r="AD207" s="9" t="e">
        <f>IF(tbl_Case_mins[[#This Row],[Case Type]]="Sch",1,0)</f>
        <v>#REF!</v>
      </c>
      <c r="AE20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7" s="9">
        <f>IFERROR(IF(ISBLANK(INDEX(Am_Close,MATCH(1,INDEX((tbl_Case_mins[[#This Row],[Theatre]]=Theatre_No)*(tbl_Case_mins[[#This Row],[Surgery Start Date]]=Date),0,1),0))*1440),0,INDEX(Am_Close,MATCH(1,INDEX((tbl_Case_mins[[#This Row],[Theatre]]=Theatre_No)*(tbl_Case_mins[[#This Row],[Surgery Start Date]]=Date),0,1),0))*1440),0)</f>
        <v>0</v>
      </c>
      <c r="AG207" s="9">
        <f>IFERROR(IF(ISBLANK(INDEX(PM_Open,MATCH(1,INDEX((tbl_Case_mins[[#This Row],[Theatre]]=Theatre_No)*(tbl_Case_mins[[#This Row],[Surgery Start Date]]=Date),0,1),0))*1440),0,INDEX(PM_Open,MATCH(1,INDEX((tbl_Case_mins[[#This Row],[Theatre]]=Theatre_No)*(tbl_Case_mins[[#This Row],[Surgery Start Date]]=Date),0,1),0))*1440),0)</f>
        <v>0</v>
      </c>
      <c r="AH20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7" s="9" t="e">
        <f>IF(tbl_Case_mins[[#This Row],[ThOpenAm]]=0,tbl_Case_mins[[#This Row],[ThOpenPM]],tbl_Case_mins[[#This Row],[ThOpenAm]])</f>
        <v>#REF!</v>
      </c>
      <c r="AJ207" s="9" t="e">
        <f>IF(tbl_Case_mins[[#This Row],[ThCloseAm]]&gt;0,IF(tbl_Case_mins[[#This Row],[ThOpenPM]]&gt;0,tbl_Case_mins[[#This Row],[ThClosePm]],tbl_Case_mins[[#This Row],[ThCloseAm]]),tbl_Case_mins[[#This Row],[ThClosePm]])</f>
        <v>#REF!</v>
      </c>
      <c r="AK207" s="9" t="e">
        <f>IF(tbl_Case_mins[[#This Row],[TOT]]&gt;0,1,0)</f>
        <v>#REF!</v>
      </c>
      <c r="AL20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7" s="9" t="e">
        <f>IF(AND(tbl_Case_mins[[#This Row],[Surgery Status]]&lt;&gt;2,tbl_Case_mins[[#This Row],[InCoreCase]]=0,tbl_Case_mins[[#This Row],[CancelledCase]]=0),1,0)</f>
        <v>#REF!</v>
      </c>
      <c r="AN207" s="9" t="e">
        <f>IF(tbl_Case_mins[[#This Row],[Surgery Status]]=1,1,0)</f>
        <v>#REF!</v>
      </c>
      <c r="AO20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7" s="9" t="e">
        <f>IF(AND(tbl_Case_mins[[#This Row],[NonCoreCase]]=1,tbl_Case_mins[[#This Row],[NoInCoreTime]]=0),1,0)</f>
        <v>#REF!</v>
      </c>
      <c r="AQ207" s="9" t="e">
        <f>IF(tbl_Case_mins[[#This Row],[Rank_AnaEnd]]&lt;tbl_Case_mins[[#This Row],[Rank_AnaSt]],1,0)</f>
        <v>#REF!</v>
      </c>
      <c r="AR207" s="9" t="e">
        <f>IF(AND(tbl_Case_mins[[#This Row],[InCoreCase]]=1,tbl_Case_mins[[#This Row],[Sch]]=1),1,0)</f>
        <v>#REF!</v>
      </c>
      <c r="AS207" s="9" t="e">
        <f>IF(AND(tbl_Case_mins[[#This Row],[InCoreCase]]=1,tbl_Case_mins[[#This Row],[Unsch]]=1),1,0)</f>
        <v>#REF!</v>
      </c>
      <c r="AT20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7" s="9" t="e">
        <f>IF(tbl_Case_mins[[#This Row],[Surgery Status]]=0,(tbl_Case_mins[[#This Row],[Anaesth End]]-tbl_Case_mins[[#This Row],[AnaesthStart]]),0)</f>
        <v>#REF!</v>
      </c>
      <c r="AX207" s="9" t="e">
        <f>IF(tbl_Case_mins[[#This Row],[Surgery Status]]=0,(tbl_Case_mins[[#This Row],[Surgery Finish]]-tbl_Case_mins[[#This Row],[Surgery Start]]),0)</f>
        <v>#REF!</v>
      </c>
      <c r="AY207" s="9" t="e">
        <f>tbl_Case_mins[[#This Row],[Surgery Start]]-tbl_Case_mins[[#This Row],[AnaesthStart]]</f>
        <v>#REF!</v>
      </c>
      <c r="AZ207" s="9" t="e">
        <f>tbl_Case_mins[[#This Row],[Anaesth End]]-tbl_Case_mins[[#This Row],[Surgery Finish]]</f>
        <v>#REF!</v>
      </c>
      <c r="BA20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7" s="16" cm="1">
        <f t="array" ref="BC20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7" s="16" t="e">
        <f>IF(AND(tbl_Case_mins[[#This Row],[FirstAMCase]]=1,tbl_Case_mins[[#This Row],[CancelledCase]]=0,OR(tbl_Case_mins[[#This Row],[EarlyStartAM]]&gt;0,tbl_Case_mins[[#This Row],[AnaesthStart]]=tbl_Case_mins[[#This Row],[ThOpenAm]])),1,0)</f>
        <v>#REF!</v>
      </c>
      <c r="BE207" s="16" t="e">
        <f>IF(AND(tbl_Case_mins[[#This Row],[Rank_AnaSt]]=tbl_Case_mins[[#This Row],[Min_RankAnaSt]],tbl_Case_mins[[#This Row],[Anaesth End]]&gt;=tbl_Case_mins[[#This Row],[ThOpenAm]],tbl_Case_mins[[#This Row],[PmCase]]=0),1,0)</f>
        <v>#REF!</v>
      </c>
      <c r="BF20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7" s="9" t="e" cm="1">
        <f t="array" ref="BH20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7" s="9" t="e">
        <f>IF(AND(tbl_Case_mins[[#This Row],[ThOpenPM]]&gt;0,tbl_Case_mins[[#This Row],[AnaesthStart]]&gt;tbl_Case_mins[[#This Row],[ThOpenPM]],tbl_Case_mins[[#This Row],[First PM Case]]=1),tbl_Case_mins[[#This Row],[AnaesthStart]]-tbl_Case_mins[[#This Row],[ThOpenPM]],0)</f>
        <v>#REF!</v>
      </c>
      <c r="BL20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7" s="9" t="e" cm="1">
        <f t="array" ref="BN20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7" s="9" t="e">
        <f>IF(AND(tbl_Case_mins[[#This Row],[ThClosePm]]&gt;0,tbl_Case_mins[[#This Row],[Anaesth End]]&gt;tbl_Case_mins[[#This Row],[ThClosePm]],tbl_Case_mins[[#This Row],[AnaesthStart]]&gt;tbl_Case_mins[[#This Row],[ThClosePm]]),tbl_Case_mins[[#This Row],[Into Recov]]-tbl_Case_mins[[#This Row],[AnaesthStart]],0)</f>
        <v>#REF!</v>
      </c>
      <c r="BP207" s="9" t="e">
        <f>IF(AND(tbl_Case_mins[[#This Row],[AnaesthStart]]&lt;tbl_Case_mins[[#This Row],[ThClosePm]],tbl_Case_mins[[#This Row],[Anaesth End]]&gt;tbl_Case_mins[[#This Row],[ThClosePm]]),tbl_Case_mins[[#This Row],[Anaesth End]]-tbl_Case_mins[[#This Row],[ThClosePm]],0)</f>
        <v>#REF!</v>
      </c>
      <c r="BQ207" s="9" t="e" cm="1">
        <f t="array" ref="BQ20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7" s="9" t="e" cm="1">
        <f t="array" ref="BR207">IF(tbl_Case_mins[[#This Row],[Rank_Adjust]]=SUMPRODUCT(-(tbl_Case_mins[Surgery Start Date]=tbl_Case_mins[[#This Row],[Surgery Start Date]]),-(tbl_Case_mins[Theatre]=tbl_Case_mins[[#This Row],[Theatre]])),INDEX(Poss_Time,MATCH(TEXT(tbl_Case_mins[[#This Row],[Surgery Start Date]],"ddd"),Day,0)),0)</f>
        <v>#REF!</v>
      </c>
      <c r="BS207" s="9" t="e">
        <f>tbl_Case_mins[[#This Row],[Core_Time]]*Util_Goal</f>
        <v>#REF!</v>
      </c>
      <c r="BT207" s="9" t="e" cm="1">
        <f t="array" ref="BT2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7" s="9" t="e" cm="1">
        <f t="array" ref="BU2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7" s="9" t="e">
        <f>IF(tbl_Case_mins[[#This Row],[Surgery End Date]]&gt;tbl_Case_mins[[#This Row],[Surgery Start Date]],tbl_Case_mins[[#This Row],[Anaesth End]]-1440,0)</f>
        <v>#REF!</v>
      </c>
      <c r="BY207" s="9" t="e">
        <f>tbl_Case_mins[[#This Row],[Total_NonCore]]-tbl_Case_mins[[#This Row],[NextDay_NonCore]]</f>
        <v>#REF!</v>
      </c>
      <c r="BZ207" s="10" t="e">
        <f>tbl_Case_mins[[#This Row],[InCoreUse]]/60</f>
        <v>#REF!</v>
      </c>
      <c r="CA207" s="10" t="e">
        <f>tbl_Case_mins[[#This Row],[Total_NonCore]]/60</f>
        <v>#REF!</v>
      </c>
      <c r="CB207" t="e" cm="1">
        <f t="array" ref="CB2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7" s="9" t="e" cm="1">
        <f t="array" ref="CC20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7" s="9" t="e" cm="1">
        <f t="array" ref="CD2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7" s="9" t="e" cm="1">
        <f t="array" ref="CE20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7" s="9" cm="1">
        <f t="array" ref="CF207">IFERROR(_xlfn.AGGREGATE(14,6,(tbl_Case_mins[Rank_AnaEnd])/((tbl_Case_mins[Surgery Start Date]=tbl_Case_mins[[#This Row],[Surgery Start Date]])*(tbl_Case_mins[Theatre]=tbl_Case_mins[[#This Row],[Theatre]])*(tbl_Case_mins[NoInCoreTime]=0)),1),-1)</f>
        <v>-1</v>
      </c>
      <c r="CG207" s="9" cm="1">
        <f t="array" ref="CG207">IFERROR(_xlfn.AGGREGATE(15,6,(tbl_Case_mins[Rank_AnaSt])/((tbl_Case_mins[Surgery Start Date]=tbl_Case_mins[[#This Row],[Surgery Start Date]])*(tbl_Case_mins[Theatre]=tbl_Case_mins[[#This Row],[Theatre]])*(tbl_Case_mins[NoInCoreTime]=0)),1),-1)</f>
        <v>-1</v>
      </c>
      <c r="CH20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7" t="e" cm="1">
        <f t="array" ref="CJ20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7" s="9" cm="1">
        <f t="array" ref="CO2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7" s="9" cm="1">
        <f t="array" ref="CP2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7" s="9" cm="1">
        <f t="array" ref="CQ207">IFERROR(IF(AND(tbl_Case_mins[[#This Row],[FirstAMCase]]=0,tbl_Case_mins[[#This Row],[Rank]]=_xlfn.AGGREGATE(14,6,(tbl_Case_mins[Rank])/((tbl_Case_mins[Surgery Start Date]=tbl_Case_mins[[#This Row],[Surgery Start Date]])*(tbl_Case_mins[Theatre]=tbl_Case_mins[[#This Row],[Theatre]])*(tbl_Case_mins[AmCase]=1)),1)),1,0),0)</f>
        <v>0</v>
      </c>
      <c r="CR207" s="9" cm="1">
        <f t="array" ref="CR20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7" s="9" t="e" cm="1">
        <f t="array" ref="CS20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7" s="9" cm="1">
        <f t="array" ref="CT207">IFERROR(IF(tbl_Case_mins[[#This Row],[Rank]]=_xlfn.AGGREGATE(15,6,(tbl_Case_mins[Rank])/((tbl_Case_mins[Surgery Start Date]=tbl_Case_mins[[#This Row],[Surgery Start Date]])*(tbl_Case_mins[Theatre]=tbl_Case_mins[[#This Row],[Theatre]])*(tbl_Case_mins[PmCase]=1)),1),1,0),0)</f>
        <v>0</v>
      </c>
      <c r="CU207">
        <f>IFERROR(#REF!,0)</f>
        <v>0</v>
      </c>
      <c r="CV207" s="9" t="e" cm="1">
        <f t="array" ref="CV20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7" s="9">
        <f>IFERROR(IF(ISBLANK(INDEX(Bay_AmClose,MATCH(1,INDEX((tbl_Case_mins[[#This Row],[Bay]]=BayNo)*(tbl_Case_mins[[#This Row],[Surgery Start Date]]=BDate),0,1),0))*1440),0,INDEX(Bay_AmClose,MATCH(1,INDEX((tbl_Case_mins[[#This Row],[Bay]]=BayNo)*(tbl_Case_mins[[#This Row],[Surgery Start Date]]=BDate),0,1),0))*1440),0)</f>
        <v>0</v>
      </c>
      <c r="CX207" s="9" cm="1">
        <f t="array" ref="CX207">IFERROR(IF(ISBLANK(INDEX(Bay_PmOpen,MATCH(1,INDEX((tbl_Case_mins[[#This Row],[Bay]]=BayNo)*(tbl_Case_mins[[#This Row],[Surgery Start Date]]=BDate),0,1),0))*1440),0,INDEX(Bay_PmOpen,MATCH(1,INDEX((tbl_Case_mins[[#This Row],[Bay]]=BayNo)*(tbl_Case_mins[[#This Row],[Surgery Start Date]]=BDate),0,1),0))*1440),0)</f>
        <v>0</v>
      </c>
      <c r="CY20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7" s="9"/>
    </row>
    <row r="208" spans="1:104" x14ac:dyDescent="0.2">
      <c r="A208">
        <v>207</v>
      </c>
      <c r="B208" t="e">
        <f>#REF!</f>
        <v>#REF!</v>
      </c>
      <c r="C208" t="e">
        <f>#REF!</f>
        <v>#REF!</v>
      </c>
      <c r="D208" t="e">
        <f>#REF!</f>
        <v>#REF!</v>
      </c>
      <c r="E208" t="e">
        <f>#REF!</f>
        <v>#REF!</v>
      </c>
      <c r="F208" t="e">
        <f>#REF!</f>
        <v>#REF!</v>
      </c>
      <c r="G208" t="e">
        <f>#REF!</f>
        <v>#REF!</v>
      </c>
      <c r="H208" t="e">
        <f>#REF!</f>
        <v>#REF!</v>
      </c>
      <c r="I208" t="e">
        <f>IF(#REF!="Case Cancelled",1,IF(#REF!="No Cases",2,0))</f>
        <v>#REF!</v>
      </c>
      <c r="J208" t="e">
        <f>#REF!</f>
        <v>#REF!</v>
      </c>
      <c r="K208" s="4" t="e">
        <f>#REF!</f>
        <v>#REF!</v>
      </c>
      <c r="L208" t="e">
        <f>"Wk "&amp;WEEKNUM(tbl_Case_mins[[#This Row],[Surgery Start Date]],21)</f>
        <v>#REF!</v>
      </c>
      <c r="M208" t="e">
        <f>TEXT(tbl_Case_mins[[#This Row],[Surgery Start Date]],"ddd")</f>
        <v>#REF!</v>
      </c>
      <c r="N208" s="9" t="e">
        <f>(#REF!-TIME(0,0,0))*1440</f>
        <v>#REF!</v>
      </c>
      <c r="O208" t="e">
        <f>IF(AND(ROUND((#REF!-TIME(0,0,0))*1440,0)&gt;0,ROUND((#REF!-TIME(0,0,0))*1440,0)&lt;tbl_Case_mins[[#This Row],[Patient Called]],tbl_Case_mins[[#This Row],[Surgery End Date]]&gt;tbl_Case_mins[[#This Row],[Surgery Start Date]]),ROUND((#REF!-TIME(0,0,0))*1440,0)+1440,ROUND((#REF!-TIME(0,0,0))*1440,0))</f>
        <v>#REF!</v>
      </c>
      <c r="P208" s="9" t="e">
        <f>IF(AND(ROUND((#REF!-TIME(0,0,0))*1440,0)&gt;0,ROUND((#REF!-TIME(0,0,0))*1440,0)&lt;tbl_Case_mins[[#This Row],[Arrival]],tbl_Case_mins[[#This Row],[Surgery End Date]]&gt;tbl_Case_mins[[#This Row],[Surgery Start Date]]),ROUND((#REF!-TIME(0,0,0))*1440,0)+1440,ROUND((#REF!-TIME(0,0,0))*1440,0))</f>
        <v>#REF!</v>
      </c>
      <c r="Q208" s="9" t="e">
        <f>IF(AND(ROUND((#REF!-TIME(0,0,0))*1440,0)&gt;0,ROUND((#REF!-TIME(0,0,0))*1440,0)&lt;tbl_Case_mins[[#This Row],[Into Th or AR]],tbl_Case_mins[[#This Row],[Surgery End Date]]&gt;tbl_Case_mins[[#This Row],[Surgery Start Date]]),ROUND((#REF!-TIME(0,0,0))*1440,0)+1440,ROUND((#REF!-TIME(0,0,0))*1440,0))</f>
        <v>#REF!</v>
      </c>
      <c r="R208" s="9" t="e">
        <f>IF(AND(ROUND((#REF!-TIME(0,0,0))*1440,0)&gt;0,ROUND((#REF!-TIME(0,0,0))*1440,0)&lt;tbl_Case_mins[[#This Row],[AnaesthStart]],tbl_Case_mins[[#This Row],[Surgery End Date]]&gt;tbl_Case_mins[[#This Row],[Surgery Start Date]]),ROUND((#REF!-TIME(0,0,0))*1440,0)+1440,ROUND((#REF!-TIME(0,0,0))*1440,0))</f>
        <v>#REF!</v>
      </c>
      <c r="S208" s="9" t="e">
        <f>IF(AND(ROUND((#REF!-TIME(0,0,0))*1440,0),ROUND((#REF!-TIME(0,0,0))*1440,0)&lt;tbl_Case_mins[[#This Row],[Surgery Start]],tbl_Case_mins[[#This Row],[Surgery End Date]]&gt;tbl_Case_mins[[#This Row],[Surgery Start Date]]),ROUND((#REF!-TIME(0,0,0))*1440,0)+1440,ROUND((#REF!-TIME(0,0,0))*1440,0))</f>
        <v>#REF!</v>
      </c>
      <c r="T208" s="9" t="e">
        <f>IF(AND(ROUND((#REF!-TIME(0,0,0))*1440,0)&gt;0,ROUND((#REF!-TIME(0,0,0))*1440,0)&lt;tbl_Case_mins[[#This Row],[Surgery Finish]],tbl_Case_mins[[#This Row],[Surgery End Date]]&gt;tbl_Case_mins[[#This Row],[Surgery Start Date]]),ROUND((#REF!-TIME(0,0,0))*1440,0)+1440,ROUND((#REF!-TIME(0,0,0))*1440,0))</f>
        <v>#REF!</v>
      </c>
      <c r="U208" s="9" t="e">
        <f>IF(AND(ROUND((#REF!-TIME(0,0,0))*1440,0)&gt;0,ROUND((#REF!-TIME(0,0,0))*1440,0)&lt;tbl_Case_mins[[#This Row],[Anaesth End]],tbl_Case_mins[[#This Row],[Surgery End Date]]&gt;tbl_Case_mins[[#This Row],[Surgery Start Date]]),ROUND((#REF!-TIME(0,0,0))*1440,0)+1440,ROUND((#REF!-TIME(0,0,0))*1440,0))</f>
        <v>#REF!</v>
      </c>
      <c r="V208" s="9" t="e">
        <f>IF(AND(ROUND((#REF!-TIME(0,0,0))*1440,0)&gt;0,ROUND((#REF!-TIME(0,0,0))*1440,0)&lt;tbl_Case_mins[[#This Row],[Into Recov]],tbl_Case_mins[[#This Row],[Surgery End Date]]&gt;tbl_Case_mins[[#This Row],[Surgery Start Date]]),ROUND((#REF!-TIME(0,0,0))*1440,0)+1440,ROUND((#REF!-TIME(0,0,0))*1440,0))</f>
        <v>#REF!</v>
      </c>
      <c r="W208" s="9" t="e">
        <f>IF(AND(ROUND((#REF!-TIME(0,0,0))*1440,0)&gt;0,ROUND((#REF!-TIME(0,0,0))*1440,0)&lt;tbl_Case_mins[[#This Row],[Ward Called]],tbl_Case_mins[[#This Row],[Surgery End Date]]&gt;tbl_Case_mins[[#This Row],[Surgery Start Date]]),ROUND((#REF!-TIME(0,0,0))*1440,0)+1440,ROUND((#REF!-TIME(0,0,0))*1440,0))</f>
        <v>#REF!</v>
      </c>
      <c r="X208" s="4" t="e">
        <f>IF(ISBLANK(#REF!),tbl_Case_mins[[#This Row],[Surgery Start Date]],#REF!)</f>
        <v>#REF!</v>
      </c>
      <c r="Y208">
        <f>IFERROR(IF(VLOOKUP(tbl_Case_mins[[#This Row],[Theatre]],'Mng Theatres'!$C$7:$G$12,3,FALSE)="Yes","Yes","No"),0)</f>
        <v>0</v>
      </c>
      <c r="Z208" s="9" t="e" cm="1">
        <f t="array" ref="Z20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8" s="9" t="e" cm="1">
        <f t="array" ref="AA20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8" s="9" t="e">
        <f>IF(tbl_Case_mins[[#This Row],[Case Type]]="Unsch",1,0)</f>
        <v>#REF!</v>
      </c>
      <c r="AD208" s="9" t="e">
        <f>IF(tbl_Case_mins[[#This Row],[Case Type]]="Sch",1,0)</f>
        <v>#REF!</v>
      </c>
      <c r="AE20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8" s="9">
        <f>IFERROR(IF(ISBLANK(INDEX(Am_Close,MATCH(1,INDEX((tbl_Case_mins[[#This Row],[Theatre]]=Theatre_No)*(tbl_Case_mins[[#This Row],[Surgery Start Date]]=Date),0,1),0))*1440),0,INDEX(Am_Close,MATCH(1,INDEX((tbl_Case_mins[[#This Row],[Theatre]]=Theatre_No)*(tbl_Case_mins[[#This Row],[Surgery Start Date]]=Date),0,1),0))*1440),0)</f>
        <v>0</v>
      </c>
      <c r="AG208" s="9">
        <f>IFERROR(IF(ISBLANK(INDEX(PM_Open,MATCH(1,INDEX((tbl_Case_mins[[#This Row],[Theatre]]=Theatre_No)*(tbl_Case_mins[[#This Row],[Surgery Start Date]]=Date),0,1),0))*1440),0,INDEX(PM_Open,MATCH(1,INDEX((tbl_Case_mins[[#This Row],[Theatre]]=Theatre_No)*(tbl_Case_mins[[#This Row],[Surgery Start Date]]=Date),0,1),0))*1440),0)</f>
        <v>0</v>
      </c>
      <c r="AH20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8" s="9" t="e">
        <f>IF(tbl_Case_mins[[#This Row],[ThOpenAm]]=0,tbl_Case_mins[[#This Row],[ThOpenPM]],tbl_Case_mins[[#This Row],[ThOpenAm]])</f>
        <v>#REF!</v>
      </c>
      <c r="AJ208" s="9" t="e">
        <f>IF(tbl_Case_mins[[#This Row],[ThCloseAm]]&gt;0,IF(tbl_Case_mins[[#This Row],[ThOpenPM]]&gt;0,tbl_Case_mins[[#This Row],[ThClosePm]],tbl_Case_mins[[#This Row],[ThCloseAm]]),tbl_Case_mins[[#This Row],[ThClosePm]])</f>
        <v>#REF!</v>
      </c>
      <c r="AK208" s="9" t="e">
        <f>IF(tbl_Case_mins[[#This Row],[TOT]]&gt;0,1,0)</f>
        <v>#REF!</v>
      </c>
      <c r="AL20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8" s="9" t="e">
        <f>IF(AND(tbl_Case_mins[[#This Row],[Surgery Status]]&lt;&gt;2,tbl_Case_mins[[#This Row],[InCoreCase]]=0,tbl_Case_mins[[#This Row],[CancelledCase]]=0),1,0)</f>
        <v>#REF!</v>
      </c>
      <c r="AN208" s="9" t="e">
        <f>IF(tbl_Case_mins[[#This Row],[Surgery Status]]=1,1,0)</f>
        <v>#REF!</v>
      </c>
      <c r="AO20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8" s="9" t="e">
        <f>IF(AND(tbl_Case_mins[[#This Row],[NonCoreCase]]=1,tbl_Case_mins[[#This Row],[NoInCoreTime]]=0),1,0)</f>
        <v>#REF!</v>
      </c>
      <c r="AQ208" s="9" t="e">
        <f>IF(tbl_Case_mins[[#This Row],[Rank_AnaEnd]]&lt;tbl_Case_mins[[#This Row],[Rank_AnaSt]],1,0)</f>
        <v>#REF!</v>
      </c>
      <c r="AR208" s="9" t="e">
        <f>IF(AND(tbl_Case_mins[[#This Row],[InCoreCase]]=1,tbl_Case_mins[[#This Row],[Sch]]=1),1,0)</f>
        <v>#REF!</v>
      </c>
      <c r="AS208" s="9" t="e">
        <f>IF(AND(tbl_Case_mins[[#This Row],[InCoreCase]]=1,tbl_Case_mins[[#This Row],[Unsch]]=1),1,0)</f>
        <v>#REF!</v>
      </c>
      <c r="AT20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8" s="9" t="e">
        <f>IF(tbl_Case_mins[[#This Row],[Surgery Status]]=0,(tbl_Case_mins[[#This Row],[Anaesth End]]-tbl_Case_mins[[#This Row],[AnaesthStart]]),0)</f>
        <v>#REF!</v>
      </c>
      <c r="AX208" s="9" t="e">
        <f>IF(tbl_Case_mins[[#This Row],[Surgery Status]]=0,(tbl_Case_mins[[#This Row],[Surgery Finish]]-tbl_Case_mins[[#This Row],[Surgery Start]]),0)</f>
        <v>#REF!</v>
      </c>
      <c r="AY208" s="9" t="e">
        <f>tbl_Case_mins[[#This Row],[Surgery Start]]-tbl_Case_mins[[#This Row],[AnaesthStart]]</f>
        <v>#REF!</v>
      </c>
      <c r="AZ208" s="9" t="e">
        <f>tbl_Case_mins[[#This Row],[Anaesth End]]-tbl_Case_mins[[#This Row],[Surgery Finish]]</f>
        <v>#REF!</v>
      </c>
      <c r="BA20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8" s="16" cm="1">
        <f t="array" ref="BC20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8" s="16" t="e">
        <f>IF(AND(tbl_Case_mins[[#This Row],[FirstAMCase]]=1,tbl_Case_mins[[#This Row],[CancelledCase]]=0,OR(tbl_Case_mins[[#This Row],[EarlyStartAM]]&gt;0,tbl_Case_mins[[#This Row],[AnaesthStart]]=tbl_Case_mins[[#This Row],[ThOpenAm]])),1,0)</f>
        <v>#REF!</v>
      </c>
      <c r="BE208" s="16" t="e">
        <f>IF(AND(tbl_Case_mins[[#This Row],[Rank_AnaSt]]=tbl_Case_mins[[#This Row],[Min_RankAnaSt]],tbl_Case_mins[[#This Row],[Anaesth End]]&gt;=tbl_Case_mins[[#This Row],[ThOpenAm]],tbl_Case_mins[[#This Row],[PmCase]]=0),1,0)</f>
        <v>#REF!</v>
      </c>
      <c r="BF20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8" s="9" t="e" cm="1">
        <f t="array" ref="BH20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8" s="9" t="e">
        <f>IF(AND(tbl_Case_mins[[#This Row],[ThOpenPM]]&gt;0,tbl_Case_mins[[#This Row],[AnaesthStart]]&gt;tbl_Case_mins[[#This Row],[ThOpenPM]],tbl_Case_mins[[#This Row],[First PM Case]]=1),tbl_Case_mins[[#This Row],[AnaesthStart]]-tbl_Case_mins[[#This Row],[ThOpenPM]],0)</f>
        <v>#REF!</v>
      </c>
      <c r="BL20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8" s="9" t="e" cm="1">
        <f t="array" ref="BN20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8" s="9" t="e">
        <f>IF(AND(tbl_Case_mins[[#This Row],[ThClosePm]]&gt;0,tbl_Case_mins[[#This Row],[Anaesth End]]&gt;tbl_Case_mins[[#This Row],[ThClosePm]],tbl_Case_mins[[#This Row],[AnaesthStart]]&gt;tbl_Case_mins[[#This Row],[ThClosePm]]),tbl_Case_mins[[#This Row],[Into Recov]]-tbl_Case_mins[[#This Row],[AnaesthStart]],0)</f>
        <v>#REF!</v>
      </c>
      <c r="BP208" s="9" t="e">
        <f>IF(AND(tbl_Case_mins[[#This Row],[AnaesthStart]]&lt;tbl_Case_mins[[#This Row],[ThClosePm]],tbl_Case_mins[[#This Row],[Anaesth End]]&gt;tbl_Case_mins[[#This Row],[ThClosePm]]),tbl_Case_mins[[#This Row],[Anaesth End]]-tbl_Case_mins[[#This Row],[ThClosePm]],0)</f>
        <v>#REF!</v>
      </c>
      <c r="BQ208" s="9" t="e" cm="1">
        <f t="array" ref="BQ20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8" s="9" t="e" cm="1">
        <f t="array" ref="BR208">IF(tbl_Case_mins[[#This Row],[Rank_Adjust]]=SUMPRODUCT(-(tbl_Case_mins[Surgery Start Date]=tbl_Case_mins[[#This Row],[Surgery Start Date]]),-(tbl_Case_mins[Theatre]=tbl_Case_mins[[#This Row],[Theatre]])),INDEX(Poss_Time,MATCH(TEXT(tbl_Case_mins[[#This Row],[Surgery Start Date]],"ddd"),Day,0)),0)</f>
        <v>#REF!</v>
      </c>
      <c r="BS208" s="9" t="e">
        <f>tbl_Case_mins[[#This Row],[Core_Time]]*Util_Goal</f>
        <v>#REF!</v>
      </c>
      <c r="BT208" s="9" t="e" cm="1">
        <f t="array" ref="BT2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8" s="9" t="e" cm="1">
        <f t="array" ref="BU2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8" s="9" t="e">
        <f>IF(tbl_Case_mins[[#This Row],[Surgery End Date]]&gt;tbl_Case_mins[[#This Row],[Surgery Start Date]],tbl_Case_mins[[#This Row],[Anaesth End]]-1440,0)</f>
        <v>#REF!</v>
      </c>
      <c r="BY208" s="9" t="e">
        <f>tbl_Case_mins[[#This Row],[Total_NonCore]]-tbl_Case_mins[[#This Row],[NextDay_NonCore]]</f>
        <v>#REF!</v>
      </c>
      <c r="BZ208" s="10" t="e">
        <f>tbl_Case_mins[[#This Row],[InCoreUse]]/60</f>
        <v>#REF!</v>
      </c>
      <c r="CA208" s="10" t="e">
        <f>tbl_Case_mins[[#This Row],[Total_NonCore]]/60</f>
        <v>#REF!</v>
      </c>
      <c r="CB208" t="e" cm="1">
        <f t="array" ref="CB2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8" s="9" t="e" cm="1">
        <f t="array" ref="CC20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8" s="9" t="e" cm="1">
        <f t="array" ref="CD2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8" s="9" t="e" cm="1">
        <f t="array" ref="CE20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8" s="9" cm="1">
        <f t="array" ref="CF208">IFERROR(_xlfn.AGGREGATE(14,6,(tbl_Case_mins[Rank_AnaEnd])/((tbl_Case_mins[Surgery Start Date]=tbl_Case_mins[[#This Row],[Surgery Start Date]])*(tbl_Case_mins[Theatre]=tbl_Case_mins[[#This Row],[Theatre]])*(tbl_Case_mins[NoInCoreTime]=0)),1),-1)</f>
        <v>-1</v>
      </c>
      <c r="CG208" s="9" cm="1">
        <f t="array" ref="CG208">IFERROR(_xlfn.AGGREGATE(15,6,(tbl_Case_mins[Rank_AnaSt])/((tbl_Case_mins[Surgery Start Date]=tbl_Case_mins[[#This Row],[Surgery Start Date]])*(tbl_Case_mins[Theatre]=tbl_Case_mins[[#This Row],[Theatre]])*(tbl_Case_mins[NoInCoreTime]=0)),1),-1)</f>
        <v>-1</v>
      </c>
      <c r="CH20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8" t="e" cm="1">
        <f t="array" ref="CJ20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8" s="9" cm="1">
        <f t="array" ref="CO2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8" s="9" cm="1">
        <f t="array" ref="CP2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8" s="9" cm="1">
        <f t="array" ref="CQ208">IFERROR(IF(AND(tbl_Case_mins[[#This Row],[FirstAMCase]]=0,tbl_Case_mins[[#This Row],[Rank]]=_xlfn.AGGREGATE(14,6,(tbl_Case_mins[Rank])/((tbl_Case_mins[Surgery Start Date]=tbl_Case_mins[[#This Row],[Surgery Start Date]])*(tbl_Case_mins[Theatre]=tbl_Case_mins[[#This Row],[Theatre]])*(tbl_Case_mins[AmCase]=1)),1)),1,0),0)</f>
        <v>0</v>
      </c>
      <c r="CR208" s="9" cm="1">
        <f t="array" ref="CR20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8" s="9" t="e" cm="1">
        <f t="array" ref="CS20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8" s="9" cm="1">
        <f t="array" ref="CT208">IFERROR(IF(tbl_Case_mins[[#This Row],[Rank]]=_xlfn.AGGREGATE(15,6,(tbl_Case_mins[Rank])/((tbl_Case_mins[Surgery Start Date]=tbl_Case_mins[[#This Row],[Surgery Start Date]])*(tbl_Case_mins[Theatre]=tbl_Case_mins[[#This Row],[Theatre]])*(tbl_Case_mins[PmCase]=1)),1),1,0),0)</f>
        <v>0</v>
      </c>
      <c r="CU208">
        <f>IFERROR(#REF!,0)</f>
        <v>0</v>
      </c>
      <c r="CV208" s="9" t="e" cm="1">
        <f t="array" ref="CV20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8" s="9">
        <f>IFERROR(IF(ISBLANK(INDEX(Bay_AmClose,MATCH(1,INDEX((tbl_Case_mins[[#This Row],[Bay]]=BayNo)*(tbl_Case_mins[[#This Row],[Surgery Start Date]]=BDate),0,1),0))*1440),0,INDEX(Bay_AmClose,MATCH(1,INDEX((tbl_Case_mins[[#This Row],[Bay]]=BayNo)*(tbl_Case_mins[[#This Row],[Surgery Start Date]]=BDate),0,1),0))*1440),0)</f>
        <v>0</v>
      </c>
      <c r="CX208" s="9" cm="1">
        <f t="array" ref="CX208">IFERROR(IF(ISBLANK(INDEX(Bay_PmOpen,MATCH(1,INDEX((tbl_Case_mins[[#This Row],[Bay]]=BayNo)*(tbl_Case_mins[[#This Row],[Surgery Start Date]]=BDate),0,1),0))*1440),0,INDEX(Bay_PmOpen,MATCH(1,INDEX((tbl_Case_mins[[#This Row],[Bay]]=BayNo)*(tbl_Case_mins[[#This Row],[Surgery Start Date]]=BDate),0,1),0))*1440),0)</f>
        <v>0</v>
      </c>
      <c r="CY20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8" s="9"/>
    </row>
    <row r="209" spans="1:104" x14ac:dyDescent="0.2">
      <c r="A209">
        <v>208</v>
      </c>
      <c r="B209" t="e">
        <f>#REF!</f>
        <v>#REF!</v>
      </c>
      <c r="C209" t="e">
        <f>#REF!</f>
        <v>#REF!</v>
      </c>
      <c r="D209" t="e">
        <f>#REF!</f>
        <v>#REF!</v>
      </c>
      <c r="E209" t="e">
        <f>#REF!</f>
        <v>#REF!</v>
      </c>
      <c r="F209" t="e">
        <f>#REF!</f>
        <v>#REF!</v>
      </c>
      <c r="G209" t="e">
        <f>#REF!</f>
        <v>#REF!</v>
      </c>
      <c r="H209" t="e">
        <f>#REF!</f>
        <v>#REF!</v>
      </c>
      <c r="I209" t="e">
        <f>IF(#REF!="Case Cancelled",1,IF(#REF!="No Cases",2,0))</f>
        <v>#REF!</v>
      </c>
      <c r="J209" t="e">
        <f>#REF!</f>
        <v>#REF!</v>
      </c>
      <c r="K209" s="4" t="e">
        <f>#REF!</f>
        <v>#REF!</v>
      </c>
      <c r="L209" t="e">
        <f>"Wk "&amp;WEEKNUM(tbl_Case_mins[[#This Row],[Surgery Start Date]],21)</f>
        <v>#REF!</v>
      </c>
      <c r="M209" t="e">
        <f>TEXT(tbl_Case_mins[[#This Row],[Surgery Start Date]],"ddd")</f>
        <v>#REF!</v>
      </c>
      <c r="N209" s="9" t="e">
        <f>(#REF!-TIME(0,0,0))*1440</f>
        <v>#REF!</v>
      </c>
      <c r="O209" t="e">
        <f>IF(AND(ROUND((#REF!-TIME(0,0,0))*1440,0)&gt;0,ROUND((#REF!-TIME(0,0,0))*1440,0)&lt;tbl_Case_mins[[#This Row],[Patient Called]],tbl_Case_mins[[#This Row],[Surgery End Date]]&gt;tbl_Case_mins[[#This Row],[Surgery Start Date]]),ROUND((#REF!-TIME(0,0,0))*1440,0)+1440,ROUND((#REF!-TIME(0,0,0))*1440,0))</f>
        <v>#REF!</v>
      </c>
      <c r="P209" s="9" t="e">
        <f>IF(AND(ROUND((#REF!-TIME(0,0,0))*1440,0)&gt;0,ROUND((#REF!-TIME(0,0,0))*1440,0)&lt;tbl_Case_mins[[#This Row],[Arrival]],tbl_Case_mins[[#This Row],[Surgery End Date]]&gt;tbl_Case_mins[[#This Row],[Surgery Start Date]]),ROUND((#REF!-TIME(0,0,0))*1440,0)+1440,ROUND((#REF!-TIME(0,0,0))*1440,0))</f>
        <v>#REF!</v>
      </c>
      <c r="Q209" s="9" t="e">
        <f>IF(AND(ROUND((#REF!-TIME(0,0,0))*1440,0)&gt;0,ROUND((#REF!-TIME(0,0,0))*1440,0)&lt;tbl_Case_mins[[#This Row],[Into Th or AR]],tbl_Case_mins[[#This Row],[Surgery End Date]]&gt;tbl_Case_mins[[#This Row],[Surgery Start Date]]),ROUND((#REF!-TIME(0,0,0))*1440,0)+1440,ROUND((#REF!-TIME(0,0,0))*1440,0))</f>
        <v>#REF!</v>
      </c>
      <c r="R209" s="9" t="e">
        <f>IF(AND(ROUND((#REF!-TIME(0,0,0))*1440,0)&gt;0,ROUND((#REF!-TIME(0,0,0))*1440,0)&lt;tbl_Case_mins[[#This Row],[AnaesthStart]],tbl_Case_mins[[#This Row],[Surgery End Date]]&gt;tbl_Case_mins[[#This Row],[Surgery Start Date]]),ROUND((#REF!-TIME(0,0,0))*1440,0)+1440,ROUND((#REF!-TIME(0,0,0))*1440,0))</f>
        <v>#REF!</v>
      </c>
      <c r="S209" s="9" t="e">
        <f>IF(AND(ROUND((#REF!-TIME(0,0,0))*1440,0),ROUND((#REF!-TIME(0,0,0))*1440,0)&lt;tbl_Case_mins[[#This Row],[Surgery Start]],tbl_Case_mins[[#This Row],[Surgery End Date]]&gt;tbl_Case_mins[[#This Row],[Surgery Start Date]]),ROUND((#REF!-TIME(0,0,0))*1440,0)+1440,ROUND((#REF!-TIME(0,0,0))*1440,0))</f>
        <v>#REF!</v>
      </c>
      <c r="T209" s="9" t="e">
        <f>IF(AND(ROUND((#REF!-TIME(0,0,0))*1440,0)&gt;0,ROUND((#REF!-TIME(0,0,0))*1440,0)&lt;tbl_Case_mins[[#This Row],[Surgery Finish]],tbl_Case_mins[[#This Row],[Surgery End Date]]&gt;tbl_Case_mins[[#This Row],[Surgery Start Date]]),ROUND((#REF!-TIME(0,0,0))*1440,0)+1440,ROUND((#REF!-TIME(0,0,0))*1440,0))</f>
        <v>#REF!</v>
      </c>
      <c r="U209" s="9" t="e">
        <f>IF(AND(ROUND((#REF!-TIME(0,0,0))*1440,0)&gt;0,ROUND((#REF!-TIME(0,0,0))*1440,0)&lt;tbl_Case_mins[[#This Row],[Anaesth End]],tbl_Case_mins[[#This Row],[Surgery End Date]]&gt;tbl_Case_mins[[#This Row],[Surgery Start Date]]),ROUND((#REF!-TIME(0,0,0))*1440,0)+1440,ROUND((#REF!-TIME(0,0,0))*1440,0))</f>
        <v>#REF!</v>
      </c>
      <c r="V209" s="9" t="e">
        <f>IF(AND(ROUND((#REF!-TIME(0,0,0))*1440,0)&gt;0,ROUND((#REF!-TIME(0,0,0))*1440,0)&lt;tbl_Case_mins[[#This Row],[Into Recov]],tbl_Case_mins[[#This Row],[Surgery End Date]]&gt;tbl_Case_mins[[#This Row],[Surgery Start Date]]),ROUND((#REF!-TIME(0,0,0))*1440,0)+1440,ROUND((#REF!-TIME(0,0,0))*1440,0))</f>
        <v>#REF!</v>
      </c>
      <c r="W209" s="9" t="e">
        <f>IF(AND(ROUND((#REF!-TIME(0,0,0))*1440,0)&gt;0,ROUND((#REF!-TIME(0,0,0))*1440,0)&lt;tbl_Case_mins[[#This Row],[Ward Called]],tbl_Case_mins[[#This Row],[Surgery End Date]]&gt;tbl_Case_mins[[#This Row],[Surgery Start Date]]),ROUND((#REF!-TIME(0,0,0))*1440,0)+1440,ROUND((#REF!-TIME(0,0,0))*1440,0))</f>
        <v>#REF!</v>
      </c>
      <c r="X209" s="4" t="e">
        <f>IF(ISBLANK(#REF!),tbl_Case_mins[[#This Row],[Surgery Start Date]],#REF!)</f>
        <v>#REF!</v>
      </c>
      <c r="Y209">
        <f>IFERROR(IF(VLOOKUP(tbl_Case_mins[[#This Row],[Theatre]],'Mng Theatres'!$C$7:$G$12,3,FALSE)="Yes","Yes","No"),0)</f>
        <v>0</v>
      </c>
      <c r="Z209" s="9" t="e" cm="1">
        <f t="array" ref="Z20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09" s="9" t="e" cm="1">
        <f t="array" ref="AA20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0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09" s="9" t="e">
        <f>IF(tbl_Case_mins[[#This Row],[Case Type]]="Unsch",1,0)</f>
        <v>#REF!</v>
      </c>
      <c r="AD209" s="9" t="e">
        <f>IF(tbl_Case_mins[[#This Row],[Case Type]]="Sch",1,0)</f>
        <v>#REF!</v>
      </c>
      <c r="AE20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09" s="9">
        <f>IFERROR(IF(ISBLANK(INDEX(Am_Close,MATCH(1,INDEX((tbl_Case_mins[[#This Row],[Theatre]]=Theatre_No)*(tbl_Case_mins[[#This Row],[Surgery Start Date]]=Date),0,1),0))*1440),0,INDEX(Am_Close,MATCH(1,INDEX((tbl_Case_mins[[#This Row],[Theatre]]=Theatre_No)*(tbl_Case_mins[[#This Row],[Surgery Start Date]]=Date),0,1),0))*1440),0)</f>
        <v>0</v>
      </c>
      <c r="AG209" s="9">
        <f>IFERROR(IF(ISBLANK(INDEX(PM_Open,MATCH(1,INDEX((tbl_Case_mins[[#This Row],[Theatre]]=Theatre_No)*(tbl_Case_mins[[#This Row],[Surgery Start Date]]=Date),0,1),0))*1440),0,INDEX(PM_Open,MATCH(1,INDEX((tbl_Case_mins[[#This Row],[Theatre]]=Theatre_No)*(tbl_Case_mins[[#This Row],[Surgery Start Date]]=Date),0,1),0))*1440),0)</f>
        <v>0</v>
      </c>
      <c r="AH20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09" s="9" t="e">
        <f>IF(tbl_Case_mins[[#This Row],[ThOpenAm]]=0,tbl_Case_mins[[#This Row],[ThOpenPM]],tbl_Case_mins[[#This Row],[ThOpenAm]])</f>
        <v>#REF!</v>
      </c>
      <c r="AJ209" s="9" t="e">
        <f>IF(tbl_Case_mins[[#This Row],[ThCloseAm]]&gt;0,IF(tbl_Case_mins[[#This Row],[ThOpenPM]]&gt;0,tbl_Case_mins[[#This Row],[ThClosePm]],tbl_Case_mins[[#This Row],[ThCloseAm]]),tbl_Case_mins[[#This Row],[ThClosePm]])</f>
        <v>#REF!</v>
      </c>
      <c r="AK209" s="9" t="e">
        <f>IF(tbl_Case_mins[[#This Row],[TOT]]&gt;0,1,0)</f>
        <v>#REF!</v>
      </c>
      <c r="AL20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09" s="9" t="e">
        <f>IF(AND(tbl_Case_mins[[#This Row],[Surgery Status]]&lt;&gt;2,tbl_Case_mins[[#This Row],[InCoreCase]]=0,tbl_Case_mins[[#This Row],[CancelledCase]]=0),1,0)</f>
        <v>#REF!</v>
      </c>
      <c r="AN209" s="9" t="e">
        <f>IF(tbl_Case_mins[[#This Row],[Surgery Status]]=1,1,0)</f>
        <v>#REF!</v>
      </c>
      <c r="AO20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09" s="9" t="e">
        <f>IF(AND(tbl_Case_mins[[#This Row],[NonCoreCase]]=1,tbl_Case_mins[[#This Row],[NoInCoreTime]]=0),1,0)</f>
        <v>#REF!</v>
      </c>
      <c r="AQ209" s="9" t="e">
        <f>IF(tbl_Case_mins[[#This Row],[Rank_AnaEnd]]&lt;tbl_Case_mins[[#This Row],[Rank_AnaSt]],1,0)</f>
        <v>#REF!</v>
      </c>
      <c r="AR209" s="9" t="e">
        <f>IF(AND(tbl_Case_mins[[#This Row],[InCoreCase]]=1,tbl_Case_mins[[#This Row],[Sch]]=1),1,0)</f>
        <v>#REF!</v>
      </c>
      <c r="AS209" s="9" t="e">
        <f>IF(AND(tbl_Case_mins[[#This Row],[InCoreCase]]=1,tbl_Case_mins[[#This Row],[Unsch]]=1),1,0)</f>
        <v>#REF!</v>
      </c>
      <c r="AT20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0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0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09" s="9" t="e">
        <f>IF(tbl_Case_mins[[#This Row],[Surgery Status]]=0,(tbl_Case_mins[[#This Row],[Anaesth End]]-tbl_Case_mins[[#This Row],[AnaesthStart]]),0)</f>
        <v>#REF!</v>
      </c>
      <c r="AX209" s="9" t="e">
        <f>IF(tbl_Case_mins[[#This Row],[Surgery Status]]=0,(tbl_Case_mins[[#This Row],[Surgery Finish]]-tbl_Case_mins[[#This Row],[Surgery Start]]),0)</f>
        <v>#REF!</v>
      </c>
      <c r="AY209" s="9" t="e">
        <f>tbl_Case_mins[[#This Row],[Surgery Start]]-tbl_Case_mins[[#This Row],[AnaesthStart]]</f>
        <v>#REF!</v>
      </c>
      <c r="AZ209" s="9" t="e">
        <f>tbl_Case_mins[[#This Row],[Anaesth End]]-tbl_Case_mins[[#This Row],[Surgery Finish]]</f>
        <v>#REF!</v>
      </c>
      <c r="BA20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0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09" s="16" cm="1">
        <f t="array" ref="BC20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09" s="16" t="e">
        <f>IF(AND(tbl_Case_mins[[#This Row],[FirstAMCase]]=1,tbl_Case_mins[[#This Row],[CancelledCase]]=0,OR(tbl_Case_mins[[#This Row],[EarlyStartAM]]&gt;0,tbl_Case_mins[[#This Row],[AnaesthStart]]=tbl_Case_mins[[#This Row],[ThOpenAm]])),1,0)</f>
        <v>#REF!</v>
      </c>
      <c r="BE209" s="16" t="e">
        <f>IF(AND(tbl_Case_mins[[#This Row],[Rank_AnaSt]]=tbl_Case_mins[[#This Row],[Min_RankAnaSt]],tbl_Case_mins[[#This Row],[Anaesth End]]&gt;=tbl_Case_mins[[#This Row],[ThOpenAm]],tbl_Case_mins[[#This Row],[PmCase]]=0),1,0)</f>
        <v>#REF!</v>
      </c>
      <c r="BF20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0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09" s="9" t="e" cm="1">
        <f t="array" ref="BH20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0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0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09" s="9" t="e">
        <f>IF(AND(tbl_Case_mins[[#This Row],[ThOpenPM]]&gt;0,tbl_Case_mins[[#This Row],[AnaesthStart]]&gt;tbl_Case_mins[[#This Row],[ThOpenPM]],tbl_Case_mins[[#This Row],[First PM Case]]=1),tbl_Case_mins[[#This Row],[AnaesthStart]]-tbl_Case_mins[[#This Row],[ThOpenPM]],0)</f>
        <v>#REF!</v>
      </c>
      <c r="BL20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0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09" s="9" t="e" cm="1">
        <f t="array" ref="BN20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09" s="9" t="e">
        <f>IF(AND(tbl_Case_mins[[#This Row],[ThClosePm]]&gt;0,tbl_Case_mins[[#This Row],[Anaesth End]]&gt;tbl_Case_mins[[#This Row],[ThClosePm]],tbl_Case_mins[[#This Row],[AnaesthStart]]&gt;tbl_Case_mins[[#This Row],[ThClosePm]]),tbl_Case_mins[[#This Row],[Into Recov]]-tbl_Case_mins[[#This Row],[AnaesthStart]],0)</f>
        <v>#REF!</v>
      </c>
      <c r="BP209" s="9" t="e">
        <f>IF(AND(tbl_Case_mins[[#This Row],[AnaesthStart]]&lt;tbl_Case_mins[[#This Row],[ThClosePm]],tbl_Case_mins[[#This Row],[Anaesth End]]&gt;tbl_Case_mins[[#This Row],[ThClosePm]]),tbl_Case_mins[[#This Row],[Anaesth End]]-tbl_Case_mins[[#This Row],[ThClosePm]],0)</f>
        <v>#REF!</v>
      </c>
      <c r="BQ209" s="9" t="e" cm="1">
        <f t="array" ref="BQ20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09" s="9" t="e" cm="1">
        <f t="array" ref="BR209">IF(tbl_Case_mins[[#This Row],[Rank_Adjust]]=SUMPRODUCT(-(tbl_Case_mins[Surgery Start Date]=tbl_Case_mins[[#This Row],[Surgery Start Date]]),-(tbl_Case_mins[Theatre]=tbl_Case_mins[[#This Row],[Theatre]])),INDEX(Poss_Time,MATCH(TEXT(tbl_Case_mins[[#This Row],[Surgery Start Date]],"ddd"),Day,0)),0)</f>
        <v>#REF!</v>
      </c>
      <c r="BS209" s="9" t="e">
        <f>tbl_Case_mins[[#This Row],[Core_Time]]*Util_Goal</f>
        <v>#REF!</v>
      </c>
      <c r="BT209" s="9" t="e" cm="1">
        <f t="array" ref="BT2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09" s="9" t="e" cm="1">
        <f t="array" ref="BU2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0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0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09" s="9" t="e">
        <f>IF(tbl_Case_mins[[#This Row],[Surgery End Date]]&gt;tbl_Case_mins[[#This Row],[Surgery Start Date]],tbl_Case_mins[[#This Row],[Anaesth End]]-1440,0)</f>
        <v>#REF!</v>
      </c>
      <c r="BY209" s="9" t="e">
        <f>tbl_Case_mins[[#This Row],[Total_NonCore]]-tbl_Case_mins[[#This Row],[NextDay_NonCore]]</f>
        <v>#REF!</v>
      </c>
      <c r="BZ209" s="10" t="e">
        <f>tbl_Case_mins[[#This Row],[InCoreUse]]/60</f>
        <v>#REF!</v>
      </c>
      <c r="CA209" s="10" t="e">
        <f>tbl_Case_mins[[#This Row],[Total_NonCore]]/60</f>
        <v>#REF!</v>
      </c>
      <c r="CB209" t="e" cm="1">
        <f t="array" ref="CB2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09" s="9" t="e" cm="1">
        <f t="array" ref="CC20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09" s="9" t="e" cm="1">
        <f t="array" ref="CD2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09" s="9" t="e" cm="1">
        <f t="array" ref="CE20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09" s="9" cm="1">
        <f t="array" ref="CF209">IFERROR(_xlfn.AGGREGATE(14,6,(tbl_Case_mins[Rank_AnaEnd])/((tbl_Case_mins[Surgery Start Date]=tbl_Case_mins[[#This Row],[Surgery Start Date]])*(tbl_Case_mins[Theatre]=tbl_Case_mins[[#This Row],[Theatre]])*(tbl_Case_mins[NoInCoreTime]=0)),1),-1)</f>
        <v>-1</v>
      </c>
      <c r="CG209" s="9" cm="1">
        <f t="array" ref="CG209">IFERROR(_xlfn.AGGREGATE(15,6,(tbl_Case_mins[Rank_AnaSt])/((tbl_Case_mins[Surgery Start Date]=tbl_Case_mins[[#This Row],[Surgery Start Date]])*(tbl_Case_mins[Theatre]=tbl_Case_mins[[#This Row],[Theatre]])*(tbl_Case_mins[NoInCoreTime]=0)),1),-1)</f>
        <v>-1</v>
      </c>
      <c r="CH20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0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09" t="e" cm="1">
        <f t="array" ref="CJ20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0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0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09" s="9" cm="1">
        <f t="array" ref="CO2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09" s="9" cm="1">
        <f t="array" ref="CP2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09" s="9" cm="1">
        <f t="array" ref="CQ209">IFERROR(IF(AND(tbl_Case_mins[[#This Row],[FirstAMCase]]=0,tbl_Case_mins[[#This Row],[Rank]]=_xlfn.AGGREGATE(14,6,(tbl_Case_mins[Rank])/((tbl_Case_mins[Surgery Start Date]=tbl_Case_mins[[#This Row],[Surgery Start Date]])*(tbl_Case_mins[Theatre]=tbl_Case_mins[[#This Row],[Theatre]])*(tbl_Case_mins[AmCase]=1)),1)),1,0),0)</f>
        <v>0</v>
      </c>
      <c r="CR209" s="9" cm="1">
        <f t="array" ref="CR20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09" s="9" t="e" cm="1">
        <f t="array" ref="CS20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09" s="9" cm="1">
        <f t="array" ref="CT209">IFERROR(IF(tbl_Case_mins[[#This Row],[Rank]]=_xlfn.AGGREGATE(15,6,(tbl_Case_mins[Rank])/((tbl_Case_mins[Surgery Start Date]=tbl_Case_mins[[#This Row],[Surgery Start Date]])*(tbl_Case_mins[Theatre]=tbl_Case_mins[[#This Row],[Theatre]])*(tbl_Case_mins[PmCase]=1)),1),1,0),0)</f>
        <v>0</v>
      </c>
      <c r="CU209">
        <f>IFERROR(#REF!,0)</f>
        <v>0</v>
      </c>
      <c r="CV209" s="9" t="e" cm="1">
        <f t="array" ref="CV20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09" s="9">
        <f>IFERROR(IF(ISBLANK(INDEX(Bay_AmClose,MATCH(1,INDEX((tbl_Case_mins[[#This Row],[Bay]]=BayNo)*(tbl_Case_mins[[#This Row],[Surgery Start Date]]=BDate),0,1),0))*1440),0,INDEX(Bay_AmClose,MATCH(1,INDEX((tbl_Case_mins[[#This Row],[Bay]]=BayNo)*(tbl_Case_mins[[#This Row],[Surgery Start Date]]=BDate),0,1),0))*1440),0)</f>
        <v>0</v>
      </c>
      <c r="CX209" s="9" cm="1">
        <f t="array" ref="CX209">IFERROR(IF(ISBLANK(INDEX(Bay_PmOpen,MATCH(1,INDEX((tbl_Case_mins[[#This Row],[Bay]]=BayNo)*(tbl_Case_mins[[#This Row],[Surgery Start Date]]=BDate),0,1),0))*1440),0,INDEX(Bay_PmOpen,MATCH(1,INDEX((tbl_Case_mins[[#This Row],[Bay]]=BayNo)*(tbl_Case_mins[[#This Row],[Surgery Start Date]]=BDate),0,1),0))*1440),0)</f>
        <v>0</v>
      </c>
      <c r="CY20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09" s="9"/>
    </row>
    <row r="210" spans="1:104" x14ac:dyDescent="0.2">
      <c r="A210">
        <v>209</v>
      </c>
      <c r="B210" t="e">
        <f>#REF!</f>
        <v>#REF!</v>
      </c>
      <c r="C210" t="e">
        <f>#REF!</f>
        <v>#REF!</v>
      </c>
      <c r="D210" t="e">
        <f>#REF!</f>
        <v>#REF!</v>
      </c>
      <c r="E210" t="e">
        <f>#REF!</f>
        <v>#REF!</v>
      </c>
      <c r="F210" t="e">
        <f>#REF!</f>
        <v>#REF!</v>
      </c>
      <c r="G210" t="e">
        <f>#REF!</f>
        <v>#REF!</v>
      </c>
      <c r="H210" t="e">
        <f>#REF!</f>
        <v>#REF!</v>
      </c>
      <c r="I210" t="e">
        <f>IF(#REF!="Case Cancelled",1,IF(#REF!="No Cases",2,0))</f>
        <v>#REF!</v>
      </c>
      <c r="J210" t="e">
        <f>#REF!</f>
        <v>#REF!</v>
      </c>
      <c r="K210" s="4" t="e">
        <f>#REF!</f>
        <v>#REF!</v>
      </c>
      <c r="L210" t="e">
        <f>"Wk "&amp;WEEKNUM(tbl_Case_mins[[#This Row],[Surgery Start Date]],21)</f>
        <v>#REF!</v>
      </c>
      <c r="M210" t="e">
        <f>TEXT(tbl_Case_mins[[#This Row],[Surgery Start Date]],"ddd")</f>
        <v>#REF!</v>
      </c>
      <c r="N210" s="9" t="e">
        <f>(#REF!-TIME(0,0,0))*1440</f>
        <v>#REF!</v>
      </c>
      <c r="O210" t="e">
        <f>IF(AND(ROUND((#REF!-TIME(0,0,0))*1440,0)&gt;0,ROUND((#REF!-TIME(0,0,0))*1440,0)&lt;tbl_Case_mins[[#This Row],[Patient Called]],tbl_Case_mins[[#This Row],[Surgery End Date]]&gt;tbl_Case_mins[[#This Row],[Surgery Start Date]]),ROUND((#REF!-TIME(0,0,0))*1440,0)+1440,ROUND((#REF!-TIME(0,0,0))*1440,0))</f>
        <v>#REF!</v>
      </c>
      <c r="P210" s="9" t="e">
        <f>IF(AND(ROUND((#REF!-TIME(0,0,0))*1440,0)&gt;0,ROUND((#REF!-TIME(0,0,0))*1440,0)&lt;tbl_Case_mins[[#This Row],[Arrival]],tbl_Case_mins[[#This Row],[Surgery End Date]]&gt;tbl_Case_mins[[#This Row],[Surgery Start Date]]),ROUND((#REF!-TIME(0,0,0))*1440,0)+1440,ROUND((#REF!-TIME(0,0,0))*1440,0))</f>
        <v>#REF!</v>
      </c>
      <c r="Q210" s="9" t="e">
        <f>IF(AND(ROUND((#REF!-TIME(0,0,0))*1440,0)&gt;0,ROUND((#REF!-TIME(0,0,0))*1440,0)&lt;tbl_Case_mins[[#This Row],[Into Th or AR]],tbl_Case_mins[[#This Row],[Surgery End Date]]&gt;tbl_Case_mins[[#This Row],[Surgery Start Date]]),ROUND((#REF!-TIME(0,0,0))*1440,0)+1440,ROUND((#REF!-TIME(0,0,0))*1440,0))</f>
        <v>#REF!</v>
      </c>
      <c r="R210" s="9" t="e">
        <f>IF(AND(ROUND((#REF!-TIME(0,0,0))*1440,0)&gt;0,ROUND((#REF!-TIME(0,0,0))*1440,0)&lt;tbl_Case_mins[[#This Row],[AnaesthStart]],tbl_Case_mins[[#This Row],[Surgery End Date]]&gt;tbl_Case_mins[[#This Row],[Surgery Start Date]]),ROUND((#REF!-TIME(0,0,0))*1440,0)+1440,ROUND((#REF!-TIME(0,0,0))*1440,0))</f>
        <v>#REF!</v>
      </c>
      <c r="S210" s="9" t="e">
        <f>IF(AND(ROUND((#REF!-TIME(0,0,0))*1440,0),ROUND((#REF!-TIME(0,0,0))*1440,0)&lt;tbl_Case_mins[[#This Row],[Surgery Start]],tbl_Case_mins[[#This Row],[Surgery End Date]]&gt;tbl_Case_mins[[#This Row],[Surgery Start Date]]),ROUND((#REF!-TIME(0,0,0))*1440,0)+1440,ROUND((#REF!-TIME(0,0,0))*1440,0))</f>
        <v>#REF!</v>
      </c>
      <c r="T210" s="9" t="e">
        <f>IF(AND(ROUND((#REF!-TIME(0,0,0))*1440,0)&gt;0,ROUND((#REF!-TIME(0,0,0))*1440,0)&lt;tbl_Case_mins[[#This Row],[Surgery Finish]],tbl_Case_mins[[#This Row],[Surgery End Date]]&gt;tbl_Case_mins[[#This Row],[Surgery Start Date]]),ROUND((#REF!-TIME(0,0,0))*1440,0)+1440,ROUND((#REF!-TIME(0,0,0))*1440,0))</f>
        <v>#REF!</v>
      </c>
      <c r="U210" s="9" t="e">
        <f>IF(AND(ROUND((#REF!-TIME(0,0,0))*1440,0)&gt;0,ROUND((#REF!-TIME(0,0,0))*1440,0)&lt;tbl_Case_mins[[#This Row],[Anaesth End]],tbl_Case_mins[[#This Row],[Surgery End Date]]&gt;tbl_Case_mins[[#This Row],[Surgery Start Date]]),ROUND((#REF!-TIME(0,0,0))*1440,0)+1440,ROUND((#REF!-TIME(0,0,0))*1440,0))</f>
        <v>#REF!</v>
      </c>
      <c r="V210" s="9" t="e">
        <f>IF(AND(ROUND((#REF!-TIME(0,0,0))*1440,0)&gt;0,ROUND((#REF!-TIME(0,0,0))*1440,0)&lt;tbl_Case_mins[[#This Row],[Into Recov]],tbl_Case_mins[[#This Row],[Surgery End Date]]&gt;tbl_Case_mins[[#This Row],[Surgery Start Date]]),ROUND((#REF!-TIME(0,0,0))*1440,0)+1440,ROUND((#REF!-TIME(0,0,0))*1440,0))</f>
        <v>#REF!</v>
      </c>
      <c r="W210" s="9" t="e">
        <f>IF(AND(ROUND((#REF!-TIME(0,0,0))*1440,0)&gt;0,ROUND((#REF!-TIME(0,0,0))*1440,0)&lt;tbl_Case_mins[[#This Row],[Ward Called]],tbl_Case_mins[[#This Row],[Surgery End Date]]&gt;tbl_Case_mins[[#This Row],[Surgery Start Date]]),ROUND((#REF!-TIME(0,0,0))*1440,0)+1440,ROUND((#REF!-TIME(0,0,0))*1440,0))</f>
        <v>#REF!</v>
      </c>
      <c r="X210" s="4" t="e">
        <f>IF(ISBLANK(#REF!),tbl_Case_mins[[#This Row],[Surgery Start Date]],#REF!)</f>
        <v>#REF!</v>
      </c>
      <c r="Y210">
        <f>IFERROR(IF(VLOOKUP(tbl_Case_mins[[#This Row],[Theatre]],'Mng Theatres'!$C$7:$G$12,3,FALSE)="Yes","Yes","No"),0)</f>
        <v>0</v>
      </c>
      <c r="Z210" s="9" t="e" cm="1">
        <f t="array" ref="Z21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0" s="9" t="e" cm="1">
        <f t="array" ref="AA21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0" s="9" t="e">
        <f>IF(tbl_Case_mins[[#This Row],[Case Type]]="Unsch",1,0)</f>
        <v>#REF!</v>
      </c>
      <c r="AD210" s="9" t="e">
        <f>IF(tbl_Case_mins[[#This Row],[Case Type]]="Sch",1,0)</f>
        <v>#REF!</v>
      </c>
      <c r="AE21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0" s="9">
        <f>IFERROR(IF(ISBLANK(INDEX(Am_Close,MATCH(1,INDEX((tbl_Case_mins[[#This Row],[Theatre]]=Theatre_No)*(tbl_Case_mins[[#This Row],[Surgery Start Date]]=Date),0,1),0))*1440),0,INDEX(Am_Close,MATCH(1,INDEX((tbl_Case_mins[[#This Row],[Theatre]]=Theatre_No)*(tbl_Case_mins[[#This Row],[Surgery Start Date]]=Date),0,1),0))*1440),0)</f>
        <v>0</v>
      </c>
      <c r="AG210" s="9">
        <f>IFERROR(IF(ISBLANK(INDEX(PM_Open,MATCH(1,INDEX((tbl_Case_mins[[#This Row],[Theatre]]=Theatre_No)*(tbl_Case_mins[[#This Row],[Surgery Start Date]]=Date),0,1),0))*1440),0,INDEX(PM_Open,MATCH(1,INDEX((tbl_Case_mins[[#This Row],[Theatre]]=Theatre_No)*(tbl_Case_mins[[#This Row],[Surgery Start Date]]=Date),0,1),0))*1440),0)</f>
        <v>0</v>
      </c>
      <c r="AH21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0" s="9" t="e">
        <f>IF(tbl_Case_mins[[#This Row],[ThOpenAm]]=0,tbl_Case_mins[[#This Row],[ThOpenPM]],tbl_Case_mins[[#This Row],[ThOpenAm]])</f>
        <v>#REF!</v>
      </c>
      <c r="AJ210" s="9" t="e">
        <f>IF(tbl_Case_mins[[#This Row],[ThCloseAm]]&gt;0,IF(tbl_Case_mins[[#This Row],[ThOpenPM]]&gt;0,tbl_Case_mins[[#This Row],[ThClosePm]],tbl_Case_mins[[#This Row],[ThCloseAm]]),tbl_Case_mins[[#This Row],[ThClosePm]])</f>
        <v>#REF!</v>
      </c>
      <c r="AK210" s="9" t="e">
        <f>IF(tbl_Case_mins[[#This Row],[TOT]]&gt;0,1,0)</f>
        <v>#REF!</v>
      </c>
      <c r="AL21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0" s="9" t="e">
        <f>IF(AND(tbl_Case_mins[[#This Row],[Surgery Status]]&lt;&gt;2,tbl_Case_mins[[#This Row],[InCoreCase]]=0,tbl_Case_mins[[#This Row],[CancelledCase]]=0),1,0)</f>
        <v>#REF!</v>
      </c>
      <c r="AN210" s="9" t="e">
        <f>IF(tbl_Case_mins[[#This Row],[Surgery Status]]=1,1,0)</f>
        <v>#REF!</v>
      </c>
      <c r="AO21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0" s="9" t="e">
        <f>IF(AND(tbl_Case_mins[[#This Row],[NonCoreCase]]=1,tbl_Case_mins[[#This Row],[NoInCoreTime]]=0),1,0)</f>
        <v>#REF!</v>
      </c>
      <c r="AQ210" s="9" t="e">
        <f>IF(tbl_Case_mins[[#This Row],[Rank_AnaEnd]]&lt;tbl_Case_mins[[#This Row],[Rank_AnaSt]],1,0)</f>
        <v>#REF!</v>
      </c>
      <c r="AR210" s="9" t="e">
        <f>IF(AND(tbl_Case_mins[[#This Row],[InCoreCase]]=1,tbl_Case_mins[[#This Row],[Sch]]=1),1,0)</f>
        <v>#REF!</v>
      </c>
      <c r="AS210" s="9" t="e">
        <f>IF(AND(tbl_Case_mins[[#This Row],[InCoreCase]]=1,tbl_Case_mins[[#This Row],[Unsch]]=1),1,0)</f>
        <v>#REF!</v>
      </c>
      <c r="AT21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0" s="9" t="e">
        <f>IF(tbl_Case_mins[[#This Row],[Surgery Status]]=0,(tbl_Case_mins[[#This Row],[Anaesth End]]-tbl_Case_mins[[#This Row],[AnaesthStart]]),0)</f>
        <v>#REF!</v>
      </c>
      <c r="AX210" s="9" t="e">
        <f>IF(tbl_Case_mins[[#This Row],[Surgery Status]]=0,(tbl_Case_mins[[#This Row],[Surgery Finish]]-tbl_Case_mins[[#This Row],[Surgery Start]]),0)</f>
        <v>#REF!</v>
      </c>
      <c r="AY210" s="9" t="e">
        <f>tbl_Case_mins[[#This Row],[Surgery Start]]-tbl_Case_mins[[#This Row],[AnaesthStart]]</f>
        <v>#REF!</v>
      </c>
      <c r="AZ210" s="9" t="e">
        <f>tbl_Case_mins[[#This Row],[Anaesth End]]-tbl_Case_mins[[#This Row],[Surgery Finish]]</f>
        <v>#REF!</v>
      </c>
      <c r="BA21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0" s="16" cm="1">
        <f t="array" ref="BC21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0" s="16" t="e">
        <f>IF(AND(tbl_Case_mins[[#This Row],[FirstAMCase]]=1,tbl_Case_mins[[#This Row],[CancelledCase]]=0,OR(tbl_Case_mins[[#This Row],[EarlyStartAM]]&gt;0,tbl_Case_mins[[#This Row],[AnaesthStart]]=tbl_Case_mins[[#This Row],[ThOpenAm]])),1,0)</f>
        <v>#REF!</v>
      </c>
      <c r="BE210" s="16" t="e">
        <f>IF(AND(tbl_Case_mins[[#This Row],[Rank_AnaSt]]=tbl_Case_mins[[#This Row],[Min_RankAnaSt]],tbl_Case_mins[[#This Row],[Anaesth End]]&gt;=tbl_Case_mins[[#This Row],[ThOpenAm]],tbl_Case_mins[[#This Row],[PmCase]]=0),1,0)</f>
        <v>#REF!</v>
      </c>
      <c r="BF21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0" s="9" t="e" cm="1">
        <f t="array" ref="BH21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0" s="9" t="e">
        <f>IF(AND(tbl_Case_mins[[#This Row],[ThOpenPM]]&gt;0,tbl_Case_mins[[#This Row],[AnaesthStart]]&gt;tbl_Case_mins[[#This Row],[ThOpenPM]],tbl_Case_mins[[#This Row],[First PM Case]]=1),tbl_Case_mins[[#This Row],[AnaesthStart]]-tbl_Case_mins[[#This Row],[ThOpenPM]],0)</f>
        <v>#REF!</v>
      </c>
      <c r="BL21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0" s="9" t="e" cm="1">
        <f t="array" ref="BN21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0" s="9" t="e">
        <f>IF(AND(tbl_Case_mins[[#This Row],[ThClosePm]]&gt;0,tbl_Case_mins[[#This Row],[Anaesth End]]&gt;tbl_Case_mins[[#This Row],[ThClosePm]],tbl_Case_mins[[#This Row],[AnaesthStart]]&gt;tbl_Case_mins[[#This Row],[ThClosePm]]),tbl_Case_mins[[#This Row],[Into Recov]]-tbl_Case_mins[[#This Row],[AnaesthStart]],0)</f>
        <v>#REF!</v>
      </c>
      <c r="BP210" s="9" t="e">
        <f>IF(AND(tbl_Case_mins[[#This Row],[AnaesthStart]]&lt;tbl_Case_mins[[#This Row],[ThClosePm]],tbl_Case_mins[[#This Row],[Anaesth End]]&gt;tbl_Case_mins[[#This Row],[ThClosePm]]),tbl_Case_mins[[#This Row],[Anaesth End]]-tbl_Case_mins[[#This Row],[ThClosePm]],0)</f>
        <v>#REF!</v>
      </c>
      <c r="BQ210" s="9" t="e" cm="1">
        <f t="array" ref="BQ21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0" s="9" t="e" cm="1">
        <f t="array" ref="BR210">IF(tbl_Case_mins[[#This Row],[Rank_Adjust]]=SUMPRODUCT(-(tbl_Case_mins[Surgery Start Date]=tbl_Case_mins[[#This Row],[Surgery Start Date]]),-(tbl_Case_mins[Theatre]=tbl_Case_mins[[#This Row],[Theatre]])),INDEX(Poss_Time,MATCH(TEXT(tbl_Case_mins[[#This Row],[Surgery Start Date]],"ddd"),Day,0)),0)</f>
        <v>#REF!</v>
      </c>
      <c r="BS210" s="9" t="e">
        <f>tbl_Case_mins[[#This Row],[Core_Time]]*Util_Goal</f>
        <v>#REF!</v>
      </c>
      <c r="BT210" s="9" t="e" cm="1">
        <f t="array" ref="BT2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0" s="9" t="e" cm="1">
        <f t="array" ref="BU2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0" s="9" t="e">
        <f>IF(tbl_Case_mins[[#This Row],[Surgery End Date]]&gt;tbl_Case_mins[[#This Row],[Surgery Start Date]],tbl_Case_mins[[#This Row],[Anaesth End]]-1440,0)</f>
        <v>#REF!</v>
      </c>
      <c r="BY210" s="9" t="e">
        <f>tbl_Case_mins[[#This Row],[Total_NonCore]]-tbl_Case_mins[[#This Row],[NextDay_NonCore]]</f>
        <v>#REF!</v>
      </c>
      <c r="BZ210" s="10" t="e">
        <f>tbl_Case_mins[[#This Row],[InCoreUse]]/60</f>
        <v>#REF!</v>
      </c>
      <c r="CA210" s="10" t="e">
        <f>tbl_Case_mins[[#This Row],[Total_NonCore]]/60</f>
        <v>#REF!</v>
      </c>
      <c r="CB210" t="e" cm="1">
        <f t="array" ref="CB2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0" s="9" t="e" cm="1">
        <f t="array" ref="CC21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0" s="9" t="e" cm="1">
        <f t="array" ref="CD2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0" s="9" t="e" cm="1">
        <f t="array" ref="CE21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0" s="9" cm="1">
        <f t="array" ref="CF210">IFERROR(_xlfn.AGGREGATE(14,6,(tbl_Case_mins[Rank_AnaEnd])/((tbl_Case_mins[Surgery Start Date]=tbl_Case_mins[[#This Row],[Surgery Start Date]])*(tbl_Case_mins[Theatre]=tbl_Case_mins[[#This Row],[Theatre]])*(tbl_Case_mins[NoInCoreTime]=0)),1),-1)</f>
        <v>-1</v>
      </c>
      <c r="CG210" s="9" cm="1">
        <f t="array" ref="CG210">IFERROR(_xlfn.AGGREGATE(15,6,(tbl_Case_mins[Rank_AnaSt])/((tbl_Case_mins[Surgery Start Date]=tbl_Case_mins[[#This Row],[Surgery Start Date]])*(tbl_Case_mins[Theatre]=tbl_Case_mins[[#This Row],[Theatre]])*(tbl_Case_mins[NoInCoreTime]=0)),1),-1)</f>
        <v>-1</v>
      </c>
      <c r="CH21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0" t="e" cm="1">
        <f t="array" ref="CJ21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0" s="9" cm="1">
        <f t="array" ref="CO2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0" s="9" cm="1">
        <f t="array" ref="CP2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0" s="9" cm="1">
        <f t="array" ref="CQ210">IFERROR(IF(AND(tbl_Case_mins[[#This Row],[FirstAMCase]]=0,tbl_Case_mins[[#This Row],[Rank]]=_xlfn.AGGREGATE(14,6,(tbl_Case_mins[Rank])/((tbl_Case_mins[Surgery Start Date]=tbl_Case_mins[[#This Row],[Surgery Start Date]])*(tbl_Case_mins[Theatre]=tbl_Case_mins[[#This Row],[Theatre]])*(tbl_Case_mins[AmCase]=1)),1)),1,0),0)</f>
        <v>0</v>
      </c>
      <c r="CR210" s="9" cm="1">
        <f t="array" ref="CR21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0" s="9" t="e" cm="1">
        <f t="array" ref="CS21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0" s="9" cm="1">
        <f t="array" ref="CT210">IFERROR(IF(tbl_Case_mins[[#This Row],[Rank]]=_xlfn.AGGREGATE(15,6,(tbl_Case_mins[Rank])/((tbl_Case_mins[Surgery Start Date]=tbl_Case_mins[[#This Row],[Surgery Start Date]])*(tbl_Case_mins[Theatre]=tbl_Case_mins[[#This Row],[Theatre]])*(tbl_Case_mins[PmCase]=1)),1),1,0),0)</f>
        <v>0</v>
      </c>
      <c r="CU210">
        <f>IFERROR(#REF!,0)</f>
        <v>0</v>
      </c>
      <c r="CV210" s="9" t="e" cm="1">
        <f t="array" ref="CV21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0" s="9">
        <f>IFERROR(IF(ISBLANK(INDEX(Bay_AmClose,MATCH(1,INDEX((tbl_Case_mins[[#This Row],[Bay]]=BayNo)*(tbl_Case_mins[[#This Row],[Surgery Start Date]]=BDate),0,1),0))*1440),0,INDEX(Bay_AmClose,MATCH(1,INDEX((tbl_Case_mins[[#This Row],[Bay]]=BayNo)*(tbl_Case_mins[[#This Row],[Surgery Start Date]]=BDate),0,1),0))*1440),0)</f>
        <v>0</v>
      </c>
      <c r="CX210" s="9" cm="1">
        <f t="array" ref="CX210">IFERROR(IF(ISBLANK(INDEX(Bay_PmOpen,MATCH(1,INDEX((tbl_Case_mins[[#This Row],[Bay]]=BayNo)*(tbl_Case_mins[[#This Row],[Surgery Start Date]]=BDate),0,1),0))*1440),0,INDEX(Bay_PmOpen,MATCH(1,INDEX((tbl_Case_mins[[#This Row],[Bay]]=BayNo)*(tbl_Case_mins[[#This Row],[Surgery Start Date]]=BDate),0,1),0))*1440),0)</f>
        <v>0</v>
      </c>
      <c r="CY21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0" s="9"/>
    </row>
    <row r="211" spans="1:104" x14ac:dyDescent="0.2">
      <c r="A211">
        <v>210</v>
      </c>
      <c r="B211" t="e">
        <f>#REF!</f>
        <v>#REF!</v>
      </c>
      <c r="C211" t="e">
        <f>#REF!</f>
        <v>#REF!</v>
      </c>
      <c r="D211" t="e">
        <f>#REF!</f>
        <v>#REF!</v>
      </c>
      <c r="E211" t="e">
        <f>#REF!</f>
        <v>#REF!</v>
      </c>
      <c r="F211" t="e">
        <f>#REF!</f>
        <v>#REF!</v>
      </c>
      <c r="G211" t="e">
        <f>#REF!</f>
        <v>#REF!</v>
      </c>
      <c r="H211" t="e">
        <f>#REF!</f>
        <v>#REF!</v>
      </c>
      <c r="I211" t="e">
        <f>IF(#REF!="Case Cancelled",1,IF(#REF!="No Cases",2,0))</f>
        <v>#REF!</v>
      </c>
      <c r="J211" t="e">
        <f>#REF!</f>
        <v>#REF!</v>
      </c>
      <c r="K211" s="4" t="e">
        <f>#REF!</f>
        <v>#REF!</v>
      </c>
      <c r="L211" t="e">
        <f>"Wk "&amp;WEEKNUM(tbl_Case_mins[[#This Row],[Surgery Start Date]],21)</f>
        <v>#REF!</v>
      </c>
      <c r="M211" t="e">
        <f>TEXT(tbl_Case_mins[[#This Row],[Surgery Start Date]],"ddd")</f>
        <v>#REF!</v>
      </c>
      <c r="N211" s="9" t="e">
        <f>(#REF!-TIME(0,0,0))*1440</f>
        <v>#REF!</v>
      </c>
      <c r="O211" t="e">
        <f>IF(AND(ROUND((#REF!-TIME(0,0,0))*1440,0)&gt;0,ROUND((#REF!-TIME(0,0,0))*1440,0)&lt;tbl_Case_mins[[#This Row],[Patient Called]],tbl_Case_mins[[#This Row],[Surgery End Date]]&gt;tbl_Case_mins[[#This Row],[Surgery Start Date]]),ROUND((#REF!-TIME(0,0,0))*1440,0)+1440,ROUND((#REF!-TIME(0,0,0))*1440,0))</f>
        <v>#REF!</v>
      </c>
      <c r="P211" s="9" t="e">
        <f>IF(AND(ROUND((#REF!-TIME(0,0,0))*1440,0)&gt;0,ROUND((#REF!-TIME(0,0,0))*1440,0)&lt;tbl_Case_mins[[#This Row],[Arrival]],tbl_Case_mins[[#This Row],[Surgery End Date]]&gt;tbl_Case_mins[[#This Row],[Surgery Start Date]]),ROUND((#REF!-TIME(0,0,0))*1440,0)+1440,ROUND((#REF!-TIME(0,0,0))*1440,0))</f>
        <v>#REF!</v>
      </c>
      <c r="Q211" s="9" t="e">
        <f>IF(AND(ROUND((#REF!-TIME(0,0,0))*1440,0)&gt;0,ROUND((#REF!-TIME(0,0,0))*1440,0)&lt;tbl_Case_mins[[#This Row],[Into Th or AR]],tbl_Case_mins[[#This Row],[Surgery End Date]]&gt;tbl_Case_mins[[#This Row],[Surgery Start Date]]),ROUND((#REF!-TIME(0,0,0))*1440,0)+1440,ROUND((#REF!-TIME(0,0,0))*1440,0))</f>
        <v>#REF!</v>
      </c>
      <c r="R211" s="9" t="e">
        <f>IF(AND(ROUND((#REF!-TIME(0,0,0))*1440,0)&gt;0,ROUND((#REF!-TIME(0,0,0))*1440,0)&lt;tbl_Case_mins[[#This Row],[AnaesthStart]],tbl_Case_mins[[#This Row],[Surgery End Date]]&gt;tbl_Case_mins[[#This Row],[Surgery Start Date]]),ROUND((#REF!-TIME(0,0,0))*1440,0)+1440,ROUND((#REF!-TIME(0,0,0))*1440,0))</f>
        <v>#REF!</v>
      </c>
      <c r="S211" s="9" t="e">
        <f>IF(AND(ROUND((#REF!-TIME(0,0,0))*1440,0),ROUND((#REF!-TIME(0,0,0))*1440,0)&lt;tbl_Case_mins[[#This Row],[Surgery Start]],tbl_Case_mins[[#This Row],[Surgery End Date]]&gt;tbl_Case_mins[[#This Row],[Surgery Start Date]]),ROUND((#REF!-TIME(0,0,0))*1440,0)+1440,ROUND((#REF!-TIME(0,0,0))*1440,0))</f>
        <v>#REF!</v>
      </c>
      <c r="T211" s="9" t="e">
        <f>IF(AND(ROUND((#REF!-TIME(0,0,0))*1440,0)&gt;0,ROUND((#REF!-TIME(0,0,0))*1440,0)&lt;tbl_Case_mins[[#This Row],[Surgery Finish]],tbl_Case_mins[[#This Row],[Surgery End Date]]&gt;tbl_Case_mins[[#This Row],[Surgery Start Date]]),ROUND((#REF!-TIME(0,0,0))*1440,0)+1440,ROUND((#REF!-TIME(0,0,0))*1440,0))</f>
        <v>#REF!</v>
      </c>
      <c r="U211" s="9" t="e">
        <f>IF(AND(ROUND((#REF!-TIME(0,0,0))*1440,0)&gt;0,ROUND((#REF!-TIME(0,0,0))*1440,0)&lt;tbl_Case_mins[[#This Row],[Anaesth End]],tbl_Case_mins[[#This Row],[Surgery End Date]]&gt;tbl_Case_mins[[#This Row],[Surgery Start Date]]),ROUND((#REF!-TIME(0,0,0))*1440,0)+1440,ROUND((#REF!-TIME(0,0,0))*1440,0))</f>
        <v>#REF!</v>
      </c>
      <c r="V211" s="9" t="e">
        <f>IF(AND(ROUND((#REF!-TIME(0,0,0))*1440,0)&gt;0,ROUND((#REF!-TIME(0,0,0))*1440,0)&lt;tbl_Case_mins[[#This Row],[Into Recov]],tbl_Case_mins[[#This Row],[Surgery End Date]]&gt;tbl_Case_mins[[#This Row],[Surgery Start Date]]),ROUND((#REF!-TIME(0,0,0))*1440,0)+1440,ROUND((#REF!-TIME(0,0,0))*1440,0))</f>
        <v>#REF!</v>
      </c>
      <c r="W211" s="9" t="e">
        <f>IF(AND(ROUND((#REF!-TIME(0,0,0))*1440,0)&gt;0,ROUND((#REF!-TIME(0,0,0))*1440,0)&lt;tbl_Case_mins[[#This Row],[Ward Called]],tbl_Case_mins[[#This Row],[Surgery End Date]]&gt;tbl_Case_mins[[#This Row],[Surgery Start Date]]),ROUND((#REF!-TIME(0,0,0))*1440,0)+1440,ROUND((#REF!-TIME(0,0,0))*1440,0))</f>
        <v>#REF!</v>
      </c>
      <c r="X211" s="4" t="e">
        <f>IF(ISBLANK(#REF!),tbl_Case_mins[[#This Row],[Surgery Start Date]],#REF!)</f>
        <v>#REF!</v>
      </c>
      <c r="Y211">
        <f>IFERROR(IF(VLOOKUP(tbl_Case_mins[[#This Row],[Theatre]],'Mng Theatres'!$C$7:$G$12,3,FALSE)="Yes","Yes","No"),0)</f>
        <v>0</v>
      </c>
      <c r="Z211" s="9" t="e" cm="1">
        <f t="array" ref="Z21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1" s="9" t="e" cm="1">
        <f t="array" ref="AA21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1" s="9" t="e">
        <f>IF(tbl_Case_mins[[#This Row],[Case Type]]="Unsch",1,0)</f>
        <v>#REF!</v>
      </c>
      <c r="AD211" s="9" t="e">
        <f>IF(tbl_Case_mins[[#This Row],[Case Type]]="Sch",1,0)</f>
        <v>#REF!</v>
      </c>
      <c r="AE21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1" s="9">
        <f>IFERROR(IF(ISBLANK(INDEX(Am_Close,MATCH(1,INDEX((tbl_Case_mins[[#This Row],[Theatre]]=Theatre_No)*(tbl_Case_mins[[#This Row],[Surgery Start Date]]=Date),0,1),0))*1440),0,INDEX(Am_Close,MATCH(1,INDEX((tbl_Case_mins[[#This Row],[Theatre]]=Theatre_No)*(tbl_Case_mins[[#This Row],[Surgery Start Date]]=Date),0,1),0))*1440),0)</f>
        <v>0</v>
      </c>
      <c r="AG211" s="9">
        <f>IFERROR(IF(ISBLANK(INDEX(PM_Open,MATCH(1,INDEX((tbl_Case_mins[[#This Row],[Theatre]]=Theatre_No)*(tbl_Case_mins[[#This Row],[Surgery Start Date]]=Date),0,1),0))*1440),0,INDEX(PM_Open,MATCH(1,INDEX((tbl_Case_mins[[#This Row],[Theatre]]=Theatre_No)*(tbl_Case_mins[[#This Row],[Surgery Start Date]]=Date),0,1),0))*1440),0)</f>
        <v>0</v>
      </c>
      <c r="AH21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1" s="9" t="e">
        <f>IF(tbl_Case_mins[[#This Row],[ThOpenAm]]=0,tbl_Case_mins[[#This Row],[ThOpenPM]],tbl_Case_mins[[#This Row],[ThOpenAm]])</f>
        <v>#REF!</v>
      </c>
      <c r="AJ211" s="9" t="e">
        <f>IF(tbl_Case_mins[[#This Row],[ThCloseAm]]&gt;0,IF(tbl_Case_mins[[#This Row],[ThOpenPM]]&gt;0,tbl_Case_mins[[#This Row],[ThClosePm]],tbl_Case_mins[[#This Row],[ThCloseAm]]),tbl_Case_mins[[#This Row],[ThClosePm]])</f>
        <v>#REF!</v>
      </c>
      <c r="AK211" s="9" t="e">
        <f>IF(tbl_Case_mins[[#This Row],[TOT]]&gt;0,1,0)</f>
        <v>#REF!</v>
      </c>
      <c r="AL21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1" s="9" t="e">
        <f>IF(AND(tbl_Case_mins[[#This Row],[Surgery Status]]&lt;&gt;2,tbl_Case_mins[[#This Row],[InCoreCase]]=0,tbl_Case_mins[[#This Row],[CancelledCase]]=0),1,0)</f>
        <v>#REF!</v>
      </c>
      <c r="AN211" s="9" t="e">
        <f>IF(tbl_Case_mins[[#This Row],[Surgery Status]]=1,1,0)</f>
        <v>#REF!</v>
      </c>
      <c r="AO21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1" s="9" t="e">
        <f>IF(AND(tbl_Case_mins[[#This Row],[NonCoreCase]]=1,tbl_Case_mins[[#This Row],[NoInCoreTime]]=0),1,0)</f>
        <v>#REF!</v>
      </c>
      <c r="AQ211" s="9" t="e">
        <f>IF(tbl_Case_mins[[#This Row],[Rank_AnaEnd]]&lt;tbl_Case_mins[[#This Row],[Rank_AnaSt]],1,0)</f>
        <v>#REF!</v>
      </c>
      <c r="AR211" s="9" t="e">
        <f>IF(AND(tbl_Case_mins[[#This Row],[InCoreCase]]=1,tbl_Case_mins[[#This Row],[Sch]]=1),1,0)</f>
        <v>#REF!</v>
      </c>
      <c r="AS211" s="9" t="e">
        <f>IF(AND(tbl_Case_mins[[#This Row],[InCoreCase]]=1,tbl_Case_mins[[#This Row],[Unsch]]=1),1,0)</f>
        <v>#REF!</v>
      </c>
      <c r="AT21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1" s="9" t="e">
        <f>IF(tbl_Case_mins[[#This Row],[Surgery Status]]=0,(tbl_Case_mins[[#This Row],[Anaesth End]]-tbl_Case_mins[[#This Row],[AnaesthStart]]),0)</f>
        <v>#REF!</v>
      </c>
      <c r="AX211" s="9" t="e">
        <f>IF(tbl_Case_mins[[#This Row],[Surgery Status]]=0,(tbl_Case_mins[[#This Row],[Surgery Finish]]-tbl_Case_mins[[#This Row],[Surgery Start]]),0)</f>
        <v>#REF!</v>
      </c>
      <c r="AY211" s="9" t="e">
        <f>tbl_Case_mins[[#This Row],[Surgery Start]]-tbl_Case_mins[[#This Row],[AnaesthStart]]</f>
        <v>#REF!</v>
      </c>
      <c r="AZ211" s="9" t="e">
        <f>tbl_Case_mins[[#This Row],[Anaesth End]]-tbl_Case_mins[[#This Row],[Surgery Finish]]</f>
        <v>#REF!</v>
      </c>
      <c r="BA21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1" s="16" cm="1">
        <f t="array" ref="BC21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1" s="16" t="e">
        <f>IF(AND(tbl_Case_mins[[#This Row],[FirstAMCase]]=1,tbl_Case_mins[[#This Row],[CancelledCase]]=0,OR(tbl_Case_mins[[#This Row],[EarlyStartAM]]&gt;0,tbl_Case_mins[[#This Row],[AnaesthStart]]=tbl_Case_mins[[#This Row],[ThOpenAm]])),1,0)</f>
        <v>#REF!</v>
      </c>
      <c r="BE211" s="16" t="e">
        <f>IF(AND(tbl_Case_mins[[#This Row],[Rank_AnaSt]]=tbl_Case_mins[[#This Row],[Min_RankAnaSt]],tbl_Case_mins[[#This Row],[Anaesth End]]&gt;=tbl_Case_mins[[#This Row],[ThOpenAm]],tbl_Case_mins[[#This Row],[PmCase]]=0),1,0)</f>
        <v>#REF!</v>
      </c>
      <c r="BF21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1" s="9" t="e" cm="1">
        <f t="array" ref="BH21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1" s="9" t="e">
        <f>IF(AND(tbl_Case_mins[[#This Row],[ThOpenPM]]&gt;0,tbl_Case_mins[[#This Row],[AnaesthStart]]&gt;tbl_Case_mins[[#This Row],[ThOpenPM]],tbl_Case_mins[[#This Row],[First PM Case]]=1),tbl_Case_mins[[#This Row],[AnaesthStart]]-tbl_Case_mins[[#This Row],[ThOpenPM]],0)</f>
        <v>#REF!</v>
      </c>
      <c r="BL21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1" s="9" t="e" cm="1">
        <f t="array" ref="BN21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1" s="9" t="e">
        <f>IF(AND(tbl_Case_mins[[#This Row],[ThClosePm]]&gt;0,tbl_Case_mins[[#This Row],[Anaesth End]]&gt;tbl_Case_mins[[#This Row],[ThClosePm]],tbl_Case_mins[[#This Row],[AnaesthStart]]&gt;tbl_Case_mins[[#This Row],[ThClosePm]]),tbl_Case_mins[[#This Row],[Into Recov]]-tbl_Case_mins[[#This Row],[AnaesthStart]],0)</f>
        <v>#REF!</v>
      </c>
      <c r="BP211" s="9" t="e">
        <f>IF(AND(tbl_Case_mins[[#This Row],[AnaesthStart]]&lt;tbl_Case_mins[[#This Row],[ThClosePm]],tbl_Case_mins[[#This Row],[Anaesth End]]&gt;tbl_Case_mins[[#This Row],[ThClosePm]]),tbl_Case_mins[[#This Row],[Anaesth End]]-tbl_Case_mins[[#This Row],[ThClosePm]],0)</f>
        <v>#REF!</v>
      </c>
      <c r="BQ211" s="9" t="e" cm="1">
        <f t="array" ref="BQ21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1" s="9" t="e" cm="1">
        <f t="array" ref="BR211">IF(tbl_Case_mins[[#This Row],[Rank_Adjust]]=SUMPRODUCT(-(tbl_Case_mins[Surgery Start Date]=tbl_Case_mins[[#This Row],[Surgery Start Date]]),-(tbl_Case_mins[Theatre]=tbl_Case_mins[[#This Row],[Theatre]])),INDEX(Poss_Time,MATCH(TEXT(tbl_Case_mins[[#This Row],[Surgery Start Date]],"ddd"),Day,0)),0)</f>
        <v>#REF!</v>
      </c>
      <c r="BS211" s="9" t="e">
        <f>tbl_Case_mins[[#This Row],[Core_Time]]*Util_Goal</f>
        <v>#REF!</v>
      </c>
      <c r="BT211" s="9" t="e" cm="1">
        <f t="array" ref="BT2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1" s="9" t="e" cm="1">
        <f t="array" ref="BU2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1" s="9" t="e">
        <f>IF(tbl_Case_mins[[#This Row],[Surgery End Date]]&gt;tbl_Case_mins[[#This Row],[Surgery Start Date]],tbl_Case_mins[[#This Row],[Anaesth End]]-1440,0)</f>
        <v>#REF!</v>
      </c>
      <c r="BY211" s="9" t="e">
        <f>tbl_Case_mins[[#This Row],[Total_NonCore]]-tbl_Case_mins[[#This Row],[NextDay_NonCore]]</f>
        <v>#REF!</v>
      </c>
      <c r="BZ211" s="10" t="e">
        <f>tbl_Case_mins[[#This Row],[InCoreUse]]/60</f>
        <v>#REF!</v>
      </c>
      <c r="CA211" s="10" t="e">
        <f>tbl_Case_mins[[#This Row],[Total_NonCore]]/60</f>
        <v>#REF!</v>
      </c>
      <c r="CB211" t="e" cm="1">
        <f t="array" ref="CB2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1" s="9" t="e" cm="1">
        <f t="array" ref="CC21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1" s="9" t="e" cm="1">
        <f t="array" ref="CD2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1" s="9" t="e" cm="1">
        <f t="array" ref="CE21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1" s="9" cm="1">
        <f t="array" ref="CF211">IFERROR(_xlfn.AGGREGATE(14,6,(tbl_Case_mins[Rank_AnaEnd])/((tbl_Case_mins[Surgery Start Date]=tbl_Case_mins[[#This Row],[Surgery Start Date]])*(tbl_Case_mins[Theatre]=tbl_Case_mins[[#This Row],[Theatre]])*(tbl_Case_mins[NoInCoreTime]=0)),1),-1)</f>
        <v>-1</v>
      </c>
      <c r="CG211" s="9" cm="1">
        <f t="array" ref="CG211">IFERROR(_xlfn.AGGREGATE(15,6,(tbl_Case_mins[Rank_AnaSt])/((tbl_Case_mins[Surgery Start Date]=tbl_Case_mins[[#This Row],[Surgery Start Date]])*(tbl_Case_mins[Theatre]=tbl_Case_mins[[#This Row],[Theatre]])*(tbl_Case_mins[NoInCoreTime]=0)),1),-1)</f>
        <v>-1</v>
      </c>
      <c r="CH21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1" t="e" cm="1">
        <f t="array" ref="CJ21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1" s="9" cm="1">
        <f t="array" ref="CO2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1" s="9" cm="1">
        <f t="array" ref="CP2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1" s="9" cm="1">
        <f t="array" ref="CQ211">IFERROR(IF(AND(tbl_Case_mins[[#This Row],[FirstAMCase]]=0,tbl_Case_mins[[#This Row],[Rank]]=_xlfn.AGGREGATE(14,6,(tbl_Case_mins[Rank])/((tbl_Case_mins[Surgery Start Date]=tbl_Case_mins[[#This Row],[Surgery Start Date]])*(tbl_Case_mins[Theatre]=tbl_Case_mins[[#This Row],[Theatre]])*(tbl_Case_mins[AmCase]=1)),1)),1,0),0)</f>
        <v>0</v>
      </c>
      <c r="CR211" s="9" cm="1">
        <f t="array" ref="CR21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1" s="9" t="e" cm="1">
        <f t="array" ref="CS21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1" s="9" cm="1">
        <f t="array" ref="CT211">IFERROR(IF(tbl_Case_mins[[#This Row],[Rank]]=_xlfn.AGGREGATE(15,6,(tbl_Case_mins[Rank])/((tbl_Case_mins[Surgery Start Date]=tbl_Case_mins[[#This Row],[Surgery Start Date]])*(tbl_Case_mins[Theatre]=tbl_Case_mins[[#This Row],[Theatre]])*(tbl_Case_mins[PmCase]=1)),1),1,0),0)</f>
        <v>0</v>
      </c>
      <c r="CU211">
        <f>IFERROR(#REF!,0)</f>
        <v>0</v>
      </c>
      <c r="CV211" s="9" t="e" cm="1">
        <f t="array" ref="CV21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1" s="9">
        <f>IFERROR(IF(ISBLANK(INDEX(Bay_AmClose,MATCH(1,INDEX((tbl_Case_mins[[#This Row],[Bay]]=BayNo)*(tbl_Case_mins[[#This Row],[Surgery Start Date]]=BDate),0,1),0))*1440),0,INDEX(Bay_AmClose,MATCH(1,INDEX((tbl_Case_mins[[#This Row],[Bay]]=BayNo)*(tbl_Case_mins[[#This Row],[Surgery Start Date]]=BDate),0,1),0))*1440),0)</f>
        <v>0</v>
      </c>
      <c r="CX211" s="9" cm="1">
        <f t="array" ref="CX211">IFERROR(IF(ISBLANK(INDEX(Bay_PmOpen,MATCH(1,INDEX((tbl_Case_mins[[#This Row],[Bay]]=BayNo)*(tbl_Case_mins[[#This Row],[Surgery Start Date]]=BDate),0,1),0))*1440),0,INDEX(Bay_PmOpen,MATCH(1,INDEX((tbl_Case_mins[[#This Row],[Bay]]=BayNo)*(tbl_Case_mins[[#This Row],[Surgery Start Date]]=BDate),0,1),0))*1440),0)</f>
        <v>0</v>
      </c>
      <c r="CY21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1" s="9"/>
    </row>
    <row r="212" spans="1:104" x14ac:dyDescent="0.2">
      <c r="A212">
        <v>211</v>
      </c>
      <c r="B212" t="e">
        <f>#REF!</f>
        <v>#REF!</v>
      </c>
      <c r="C212" t="e">
        <f>#REF!</f>
        <v>#REF!</v>
      </c>
      <c r="D212" t="e">
        <f>#REF!</f>
        <v>#REF!</v>
      </c>
      <c r="E212" t="e">
        <f>#REF!</f>
        <v>#REF!</v>
      </c>
      <c r="F212" t="e">
        <f>#REF!</f>
        <v>#REF!</v>
      </c>
      <c r="G212" t="e">
        <f>#REF!</f>
        <v>#REF!</v>
      </c>
      <c r="H212" t="e">
        <f>#REF!</f>
        <v>#REF!</v>
      </c>
      <c r="I212" t="e">
        <f>IF(#REF!="Case Cancelled",1,IF(#REF!="No Cases",2,0))</f>
        <v>#REF!</v>
      </c>
      <c r="J212" t="e">
        <f>#REF!</f>
        <v>#REF!</v>
      </c>
      <c r="K212" s="4" t="e">
        <f>#REF!</f>
        <v>#REF!</v>
      </c>
      <c r="L212" t="e">
        <f>"Wk "&amp;WEEKNUM(tbl_Case_mins[[#This Row],[Surgery Start Date]],21)</f>
        <v>#REF!</v>
      </c>
      <c r="M212" t="e">
        <f>TEXT(tbl_Case_mins[[#This Row],[Surgery Start Date]],"ddd")</f>
        <v>#REF!</v>
      </c>
      <c r="N212" s="9" t="e">
        <f>(#REF!-TIME(0,0,0))*1440</f>
        <v>#REF!</v>
      </c>
      <c r="O212" t="e">
        <f>IF(AND(ROUND((#REF!-TIME(0,0,0))*1440,0)&gt;0,ROUND((#REF!-TIME(0,0,0))*1440,0)&lt;tbl_Case_mins[[#This Row],[Patient Called]],tbl_Case_mins[[#This Row],[Surgery End Date]]&gt;tbl_Case_mins[[#This Row],[Surgery Start Date]]),ROUND((#REF!-TIME(0,0,0))*1440,0)+1440,ROUND((#REF!-TIME(0,0,0))*1440,0))</f>
        <v>#REF!</v>
      </c>
      <c r="P212" s="9" t="e">
        <f>IF(AND(ROUND((#REF!-TIME(0,0,0))*1440,0)&gt;0,ROUND((#REF!-TIME(0,0,0))*1440,0)&lt;tbl_Case_mins[[#This Row],[Arrival]],tbl_Case_mins[[#This Row],[Surgery End Date]]&gt;tbl_Case_mins[[#This Row],[Surgery Start Date]]),ROUND((#REF!-TIME(0,0,0))*1440,0)+1440,ROUND((#REF!-TIME(0,0,0))*1440,0))</f>
        <v>#REF!</v>
      </c>
      <c r="Q212" s="9" t="e">
        <f>IF(AND(ROUND((#REF!-TIME(0,0,0))*1440,0)&gt;0,ROUND((#REF!-TIME(0,0,0))*1440,0)&lt;tbl_Case_mins[[#This Row],[Into Th or AR]],tbl_Case_mins[[#This Row],[Surgery End Date]]&gt;tbl_Case_mins[[#This Row],[Surgery Start Date]]),ROUND((#REF!-TIME(0,0,0))*1440,0)+1440,ROUND((#REF!-TIME(0,0,0))*1440,0))</f>
        <v>#REF!</v>
      </c>
      <c r="R212" s="9" t="e">
        <f>IF(AND(ROUND((#REF!-TIME(0,0,0))*1440,0)&gt;0,ROUND((#REF!-TIME(0,0,0))*1440,0)&lt;tbl_Case_mins[[#This Row],[AnaesthStart]],tbl_Case_mins[[#This Row],[Surgery End Date]]&gt;tbl_Case_mins[[#This Row],[Surgery Start Date]]),ROUND((#REF!-TIME(0,0,0))*1440,0)+1440,ROUND((#REF!-TIME(0,0,0))*1440,0))</f>
        <v>#REF!</v>
      </c>
      <c r="S212" s="9" t="e">
        <f>IF(AND(ROUND((#REF!-TIME(0,0,0))*1440,0),ROUND((#REF!-TIME(0,0,0))*1440,0)&lt;tbl_Case_mins[[#This Row],[Surgery Start]],tbl_Case_mins[[#This Row],[Surgery End Date]]&gt;tbl_Case_mins[[#This Row],[Surgery Start Date]]),ROUND((#REF!-TIME(0,0,0))*1440,0)+1440,ROUND((#REF!-TIME(0,0,0))*1440,0))</f>
        <v>#REF!</v>
      </c>
      <c r="T212" s="9" t="e">
        <f>IF(AND(ROUND((#REF!-TIME(0,0,0))*1440,0)&gt;0,ROUND((#REF!-TIME(0,0,0))*1440,0)&lt;tbl_Case_mins[[#This Row],[Surgery Finish]],tbl_Case_mins[[#This Row],[Surgery End Date]]&gt;tbl_Case_mins[[#This Row],[Surgery Start Date]]),ROUND((#REF!-TIME(0,0,0))*1440,0)+1440,ROUND((#REF!-TIME(0,0,0))*1440,0))</f>
        <v>#REF!</v>
      </c>
      <c r="U212" s="9" t="e">
        <f>IF(AND(ROUND((#REF!-TIME(0,0,0))*1440,0)&gt;0,ROUND((#REF!-TIME(0,0,0))*1440,0)&lt;tbl_Case_mins[[#This Row],[Anaesth End]],tbl_Case_mins[[#This Row],[Surgery End Date]]&gt;tbl_Case_mins[[#This Row],[Surgery Start Date]]),ROUND((#REF!-TIME(0,0,0))*1440,0)+1440,ROUND((#REF!-TIME(0,0,0))*1440,0))</f>
        <v>#REF!</v>
      </c>
      <c r="V212" s="9" t="e">
        <f>IF(AND(ROUND((#REF!-TIME(0,0,0))*1440,0)&gt;0,ROUND((#REF!-TIME(0,0,0))*1440,0)&lt;tbl_Case_mins[[#This Row],[Into Recov]],tbl_Case_mins[[#This Row],[Surgery End Date]]&gt;tbl_Case_mins[[#This Row],[Surgery Start Date]]),ROUND((#REF!-TIME(0,0,0))*1440,0)+1440,ROUND((#REF!-TIME(0,0,0))*1440,0))</f>
        <v>#REF!</v>
      </c>
      <c r="W212" s="9" t="e">
        <f>IF(AND(ROUND((#REF!-TIME(0,0,0))*1440,0)&gt;0,ROUND((#REF!-TIME(0,0,0))*1440,0)&lt;tbl_Case_mins[[#This Row],[Ward Called]],tbl_Case_mins[[#This Row],[Surgery End Date]]&gt;tbl_Case_mins[[#This Row],[Surgery Start Date]]),ROUND((#REF!-TIME(0,0,0))*1440,0)+1440,ROUND((#REF!-TIME(0,0,0))*1440,0))</f>
        <v>#REF!</v>
      </c>
      <c r="X212" s="4" t="e">
        <f>IF(ISBLANK(#REF!),tbl_Case_mins[[#This Row],[Surgery Start Date]],#REF!)</f>
        <v>#REF!</v>
      </c>
      <c r="Y212">
        <f>IFERROR(IF(VLOOKUP(tbl_Case_mins[[#This Row],[Theatre]],'Mng Theatres'!$C$7:$G$12,3,FALSE)="Yes","Yes","No"),0)</f>
        <v>0</v>
      </c>
      <c r="Z212" s="9" t="e" cm="1">
        <f t="array" ref="Z21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2" s="9" t="e" cm="1">
        <f t="array" ref="AA21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2" s="9" t="e">
        <f>IF(tbl_Case_mins[[#This Row],[Case Type]]="Unsch",1,0)</f>
        <v>#REF!</v>
      </c>
      <c r="AD212" s="9" t="e">
        <f>IF(tbl_Case_mins[[#This Row],[Case Type]]="Sch",1,0)</f>
        <v>#REF!</v>
      </c>
      <c r="AE21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2" s="9">
        <f>IFERROR(IF(ISBLANK(INDEX(Am_Close,MATCH(1,INDEX((tbl_Case_mins[[#This Row],[Theatre]]=Theatre_No)*(tbl_Case_mins[[#This Row],[Surgery Start Date]]=Date),0,1),0))*1440),0,INDEX(Am_Close,MATCH(1,INDEX((tbl_Case_mins[[#This Row],[Theatre]]=Theatre_No)*(tbl_Case_mins[[#This Row],[Surgery Start Date]]=Date),0,1),0))*1440),0)</f>
        <v>0</v>
      </c>
      <c r="AG212" s="9">
        <f>IFERROR(IF(ISBLANK(INDEX(PM_Open,MATCH(1,INDEX((tbl_Case_mins[[#This Row],[Theatre]]=Theatre_No)*(tbl_Case_mins[[#This Row],[Surgery Start Date]]=Date),0,1),0))*1440),0,INDEX(PM_Open,MATCH(1,INDEX((tbl_Case_mins[[#This Row],[Theatre]]=Theatre_No)*(tbl_Case_mins[[#This Row],[Surgery Start Date]]=Date),0,1),0))*1440),0)</f>
        <v>0</v>
      </c>
      <c r="AH21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2" s="9" t="e">
        <f>IF(tbl_Case_mins[[#This Row],[ThOpenAm]]=0,tbl_Case_mins[[#This Row],[ThOpenPM]],tbl_Case_mins[[#This Row],[ThOpenAm]])</f>
        <v>#REF!</v>
      </c>
      <c r="AJ212" s="9" t="e">
        <f>IF(tbl_Case_mins[[#This Row],[ThCloseAm]]&gt;0,IF(tbl_Case_mins[[#This Row],[ThOpenPM]]&gt;0,tbl_Case_mins[[#This Row],[ThClosePm]],tbl_Case_mins[[#This Row],[ThCloseAm]]),tbl_Case_mins[[#This Row],[ThClosePm]])</f>
        <v>#REF!</v>
      </c>
      <c r="AK212" s="9" t="e">
        <f>IF(tbl_Case_mins[[#This Row],[TOT]]&gt;0,1,0)</f>
        <v>#REF!</v>
      </c>
      <c r="AL21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2" s="9" t="e">
        <f>IF(AND(tbl_Case_mins[[#This Row],[Surgery Status]]&lt;&gt;2,tbl_Case_mins[[#This Row],[InCoreCase]]=0,tbl_Case_mins[[#This Row],[CancelledCase]]=0),1,0)</f>
        <v>#REF!</v>
      </c>
      <c r="AN212" s="9" t="e">
        <f>IF(tbl_Case_mins[[#This Row],[Surgery Status]]=1,1,0)</f>
        <v>#REF!</v>
      </c>
      <c r="AO21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2" s="9" t="e">
        <f>IF(AND(tbl_Case_mins[[#This Row],[NonCoreCase]]=1,tbl_Case_mins[[#This Row],[NoInCoreTime]]=0),1,0)</f>
        <v>#REF!</v>
      </c>
      <c r="AQ212" s="9" t="e">
        <f>IF(tbl_Case_mins[[#This Row],[Rank_AnaEnd]]&lt;tbl_Case_mins[[#This Row],[Rank_AnaSt]],1,0)</f>
        <v>#REF!</v>
      </c>
      <c r="AR212" s="9" t="e">
        <f>IF(AND(tbl_Case_mins[[#This Row],[InCoreCase]]=1,tbl_Case_mins[[#This Row],[Sch]]=1),1,0)</f>
        <v>#REF!</v>
      </c>
      <c r="AS212" s="9" t="e">
        <f>IF(AND(tbl_Case_mins[[#This Row],[InCoreCase]]=1,tbl_Case_mins[[#This Row],[Unsch]]=1),1,0)</f>
        <v>#REF!</v>
      </c>
      <c r="AT21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2" s="9" t="e">
        <f>IF(tbl_Case_mins[[#This Row],[Surgery Status]]=0,(tbl_Case_mins[[#This Row],[Anaesth End]]-tbl_Case_mins[[#This Row],[AnaesthStart]]),0)</f>
        <v>#REF!</v>
      </c>
      <c r="AX212" s="9" t="e">
        <f>IF(tbl_Case_mins[[#This Row],[Surgery Status]]=0,(tbl_Case_mins[[#This Row],[Surgery Finish]]-tbl_Case_mins[[#This Row],[Surgery Start]]),0)</f>
        <v>#REF!</v>
      </c>
      <c r="AY212" s="9" t="e">
        <f>tbl_Case_mins[[#This Row],[Surgery Start]]-tbl_Case_mins[[#This Row],[AnaesthStart]]</f>
        <v>#REF!</v>
      </c>
      <c r="AZ212" s="9" t="e">
        <f>tbl_Case_mins[[#This Row],[Anaesth End]]-tbl_Case_mins[[#This Row],[Surgery Finish]]</f>
        <v>#REF!</v>
      </c>
      <c r="BA21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2" s="16" cm="1">
        <f t="array" ref="BC21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2" s="16" t="e">
        <f>IF(AND(tbl_Case_mins[[#This Row],[FirstAMCase]]=1,tbl_Case_mins[[#This Row],[CancelledCase]]=0,OR(tbl_Case_mins[[#This Row],[EarlyStartAM]]&gt;0,tbl_Case_mins[[#This Row],[AnaesthStart]]=tbl_Case_mins[[#This Row],[ThOpenAm]])),1,0)</f>
        <v>#REF!</v>
      </c>
      <c r="BE212" s="16" t="e">
        <f>IF(AND(tbl_Case_mins[[#This Row],[Rank_AnaSt]]=tbl_Case_mins[[#This Row],[Min_RankAnaSt]],tbl_Case_mins[[#This Row],[Anaesth End]]&gt;=tbl_Case_mins[[#This Row],[ThOpenAm]],tbl_Case_mins[[#This Row],[PmCase]]=0),1,0)</f>
        <v>#REF!</v>
      </c>
      <c r="BF21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2" s="9" t="e" cm="1">
        <f t="array" ref="BH21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2" s="9" t="e">
        <f>IF(AND(tbl_Case_mins[[#This Row],[ThOpenPM]]&gt;0,tbl_Case_mins[[#This Row],[AnaesthStart]]&gt;tbl_Case_mins[[#This Row],[ThOpenPM]],tbl_Case_mins[[#This Row],[First PM Case]]=1),tbl_Case_mins[[#This Row],[AnaesthStart]]-tbl_Case_mins[[#This Row],[ThOpenPM]],0)</f>
        <v>#REF!</v>
      </c>
      <c r="BL21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2" s="9" t="e" cm="1">
        <f t="array" ref="BN21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2" s="9" t="e">
        <f>IF(AND(tbl_Case_mins[[#This Row],[ThClosePm]]&gt;0,tbl_Case_mins[[#This Row],[Anaesth End]]&gt;tbl_Case_mins[[#This Row],[ThClosePm]],tbl_Case_mins[[#This Row],[AnaesthStart]]&gt;tbl_Case_mins[[#This Row],[ThClosePm]]),tbl_Case_mins[[#This Row],[Into Recov]]-tbl_Case_mins[[#This Row],[AnaesthStart]],0)</f>
        <v>#REF!</v>
      </c>
      <c r="BP212" s="9" t="e">
        <f>IF(AND(tbl_Case_mins[[#This Row],[AnaesthStart]]&lt;tbl_Case_mins[[#This Row],[ThClosePm]],tbl_Case_mins[[#This Row],[Anaesth End]]&gt;tbl_Case_mins[[#This Row],[ThClosePm]]),tbl_Case_mins[[#This Row],[Anaesth End]]-tbl_Case_mins[[#This Row],[ThClosePm]],0)</f>
        <v>#REF!</v>
      </c>
      <c r="BQ212" s="9" t="e" cm="1">
        <f t="array" ref="BQ21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2" s="9" t="e" cm="1">
        <f t="array" ref="BR212">IF(tbl_Case_mins[[#This Row],[Rank_Adjust]]=SUMPRODUCT(-(tbl_Case_mins[Surgery Start Date]=tbl_Case_mins[[#This Row],[Surgery Start Date]]),-(tbl_Case_mins[Theatre]=tbl_Case_mins[[#This Row],[Theatre]])),INDEX(Poss_Time,MATCH(TEXT(tbl_Case_mins[[#This Row],[Surgery Start Date]],"ddd"),Day,0)),0)</f>
        <v>#REF!</v>
      </c>
      <c r="BS212" s="9" t="e">
        <f>tbl_Case_mins[[#This Row],[Core_Time]]*Util_Goal</f>
        <v>#REF!</v>
      </c>
      <c r="BT212" s="9" t="e" cm="1">
        <f t="array" ref="BT2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2" s="9" t="e" cm="1">
        <f t="array" ref="BU2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2" s="9" t="e">
        <f>IF(tbl_Case_mins[[#This Row],[Surgery End Date]]&gt;tbl_Case_mins[[#This Row],[Surgery Start Date]],tbl_Case_mins[[#This Row],[Anaesth End]]-1440,0)</f>
        <v>#REF!</v>
      </c>
      <c r="BY212" s="9" t="e">
        <f>tbl_Case_mins[[#This Row],[Total_NonCore]]-tbl_Case_mins[[#This Row],[NextDay_NonCore]]</f>
        <v>#REF!</v>
      </c>
      <c r="BZ212" s="10" t="e">
        <f>tbl_Case_mins[[#This Row],[InCoreUse]]/60</f>
        <v>#REF!</v>
      </c>
      <c r="CA212" s="10" t="e">
        <f>tbl_Case_mins[[#This Row],[Total_NonCore]]/60</f>
        <v>#REF!</v>
      </c>
      <c r="CB212" t="e" cm="1">
        <f t="array" ref="CB2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2" s="9" t="e" cm="1">
        <f t="array" ref="CC21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2" s="9" t="e" cm="1">
        <f t="array" ref="CD2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2" s="9" t="e" cm="1">
        <f t="array" ref="CE21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2" s="9" cm="1">
        <f t="array" ref="CF212">IFERROR(_xlfn.AGGREGATE(14,6,(tbl_Case_mins[Rank_AnaEnd])/((tbl_Case_mins[Surgery Start Date]=tbl_Case_mins[[#This Row],[Surgery Start Date]])*(tbl_Case_mins[Theatre]=tbl_Case_mins[[#This Row],[Theatre]])*(tbl_Case_mins[NoInCoreTime]=0)),1),-1)</f>
        <v>-1</v>
      </c>
      <c r="CG212" s="9" cm="1">
        <f t="array" ref="CG212">IFERROR(_xlfn.AGGREGATE(15,6,(tbl_Case_mins[Rank_AnaSt])/((tbl_Case_mins[Surgery Start Date]=tbl_Case_mins[[#This Row],[Surgery Start Date]])*(tbl_Case_mins[Theatre]=tbl_Case_mins[[#This Row],[Theatre]])*(tbl_Case_mins[NoInCoreTime]=0)),1),-1)</f>
        <v>-1</v>
      </c>
      <c r="CH21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2" t="e" cm="1">
        <f t="array" ref="CJ21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2" s="9" cm="1">
        <f t="array" ref="CO2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2" s="9" cm="1">
        <f t="array" ref="CP2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2" s="9" cm="1">
        <f t="array" ref="CQ212">IFERROR(IF(AND(tbl_Case_mins[[#This Row],[FirstAMCase]]=0,tbl_Case_mins[[#This Row],[Rank]]=_xlfn.AGGREGATE(14,6,(tbl_Case_mins[Rank])/((tbl_Case_mins[Surgery Start Date]=tbl_Case_mins[[#This Row],[Surgery Start Date]])*(tbl_Case_mins[Theatre]=tbl_Case_mins[[#This Row],[Theatre]])*(tbl_Case_mins[AmCase]=1)),1)),1,0),0)</f>
        <v>0</v>
      </c>
      <c r="CR212" s="9" cm="1">
        <f t="array" ref="CR21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2" s="9" t="e" cm="1">
        <f t="array" ref="CS21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2" s="9" cm="1">
        <f t="array" ref="CT212">IFERROR(IF(tbl_Case_mins[[#This Row],[Rank]]=_xlfn.AGGREGATE(15,6,(tbl_Case_mins[Rank])/((tbl_Case_mins[Surgery Start Date]=tbl_Case_mins[[#This Row],[Surgery Start Date]])*(tbl_Case_mins[Theatre]=tbl_Case_mins[[#This Row],[Theatre]])*(tbl_Case_mins[PmCase]=1)),1),1,0),0)</f>
        <v>0</v>
      </c>
      <c r="CU212">
        <f>IFERROR(#REF!,0)</f>
        <v>0</v>
      </c>
      <c r="CV212" s="9" t="e" cm="1">
        <f t="array" ref="CV21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2" s="9">
        <f>IFERROR(IF(ISBLANK(INDEX(Bay_AmClose,MATCH(1,INDEX((tbl_Case_mins[[#This Row],[Bay]]=BayNo)*(tbl_Case_mins[[#This Row],[Surgery Start Date]]=BDate),0,1),0))*1440),0,INDEX(Bay_AmClose,MATCH(1,INDEX((tbl_Case_mins[[#This Row],[Bay]]=BayNo)*(tbl_Case_mins[[#This Row],[Surgery Start Date]]=BDate),0,1),0))*1440),0)</f>
        <v>0</v>
      </c>
      <c r="CX212" s="9" cm="1">
        <f t="array" ref="CX212">IFERROR(IF(ISBLANK(INDEX(Bay_PmOpen,MATCH(1,INDEX((tbl_Case_mins[[#This Row],[Bay]]=BayNo)*(tbl_Case_mins[[#This Row],[Surgery Start Date]]=BDate),0,1),0))*1440),0,INDEX(Bay_PmOpen,MATCH(1,INDEX((tbl_Case_mins[[#This Row],[Bay]]=BayNo)*(tbl_Case_mins[[#This Row],[Surgery Start Date]]=BDate),0,1),0))*1440),0)</f>
        <v>0</v>
      </c>
      <c r="CY21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2" s="9"/>
    </row>
    <row r="213" spans="1:104" x14ac:dyDescent="0.2">
      <c r="A213">
        <v>212</v>
      </c>
      <c r="B213" t="e">
        <f>#REF!</f>
        <v>#REF!</v>
      </c>
      <c r="C213" t="e">
        <f>#REF!</f>
        <v>#REF!</v>
      </c>
      <c r="D213" t="e">
        <f>#REF!</f>
        <v>#REF!</v>
      </c>
      <c r="E213" t="e">
        <f>#REF!</f>
        <v>#REF!</v>
      </c>
      <c r="F213" t="e">
        <f>#REF!</f>
        <v>#REF!</v>
      </c>
      <c r="G213" t="e">
        <f>#REF!</f>
        <v>#REF!</v>
      </c>
      <c r="H213" t="e">
        <f>#REF!</f>
        <v>#REF!</v>
      </c>
      <c r="I213" t="e">
        <f>IF(#REF!="Case Cancelled",1,IF(#REF!="No Cases",2,0))</f>
        <v>#REF!</v>
      </c>
      <c r="J213" t="e">
        <f>#REF!</f>
        <v>#REF!</v>
      </c>
      <c r="K213" s="4" t="e">
        <f>#REF!</f>
        <v>#REF!</v>
      </c>
      <c r="L213" t="e">
        <f>"Wk "&amp;WEEKNUM(tbl_Case_mins[[#This Row],[Surgery Start Date]],21)</f>
        <v>#REF!</v>
      </c>
      <c r="M213" t="e">
        <f>TEXT(tbl_Case_mins[[#This Row],[Surgery Start Date]],"ddd")</f>
        <v>#REF!</v>
      </c>
      <c r="N213" s="9" t="e">
        <f>(#REF!-TIME(0,0,0))*1440</f>
        <v>#REF!</v>
      </c>
      <c r="O213" t="e">
        <f>IF(AND(ROUND((#REF!-TIME(0,0,0))*1440,0)&gt;0,ROUND((#REF!-TIME(0,0,0))*1440,0)&lt;tbl_Case_mins[[#This Row],[Patient Called]],tbl_Case_mins[[#This Row],[Surgery End Date]]&gt;tbl_Case_mins[[#This Row],[Surgery Start Date]]),ROUND((#REF!-TIME(0,0,0))*1440,0)+1440,ROUND((#REF!-TIME(0,0,0))*1440,0))</f>
        <v>#REF!</v>
      </c>
      <c r="P213" s="9" t="e">
        <f>IF(AND(ROUND((#REF!-TIME(0,0,0))*1440,0)&gt;0,ROUND((#REF!-TIME(0,0,0))*1440,0)&lt;tbl_Case_mins[[#This Row],[Arrival]],tbl_Case_mins[[#This Row],[Surgery End Date]]&gt;tbl_Case_mins[[#This Row],[Surgery Start Date]]),ROUND((#REF!-TIME(0,0,0))*1440,0)+1440,ROUND((#REF!-TIME(0,0,0))*1440,0))</f>
        <v>#REF!</v>
      </c>
      <c r="Q213" s="9" t="e">
        <f>IF(AND(ROUND((#REF!-TIME(0,0,0))*1440,0)&gt;0,ROUND((#REF!-TIME(0,0,0))*1440,0)&lt;tbl_Case_mins[[#This Row],[Into Th or AR]],tbl_Case_mins[[#This Row],[Surgery End Date]]&gt;tbl_Case_mins[[#This Row],[Surgery Start Date]]),ROUND((#REF!-TIME(0,0,0))*1440,0)+1440,ROUND((#REF!-TIME(0,0,0))*1440,0))</f>
        <v>#REF!</v>
      </c>
      <c r="R213" s="9" t="e">
        <f>IF(AND(ROUND((#REF!-TIME(0,0,0))*1440,0)&gt;0,ROUND((#REF!-TIME(0,0,0))*1440,0)&lt;tbl_Case_mins[[#This Row],[AnaesthStart]],tbl_Case_mins[[#This Row],[Surgery End Date]]&gt;tbl_Case_mins[[#This Row],[Surgery Start Date]]),ROUND((#REF!-TIME(0,0,0))*1440,0)+1440,ROUND((#REF!-TIME(0,0,0))*1440,0))</f>
        <v>#REF!</v>
      </c>
      <c r="S213" s="9" t="e">
        <f>IF(AND(ROUND((#REF!-TIME(0,0,0))*1440,0),ROUND((#REF!-TIME(0,0,0))*1440,0)&lt;tbl_Case_mins[[#This Row],[Surgery Start]],tbl_Case_mins[[#This Row],[Surgery End Date]]&gt;tbl_Case_mins[[#This Row],[Surgery Start Date]]),ROUND((#REF!-TIME(0,0,0))*1440,0)+1440,ROUND((#REF!-TIME(0,0,0))*1440,0))</f>
        <v>#REF!</v>
      </c>
      <c r="T213" s="9" t="e">
        <f>IF(AND(ROUND((#REF!-TIME(0,0,0))*1440,0)&gt;0,ROUND((#REF!-TIME(0,0,0))*1440,0)&lt;tbl_Case_mins[[#This Row],[Surgery Finish]],tbl_Case_mins[[#This Row],[Surgery End Date]]&gt;tbl_Case_mins[[#This Row],[Surgery Start Date]]),ROUND((#REF!-TIME(0,0,0))*1440,0)+1440,ROUND((#REF!-TIME(0,0,0))*1440,0))</f>
        <v>#REF!</v>
      </c>
      <c r="U213" s="9" t="e">
        <f>IF(AND(ROUND((#REF!-TIME(0,0,0))*1440,0)&gt;0,ROUND((#REF!-TIME(0,0,0))*1440,0)&lt;tbl_Case_mins[[#This Row],[Anaesth End]],tbl_Case_mins[[#This Row],[Surgery End Date]]&gt;tbl_Case_mins[[#This Row],[Surgery Start Date]]),ROUND((#REF!-TIME(0,0,0))*1440,0)+1440,ROUND((#REF!-TIME(0,0,0))*1440,0))</f>
        <v>#REF!</v>
      </c>
      <c r="V213" s="9" t="e">
        <f>IF(AND(ROUND((#REF!-TIME(0,0,0))*1440,0)&gt;0,ROUND((#REF!-TIME(0,0,0))*1440,0)&lt;tbl_Case_mins[[#This Row],[Into Recov]],tbl_Case_mins[[#This Row],[Surgery End Date]]&gt;tbl_Case_mins[[#This Row],[Surgery Start Date]]),ROUND((#REF!-TIME(0,0,0))*1440,0)+1440,ROUND((#REF!-TIME(0,0,0))*1440,0))</f>
        <v>#REF!</v>
      </c>
      <c r="W213" s="9" t="e">
        <f>IF(AND(ROUND((#REF!-TIME(0,0,0))*1440,0)&gt;0,ROUND((#REF!-TIME(0,0,0))*1440,0)&lt;tbl_Case_mins[[#This Row],[Ward Called]],tbl_Case_mins[[#This Row],[Surgery End Date]]&gt;tbl_Case_mins[[#This Row],[Surgery Start Date]]),ROUND((#REF!-TIME(0,0,0))*1440,0)+1440,ROUND((#REF!-TIME(0,0,0))*1440,0))</f>
        <v>#REF!</v>
      </c>
      <c r="X213" s="4" t="e">
        <f>IF(ISBLANK(#REF!),tbl_Case_mins[[#This Row],[Surgery Start Date]],#REF!)</f>
        <v>#REF!</v>
      </c>
      <c r="Y213">
        <f>IFERROR(IF(VLOOKUP(tbl_Case_mins[[#This Row],[Theatre]],'Mng Theatres'!$C$7:$G$12,3,FALSE)="Yes","Yes","No"),0)</f>
        <v>0</v>
      </c>
      <c r="Z213" s="9" t="e" cm="1">
        <f t="array" ref="Z21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3" s="9" t="e" cm="1">
        <f t="array" ref="AA21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3" s="9" t="e">
        <f>IF(tbl_Case_mins[[#This Row],[Case Type]]="Unsch",1,0)</f>
        <v>#REF!</v>
      </c>
      <c r="AD213" s="9" t="e">
        <f>IF(tbl_Case_mins[[#This Row],[Case Type]]="Sch",1,0)</f>
        <v>#REF!</v>
      </c>
      <c r="AE21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3" s="9">
        <f>IFERROR(IF(ISBLANK(INDEX(Am_Close,MATCH(1,INDEX((tbl_Case_mins[[#This Row],[Theatre]]=Theatre_No)*(tbl_Case_mins[[#This Row],[Surgery Start Date]]=Date),0,1),0))*1440),0,INDEX(Am_Close,MATCH(1,INDEX((tbl_Case_mins[[#This Row],[Theatre]]=Theatre_No)*(tbl_Case_mins[[#This Row],[Surgery Start Date]]=Date),0,1),0))*1440),0)</f>
        <v>0</v>
      </c>
      <c r="AG213" s="9">
        <f>IFERROR(IF(ISBLANK(INDEX(PM_Open,MATCH(1,INDEX((tbl_Case_mins[[#This Row],[Theatre]]=Theatre_No)*(tbl_Case_mins[[#This Row],[Surgery Start Date]]=Date),0,1),0))*1440),0,INDEX(PM_Open,MATCH(1,INDEX((tbl_Case_mins[[#This Row],[Theatre]]=Theatre_No)*(tbl_Case_mins[[#This Row],[Surgery Start Date]]=Date),0,1),0))*1440),0)</f>
        <v>0</v>
      </c>
      <c r="AH21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3" s="9" t="e">
        <f>IF(tbl_Case_mins[[#This Row],[ThOpenAm]]=0,tbl_Case_mins[[#This Row],[ThOpenPM]],tbl_Case_mins[[#This Row],[ThOpenAm]])</f>
        <v>#REF!</v>
      </c>
      <c r="AJ213" s="9" t="e">
        <f>IF(tbl_Case_mins[[#This Row],[ThCloseAm]]&gt;0,IF(tbl_Case_mins[[#This Row],[ThOpenPM]]&gt;0,tbl_Case_mins[[#This Row],[ThClosePm]],tbl_Case_mins[[#This Row],[ThCloseAm]]),tbl_Case_mins[[#This Row],[ThClosePm]])</f>
        <v>#REF!</v>
      </c>
      <c r="AK213" s="9" t="e">
        <f>IF(tbl_Case_mins[[#This Row],[TOT]]&gt;0,1,0)</f>
        <v>#REF!</v>
      </c>
      <c r="AL21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3" s="9" t="e">
        <f>IF(AND(tbl_Case_mins[[#This Row],[Surgery Status]]&lt;&gt;2,tbl_Case_mins[[#This Row],[InCoreCase]]=0,tbl_Case_mins[[#This Row],[CancelledCase]]=0),1,0)</f>
        <v>#REF!</v>
      </c>
      <c r="AN213" s="9" t="e">
        <f>IF(tbl_Case_mins[[#This Row],[Surgery Status]]=1,1,0)</f>
        <v>#REF!</v>
      </c>
      <c r="AO21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3" s="9" t="e">
        <f>IF(AND(tbl_Case_mins[[#This Row],[NonCoreCase]]=1,tbl_Case_mins[[#This Row],[NoInCoreTime]]=0),1,0)</f>
        <v>#REF!</v>
      </c>
      <c r="AQ213" s="9" t="e">
        <f>IF(tbl_Case_mins[[#This Row],[Rank_AnaEnd]]&lt;tbl_Case_mins[[#This Row],[Rank_AnaSt]],1,0)</f>
        <v>#REF!</v>
      </c>
      <c r="AR213" s="9" t="e">
        <f>IF(AND(tbl_Case_mins[[#This Row],[InCoreCase]]=1,tbl_Case_mins[[#This Row],[Sch]]=1),1,0)</f>
        <v>#REF!</v>
      </c>
      <c r="AS213" s="9" t="e">
        <f>IF(AND(tbl_Case_mins[[#This Row],[InCoreCase]]=1,tbl_Case_mins[[#This Row],[Unsch]]=1),1,0)</f>
        <v>#REF!</v>
      </c>
      <c r="AT21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3" s="9" t="e">
        <f>IF(tbl_Case_mins[[#This Row],[Surgery Status]]=0,(tbl_Case_mins[[#This Row],[Anaesth End]]-tbl_Case_mins[[#This Row],[AnaesthStart]]),0)</f>
        <v>#REF!</v>
      </c>
      <c r="AX213" s="9" t="e">
        <f>IF(tbl_Case_mins[[#This Row],[Surgery Status]]=0,(tbl_Case_mins[[#This Row],[Surgery Finish]]-tbl_Case_mins[[#This Row],[Surgery Start]]),0)</f>
        <v>#REF!</v>
      </c>
      <c r="AY213" s="9" t="e">
        <f>tbl_Case_mins[[#This Row],[Surgery Start]]-tbl_Case_mins[[#This Row],[AnaesthStart]]</f>
        <v>#REF!</v>
      </c>
      <c r="AZ213" s="9" t="e">
        <f>tbl_Case_mins[[#This Row],[Anaesth End]]-tbl_Case_mins[[#This Row],[Surgery Finish]]</f>
        <v>#REF!</v>
      </c>
      <c r="BA21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3" s="16" cm="1">
        <f t="array" ref="BC21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3" s="16" t="e">
        <f>IF(AND(tbl_Case_mins[[#This Row],[FirstAMCase]]=1,tbl_Case_mins[[#This Row],[CancelledCase]]=0,OR(tbl_Case_mins[[#This Row],[EarlyStartAM]]&gt;0,tbl_Case_mins[[#This Row],[AnaesthStart]]=tbl_Case_mins[[#This Row],[ThOpenAm]])),1,0)</f>
        <v>#REF!</v>
      </c>
      <c r="BE213" s="16" t="e">
        <f>IF(AND(tbl_Case_mins[[#This Row],[Rank_AnaSt]]=tbl_Case_mins[[#This Row],[Min_RankAnaSt]],tbl_Case_mins[[#This Row],[Anaesth End]]&gt;=tbl_Case_mins[[#This Row],[ThOpenAm]],tbl_Case_mins[[#This Row],[PmCase]]=0),1,0)</f>
        <v>#REF!</v>
      </c>
      <c r="BF21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3" s="9" t="e" cm="1">
        <f t="array" ref="BH21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3" s="9" t="e">
        <f>IF(AND(tbl_Case_mins[[#This Row],[ThOpenPM]]&gt;0,tbl_Case_mins[[#This Row],[AnaesthStart]]&gt;tbl_Case_mins[[#This Row],[ThOpenPM]],tbl_Case_mins[[#This Row],[First PM Case]]=1),tbl_Case_mins[[#This Row],[AnaesthStart]]-tbl_Case_mins[[#This Row],[ThOpenPM]],0)</f>
        <v>#REF!</v>
      </c>
      <c r="BL21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3" s="9" t="e" cm="1">
        <f t="array" ref="BN21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3" s="9" t="e">
        <f>IF(AND(tbl_Case_mins[[#This Row],[ThClosePm]]&gt;0,tbl_Case_mins[[#This Row],[Anaesth End]]&gt;tbl_Case_mins[[#This Row],[ThClosePm]],tbl_Case_mins[[#This Row],[AnaesthStart]]&gt;tbl_Case_mins[[#This Row],[ThClosePm]]),tbl_Case_mins[[#This Row],[Into Recov]]-tbl_Case_mins[[#This Row],[AnaesthStart]],0)</f>
        <v>#REF!</v>
      </c>
      <c r="BP213" s="9" t="e">
        <f>IF(AND(tbl_Case_mins[[#This Row],[AnaesthStart]]&lt;tbl_Case_mins[[#This Row],[ThClosePm]],tbl_Case_mins[[#This Row],[Anaesth End]]&gt;tbl_Case_mins[[#This Row],[ThClosePm]]),tbl_Case_mins[[#This Row],[Anaesth End]]-tbl_Case_mins[[#This Row],[ThClosePm]],0)</f>
        <v>#REF!</v>
      </c>
      <c r="BQ213" s="9" t="e" cm="1">
        <f t="array" ref="BQ21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3" s="9" t="e" cm="1">
        <f t="array" ref="BR213">IF(tbl_Case_mins[[#This Row],[Rank_Adjust]]=SUMPRODUCT(-(tbl_Case_mins[Surgery Start Date]=tbl_Case_mins[[#This Row],[Surgery Start Date]]),-(tbl_Case_mins[Theatre]=tbl_Case_mins[[#This Row],[Theatre]])),INDEX(Poss_Time,MATCH(TEXT(tbl_Case_mins[[#This Row],[Surgery Start Date]],"ddd"),Day,0)),0)</f>
        <v>#REF!</v>
      </c>
      <c r="BS213" s="9" t="e">
        <f>tbl_Case_mins[[#This Row],[Core_Time]]*Util_Goal</f>
        <v>#REF!</v>
      </c>
      <c r="BT213" s="9" t="e" cm="1">
        <f t="array" ref="BT2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3" s="9" t="e" cm="1">
        <f t="array" ref="BU2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3" s="9" t="e">
        <f>IF(tbl_Case_mins[[#This Row],[Surgery End Date]]&gt;tbl_Case_mins[[#This Row],[Surgery Start Date]],tbl_Case_mins[[#This Row],[Anaesth End]]-1440,0)</f>
        <v>#REF!</v>
      </c>
      <c r="BY213" s="9" t="e">
        <f>tbl_Case_mins[[#This Row],[Total_NonCore]]-tbl_Case_mins[[#This Row],[NextDay_NonCore]]</f>
        <v>#REF!</v>
      </c>
      <c r="BZ213" s="10" t="e">
        <f>tbl_Case_mins[[#This Row],[InCoreUse]]/60</f>
        <v>#REF!</v>
      </c>
      <c r="CA213" s="10" t="e">
        <f>tbl_Case_mins[[#This Row],[Total_NonCore]]/60</f>
        <v>#REF!</v>
      </c>
      <c r="CB213" t="e" cm="1">
        <f t="array" ref="CB2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3" s="9" t="e" cm="1">
        <f t="array" ref="CC21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3" s="9" t="e" cm="1">
        <f t="array" ref="CD2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3" s="9" t="e" cm="1">
        <f t="array" ref="CE21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3" s="9" cm="1">
        <f t="array" ref="CF213">IFERROR(_xlfn.AGGREGATE(14,6,(tbl_Case_mins[Rank_AnaEnd])/((tbl_Case_mins[Surgery Start Date]=tbl_Case_mins[[#This Row],[Surgery Start Date]])*(tbl_Case_mins[Theatre]=tbl_Case_mins[[#This Row],[Theatre]])*(tbl_Case_mins[NoInCoreTime]=0)),1),-1)</f>
        <v>-1</v>
      </c>
      <c r="CG213" s="9" cm="1">
        <f t="array" ref="CG213">IFERROR(_xlfn.AGGREGATE(15,6,(tbl_Case_mins[Rank_AnaSt])/((tbl_Case_mins[Surgery Start Date]=tbl_Case_mins[[#This Row],[Surgery Start Date]])*(tbl_Case_mins[Theatre]=tbl_Case_mins[[#This Row],[Theatre]])*(tbl_Case_mins[NoInCoreTime]=0)),1),-1)</f>
        <v>-1</v>
      </c>
      <c r="CH21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3" t="e" cm="1">
        <f t="array" ref="CJ21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3" s="9" cm="1">
        <f t="array" ref="CO2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3" s="9" cm="1">
        <f t="array" ref="CP2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3" s="9" cm="1">
        <f t="array" ref="CQ213">IFERROR(IF(AND(tbl_Case_mins[[#This Row],[FirstAMCase]]=0,tbl_Case_mins[[#This Row],[Rank]]=_xlfn.AGGREGATE(14,6,(tbl_Case_mins[Rank])/((tbl_Case_mins[Surgery Start Date]=tbl_Case_mins[[#This Row],[Surgery Start Date]])*(tbl_Case_mins[Theatre]=tbl_Case_mins[[#This Row],[Theatre]])*(tbl_Case_mins[AmCase]=1)),1)),1,0),0)</f>
        <v>0</v>
      </c>
      <c r="CR213" s="9" cm="1">
        <f t="array" ref="CR21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3" s="9" t="e" cm="1">
        <f t="array" ref="CS21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3" s="9" cm="1">
        <f t="array" ref="CT213">IFERROR(IF(tbl_Case_mins[[#This Row],[Rank]]=_xlfn.AGGREGATE(15,6,(tbl_Case_mins[Rank])/((tbl_Case_mins[Surgery Start Date]=tbl_Case_mins[[#This Row],[Surgery Start Date]])*(tbl_Case_mins[Theatre]=tbl_Case_mins[[#This Row],[Theatre]])*(tbl_Case_mins[PmCase]=1)),1),1,0),0)</f>
        <v>0</v>
      </c>
      <c r="CU213">
        <f>IFERROR(#REF!,0)</f>
        <v>0</v>
      </c>
      <c r="CV213" s="9" t="e" cm="1">
        <f t="array" ref="CV21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3" s="9">
        <f>IFERROR(IF(ISBLANK(INDEX(Bay_AmClose,MATCH(1,INDEX((tbl_Case_mins[[#This Row],[Bay]]=BayNo)*(tbl_Case_mins[[#This Row],[Surgery Start Date]]=BDate),0,1),0))*1440),0,INDEX(Bay_AmClose,MATCH(1,INDEX((tbl_Case_mins[[#This Row],[Bay]]=BayNo)*(tbl_Case_mins[[#This Row],[Surgery Start Date]]=BDate),0,1),0))*1440),0)</f>
        <v>0</v>
      </c>
      <c r="CX213" s="9" cm="1">
        <f t="array" ref="CX213">IFERROR(IF(ISBLANK(INDEX(Bay_PmOpen,MATCH(1,INDEX((tbl_Case_mins[[#This Row],[Bay]]=BayNo)*(tbl_Case_mins[[#This Row],[Surgery Start Date]]=BDate),0,1),0))*1440),0,INDEX(Bay_PmOpen,MATCH(1,INDEX((tbl_Case_mins[[#This Row],[Bay]]=BayNo)*(tbl_Case_mins[[#This Row],[Surgery Start Date]]=BDate),0,1),0))*1440),0)</f>
        <v>0</v>
      </c>
      <c r="CY21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3" s="9"/>
    </row>
    <row r="214" spans="1:104" x14ac:dyDescent="0.2">
      <c r="A214">
        <v>213</v>
      </c>
      <c r="B214" t="e">
        <f>#REF!</f>
        <v>#REF!</v>
      </c>
      <c r="C214" t="e">
        <f>#REF!</f>
        <v>#REF!</v>
      </c>
      <c r="D214" t="e">
        <f>#REF!</f>
        <v>#REF!</v>
      </c>
      <c r="E214" t="e">
        <f>#REF!</f>
        <v>#REF!</v>
      </c>
      <c r="F214" t="e">
        <f>#REF!</f>
        <v>#REF!</v>
      </c>
      <c r="G214" t="e">
        <f>#REF!</f>
        <v>#REF!</v>
      </c>
      <c r="H214" t="e">
        <f>#REF!</f>
        <v>#REF!</v>
      </c>
      <c r="I214" t="e">
        <f>IF(#REF!="Case Cancelled",1,IF(#REF!="No Cases",2,0))</f>
        <v>#REF!</v>
      </c>
      <c r="J214" t="e">
        <f>#REF!</f>
        <v>#REF!</v>
      </c>
      <c r="K214" s="4" t="e">
        <f>#REF!</f>
        <v>#REF!</v>
      </c>
      <c r="L214" t="e">
        <f>"Wk "&amp;WEEKNUM(tbl_Case_mins[[#This Row],[Surgery Start Date]],21)</f>
        <v>#REF!</v>
      </c>
      <c r="M214" t="e">
        <f>TEXT(tbl_Case_mins[[#This Row],[Surgery Start Date]],"ddd")</f>
        <v>#REF!</v>
      </c>
      <c r="N214" s="9" t="e">
        <f>(#REF!-TIME(0,0,0))*1440</f>
        <v>#REF!</v>
      </c>
      <c r="O214" t="e">
        <f>IF(AND(ROUND((#REF!-TIME(0,0,0))*1440,0)&gt;0,ROUND((#REF!-TIME(0,0,0))*1440,0)&lt;tbl_Case_mins[[#This Row],[Patient Called]],tbl_Case_mins[[#This Row],[Surgery End Date]]&gt;tbl_Case_mins[[#This Row],[Surgery Start Date]]),ROUND((#REF!-TIME(0,0,0))*1440,0)+1440,ROUND((#REF!-TIME(0,0,0))*1440,0))</f>
        <v>#REF!</v>
      </c>
      <c r="P214" s="9" t="e">
        <f>IF(AND(ROUND((#REF!-TIME(0,0,0))*1440,0)&gt;0,ROUND((#REF!-TIME(0,0,0))*1440,0)&lt;tbl_Case_mins[[#This Row],[Arrival]],tbl_Case_mins[[#This Row],[Surgery End Date]]&gt;tbl_Case_mins[[#This Row],[Surgery Start Date]]),ROUND((#REF!-TIME(0,0,0))*1440,0)+1440,ROUND((#REF!-TIME(0,0,0))*1440,0))</f>
        <v>#REF!</v>
      </c>
      <c r="Q214" s="9" t="e">
        <f>IF(AND(ROUND((#REF!-TIME(0,0,0))*1440,0)&gt;0,ROUND((#REF!-TIME(0,0,0))*1440,0)&lt;tbl_Case_mins[[#This Row],[Into Th or AR]],tbl_Case_mins[[#This Row],[Surgery End Date]]&gt;tbl_Case_mins[[#This Row],[Surgery Start Date]]),ROUND((#REF!-TIME(0,0,0))*1440,0)+1440,ROUND((#REF!-TIME(0,0,0))*1440,0))</f>
        <v>#REF!</v>
      </c>
      <c r="R214" s="9" t="e">
        <f>IF(AND(ROUND((#REF!-TIME(0,0,0))*1440,0)&gt;0,ROUND((#REF!-TIME(0,0,0))*1440,0)&lt;tbl_Case_mins[[#This Row],[AnaesthStart]],tbl_Case_mins[[#This Row],[Surgery End Date]]&gt;tbl_Case_mins[[#This Row],[Surgery Start Date]]),ROUND((#REF!-TIME(0,0,0))*1440,0)+1440,ROUND((#REF!-TIME(0,0,0))*1440,0))</f>
        <v>#REF!</v>
      </c>
      <c r="S214" s="9" t="e">
        <f>IF(AND(ROUND((#REF!-TIME(0,0,0))*1440,0),ROUND((#REF!-TIME(0,0,0))*1440,0)&lt;tbl_Case_mins[[#This Row],[Surgery Start]],tbl_Case_mins[[#This Row],[Surgery End Date]]&gt;tbl_Case_mins[[#This Row],[Surgery Start Date]]),ROUND((#REF!-TIME(0,0,0))*1440,0)+1440,ROUND((#REF!-TIME(0,0,0))*1440,0))</f>
        <v>#REF!</v>
      </c>
      <c r="T214" s="9" t="e">
        <f>IF(AND(ROUND((#REF!-TIME(0,0,0))*1440,0)&gt;0,ROUND((#REF!-TIME(0,0,0))*1440,0)&lt;tbl_Case_mins[[#This Row],[Surgery Finish]],tbl_Case_mins[[#This Row],[Surgery End Date]]&gt;tbl_Case_mins[[#This Row],[Surgery Start Date]]),ROUND((#REF!-TIME(0,0,0))*1440,0)+1440,ROUND((#REF!-TIME(0,0,0))*1440,0))</f>
        <v>#REF!</v>
      </c>
      <c r="U214" s="9" t="e">
        <f>IF(AND(ROUND((#REF!-TIME(0,0,0))*1440,0)&gt;0,ROUND((#REF!-TIME(0,0,0))*1440,0)&lt;tbl_Case_mins[[#This Row],[Anaesth End]],tbl_Case_mins[[#This Row],[Surgery End Date]]&gt;tbl_Case_mins[[#This Row],[Surgery Start Date]]),ROUND((#REF!-TIME(0,0,0))*1440,0)+1440,ROUND((#REF!-TIME(0,0,0))*1440,0))</f>
        <v>#REF!</v>
      </c>
      <c r="V214" s="9" t="e">
        <f>IF(AND(ROUND((#REF!-TIME(0,0,0))*1440,0)&gt;0,ROUND((#REF!-TIME(0,0,0))*1440,0)&lt;tbl_Case_mins[[#This Row],[Into Recov]],tbl_Case_mins[[#This Row],[Surgery End Date]]&gt;tbl_Case_mins[[#This Row],[Surgery Start Date]]),ROUND((#REF!-TIME(0,0,0))*1440,0)+1440,ROUND((#REF!-TIME(0,0,0))*1440,0))</f>
        <v>#REF!</v>
      </c>
      <c r="W214" s="9" t="e">
        <f>IF(AND(ROUND((#REF!-TIME(0,0,0))*1440,0)&gt;0,ROUND((#REF!-TIME(0,0,0))*1440,0)&lt;tbl_Case_mins[[#This Row],[Ward Called]],tbl_Case_mins[[#This Row],[Surgery End Date]]&gt;tbl_Case_mins[[#This Row],[Surgery Start Date]]),ROUND((#REF!-TIME(0,0,0))*1440,0)+1440,ROUND((#REF!-TIME(0,0,0))*1440,0))</f>
        <v>#REF!</v>
      </c>
      <c r="X214" s="4" t="e">
        <f>IF(ISBLANK(#REF!),tbl_Case_mins[[#This Row],[Surgery Start Date]],#REF!)</f>
        <v>#REF!</v>
      </c>
      <c r="Y214">
        <f>IFERROR(IF(VLOOKUP(tbl_Case_mins[[#This Row],[Theatre]],'Mng Theatres'!$C$7:$G$12,3,FALSE)="Yes","Yes","No"),0)</f>
        <v>0</v>
      </c>
      <c r="Z214" s="9" t="e" cm="1">
        <f t="array" ref="Z21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4" s="9" t="e" cm="1">
        <f t="array" ref="AA21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4" s="9" t="e">
        <f>IF(tbl_Case_mins[[#This Row],[Case Type]]="Unsch",1,0)</f>
        <v>#REF!</v>
      </c>
      <c r="AD214" s="9" t="e">
        <f>IF(tbl_Case_mins[[#This Row],[Case Type]]="Sch",1,0)</f>
        <v>#REF!</v>
      </c>
      <c r="AE21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4" s="9">
        <f>IFERROR(IF(ISBLANK(INDEX(Am_Close,MATCH(1,INDEX((tbl_Case_mins[[#This Row],[Theatre]]=Theatre_No)*(tbl_Case_mins[[#This Row],[Surgery Start Date]]=Date),0,1),0))*1440),0,INDEX(Am_Close,MATCH(1,INDEX((tbl_Case_mins[[#This Row],[Theatre]]=Theatre_No)*(tbl_Case_mins[[#This Row],[Surgery Start Date]]=Date),0,1),0))*1440),0)</f>
        <v>0</v>
      </c>
      <c r="AG214" s="9">
        <f>IFERROR(IF(ISBLANK(INDEX(PM_Open,MATCH(1,INDEX((tbl_Case_mins[[#This Row],[Theatre]]=Theatre_No)*(tbl_Case_mins[[#This Row],[Surgery Start Date]]=Date),0,1),0))*1440),0,INDEX(PM_Open,MATCH(1,INDEX((tbl_Case_mins[[#This Row],[Theatre]]=Theatre_No)*(tbl_Case_mins[[#This Row],[Surgery Start Date]]=Date),0,1),0))*1440),0)</f>
        <v>0</v>
      </c>
      <c r="AH21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4" s="9" t="e">
        <f>IF(tbl_Case_mins[[#This Row],[ThOpenAm]]=0,tbl_Case_mins[[#This Row],[ThOpenPM]],tbl_Case_mins[[#This Row],[ThOpenAm]])</f>
        <v>#REF!</v>
      </c>
      <c r="AJ214" s="9" t="e">
        <f>IF(tbl_Case_mins[[#This Row],[ThCloseAm]]&gt;0,IF(tbl_Case_mins[[#This Row],[ThOpenPM]]&gt;0,tbl_Case_mins[[#This Row],[ThClosePm]],tbl_Case_mins[[#This Row],[ThCloseAm]]),tbl_Case_mins[[#This Row],[ThClosePm]])</f>
        <v>#REF!</v>
      </c>
      <c r="AK214" s="9" t="e">
        <f>IF(tbl_Case_mins[[#This Row],[TOT]]&gt;0,1,0)</f>
        <v>#REF!</v>
      </c>
      <c r="AL21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4" s="9" t="e">
        <f>IF(AND(tbl_Case_mins[[#This Row],[Surgery Status]]&lt;&gt;2,tbl_Case_mins[[#This Row],[InCoreCase]]=0,tbl_Case_mins[[#This Row],[CancelledCase]]=0),1,0)</f>
        <v>#REF!</v>
      </c>
      <c r="AN214" s="9" t="e">
        <f>IF(tbl_Case_mins[[#This Row],[Surgery Status]]=1,1,0)</f>
        <v>#REF!</v>
      </c>
      <c r="AO21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4" s="9" t="e">
        <f>IF(AND(tbl_Case_mins[[#This Row],[NonCoreCase]]=1,tbl_Case_mins[[#This Row],[NoInCoreTime]]=0),1,0)</f>
        <v>#REF!</v>
      </c>
      <c r="AQ214" s="9" t="e">
        <f>IF(tbl_Case_mins[[#This Row],[Rank_AnaEnd]]&lt;tbl_Case_mins[[#This Row],[Rank_AnaSt]],1,0)</f>
        <v>#REF!</v>
      </c>
      <c r="AR214" s="9" t="e">
        <f>IF(AND(tbl_Case_mins[[#This Row],[InCoreCase]]=1,tbl_Case_mins[[#This Row],[Sch]]=1),1,0)</f>
        <v>#REF!</v>
      </c>
      <c r="AS214" s="9" t="e">
        <f>IF(AND(tbl_Case_mins[[#This Row],[InCoreCase]]=1,tbl_Case_mins[[#This Row],[Unsch]]=1),1,0)</f>
        <v>#REF!</v>
      </c>
      <c r="AT21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4" s="9" t="e">
        <f>IF(tbl_Case_mins[[#This Row],[Surgery Status]]=0,(tbl_Case_mins[[#This Row],[Anaesth End]]-tbl_Case_mins[[#This Row],[AnaesthStart]]),0)</f>
        <v>#REF!</v>
      </c>
      <c r="AX214" s="9" t="e">
        <f>IF(tbl_Case_mins[[#This Row],[Surgery Status]]=0,(tbl_Case_mins[[#This Row],[Surgery Finish]]-tbl_Case_mins[[#This Row],[Surgery Start]]),0)</f>
        <v>#REF!</v>
      </c>
      <c r="AY214" s="9" t="e">
        <f>tbl_Case_mins[[#This Row],[Surgery Start]]-tbl_Case_mins[[#This Row],[AnaesthStart]]</f>
        <v>#REF!</v>
      </c>
      <c r="AZ214" s="9" t="e">
        <f>tbl_Case_mins[[#This Row],[Anaesth End]]-tbl_Case_mins[[#This Row],[Surgery Finish]]</f>
        <v>#REF!</v>
      </c>
      <c r="BA21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4" s="16" cm="1">
        <f t="array" ref="BC21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4" s="16" t="e">
        <f>IF(AND(tbl_Case_mins[[#This Row],[FirstAMCase]]=1,tbl_Case_mins[[#This Row],[CancelledCase]]=0,OR(tbl_Case_mins[[#This Row],[EarlyStartAM]]&gt;0,tbl_Case_mins[[#This Row],[AnaesthStart]]=tbl_Case_mins[[#This Row],[ThOpenAm]])),1,0)</f>
        <v>#REF!</v>
      </c>
      <c r="BE214" s="16" t="e">
        <f>IF(AND(tbl_Case_mins[[#This Row],[Rank_AnaSt]]=tbl_Case_mins[[#This Row],[Min_RankAnaSt]],tbl_Case_mins[[#This Row],[Anaesth End]]&gt;=tbl_Case_mins[[#This Row],[ThOpenAm]],tbl_Case_mins[[#This Row],[PmCase]]=0),1,0)</f>
        <v>#REF!</v>
      </c>
      <c r="BF21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4" s="9" t="e" cm="1">
        <f t="array" ref="BH21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4" s="9" t="e">
        <f>IF(AND(tbl_Case_mins[[#This Row],[ThOpenPM]]&gt;0,tbl_Case_mins[[#This Row],[AnaesthStart]]&gt;tbl_Case_mins[[#This Row],[ThOpenPM]],tbl_Case_mins[[#This Row],[First PM Case]]=1),tbl_Case_mins[[#This Row],[AnaesthStart]]-tbl_Case_mins[[#This Row],[ThOpenPM]],0)</f>
        <v>#REF!</v>
      </c>
      <c r="BL21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4" s="9" t="e" cm="1">
        <f t="array" ref="BN21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4" s="9" t="e">
        <f>IF(AND(tbl_Case_mins[[#This Row],[ThClosePm]]&gt;0,tbl_Case_mins[[#This Row],[Anaesth End]]&gt;tbl_Case_mins[[#This Row],[ThClosePm]],tbl_Case_mins[[#This Row],[AnaesthStart]]&gt;tbl_Case_mins[[#This Row],[ThClosePm]]),tbl_Case_mins[[#This Row],[Into Recov]]-tbl_Case_mins[[#This Row],[AnaesthStart]],0)</f>
        <v>#REF!</v>
      </c>
      <c r="BP214" s="9" t="e">
        <f>IF(AND(tbl_Case_mins[[#This Row],[AnaesthStart]]&lt;tbl_Case_mins[[#This Row],[ThClosePm]],tbl_Case_mins[[#This Row],[Anaesth End]]&gt;tbl_Case_mins[[#This Row],[ThClosePm]]),tbl_Case_mins[[#This Row],[Anaesth End]]-tbl_Case_mins[[#This Row],[ThClosePm]],0)</f>
        <v>#REF!</v>
      </c>
      <c r="BQ214" s="9" t="e" cm="1">
        <f t="array" ref="BQ21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4" s="9" t="e" cm="1">
        <f t="array" ref="BR214">IF(tbl_Case_mins[[#This Row],[Rank_Adjust]]=SUMPRODUCT(-(tbl_Case_mins[Surgery Start Date]=tbl_Case_mins[[#This Row],[Surgery Start Date]]),-(tbl_Case_mins[Theatre]=tbl_Case_mins[[#This Row],[Theatre]])),INDEX(Poss_Time,MATCH(TEXT(tbl_Case_mins[[#This Row],[Surgery Start Date]],"ddd"),Day,0)),0)</f>
        <v>#REF!</v>
      </c>
      <c r="BS214" s="9" t="e">
        <f>tbl_Case_mins[[#This Row],[Core_Time]]*Util_Goal</f>
        <v>#REF!</v>
      </c>
      <c r="BT214" s="9" t="e" cm="1">
        <f t="array" ref="BT2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4" s="9" t="e" cm="1">
        <f t="array" ref="BU2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4" s="9" t="e">
        <f>IF(tbl_Case_mins[[#This Row],[Surgery End Date]]&gt;tbl_Case_mins[[#This Row],[Surgery Start Date]],tbl_Case_mins[[#This Row],[Anaesth End]]-1440,0)</f>
        <v>#REF!</v>
      </c>
      <c r="BY214" s="9" t="e">
        <f>tbl_Case_mins[[#This Row],[Total_NonCore]]-tbl_Case_mins[[#This Row],[NextDay_NonCore]]</f>
        <v>#REF!</v>
      </c>
      <c r="BZ214" s="10" t="e">
        <f>tbl_Case_mins[[#This Row],[InCoreUse]]/60</f>
        <v>#REF!</v>
      </c>
      <c r="CA214" s="10" t="e">
        <f>tbl_Case_mins[[#This Row],[Total_NonCore]]/60</f>
        <v>#REF!</v>
      </c>
      <c r="CB214" t="e" cm="1">
        <f t="array" ref="CB2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4" s="9" t="e" cm="1">
        <f t="array" ref="CC21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4" s="9" t="e" cm="1">
        <f t="array" ref="CD2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4" s="9" t="e" cm="1">
        <f t="array" ref="CE21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4" s="9" cm="1">
        <f t="array" ref="CF214">IFERROR(_xlfn.AGGREGATE(14,6,(tbl_Case_mins[Rank_AnaEnd])/((tbl_Case_mins[Surgery Start Date]=tbl_Case_mins[[#This Row],[Surgery Start Date]])*(tbl_Case_mins[Theatre]=tbl_Case_mins[[#This Row],[Theatre]])*(tbl_Case_mins[NoInCoreTime]=0)),1),-1)</f>
        <v>-1</v>
      </c>
      <c r="CG214" s="9" cm="1">
        <f t="array" ref="CG214">IFERROR(_xlfn.AGGREGATE(15,6,(tbl_Case_mins[Rank_AnaSt])/((tbl_Case_mins[Surgery Start Date]=tbl_Case_mins[[#This Row],[Surgery Start Date]])*(tbl_Case_mins[Theatre]=tbl_Case_mins[[#This Row],[Theatre]])*(tbl_Case_mins[NoInCoreTime]=0)),1),-1)</f>
        <v>-1</v>
      </c>
      <c r="CH21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4" t="e" cm="1">
        <f t="array" ref="CJ21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4" s="9" cm="1">
        <f t="array" ref="CO2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4" s="9" cm="1">
        <f t="array" ref="CP2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4" s="9" cm="1">
        <f t="array" ref="CQ214">IFERROR(IF(AND(tbl_Case_mins[[#This Row],[FirstAMCase]]=0,tbl_Case_mins[[#This Row],[Rank]]=_xlfn.AGGREGATE(14,6,(tbl_Case_mins[Rank])/((tbl_Case_mins[Surgery Start Date]=tbl_Case_mins[[#This Row],[Surgery Start Date]])*(tbl_Case_mins[Theatre]=tbl_Case_mins[[#This Row],[Theatre]])*(tbl_Case_mins[AmCase]=1)),1)),1,0),0)</f>
        <v>0</v>
      </c>
      <c r="CR214" s="9" cm="1">
        <f t="array" ref="CR21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4" s="9" t="e" cm="1">
        <f t="array" ref="CS21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4" s="9" cm="1">
        <f t="array" ref="CT214">IFERROR(IF(tbl_Case_mins[[#This Row],[Rank]]=_xlfn.AGGREGATE(15,6,(tbl_Case_mins[Rank])/((tbl_Case_mins[Surgery Start Date]=tbl_Case_mins[[#This Row],[Surgery Start Date]])*(tbl_Case_mins[Theatre]=tbl_Case_mins[[#This Row],[Theatre]])*(tbl_Case_mins[PmCase]=1)),1),1,0),0)</f>
        <v>0</v>
      </c>
      <c r="CU214">
        <f>IFERROR(#REF!,0)</f>
        <v>0</v>
      </c>
      <c r="CV214" s="9" t="e" cm="1">
        <f t="array" ref="CV21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4" s="9">
        <f>IFERROR(IF(ISBLANK(INDEX(Bay_AmClose,MATCH(1,INDEX((tbl_Case_mins[[#This Row],[Bay]]=BayNo)*(tbl_Case_mins[[#This Row],[Surgery Start Date]]=BDate),0,1),0))*1440),0,INDEX(Bay_AmClose,MATCH(1,INDEX((tbl_Case_mins[[#This Row],[Bay]]=BayNo)*(tbl_Case_mins[[#This Row],[Surgery Start Date]]=BDate),0,1),0))*1440),0)</f>
        <v>0</v>
      </c>
      <c r="CX214" s="9" cm="1">
        <f t="array" ref="CX214">IFERROR(IF(ISBLANK(INDEX(Bay_PmOpen,MATCH(1,INDEX((tbl_Case_mins[[#This Row],[Bay]]=BayNo)*(tbl_Case_mins[[#This Row],[Surgery Start Date]]=BDate),0,1),0))*1440),0,INDEX(Bay_PmOpen,MATCH(1,INDEX((tbl_Case_mins[[#This Row],[Bay]]=BayNo)*(tbl_Case_mins[[#This Row],[Surgery Start Date]]=BDate),0,1),0))*1440),0)</f>
        <v>0</v>
      </c>
      <c r="CY21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4" s="9"/>
    </row>
    <row r="215" spans="1:104" x14ac:dyDescent="0.2">
      <c r="A215">
        <v>214</v>
      </c>
      <c r="B215" t="e">
        <f>#REF!</f>
        <v>#REF!</v>
      </c>
      <c r="C215" t="e">
        <f>#REF!</f>
        <v>#REF!</v>
      </c>
      <c r="D215" t="e">
        <f>#REF!</f>
        <v>#REF!</v>
      </c>
      <c r="E215" t="e">
        <f>#REF!</f>
        <v>#REF!</v>
      </c>
      <c r="F215" t="e">
        <f>#REF!</f>
        <v>#REF!</v>
      </c>
      <c r="G215" t="e">
        <f>#REF!</f>
        <v>#REF!</v>
      </c>
      <c r="H215" t="e">
        <f>#REF!</f>
        <v>#REF!</v>
      </c>
      <c r="I215" t="e">
        <f>IF(#REF!="Case Cancelled",1,IF(#REF!="No Cases",2,0))</f>
        <v>#REF!</v>
      </c>
      <c r="J215" t="e">
        <f>#REF!</f>
        <v>#REF!</v>
      </c>
      <c r="K215" s="4" t="e">
        <f>#REF!</f>
        <v>#REF!</v>
      </c>
      <c r="L215" t="e">
        <f>"Wk "&amp;WEEKNUM(tbl_Case_mins[[#This Row],[Surgery Start Date]],21)</f>
        <v>#REF!</v>
      </c>
      <c r="M215" t="e">
        <f>TEXT(tbl_Case_mins[[#This Row],[Surgery Start Date]],"ddd")</f>
        <v>#REF!</v>
      </c>
      <c r="N215" s="9" t="e">
        <f>(#REF!-TIME(0,0,0))*1440</f>
        <v>#REF!</v>
      </c>
      <c r="O215" t="e">
        <f>IF(AND(ROUND((#REF!-TIME(0,0,0))*1440,0)&gt;0,ROUND((#REF!-TIME(0,0,0))*1440,0)&lt;tbl_Case_mins[[#This Row],[Patient Called]],tbl_Case_mins[[#This Row],[Surgery End Date]]&gt;tbl_Case_mins[[#This Row],[Surgery Start Date]]),ROUND((#REF!-TIME(0,0,0))*1440,0)+1440,ROUND((#REF!-TIME(0,0,0))*1440,0))</f>
        <v>#REF!</v>
      </c>
      <c r="P215" s="9" t="e">
        <f>IF(AND(ROUND((#REF!-TIME(0,0,0))*1440,0)&gt;0,ROUND((#REF!-TIME(0,0,0))*1440,0)&lt;tbl_Case_mins[[#This Row],[Arrival]],tbl_Case_mins[[#This Row],[Surgery End Date]]&gt;tbl_Case_mins[[#This Row],[Surgery Start Date]]),ROUND((#REF!-TIME(0,0,0))*1440,0)+1440,ROUND((#REF!-TIME(0,0,0))*1440,0))</f>
        <v>#REF!</v>
      </c>
      <c r="Q215" s="9" t="e">
        <f>IF(AND(ROUND((#REF!-TIME(0,0,0))*1440,0)&gt;0,ROUND((#REF!-TIME(0,0,0))*1440,0)&lt;tbl_Case_mins[[#This Row],[Into Th or AR]],tbl_Case_mins[[#This Row],[Surgery End Date]]&gt;tbl_Case_mins[[#This Row],[Surgery Start Date]]),ROUND((#REF!-TIME(0,0,0))*1440,0)+1440,ROUND((#REF!-TIME(0,0,0))*1440,0))</f>
        <v>#REF!</v>
      </c>
      <c r="R215" s="9" t="e">
        <f>IF(AND(ROUND((#REF!-TIME(0,0,0))*1440,0)&gt;0,ROUND((#REF!-TIME(0,0,0))*1440,0)&lt;tbl_Case_mins[[#This Row],[AnaesthStart]],tbl_Case_mins[[#This Row],[Surgery End Date]]&gt;tbl_Case_mins[[#This Row],[Surgery Start Date]]),ROUND((#REF!-TIME(0,0,0))*1440,0)+1440,ROUND((#REF!-TIME(0,0,0))*1440,0))</f>
        <v>#REF!</v>
      </c>
      <c r="S215" s="9" t="e">
        <f>IF(AND(ROUND((#REF!-TIME(0,0,0))*1440,0),ROUND((#REF!-TIME(0,0,0))*1440,0)&lt;tbl_Case_mins[[#This Row],[Surgery Start]],tbl_Case_mins[[#This Row],[Surgery End Date]]&gt;tbl_Case_mins[[#This Row],[Surgery Start Date]]),ROUND((#REF!-TIME(0,0,0))*1440,0)+1440,ROUND((#REF!-TIME(0,0,0))*1440,0))</f>
        <v>#REF!</v>
      </c>
      <c r="T215" s="9" t="e">
        <f>IF(AND(ROUND((#REF!-TIME(0,0,0))*1440,0)&gt;0,ROUND((#REF!-TIME(0,0,0))*1440,0)&lt;tbl_Case_mins[[#This Row],[Surgery Finish]],tbl_Case_mins[[#This Row],[Surgery End Date]]&gt;tbl_Case_mins[[#This Row],[Surgery Start Date]]),ROUND((#REF!-TIME(0,0,0))*1440,0)+1440,ROUND((#REF!-TIME(0,0,0))*1440,0))</f>
        <v>#REF!</v>
      </c>
      <c r="U215" s="9" t="e">
        <f>IF(AND(ROUND((#REF!-TIME(0,0,0))*1440,0)&gt;0,ROUND((#REF!-TIME(0,0,0))*1440,0)&lt;tbl_Case_mins[[#This Row],[Anaesth End]],tbl_Case_mins[[#This Row],[Surgery End Date]]&gt;tbl_Case_mins[[#This Row],[Surgery Start Date]]),ROUND((#REF!-TIME(0,0,0))*1440,0)+1440,ROUND((#REF!-TIME(0,0,0))*1440,0))</f>
        <v>#REF!</v>
      </c>
      <c r="V215" s="9" t="e">
        <f>IF(AND(ROUND((#REF!-TIME(0,0,0))*1440,0)&gt;0,ROUND((#REF!-TIME(0,0,0))*1440,0)&lt;tbl_Case_mins[[#This Row],[Into Recov]],tbl_Case_mins[[#This Row],[Surgery End Date]]&gt;tbl_Case_mins[[#This Row],[Surgery Start Date]]),ROUND((#REF!-TIME(0,0,0))*1440,0)+1440,ROUND((#REF!-TIME(0,0,0))*1440,0))</f>
        <v>#REF!</v>
      </c>
      <c r="W215" s="9" t="e">
        <f>IF(AND(ROUND((#REF!-TIME(0,0,0))*1440,0)&gt;0,ROUND((#REF!-TIME(0,0,0))*1440,0)&lt;tbl_Case_mins[[#This Row],[Ward Called]],tbl_Case_mins[[#This Row],[Surgery End Date]]&gt;tbl_Case_mins[[#This Row],[Surgery Start Date]]),ROUND((#REF!-TIME(0,0,0))*1440,0)+1440,ROUND((#REF!-TIME(0,0,0))*1440,0))</f>
        <v>#REF!</v>
      </c>
      <c r="X215" s="4" t="e">
        <f>IF(ISBLANK(#REF!),tbl_Case_mins[[#This Row],[Surgery Start Date]],#REF!)</f>
        <v>#REF!</v>
      </c>
      <c r="Y215">
        <f>IFERROR(IF(VLOOKUP(tbl_Case_mins[[#This Row],[Theatre]],'Mng Theatres'!$C$7:$G$12,3,FALSE)="Yes","Yes","No"),0)</f>
        <v>0</v>
      </c>
      <c r="Z215" s="9" t="e" cm="1">
        <f t="array" ref="Z21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5" s="9" t="e" cm="1">
        <f t="array" ref="AA21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5" s="9" t="e">
        <f>IF(tbl_Case_mins[[#This Row],[Case Type]]="Unsch",1,0)</f>
        <v>#REF!</v>
      </c>
      <c r="AD215" s="9" t="e">
        <f>IF(tbl_Case_mins[[#This Row],[Case Type]]="Sch",1,0)</f>
        <v>#REF!</v>
      </c>
      <c r="AE21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5" s="9">
        <f>IFERROR(IF(ISBLANK(INDEX(Am_Close,MATCH(1,INDEX((tbl_Case_mins[[#This Row],[Theatre]]=Theatre_No)*(tbl_Case_mins[[#This Row],[Surgery Start Date]]=Date),0,1),0))*1440),0,INDEX(Am_Close,MATCH(1,INDEX((tbl_Case_mins[[#This Row],[Theatre]]=Theatre_No)*(tbl_Case_mins[[#This Row],[Surgery Start Date]]=Date),0,1),0))*1440),0)</f>
        <v>0</v>
      </c>
      <c r="AG215" s="9">
        <f>IFERROR(IF(ISBLANK(INDEX(PM_Open,MATCH(1,INDEX((tbl_Case_mins[[#This Row],[Theatre]]=Theatre_No)*(tbl_Case_mins[[#This Row],[Surgery Start Date]]=Date),0,1),0))*1440),0,INDEX(PM_Open,MATCH(1,INDEX((tbl_Case_mins[[#This Row],[Theatre]]=Theatre_No)*(tbl_Case_mins[[#This Row],[Surgery Start Date]]=Date),0,1),0))*1440),0)</f>
        <v>0</v>
      </c>
      <c r="AH21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5" s="9" t="e">
        <f>IF(tbl_Case_mins[[#This Row],[ThOpenAm]]=0,tbl_Case_mins[[#This Row],[ThOpenPM]],tbl_Case_mins[[#This Row],[ThOpenAm]])</f>
        <v>#REF!</v>
      </c>
      <c r="AJ215" s="9" t="e">
        <f>IF(tbl_Case_mins[[#This Row],[ThCloseAm]]&gt;0,IF(tbl_Case_mins[[#This Row],[ThOpenPM]]&gt;0,tbl_Case_mins[[#This Row],[ThClosePm]],tbl_Case_mins[[#This Row],[ThCloseAm]]),tbl_Case_mins[[#This Row],[ThClosePm]])</f>
        <v>#REF!</v>
      </c>
      <c r="AK215" s="9" t="e">
        <f>IF(tbl_Case_mins[[#This Row],[TOT]]&gt;0,1,0)</f>
        <v>#REF!</v>
      </c>
      <c r="AL21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5" s="9" t="e">
        <f>IF(AND(tbl_Case_mins[[#This Row],[Surgery Status]]&lt;&gt;2,tbl_Case_mins[[#This Row],[InCoreCase]]=0,tbl_Case_mins[[#This Row],[CancelledCase]]=0),1,0)</f>
        <v>#REF!</v>
      </c>
      <c r="AN215" s="9" t="e">
        <f>IF(tbl_Case_mins[[#This Row],[Surgery Status]]=1,1,0)</f>
        <v>#REF!</v>
      </c>
      <c r="AO21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5" s="9" t="e">
        <f>IF(AND(tbl_Case_mins[[#This Row],[NonCoreCase]]=1,tbl_Case_mins[[#This Row],[NoInCoreTime]]=0),1,0)</f>
        <v>#REF!</v>
      </c>
      <c r="AQ215" s="9" t="e">
        <f>IF(tbl_Case_mins[[#This Row],[Rank_AnaEnd]]&lt;tbl_Case_mins[[#This Row],[Rank_AnaSt]],1,0)</f>
        <v>#REF!</v>
      </c>
      <c r="AR215" s="9" t="e">
        <f>IF(AND(tbl_Case_mins[[#This Row],[InCoreCase]]=1,tbl_Case_mins[[#This Row],[Sch]]=1),1,0)</f>
        <v>#REF!</v>
      </c>
      <c r="AS215" s="9" t="e">
        <f>IF(AND(tbl_Case_mins[[#This Row],[InCoreCase]]=1,tbl_Case_mins[[#This Row],[Unsch]]=1),1,0)</f>
        <v>#REF!</v>
      </c>
      <c r="AT21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5" s="9" t="e">
        <f>IF(tbl_Case_mins[[#This Row],[Surgery Status]]=0,(tbl_Case_mins[[#This Row],[Anaesth End]]-tbl_Case_mins[[#This Row],[AnaesthStart]]),0)</f>
        <v>#REF!</v>
      </c>
      <c r="AX215" s="9" t="e">
        <f>IF(tbl_Case_mins[[#This Row],[Surgery Status]]=0,(tbl_Case_mins[[#This Row],[Surgery Finish]]-tbl_Case_mins[[#This Row],[Surgery Start]]),0)</f>
        <v>#REF!</v>
      </c>
      <c r="AY215" s="9" t="e">
        <f>tbl_Case_mins[[#This Row],[Surgery Start]]-tbl_Case_mins[[#This Row],[AnaesthStart]]</f>
        <v>#REF!</v>
      </c>
      <c r="AZ215" s="9" t="e">
        <f>tbl_Case_mins[[#This Row],[Anaesth End]]-tbl_Case_mins[[#This Row],[Surgery Finish]]</f>
        <v>#REF!</v>
      </c>
      <c r="BA21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5" s="16" cm="1">
        <f t="array" ref="BC21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5" s="16" t="e">
        <f>IF(AND(tbl_Case_mins[[#This Row],[FirstAMCase]]=1,tbl_Case_mins[[#This Row],[CancelledCase]]=0,OR(tbl_Case_mins[[#This Row],[EarlyStartAM]]&gt;0,tbl_Case_mins[[#This Row],[AnaesthStart]]=tbl_Case_mins[[#This Row],[ThOpenAm]])),1,0)</f>
        <v>#REF!</v>
      </c>
      <c r="BE215" s="16" t="e">
        <f>IF(AND(tbl_Case_mins[[#This Row],[Rank_AnaSt]]=tbl_Case_mins[[#This Row],[Min_RankAnaSt]],tbl_Case_mins[[#This Row],[Anaesth End]]&gt;=tbl_Case_mins[[#This Row],[ThOpenAm]],tbl_Case_mins[[#This Row],[PmCase]]=0),1,0)</f>
        <v>#REF!</v>
      </c>
      <c r="BF21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5" s="9" t="e" cm="1">
        <f t="array" ref="BH21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5" s="9" t="e">
        <f>IF(AND(tbl_Case_mins[[#This Row],[ThOpenPM]]&gt;0,tbl_Case_mins[[#This Row],[AnaesthStart]]&gt;tbl_Case_mins[[#This Row],[ThOpenPM]],tbl_Case_mins[[#This Row],[First PM Case]]=1),tbl_Case_mins[[#This Row],[AnaesthStart]]-tbl_Case_mins[[#This Row],[ThOpenPM]],0)</f>
        <v>#REF!</v>
      </c>
      <c r="BL21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5" s="9" t="e" cm="1">
        <f t="array" ref="BN21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5" s="9" t="e">
        <f>IF(AND(tbl_Case_mins[[#This Row],[ThClosePm]]&gt;0,tbl_Case_mins[[#This Row],[Anaesth End]]&gt;tbl_Case_mins[[#This Row],[ThClosePm]],tbl_Case_mins[[#This Row],[AnaesthStart]]&gt;tbl_Case_mins[[#This Row],[ThClosePm]]),tbl_Case_mins[[#This Row],[Into Recov]]-tbl_Case_mins[[#This Row],[AnaesthStart]],0)</f>
        <v>#REF!</v>
      </c>
      <c r="BP215" s="9" t="e">
        <f>IF(AND(tbl_Case_mins[[#This Row],[AnaesthStart]]&lt;tbl_Case_mins[[#This Row],[ThClosePm]],tbl_Case_mins[[#This Row],[Anaesth End]]&gt;tbl_Case_mins[[#This Row],[ThClosePm]]),tbl_Case_mins[[#This Row],[Anaesth End]]-tbl_Case_mins[[#This Row],[ThClosePm]],0)</f>
        <v>#REF!</v>
      </c>
      <c r="BQ215" s="9" t="e" cm="1">
        <f t="array" ref="BQ21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5" s="9" t="e" cm="1">
        <f t="array" ref="BR215">IF(tbl_Case_mins[[#This Row],[Rank_Adjust]]=SUMPRODUCT(-(tbl_Case_mins[Surgery Start Date]=tbl_Case_mins[[#This Row],[Surgery Start Date]]),-(tbl_Case_mins[Theatre]=tbl_Case_mins[[#This Row],[Theatre]])),INDEX(Poss_Time,MATCH(TEXT(tbl_Case_mins[[#This Row],[Surgery Start Date]],"ddd"),Day,0)),0)</f>
        <v>#REF!</v>
      </c>
      <c r="BS215" s="9" t="e">
        <f>tbl_Case_mins[[#This Row],[Core_Time]]*Util_Goal</f>
        <v>#REF!</v>
      </c>
      <c r="BT215" s="9" t="e" cm="1">
        <f t="array" ref="BT2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5" s="9" t="e" cm="1">
        <f t="array" ref="BU2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5" s="9" t="e">
        <f>IF(tbl_Case_mins[[#This Row],[Surgery End Date]]&gt;tbl_Case_mins[[#This Row],[Surgery Start Date]],tbl_Case_mins[[#This Row],[Anaesth End]]-1440,0)</f>
        <v>#REF!</v>
      </c>
      <c r="BY215" s="9" t="e">
        <f>tbl_Case_mins[[#This Row],[Total_NonCore]]-tbl_Case_mins[[#This Row],[NextDay_NonCore]]</f>
        <v>#REF!</v>
      </c>
      <c r="BZ215" s="10" t="e">
        <f>tbl_Case_mins[[#This Row],[InCoreUse]]/60</f>
        <v>#REF!</v>
      </c>
      <c r="CA215" s="10" t="e">
        <f>tbl_Case_mins[[#This Row],[Total_NonCore]]/60</f>
        <v>#REF!</v>
      </c>
      <c r="CB215" t="e" cm="1">
        <f t="array" ref="CB2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5" s="9" t="e" cm="1">
        <f t="array" ref="CC21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5" s="9" t="e" cm="1">
        <f t="array" ref="CD2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5" s="9" t="e" cm="1">
        <f t="array" ref="CE21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5" s="9" cm="1">
        <f t="array" ref="CF215">IFERROR(_xlfn.AGGREGATE(14,6,(tbl_Case_mins[Rank_AnaEnd])/((tbl_Case_mins[Surgery Start Date]=tbl_Case_mins[[#This Row],[Surgery Start Date]])*(tbl_Case_mins[Theatre]=tbl_Case_mins[[#This Row],[Theatre]])*(tbl_Case_mins[NoInCoreTime]=0)),1),-1)</f>
        <v>-1</v>
      </c>
      <c r="CG215" s="9" cm="1">
        <f t="array" ref="CG215">IFERROR(_xlfn.AGGREGATE(15,6,(tbl_Case_mins[Rank_AnaSt])/((tbl_Case_mins[Surgery Start Date]=tbl_Case_mins[[#This Row],[Surgery Start Date]])*(tbl_Case_mins[Theatre]=tbl_Case_mins[[#This Row],[Theatre]])*(tbl_Case_mins[NoInCoreTime]=0)),1),-1)</f>
        <v>-1</v>
      </c>
      <c r="CH21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5" t="e" cm="1">
        <f t="array" ref="CJ21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5" s="9" cm="1">
        <f t="array" ref="CO2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5" s="9" cm="1">
        <f t="array" ref="CP2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5" s="9" cm="1">
        <f t="array" ref="CQ215">IFERROR(IF(AND(tbl_Case_mins[[#This Row],[FirstAMCase]]=0,tbl_Case_mins[[#This Row],[Rank]]=_xlfn.AGGREGATE(14,6,(tbl_Case_mins[Rank])/((tbl_Case_mins[Surgery Start Date]=tbl_Case_mins[[#This Row],[Surgery Start Date]])*(tbl_Case_mins[Theatre]=tbl_Case_mins[[#This Row],[Theatre]])*(tbl_Case_mins[AmCase]=1)),1)),1,0),0)</f>
        <v>0</v>
      </c>
      <c r="CR215" s="9" cm="1">
        <f t="array" ref="CR21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5" s="9" t="e" cm="1">
        <f t="array" ref="CS21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5" s="9" cm="1">
        <f t="array" ref="CT215">IFERROR(IF(tbl_Case_mins[[#This Row],[Rank]]=_xlfn.AGGREGATE(15,6,(tbl_Case_mins[Rank])/((tbl_Case_mins[Surgery Start Date]=tbl_Case_mins[[#This Row],[Surgery Start Date]])*(tbl_Case_mins[Theatre]=tbl_Case_mins[[#This Row],[Theatre]])*(tbl_Case_mins[PmCase]=1)),1),1,0),0)</f>
        <v>0</v>
      </c>
      <c r="CU215">
        <f>IFERROR(#REF!,0)</f>
        <v>0</v>
      </c>
      <c r="CV215" s="9" t="e" cm="1">
        <f t="array" ref="CV21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5" s="9">
        <f>IFERROR(IF(ISBLANK(INDEX(Bay_AmClose,MATCH(1,INDEX((tbl_Case_mins[[#This Row],[Bay]]=BayNo)*(tbl_Case_mins[[#This Row],[Surgery Start Date]]=BDate),0,1),0))*1440),0,INDEX(Bay_AmClose,MATCH(1,INDEX((tbl_Case_mins[[#This Row],[Bay]]=BayNo)*(tbl_Case_mins[[#This Row],[Surgery Start Date]]=BDate),0,1),0))*1440),0)</f>
        <v>0</v>
      </c>
      <c r="CX215" s="9" cm="1">
        <f t="array" ref="CX215">IFERROR(IF(ISBLANK(INDEX(Bay_PmOpen,MATCH(1,INDEX((tbl_Case_mins[[#This Row],[Bay]]=BayNo)*(tbl_Case_mins[[#This Row],[Surgery Start Date]]=BDate),0,1),0))*1440),0,INDEX(Bay_PmOpen,MATCH(1,INDEX((tbl_Case_mins[[#This Row],[Bay]]=BayNo)*(tbl_Case_mins[[#This Row],[Surgery Start Date]]=BDate),0,1),0))*1440),0)</f>
        <v>0</v>
      </c>
      <c r="CY21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5" s="9"/>
    </row>
    <row r="216" spans="1:104" x14ac:dyDescent="0.2">
      <c r="A216">
        <v>215</v>
      </c>
      <c r="B216" t="e">
        <f>#REF!</f>
        <v>#REF!</v>
      </c>
      <c r="C216" t="e">
        <f>#REF!</f>
        <v>#REF!</v>
      </c>
      <c r="D216" t="e">
        <f>#REF!</f>
        <v>#REF!</v>
      </c>
      <c r="E216" t="e">
        <f>#REF!</f>
        <v>#REF!</v>
      </c>
      <c r="F216" t="e">
        <f>#REF!</f>
        <v>#REF!</v>
      </c>
      <c r="G216" t="e">
        <f>#REF!</f>
        <v>#REF!</v>
      </c>
      <c r="H216" t="e">
        <f>#REF!</f>
        <v>#REF!</v>
      </c>
      <c r="I216" t="e">
        <f>IF(#REF!="Case Cancelled",1,IF(#REF!="No Cases",2,0))</f>
        <v>#REF!</v>
      </c>
      <c r="J216" t="e">
        <f>#REF!</f>
        <v>#REF!</v>
      </c>
      <c r="K216" s="4" t="e">
        <f>#REF!</f>
        <v>#REF!</v>
      </c>
      <c r="L216" t="e">
        <f>"Wk "&amp;WEEKNUM(tbl_Case_mins[[#This Row],[Surgery Start Date]],21)</f>
        <v>#REF!</v>
      </c>
      <c r="M216" t="e">
        <f>TEXT(tbl_Case_mins[[#This Row],[Surgery Start Date]],"ddd")</f>
        <v>#REF!</v>
      </c>
      <c r="N216" s="9" t="e">
        <f>(#REF!-TIME(0,0,0))*1440</f>
        <v>#REF!</v>
      </c>
      <c r="O216" t="e">
        <f>IF(AND(ROUND((#REF!-TIME(0,0,0))*1440,0)&gt;0,ROUND((#REF!-TIME(0,0,0))*1440,0)&lt;tbl_Case_mins[[#This Row],[Patient Called]],tbl_Case_mins[[#This Row],[Surgery End Date]]&gt;tbl_Case_mins[[#This Row],[Surgery Start Date]]),ROUND((#REF!-TIME(0,0,0))*1440,0)+1440,ROUND((#REF!-TIME(0,0,0))*1440,0))</f>
        <v>#REF!</v>
      </c>
      <c r="P216" s="9" t="e">
        <f>IF(AND(ROUND((#REF!-TIME(0,0,0))*1440,0)&gt;0,ROUND((#REF!-TIME(0,0,0))*1440,0)&lt;tbl_Case_mins[[#This Row],[Arrival]],tbl_Case_mins[[#This Row],[Surgery End Date]]&gt;tbl_Case_mins[[#This Row],[Surgery Start Date]]),ROUND((#REF!-TIME(0,0,0))*1440,0)+1440,ROUND((#REF!-TIME(0,0,0))*1440,0))</f>
        <v>#REF!</v>
      </c>
      <c r="Q216" s="9" t="e">
        <f>IF(AND(ROUND((#REF!-TIME(0,0,0))*1440,0)&gt;0,ROUND((#REF!-TIME(0,0,0))*1440,0)&lt;tbl_Case_mins[[#This Row],[Into Th or AR]],tbl_Case_mins[[#This Row],[Surgery End Date]]&gt;tbl_Case_mins[[#This Row],[Surgery Start Date]]),ROUND((#REF!-TIME(0,0,0))*1440,0)+1440,ROUND((#REF!-TIME(0,0,0))*1440,0))</f>
        <v>#REF!</v>
      </c>
      <c r="R216" s="9" t="e">
        <f>IF(AND(ROUND((#REF!-TIME(0,0,0))*1440,0)&gt;0,ROUND((#REF!-TIME(0,0,0))*1440,0)&lt;tbl_Case_mins[[#This Row],[AnaesthStart]],tbl_Case_mins[[#This Row],[Surgery End Date]]&gt;tbl_Case_mins[[#This Row],[Surgery Start Date]]),ROUND((#REF!-TIME(0,0,0))*1440,0)+1440,ROUND((#REF!-TIME(0,0,0))*1440,0))</f>
        <v>#REF!</v>
      </c>
      <c r="S216" s="9" t="e">
        <f>IF(AND(ROUND((#REF!-TIME(0,0,0))*1440,0),ROUND((#REF!-TIME(0,0,0))*1440,0)&lt;tbl_Case_mins[[#This Row],[Surgery Start]],tbl_Case_mins[[#This Row],[Surgery End Date]]&gt;tbl_Case_mins[[#This Row],[Surgery Start Date]]),ROUND((#REF!-TIME(0,0,0))*1440,0)+1440,ROUND((#REF!-TIME(0,0,0))*1440,0))</f>
        <v>#REF!</v>
      </c>
      <c r="T216" s="9" t="e">
        <f>IF(AND(ROUND((#REF!-TIME(0,0,0))*1440,0)&gt;0,ROUND((#REF!-TIME(0,0,0))*1440,0)&lt;tbl_Case_mins[[#This Row],[Surgery Finish]],tbl_Case_mins[[#This Row],[Surgery End Date]]&gt;tbl_Case_mins[[#This Row],[Surgery Start Date]]),ROUND((#REF!-TIME(0,0,0))*1440,0)+1440,ROUND((#REF!-TIME(0,0,0))*1440,0))</f>
        <v>#REF!</v>
      </c>
      <c r="U216" s="9" t="e">
        <f>IF(AND(ROUND((#REF!-TIME(0,0,0))*1440,0)&gt;0,ROUND((#REF!-TIME(0,0,0))*1440,0)&lt;tbl_Case_mins[[#This Row],[Anaesth End]],tbl_Case_mins[[#This Row],[Surgery End Date]]&gt;tbl_Case_mins[[#This Row],[Surgery Start Date]]),ROUND((#REF!-TIME(0,0,0))*1440,0)+1440,ROUND((#REF!-TIME(0,0,0))*1440,0))</f>
        <v>#REF!</v>
      </c>
      <c r="V216" s="9" t="e">
        <f>IF(AND(ROUND((#REF!-TIME(0,0,0))*1440,0)&gt;0,ROUND((#REF!-TIME(0,0,0))*1440,0)&lt;tbl_Case_mins[[#This Row],[Into Recov]],tbl_Case_mins[[#This Row],[Surgery End Date]]&gt;tbl_Case_mins[[#This Row],[Surgery Start Date]]),ROUND((#REF!-TIME(0,0,0))*1440,0)+1440,ROUND((#REF!-TIME(0,0,0))*1440,0))</f>
        <v>#REF!</v>
      </c>
      <c r="W216" s="9" t="e">
        <f>IF(AND(ROUND((#REF!-TIME(0,0,0))*1440,0)&gt;0,ROUND((#REF!-TIME(0,0,0))*1440,0)&lt;tbl_Case_mins[[#This Row],[Ward Called]],tbl_Case_mins[[#This Row],[Surgery End Date]]&gt;tbl_Case_mins[[#This Row],[Surgery Start Date]]),ROUND((#REF!-TIME(0,0,0))*1440,0)+1440,ROUND((#REF!-TIME(0,0,0))*1440,0))</f>
        <v>#REF!</v>
      </c>
      <c r="X216" s="4" t="e">
        <f>IF(ISBLANK(#REF!),tbl_Case_mins[[#This Row],[Surgery Start Date]],#REF!)</f>
        <v>#REF!</v>
      </c>
      <c r="Y216">
        <f>IFERROR(IF(VLOOKUP(tbl_Case_mins[[#This Row],[Theatre]],'Mng Theatres'!$C$7:$G$12,3,FALSE)="Yes","Yes","No"),0)</f>
        <v>0</v>
      </c>
      <c r="Z216" s="9" t="e" cm="1">
        <f t="array" ref="Z21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6" s="9" t="e" cm="1">
        <f t="array" ref="AA21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6" s="9" t="e">
        <f>IF(tbl_Case_mins[[#This Row],[Case Type]]="Unsch",1,0)</f>
        <v>#REF!</v>
      </c>
      <c r="AD216" s="9" t="e">
        <f>IF(tbl_Case_mins[[#This Row],[Case Type]]="Sch",1,0)</f>
        <v>#REF!</v>
      </c>
      <c r="AE21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6" s="9">
        <f>IFERROR(IF(ISBLANK(INDEX(Am_Close,MATCH(1,INDEX((tbl_Case_mins[[#This Row],[Theatre]]=Theatre_No)*(tbl_Case_mins[[#This Row],[Surgery Start Date]]=Date),0,1),0))*1440),0,INDEX(Am_Close,MATCH(1,INDEX((tbl_Case_mins[[#This Row],[Theatre]]=Theatre_No)*(tbl_Case_mins[[#This Row],[Surgery Start Date]]=Date),0,1),0))*1440),0)</f>
        <v>0</v>
      </c>
      <c r="AG216" s="9">
        <f>IFERROR(IF(ISBLANK(INDEX(PM_Open,MATCH(1,INDEX((tbl_Case_mins[[#This Row],[Theatre]]=Theatre_No)*(tbl_Case_mins[[#This Row],[Surgery Start Date]]=Date),0,1),0))*1440),0,INDEX(PM_Open,MATCH(1,INDEX((tbl_Case_mins[[#This Row],[Theatre]]=Theatre_No)*(tbl_Case_mins[[#This Row],[Surgery Start Date]]=Date),0,1),0))*1440),0)</f>
        <v>0</v>
      </c>
      <c r="AH21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6" s="9" t="e">
        <f>IF(tbl_Case_mins[[#This Row],[ThOpenAm]]=0,tbl_Case_mins[[#This Row],[ThOpenPM]],tbl_Case_mins[[#This Row],[ThOpenAm]])</f>
        <v>#REF!</v>
      </c>
      <c r="AJ216" s="9" t="e">
        <f>IF(tbl_Case_mins[[#This Row],[ThCloseAm]]&gt;0,IF(tbl_Case_mins[[#This Row],[ThOpenPM]]&gt;0,tbl_Case_mins[[#This Row],[ThClosePm]],tbl_Case_mins[[#This Row],[ThCloseAm]]),tbl_Case_mins[[#This Row],[ThClosePm]])</f>
        <v>#REF!</v>
      </c>
      <c r="AK216" s="9" t="e">
        <f>IF(tbl_Case_mins[[#This Row],[TOT]]&gt;0,1,0)</f>
        <v>#REF!</v>
      </c>
      <c r="AL21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6" s="9" t="e">
        <f>IF(AND(tbl_Case_mins[[#This Row],[Surgery Status]]&lt;&gt;2,tbl_Case_mins[[#This Row],[InCoreCase]]=0,tbl_Case_mins[[#This Row],[CancelledCase]]=0),1,0)</f>
        <v>#REF!</v>
      </c>
      <c r="AN216" s="9" t="e">
        <f>IF(tbl_Case_mins[[#This Row],[Surgery Status]]=1,1,0)</f>
        <v>#REF!</v>
      </c>
      <c r="AO21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6" s="9" t="e">
        <f>IF(AND(tbl_Case_mins[[#This Row],[NonCoreCase]]=1,tbl_Case_mins[[#This Row],[NoInCoreTime]]=0),1,0)</f>
        <v>#REF!</v>
      </c>
      <c r="AQ216" s="9" t="e">
        <f>IF(tbl_Case_mins[[#This Row],[Rank_AnaEnd]]&lt;tbl_Case_mins[[#This Row],[Rank_AnaSt]],1,0)</f>
        <v>#REF!</v>
      </c>
      <c r="AR216" s="9" t="e">
        <f>IF(AND(tbl_Case_mins[[#This Row],[InCoreCase]]=1,tbl_Case_mins[[#This Row],[Sch]]=1),1,0)</f>
        <v>#REF!</v>
      </c>
      <c r="AS216" s="9" t="e">
        <f>IF(AND(tbl_Case_mins[[#This Row],[InCoreCase]]=1,tbl_Case_mins[[#This Row],[Unsch]]=1),1,0)</f>
        <v>#REF!</v>
      </c>
      <c r="AT21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6" s="9" t="e">
        <f>IF(tbl_Case_mins[[#This Row],[Surgery Status]]=0,(tbl_Case_mins[[#This Row],[Anaesth End]]-tbl_Case_mins[[#This Row],[AnaesthStart]]),0)</f>
        <v>#REF!</v>
      </c>
      <c r="AX216" s="9" t="e">
        <f>IF(tbl_Case_mins[[#This Row],[Surgery Status]]=0,(tbl_Case_mins[[#This Row],[Surgery Finish]]-tbl_Case_mins[[#This Row],[Surgery Start]]),0)</f>
        <v>#REF!</v>
      </c>
      <c r="AY216" s="9" t="e">
        <f>tbl_Case_mins[[#This Row],[Surgery Start]]-tbl_Case_mins[[#This Row],[AnaesthStart]]</f>
        <v>#REF!</v>
      </c>
      <c r="AZ216" s="9" t="e">
        <f>tbl_Case_mins[[#This Row],[Anaesth End]]-tbl_Case_mins[[#This Row],[Surgery Finish]]</f>
        <v>#REF!</v>
      </c>
      <c r="BA21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6" s="16" cm="1">
        <f t="array" ref="BC21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6" s="16" t="e">
        <f>IF(AND(tbl_Case_mins[[#This Row],[FirstAMCase]]=1,tbl_Case_mins[[#This Row],[CancelledCase]]=0,OR(tbl_Case_mins[[#This Row],[EarlyStartAM]]&gt;0,tbl_Case_mins[[#This Row],[AnaesthStart]]=tbl_Case_mins[[#This Row],[ThOpenAm]])),1,0)</f>
        <v>#REF!</v>
      </c>
      <c r="BE216" s="16" t="e">
        <f>IF(AND(tbl_Case_mins[[#This Row],[Rank_AnaSt]]=tbl_Case_mins[[#This Row],[Min_RankAnaSt]],tbl_Case_mins[[#This Row],[Anaesth End]]&gt;=tbl_Case_mins[[#This Row],[ThOpenAm]],tbl_Case_mins[[#This Row],[PmCase]]=0),1,0)</f>
        <v>#REF!</v>
      </c>
      <c r="BF21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6" s="9" t="e" cm="1">
        <f t="array" ref="BH21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6" s="9" t="e">
        <f>IF(AND(tbl_Case_mins[[#This Row],[ThOpenPM]]&gt;0,tbl_Case_mins[[#This Row],[AnaesthStart]]&gt;tbl_Case_mins[[#This Row],[ThOpenPM]],tbl_Case_mins[[#This Row],[First PM Case]]=1),tbl_Case_mins[[#This Row],[AnaesthStart]]-tbl_Case_mins[[#This Row],[ThOpenPM]],0)</f>
        <v>#REF!</v>
      </c>
      <c r="BL21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6" s="9" t="e" cm="1">
        <f t="array" ref="BN21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6" s="9" t="e">
        <f>IF(AND(tbl_Case_mins[[#This Row],[ThClosePm]]&gt;0,tbl_Case_mins[[#This Row],[Anaesth End]]&gt;tbl_Case_mins[[#This Row],[ThClosePm]],tbl_Case_mins[[#This Row],[AnaesthStart]]&gt;tbl_Case_mins[[#This Row],[ThClosePm]]),tbl_Case_mins[[#This Row],[Into Recov]]-tbl_Case_mins[[#This Row],[AnaesthStart]],0)</f>
        <v>#REF!</v>
      </c>
      <c r="BP216" s="9" t="e">
        <f>IF(AND(tbl_Case_mins[[#This Row],[AnaesthStart]]&lt;tbl_Case_mins[[#This Row],[ThClosePm]],tbl_Case_mins[[#This Row],[Anaesth End]]&gt;tbl_Case_mins[[#This Row],[ThClosePm]]),tbl_Case_mins[[#This Row],[Anaesth End]]-tbl_Case_mins[[#This Row],[ThClosePm]],0)</f>
        <v>#REF!</v>
      </c>
      <c r="BQ216" s="9" t="e" cm="1">
        <f t="array" ref="BQ21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6" s="9" t="e" cm="1">
        <f t="array" ref="BR216">IF(tbl_Case_mins[[#This Row],[Rank_Adjust]]=SUMPRODUCT(-(tbl_Case_mins[Surgery Start Date]=tbl_Case_mins[[#This Row],[Surgery Start Date]]),-(tbl_Case_mins[Theatre]=tbl_Case_mins[[#This Row],[Theatre]])),INDEX(Poss_Time,MATCH(TEXT(tbl_Case_mins[[#This Row],[Surgery Start Date]],"ddd"),Day,0)),0)</f>
        <v>#REF!</v>
      </c>
      <c r="BS216" s="9" t="e">
        <f>tbl_Case_mins[[#This Row],[Core_Time]]*Util_Goal</f>
        <v>#REF!</v>
      </c>
      <c r="BT216" s="9" t="e" cm="1">
        <f t="array" ref="BT2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6" s="9" t="e" cm="1">
        <f t="array" ref="BU2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6" s="9" t="e">
        <f>IF(tbl_Case_mins[[#This Row],[Surgery End Date]]&gt;tbl_Case_mins[[#This Row],[Surgery Start Date]],tbl_Case_mins[[#This Row],[Anaesth End]]-1440,0)</f>
        <v>#REF!</v>
      </c>
      <c r="BY216" s="9" t="e">
        <f>tbl_Case_mins[[#This Row],[Total_NonCore]]-tbl_Case_mins[[#This Row],[NextDay_NonCore]]</f>
        <v>#REF!</v>
      </c>
      <c r="BZ216" s="10" t="e">
        <f>tbl_Case_mins[[#This Row],[InCoreUse]]/60</f>
        <v>#REF!</v>
      </c>
      <c r="CA216" s="10" t="e">
        <f>tbl_Case_mins[[#This Row],[Total_NonCore]]/60</f>
        <v>#REF!</v>
      </c>
      <c r="CB216" t="e" cm="1">
        <f t="array" ref="CB2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6" s="9" t="e" cm="1">
        <f t="array" ref="CC21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6" s="9" t="e" cm="1">
        <f t="array" ref="CD2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6" s="9" t="e" cm="1">
        <f t="array" ref="CE21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6" s="9" cm="1">
        <f t="array" ref="CF216">IFERROR(_xlfn.AGGREGATE(14,6,(tbl_Case_mins[Rank_AnaEnd])/((tbl_Case_mins[Surgery Start Date]=tbl_Case_mins[[#This Row],[Surgery Start Date]])*(tbl_Case_mins[Theatre]=tbl_Case_mins[[#This Row],[Theatre]])*(tbl_Case_mins[NoInCoreTime]=0)),1),-1)</f>
        <v>-1</v>
      </c>
      <c r="CG216" s="9" cm="1">
        <f t="array" ref="CG216">IFERROR(_xlfn.AGGREGATE(15,6,(tbl_Case_mins[Rank_AnaSt])/((tbl_Case_mins[Surgery Start Date]=tbl_Case_mins[[#This Row],[Surgery Start Date]])*(tbl_Case_mins[Theatre]=tbl_Case_mins[[#This Row],[Theatre]])*(tbl_Case_mins[NoInCoreTime]=0)),1),-1)</f>
        <v>-1</v>
      </c>
      <c r="CH21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6" t="e" cm="1">
        <f t="array" ref="CJ21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6" s="9" cm="1">
        <f t="array" ref="CO2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6" s="9" cm="1">
        <f t="array" ref="CP2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6" s="9" cm="1">
        <f t="array" ref="CQ216">IFERROR(IF(AND(tbl_Case_mins[[#This Row],[FirstAMCase]]=0,tbl_Case_mins[[#This Row],[Rank]]=_xlfn.AGGREGATE(14,6,(tbl_Case_mins[Rank])/((tbl_Case_mins[Surgery Start Date]=tbl_Case_mins[[#This Row],[Surgery Start Date]])*(tbl_Case_mins[Theatre]=tbl_Case_mins[[#This Row],[Theatre]])*(tbl_Case_mins[AmCase]=1)),1)),1,0),0)</f>
        <v>0</v>
      </c>
      <c r="CR216" s="9" cm="1">
        <f t="array" ref="CR21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6" s="9" t="e" cm="1">
        <f t="array" ref="CS21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6" s="9" cm="1">
        <f t="array" ref="CT216">IFERROR(IF(tbl_Case_mins[[#This Row],[Rank]]=_xlfn.AGGREGATE(15,6,(tbl_Case_mins[Rank])/((tbl_Case_mins[Surgery Start Date]=tbl_Case_mins[[#This Row],[Surgery Start Date]])*(tbl_Case_mins[Theatre]=tbl_Case_mins[[#This Row],[Theatre]])*(tbl_Case_mins[PmCase]=1)),1),1,0),0)</f>
        <v>0</v>
      </c>
      <c r="CU216">
        <f>IFERROR(#REF!,0)</f>
        <v>0</v>
      </c>
      <c r="CV216" s="9" t="e" cm="1">
        <f t="array" ref="CV21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6" s="9">
        <f>IFERROR(IF(ISBLANK(INDEX(Bay_AmClose,MATCH(1,INDEX((tbl_Case_mins[[#This Row],[Bay]]=BayNo)*(tbl_Case_mins[[#This Row],[Surgery Start Date]]=BDate),0,1),0))*1440),0,INDEX(Bay_AmClose,MATCH(1,INDEX((tbl_Case_mins[[#This Row],[Bay]]=BayNo)*(tbl_Case_mins[[#This Row],[Surgery Start Date]]=BDate),0,1),0))*1440),0)</f>
        <v>0</v>
      </c>
      <c r="CX216" s="9" cm="1">
        <f t="array" ref="CX216">IFERROR(IF(ISBLANK(INDEX(Bay_PmOpen,MATCH(1,INDEX((tbl_Case_mins[[#This Row],[Bay]]=BayNo)*(tbl_Case_mins[[#This Row],[Surgery Start Date]]=BDate),0,1),0))*1440),0,INDEX(Bay_PmOpen,MATCH(1,INDEX((tbl_Case_mins[[#This Row],[Bay]]=BayNo)*(tbl_Case_mins[[#This Row],[Surgery Start Date]]=BDate),0,1),0))*1440),0)</f>
        <v>0</v>
      </c>
      <c r="CY21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6" s="9"/>
    </row>
    <row r="217" spans="1:104" x14ac:dyDescent="0.2">
      <c r="A217">
        <v>216</v>
      </c>
      <c r="B217" t="e">
        <f>#REF!</f>
        <v>#REF!</v>
      </c>
      <c r="C217" t="e">
        <f>#REF!</f>
        <v>#REF!</v>
      </c>
      <c r="D217" t="e">
        <f>#REF!</f>
        <v>#REF!</v>
      </c>
      <c r="E217" t="e">
        <f>#REF!</f>
        <v>#REF!</v>
      </c>
      <c r="F217" t="e">
        <f>#REF!</f>
        <v>#REF!</v>
      </c>
      <c r="G217" t="e">
        <f>#REF!</f>
        <v>#REF!</v>
      </c>
      <c r="H217" t="e">
        <f>#REF!</f>
        <v>#REF!</v>
      </c>
      <c r="I217" t="e">
        <f>IF(#REF!="Case Cancelled",1,IF(#REF!="No Cases",2,0))</f>
        <v>#REF!</v>
      </c>
      <c r="J217" t="e">
        <f>#REF!</f>
        <v>#REF!</v>
      </c>
      <c r="K217" s="4" t="e">
        <f>#REF!</f>
        <v>#REF!</v>
      </c>
      <c r="L217" t="e">
        <f>"Wk "&amp;WEEKNUM(tbl_Case_mins[[#This Row],[Surgery Start Date]],21)</f>
        <v>#REF!</v>
      </c>
      <c r="M217" t="e">
        <f>TEXT(tbl_Case_mins[[#This Row],[Surgery Start Date]],"ddd")</f>
        <v>#REF!</v>
      </c>
      <c r="N217" s="9" t="e">
        <f>(#REF!-TIME(0,0,0))*1440</f>
        <v>#REF!</v>
      </c>
      <c r="O217" t="e">
        <f>IF(AND(ROUND((#REF!-TIME(0,0,0))*1440,0)&gt;0,ROUND((#REF!-TIME(0,0,0))*1440,0)&lt;tbl_Case_mins[[#This Row],[Patient Called]],tbl_Case_mins[[#This Row],[Surgery End Date]]&gt;tbl_Case_mins[[#This Row],[Surgery Start Date]]),ROUND((#REF!-TIME(0,0,0))*1440,0)+1440,ROUND((#REF!-TIME(0,0,0))*1440,0))</f>
        <v>#REF!</v>
      </c>
      <c r="P217" s="9" t="e">
        <f>IF(AND(ROUND((#REF!-TIME(0,0,0))*1440,0)&gt;0,ROUND((#REF!-TIME(0,0,0))*1440,0)&lt;tbl_Case_mins[[#This Row],[Arrival]],tbl_Case_mins[[#This Row],[Surgery End Date]]&gt;tbl_Case_mins[[#This Row],[Surgery Start Date]]),ROUND((#REF!-TIME(0,0,0))*1440,0)+1440,ROUND((#REF!-TIME(0,0,0))*1440,0))</f>
        <v>#REF!</v>
      </c>
      <c r="Q217" s="9" t="e">
        <f>IF(AND(ROUND((#REF!-TIME(0,0,0))*1440,0)&gt;0,ROUND((#REF!-TIME(0,0,0))*1440,0)&lt;tbl_Case_mins[[#This Row],[Into Th or AR]],tbl_Case_mins[[#This Row],[Surgery End Date]]&gt;tbl_Case_mins[[#This Row],[Surgery Start Date]]),ROUND((#REF!-TIME(0,0,0))*1440,0)+1440,ROUND((#REF!-TIME(0,0,0))*1440,0))</f>
        <v>#REF!</v>
      </c>
      <c r="R217" s="9" t="e">
        <f>IF(AND(ROUND((#REF!-TIME(0,0,0))*1440,0)&gt;0,ROUND((#REF!-TIME(0,0,0))*1440,0)&lt;tbl_Case_mins[[#This Row],[AnaesthStart]],tbl_Case_mins[[#This Row],[Surgery End Date]]&gt;tbl_Case_mins[[#This Row],[Surgery Start Date]]),ROUND((#REF!-TIME(0,0,0))*1440,0)+1440,ROUND((#REF!-TIME(0,0,0))*1440,0))</f>
        <v>#REF!</v>
      </c>
      <c r="S217" s="9" t="e">
        <f>IF(AND(ROUND((#REF!-TIME(0,0,0))*1440,0),ROUND((#REF!-TIME(0,0,0))*1440,0)&lt;tbl_Case_mins[[#This Row],[Surgery Start]],tbl_Case_mins[[#This Row],[Surgery End Date]]&gt;tbl_Case_mins[[#This Row],[Surgery Start Date]]),ROUND((#REF!-TIME(0,0,0))*1440,0)+1440,ROUND((#REF!-TIME(0,0,0))*1440,0))</f>
        <v>#REF!</v>
      </c>
      <c r="T217" s="9" t="e">
        <f>IF(AND(ROUND((#REF!-TIME(0,0,0))*1440,0)&gt;0,ROUND((#REF!-TIME(0,0,0))*1440,0)&lt;tbl_Case_mins[[#This Row],[Surgery Finish]],tbl_Case_mins[[#This Row],[Surgery End Date]]&gt;tbl_Case_mins[[#This Row],[Surgery Start Date]]),ROUND((#REF!-TIME(0,0,0))*1440,0)+1440,ROUND((#REF!-TIME(0,0,0))*1440,0))</f>
        <v>#REF!</v>
      </c>
      <c r="U217" s="9" t="e">
        <f>IF(AND(ROUND((#REF!-TIME(0,0,0))*1440,0)&gt;0,ROUND((#REF!-TIME(0,0,0))*1440,0)&lt;tbl_Case_mins[[#This Row],[Anaesth End]],tbl_Case_mins[[#This Row],[Surgery End Date]]&gt;tbl_Case_mins[[#This Row],[Surgery Start Date]]),ROUND((#REF!-TIME(0,0,0))*1440,0)+1440,ROUND((#REF!-TIME(0,0,0))*1440,0))</f>
        <v>#REF!</v>
      </c>
      <c r="V217" s="9" t="e">
        <f>IF(AND(ROUND((#REF!-TIME(0,0,0))*1440,0)&gt;0,ROUND((#REF!-TIME(0,0,0))*1440,0)&lt;tbl_Case_mins[[#This Row],[Into Recov]],tbl_Case_mins[[#This Row],[Surgery End Date]]&gt;tbl_Case_mins[[#This Row],[Surgery Start Date]]),ROUND((#REF!-TIME(0,0,0))*1440,0)+1440,ROUND((#REF!-TIME(0,0,0))*1440,0))</f>
        <v>#REF!</v>
      </c>
      <c r="W217" s="9" t="e">
        <f>IF(AND(ROUND((#REF!-TIME(0,0,0))*1440,0)&gt;0,ROUND((#REF!-TIME(0,0,0))*1440,0)&lt;tbl_Case_mins[[#This Row],[Ward Called]],tbl_Case_mins[[#This Row],[Surgery End Date]]&gt;tbl_Case_mins[[#This Row],[Surgery Start Date]]),ROUND((#REF!-TIME(0,0,0))*1440,0)+1440,ROUND((#REF!-TIME(0,0,0))*1440,0))</f>
        <v>#REF!</v>
      </c>
      <c r="X217" s="4" t="e">
        <f>IF(ISBLANK(#REF!),tbl_Case_mins[[#This Row],[Surgery Start Date]],#REF!)</f>
        <v>#REF!</v>
      </c>
      <c r="Y217">
        <f>IFERROR(IF(VLOOKUP(tbl_Case_mins[[#This Row],[Theatre]],'Mng Theatres'!$C$7:$G$12,3,FALSE)="Yes","Yes","No"),0)</f>
        <v>0</v>
      </c>
      <c r="Z217" s="9" t="e" cm="1">
        <f t="array" ref="Z21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7" s="9" t="e" cm="1">
        <f t="array" ref="AA21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7" s="9" t="e">
        <f>IF(tbl_Case_mins[[#This Row],[Case Type]]="Unsch",1,0)</f>
        <v>#REF!</v>
      </c>
      <c r="AD217" s="9" t="e">
        <f>IF(tbl_Case_mins[[#This Row],[Case Type]]="Sch",1,0)</f>
        <v>#REF!</v>
      </c>
      <c r="AE21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7" s="9">
        <f>IFERROR(IF(ISBLANK(INDEX(Am_Close,MATCH(1,INDEX((tbl_Case_mins[[#This Row],[Theatre]]=Theatre_No)*(tbl_Case_mins[[#This Row],[Surgery Start Date]]=Date),0,1),0))*1440),0,INDEX(Am_Close,MATCH(1,INDEX((tbl_Case_mins[[#This Row],[Theatre]]=Theatre_No)*(tbl_Case_mins[[#This Row],[Surgery Start Date]]=Date),0,1),0))*1440),0)</f>
        <v>0</v>
      </c>
      <c r="AG217" s="9">
        <f>IFERROR(IF(ISBLANK(INDEX(PM_Open,MATCH(1,INDEX((tbl_Case_mins[[#This Row],[Theatre]]=Theatre_No)*(tbl_Case_mins[[#This Row],[Surgery Start Date]]=Date),0,1),0))*1440),0,INDEX(PM_Open,MATCH(1,INDEX((tbl_Case_mins[[#This Row],[Theatre]]=Theatre_No)*(tbl_Case_mins[[#This Row],[Surgery Start Date]]=Date),0,1),0))*1440),0)</f>
        <v>0</v>
      </c>
      <c r="AH21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7" s="9" t="e">
        <f>IF(tbl_Case_mins[[#This Row],[ThOpenAm]]=0,tbl_Case_mins[[#This Row],[ThOpenPM]],tbl_Case_mins[[#This Row],[ThOpenAm]])</f>
        <v>#REF!</v>
      </c>
      <c r="AJ217" s="9" t="e">
        <f>IF(tbl_Case_mins[[#This Row],[ThCloseAm]]&gt;0,IF(tbl_Case_mins[[#This Row],[ThOpenPM]]&gt;0,tbl_Case_mins[[#This Row],[ThClosePm]],tbl_Case_mins[[#This Row],[ThCloseAm]]),tbl_Case_mins[[#This Row],[ThClosePm]])</f>
        <v>#REF!</v>
      </c>
      <c r="AK217" s="9" t="e">
        <f>IF(tbl_Case_mins[[#This Row],[TOT]]&gt;0,1,0)</f>
        <v>#REF!</v>
      </c>
      <c r="AL21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7" s="9" t="e">
        <f>IF(AND(tbl_Case_mins[[#This Row],[Surgery Status]]&lt;&gt;2,tbl_Case_mins[[#This Row],[InCoreCase]]=0,tbl_Case_mins[[#This Row],[CancelledCase]]=0),1,0)</f>
        <v>#REF!</v>
      </c>
      <c r="AN217" s="9" t="e">
        <f>IF(tbl_Case_mins[[#This Row],[Surgery Status]]=1,1,0)</f>
        <v>#REF!</v>
      </c>
      <c r="AO21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7" s="9" t="e">
        <f>IF(AND(tbl_Case_mins[[#This Row],[NonCoreCase]]=1,tbl_Case_mins[[#This Row],[NoInCoreTime]]=0),1,0)</f>
        <v>#REF!</v>
      </c>
      <c r="AQ217" s="9" t="e">
        <f>IF(tbl_Case_mins[[#This Row],[Rank_AnaEnd]]&lt;tbl_Case_mins[[#This Row],[Rank_AnaSt]],1,0)</f>
        <v>#REF!</v>
      </c>
      <c r="AR217" s="9" t="e">
        <f>IF(AND(tbl_Case_mins[[#This Row],[InCoreCase]]=1,tbl_Case_mins[[#This Row],[Sch]]=1),1,0)</f>
        <v>#REF!</v>
      </c>
      <c r="AS217" s="9" t="e">
        <f>IF(AND(tbl_Case_mins[[#This Row],[InCoreCase]]=1,tbl_Case_mins[[#This Row],[Unsch]]=1),1,0)</f>
        <v>#REF!</v>
      </c>
      <c r="AT21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7" s="9" t="e">
        <f>IF(tbl_Case_mins[[#This Row],[Surgery Status]]=0,(tbl_Case_mins[[#This Row],[Anaesth End]]-tbl_Case_mins[[#This Row],[AnaesthStart]]),0)</f>
        <v>#REF!</v>
      </c>
      <c r="AX217" s="9" t="e">
        <f>IF(tbl_Case_mins[[#This Row],[Surgery Status]]=0,(tbl_Case_mins[[#This Row],[Surgery Finish]]-tbl_Case_mins[[#This Row],[Surgery Start]]),0)</f>
        <v>#REF!</v>
      </c>
      <c r="AY217" s="9" t="e">
        <f>tbl_Case_mins[[#This Row],[Surgery Start]]-tbl_Case_mins[[#This Row],[AnaesthStart]]</f>
        <v>#REF!</v>
      </c>
      <c r="AZ217" s="9" t="e">
        <f>tbl_Case_mins[[#This Row],[Anaesth End]]-tbl_Case_mins[[#This Row],[Surgery Finish]]</f>
        <v>#REF!</v>
      </c>
      <c r="BA21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7" s="16" cm="1">
        <f t="array" ref="BC21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7" s="16" t="e">
        <f>IF(AND(tbl_Case_mins[[#This Row],[FirstAMCase]]=1,tbl_Case_mins[[#This Row],[CancelledCase]]=0,OR(tbl_Case_mins[[#This Row],[EarlyStartAM]]&gt;0,tbl_Case_mins[[#This Row],[AnaesthStart]]=tbl_Case_mins[[#This Row],[ThOpenAm]])),1,0)</f>
        <v>#REF!</v>
      </c>
      <c r="BE217" s="16" t="e">
        <f>IF(AND(tbl_Case_mins[[#This Row],[Rank_AnaSt]]=tbl_Case_mins[[#This Row],[Min_RankAnaSt]],tbl_Case_mins[[#This Row],[Anaesth End]]&gt;=tbl_Case_mins[[#This Row],[ThOpenAm]],tbl_Case_mins[[#This Row],[PmCase]]=0),1,0)</f>
        <v>#REF!</v>
      </c>
      <c r="BF21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7" s="9" t="e" cm="1">
        <f t="array" ref="BH21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7" s="9" t="e">
        <f>IF(AND(tbl_Case_mins[[#This Row],[ThOpenPM]]&gt;0,tbl_Case_mins[[#This Row],[AnaesthStart]]&gt;tbl_Case_mins[[#This Row],[ThOpenPM]],tbl_Case_mins[[#This Row],[First PM Case]]=1),tbl_Case_mins[[#This Row],[AnaesthStart]]-tbl_Case_mins[[#This Row],[ThOpenPM]],0)</f>
        <v>#REF!</v>
      </c>
      <c r="BL21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7" s="9" t="e" cm="1">
        <f t="array" ref="BN21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7" s="9" t="e">
        <f>IF(AND(tbl_Case_mins[[#This Row],[ThClosePm]]&gt;0,tbl_Case_mins[[#This Row],[Anaesth End]]&gt;tbl_Case_mins[[#This Row],[ThClosePm]],tbl_Case_mins[[#This Row],[AnaesthStart]]&gt;tbl_Case_mins[[#This Row],[ThClosePm]]),tbl_Case_mins[[#This Row],[Into Recov]]-tbl_Case_mins[[#This Row],[AnaesthStart]],0)</f>
        <v>#REF!</v>
      </c>
      <c r="BP217" s="9" t="e">
        <f>IF(AND(tbl_Case_mins[[#This Row],[AnaesthStart]]&lt;tbl_Case_mins[[#This Row],[ThClosePm]],tbl_Case_mins[[#This Row],[Anaesth End]]&gt;tbl_Case_mins[[#This Row],[ThClosePm]]),tbl_Case_mins[[#This Row],[Anaesth End]]-tbl_Case_mins[[#This Row],[ThClosePm]],0)</f>
        <v>#REF!</v>
      </c>
      <c r="BQ217" s="9" t="e" cm="1">
        <f t="array" ref="BQ21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7" s="9" t="e" cm="1">
        <f t="array" ref="BR217">IF(tbl_Case_mins[[#This Row],[Rank_Adjust]]=SUMPRODUCT(-(tbl_Case_mins[Surgery Start Date]=tbl_Case_mins[[#This Row],[Surgery Start Date]]),-(tbl_Case_mins[Theatre]=tbl_Case_mins[[#This Row],[Theatre]])),INDEX(Poss_Time,MATCH(TEXT(tbl_Case_mins[[#This Row],[Surgery Start Date]],"ddd"),Day,0)),0)</f>
        <v>#REF!</v>
      </c>
      <c r="BS217" s="9" t="e">
        <f>tbl_Case_mins[[#This Row],[Core_Time]]*Util_Goal</f>
        <v>#REF!</v>
      </c>
      <c r="BT217" s="9" t="e" cm="1">
        <f t="array" ref="BT2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7" s="9" t="e" cm="1">
        <f t="array" ref="BU2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7" s="9" t="e">
        <f>IF(tbl_Case_mins[[#This Row],[Surgery End Date]]&gt;tbl_Case_mins[[#This Row],[Surgery Start Date]],tbl_Case_mins[[#This Row],[Anaesth End]]-1440,0)</f>
        <v>#REF!</v>
      </c>
      <c r="BY217" s="9" t="e">
        <f>tbl_Case_mins[[#This Row],[Total_NonCore]]-tbl_Case_mins[[#This Row],[NextDay_NonCore]]</f>
        <v>#REF!</v>
      </c>
      <c r="BZ217" s="10" t="e">
        <f>tbl_Case_mins[[#This Row],[InCoreUse]]/60</f>
        <v>#REF!</v>
      </c>
      <c r="CA217" s="10" t="e">
        <f>tbl_Case_mins[[#This Row],[Total_NonCore]]/60</f>
        <v>#REF!</v>
      </c>
      <c r="CB217" t="e" cm="1">
        <f t="array" ref="CB2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7" s="9" t="e" cm="1">
        <f t="array" ref="CC21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7" s="9" t="e" cm="1">
        <f t="array" ref="CD2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7" s="9" t="e" cm="1">
        <f t="array" ref="CE21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7" s="9" cm="1">
        <f t="array" ref="CF217">IFERROR(_xlfn.AGGREGATE(14,6,(tbl_Case_mins[Rank_AnaEnd])/((tbl_Case_mins[Surgery Start Date]=tbl_Case_mins[[#This Row],[Surgery Start Date]])*(tbl_Case_mins[Theatre]=tbl_Case_mins[[#This Row],[Theatre]])*(tbl_Case_mins[NoInCoreTime]=0)),1),-1)</f>
        <v>-1</v>
      </c>
      <c r="CG217" s="9" cm="1">
        <f t="array" ref="CG217">IFERROR(_xlfn.AGGREGATE(15,6,(tbl_Case_mins[Rank_AnaSt])/((tbl_Case_mins[Surgery Start Date]=tbl_Case_mins[[#This Row],[Surgery Start Date]])*(tbl_Case_mins[Theatre]=tbl_Case_mins[[#This Row],[Theatre]])*(tbl_Case_mins[NoInCoreTime]=0)),1),-1)</f>
        <v>-1</v>
      </c>
      <c r="CH21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7" t="e" cm="1">
        <f t="array" ref="CJ21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7" s="9" cm="1">
        <f t="array" ref="CO2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7" s="9" cm="1">
        <f t="array" ref="CP2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7" s="9" cm="1">
        <f t="array" ref="CQ217">IFERROR(IF(AND(tbl_Case_mins[[#This Row],[FirstAMCase]]=0,tbl_Case_mins[[#This Row],[Rank]]=_xlfn.AGGREGATE(14,6,(tbl_Case_mins[Rank])/((tbl_Case_mins[Surgery Start Date]=tbl_Case_mins[[#This Row],[Surgery Start Date]])*(tbl_Case_mins[Theatre]=tbl_Case_mins[[#This Row],[Theatre]])*(tbl_Case_mins[AmCase]=1)),1)),1,0),0)</f>
        <v>0</v>
      </c>
      <c r="CR217" s="9" cm="1">
        <f t="array" ref="CR21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7" s="9" t="e" cm="1">
        <f t="array" ref="CS21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7" s="9" cm="1">
        <f t="array" ref="CT217">IFERROR(IF(tbl_Case_mins[[#This Row],[Rank]]=_xlfn.AGGREGATE(15,6,(tbl_Case_mins[Rank])/((tbl_Case_mins[Surgery Start Date]=tbl_Case_mins[[#This Row],[Surgery Start Date]])*(tbl_Case_mins[Theatre]=tbl_Case_mins[[#This Row],[Theatre]])*(tbl_Case_mins[PmCase]=1)),1),1,0),0)</f>
        <v>0</v>
      </c>
      <c r="CU217">
        <f>IFERROR(#REF!,0)</f>
        <v>0</v>
      </c>
      <c r="CV217" s="9" t="e" cm="1">
        <f t="array" ref="CV21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7" s="9">
        <f>IFERROR(IF(ISBLANK(INDEX(Bay_AmClose,MATCH(1,INDEX((tbl_Case_mins[[#This Row],[Bay]]=BayNo)*(tbl_Case_mins[[#This Row],[Surgery Start Date]]=BDate),0,1),0))*1440),0,INDEX(Bay_AmClose,MATCH(1,INDEX((tbl_Case_mins[[#This Row],[Bay]]=BayNo)*(tbl_Case_mins[[#This Row],[Surgery Start Date]]=BDate),0,1),0))*1440),0)</f>
        <v>0</v>
      </c>
      <c r="CX217" s="9" cm="1">
        <f t="array" ref="CX217">IFERROR(IF(ISBLANK(INDEX(Bay_PmOpen,MATCH(1,INDEX((tbl_Case_mins[[#This Row],[Bay]]=BayNo)*(tbl_Case_mins[[#This Row],[Surgery Start Date]]=BDate),0,1),0))*1440),0,INDEX(Bay_PmOpen,MATCH(1,INDEX((tbl_Case_mins[[#This Row],[Bay]]=BayNo)*(tbl_Case_mins[[#This Row],[Surgery Start Date]]=BDate),0,1),0))*1440),0)</f>
        <v>0</v>
      </c>
      <c r="CY21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7" s="9"/>
    </row>
    <row r="218" spans="1:104" x14ac:dyDescent="0.2">
      <c r="A218">
        <v>217</v>
      </c>
      <c r="B218" t="e">
        <f>#REF!</f>
        <v>#REF!</v>
      </c>
      <c r="C218" t="e">
        <f>#REF!</f>
        <v>#REF!</v>
      </c>
      <c r="D218" t="e">
        <f>#REF!</f>
        <v>#REF!</v>
      </c>
      <c r="E218" t="e">
        <f>#REF!</f>
        <v>#REF!</v>
      </c>
      <c r="F218" t="e">
        <f>#REF!</f>
        <v>#REF!</v>
      </c>
      <c r="G218" t="e">
        <f>#REF!</f>
        <v>#REF!</v>
      </c>
      <c r="H218" t="e">
        <f>#REF!</f>
        <v>#REF!</v>
      </c>
      <c r="I218" t="e">
        <f>IF(#REF!="Case Cancelled",1,IF(#REF!="No Cases",2,0))</f>
        <v>#REF!</v>
      </c>
      <c r="J218" t="e">
        <f>#REF!</f>
        <v>#REF!</v>
      </c>
      <c r="K218" s="4" t="e">
        <f>#REF!</f>
        <v>#REF!</v>
      </c>
      <c r="L218" t="e">
        <f>"Wk "&amp;WEEKNUM(tbl_Case_mins[[#This Row],[Surgery Start Date]],21)</f>
        <v>#REF!</v>
      </c>
      <c r="M218" t="e">
        <f>TEXT(tbl_Case_mins[[#This Row],[Surgery Start Date]],"ddd")</f>
        <v>#REF!</v>
      </c>
      <c r="N218" s="9" t="e">
        <f>(#REF!-TIME(0,0,0))*1440</f>
        <v>#REF!</v>
      </c>
      <c r="O218" t="e">
        <f>IF(AND(ROUND((#REF!-TIME(0,0,0))*1440,0)&gt;0,ROUND((#REF!-TIME(0,0,0))*1440,0)&lt;tbl_Case_mins[[#This Row],[Patient Called]],tbl_Case_mins[[#This Row],[Surgery End Date]]&gt;tbl_Case_mins[[#This Row],[Surgery Start Date]]),ROUND((#REF!-TIME(0,0,0))*1440,0)+1440,ROUND((#REF!-TIME(0,0,0))*1440,0))</f>
        <v>#REF!</v>
      </c>
      <c r="P218" s="9" t="e">
        <f>IF(AND(ROUND((#REF!-TIME(0,0,0))*1440,0)&gt;0,ROUND((#REF!-TIME(0,0,0))*1440,0)&lt;tbl_Case_mins[[#This Row],[Arrival]],tbl_Case_mins[[#This Row],[Surgery End Date]]&gt;tbl_Case_mins[[#This Row],[Surgery Start Date]]),ROUND((#REF!-TIME(0,0,0))*1440,0)+1440,ROUND((#REF!-TIME(0,0,0))*1440,0))</f>
        <v>#REF!</v>
      </c>
      <c r="Q218" s="9" t="e">
        <f>IF(AND(ROUND((#REF!-TIME(0,0,0))*1440,0)&gt;0,ROUND((#REF!-TIME(0,0,0))*1440,0)&lt;tbl_Case_mins[[#This Row],[Into Th or AR]],tbl_Case_mins[[#This Row],[Surgery End Date]]&gt;tbl_Case_mins[[#This Row],[Surgery Start Date]]),ROUND((#REF!-TIME(0,0,0))*1440,0)+1440,ROUND((#REF!-TIME(0,0,0))*1440,0))</f>
        <v>#REF!</v>
      </c>
      <c r="R218" s="9" t="e">
        <f>IF(AND(ROUND((#REF!-TIME(0,0,0))*1440,0)&gt;0,ROUND((#REF!-TIME(0,0,0))*1440,0)&lt;tbl_Case_mins[[#This Row],[AnaesthStart]],tbl_Case_mins[[#This Row],[Surgery End Date]]&gt;tbl_Case_mins[[#This Row],[Surgery Start Date]]),ROUND((#REF!-TIME(0,0,0))*1440,0)+1440,ROUND((#REF!-TIME(0,0,0))*1440,0))</f>
        <v>#REF!</v>
      </c>
      <c r="S218" s="9" t="e">
        <f>IF(AND(ROUND((#REF!-TIME(0,0,0))*1440,0),ROUND((#REF!-TIME(0,0,0))*1440,0)&lt;tbl_Case_mins[[#This Row],[Surgery Start]],tbl_Case_mins[[#This Row],[Surgery End Date]]&gt;tbl_Case_mins[[#This Row],[Surgery Start Date]]),ROUND((#REF!-TIME(0,0,0))*1440,0)+1440,ROUND((#REF!-TIME(0,0,0))*1440,0))</f>
        <v>#REF!</v>
      </c>
      <c r="T218" s="9" t="e">
        <f>IF(AND(ROUND((#REF!-TIME(0,0,0))*1440,0)&gt;0,ROUND((#REF!-TIME(0,0,0))*1440,0)&lt;tbl_Case_mins[[#This Row],[Surgery Finish]],tbl_Case_mins[[#This Row],[Surgery End Date]]&gt;tbl_Case_mins[[#This Row],[Surgery Start Date]]),ROUND((#REF!-TIME(0,0,0))*1440,0)+1440,ROUND((#REF!-TIME(0,0,0))*1440,0))</f>
        <v>#REF!</v>
      </c>
      <c r="U218" s="9" t="e">
        <f>IF(AND(ROUND((#REF!-TIME(0,0,0))*1440,0)&gt;0,ROUND((#REF!-TIME(0,0,0))*1440,0)&lt;tbl_Case_mins[[#This Row],[Anaesth End]],tbl_Case_mins[[#This Row],[Surgery End Date]]&gt;tbl_Case_mins[[#This Row],[Surgery Start Date]]),ROUND((#REF!-TIME(0,0,0))*1440,0)+1440,ROUND((#REF!-TIME(0,0,0))*1440,0))</f>
        <v>#REF!</v>
      </c>
      <c r="V218" s="9" t="e">
        <f>IF(AND(ROUND((#REF!-TIME(0,0,0))*1440,0)&gt;0,ROUND((#REF!-TIME(0,0,0))*1440,0)&lt;tbl_Case_mins[[#This Row],[Into Recov]],tbl_Case_mins[[#This Row],[Surgery End Date]]&gt;tbl_Case_mins[[#This Row],[Surgery Start Date]]),ROUND((#REF!-TIME(0,0,0))*1440,0)+1440,ROUND((#REF!-TIME(0,0,0))*1440,0))</f>
        <v>#REF!</v>
      </c>
      <c r="W218" s="9" t="e">
        <f>IF(AND(ROUND((#REF!-TIME(0,0,0))*1440,0)&gt;0,ROUND((#REF!-TIME(0,0,0))*1440,0)&lt;tbl_Case_mins[[#This Row],[Ward Called]],tbl_Case_mins[[#This Row],[Surgery End Date]]&gt;tbl_Case_mins[[#This Row],[Surgery Start Date]]),ROUND((#REF!-TIME(0,0,0))*1440,0)+1440,ROUND((#REF!-TIME(0,0,0))*1440,0))</f>
        <v>#REF!</v>
      </c>
      <c r="X218" s="4" t="e">
        <f>IF(ISBLANK(#REF!),tbl_Case_mins[[#This Row],[Surgery Start Date]],#REF!)</f>
        <v>#REF!</v>
      </c>
      <c r="Y218">
        <f>IFERROR(IF(VLOOKUP(tbl_Case_mins[[#This Row],[Theatre]],'Mng Theatres'!$C$7:$G$12,3,FALSE)="Yes","Yes","No"),0)</f>
        <v>0</v>
      </c>
      <c r="Z218" s="9" t="e" cm="1">
        <f t="array" ref="Z21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8" s="9" t="e" cm="1">
        <f t="array" ref="AA21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8" s="9" t="e">
        <f>IF(tbl_Case_mins[[#This Row],[Case Type]]="Unsch",1,0)</f>
        <v>#REF!</v>
      </c>
      <c r="AD218" s="9" t="e">
        <f>IF(tbl_Case_mins[[#This Row],[Case Type]]="Sch",1,0)</f>
        <v>#REF!</v>
      </c>
      <c r="AE21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8" s="9">
        <f>IFERROR(IF(ISBLANK(INDEX(Am_Close,MATCH(1,INDEX((tbl_Case_mins[[#This Row],[Theatre]]=Theatre_No)*(tbl_Case_mins[[#This Row],[Surgery Start Date]]=Date),0,1),0))*1440),0,INDEX(Am_Close,MATCH(1,INDEX((tbl_Case_mins[[#This Row],[Theatre]]=Theatre_No)*(tbl_Case_mins[[#This Row],[Surgery Start Date]]=Date),0,1),0))*1440),0)</f>
        <v>0</v>
      </c>
      <c r="AG218" s="9">
        <f>IFERROR(IF(ISBLANK(INDEX(PM_Open,MATCH(1,INDEX((tbl_Case_mins[[#This Row],[Theatre]]=Theatre_No)*(tbl_Case_mins[[#This Row],[Surgery Start Date]]=Date),0,1),0))*1440),0,INDEX(PM_Open,MATCH(1,INDEX((tbl_Case_mins[[#This Row],[Theatre]]=Theatre_No)*(tbl_Case_mins[[#This Row],[Surgery Start Date]]=Date),0,1),0))*1440),0)</f>
        <v>0</v>
      </c>
      <c r="AH21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8" s="9" t="e">
        <f>IF(tbl_Case_mins[[#This Row],[ThOpenAm]]=0,tbl_Case_mins[[#This Row],[ThOpenPM]],tbl_Case_mins[[#This Row],[ThOpenAm]])</f>
        <v>#REF!</v>
      </c>
      <c r="AJ218" s="9" t="e">
        <f>IF(tbl_Case_mins[[#This Row],[ThCloseAm]]&gt;0,IF(tbl_Case_mins[[#This Row],[ThOpenPM]]&gt;0,tbl_Case_mins[[#This Row],[ThClosePm]],tbl_Case_mins[[#This Row],[ThCloseAm]]),tbl_Case_mins[[#This Row],[ThClosePm]])</f>
        <v>#REF!</v>
      </c>
      <c r="AK218" s="9" t="e">
        <f>IF(tbl_Case_mins[[#This Row],[TOT]]&gt;0,1,0)</f>
        <v>#REF!</v>
      </c>
      <c r="AL21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8" s="9" t="e">
        <f>IF(AND(tbl_Case_mins[[#This Row],[Surgery Status]]&lt;&gt;2,tbl_Case_mins[[#This Row],[InCoreCase]]=0,tbl_Case_mins[[#This Row],[CancelledCase]]=0),1,0)</f>
        <v>#REF!</v>
      </c>
      <c r="AN218" s="9" t="e">
        <f>IF(tbl_Case_mins[[#This Row],[Surgery Status]]=1,1,0)</f>
        <v>#REF!</v>
      </c>
      <c r="AO21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8" s="9" t="e">
        <f>IF(AND(tbl_Case_mins[[#This Row],[NonCoreCase]]=1,tbl_Case_mins[[#This Row],[NoInCoreTime]]=0),1,0)</f>
        <v>#REF!</v>
      </c>
      <c r="AQ218" s="9" t="e">
        <f>IF(tbl_Case_mins[[#This Row],[Rank_AnaEnd]]&lt;tbl_Case_mins[[#This Row],[Rank_AnaSt]],1,0)</f>
        <v>#REF!</v>
      </c>
      <c r="AR218" s="9" t="e">
        <f>IF(AND(tbl_Case_mins[[#This Row],[InCoreCase]]=1,tbl_Case_mins[[#This Row],[Sch]]=1),1,0)</f>
        <v>#REF!</v>
      </c>
      <c r="AS218" s="9" t="e">
        <f>IF(AND(tbl_Case_mins[[#This Row],[InCoreCase]]=1,tbl_Case_mins[[#This Row],[Unsch]]=1),1,0)</f>
        <v>#REF!</v>
      </c>
      <c r="AT21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8" s="9" t="e">
        <f>IF(tbl_Case_mins[[#This Row],[Surgery Status]]=0,(tbl_Case_mins[[#This Row],[Anaesth End]]-tbl_Case_mins[[#This Row],[AnaesthStart]]),0)</f>
        <v>#REF!</v>
      </c>
      <c r="AX218" s="9" t="e">
        <f>IF(tbl_Case_mins[[#This Row],[Surgery Status]]=0,(tbl_Case_mins[[#This Row],[Surgery Finish]]-tbl_Case_mins[[#This Row],[Surgery Start]]),0)</f>
        <v>#REF!</v>
      </c>
      <c r="AY218" s="9" t="e">
        <f>tbl_Case_mins[[#This Row],[Surgery Start]]-tbl_Case_mins[[#This Row],[AnaesthStart]]</f>
        <v>#REF!</v>
      </c>
      <c r="AZ218" s="9" t="e">
        <f>tbl_Case_mins[[#This Row],[Anaesth End]]-tbl_Case_mins[[#This Row],[Surgery Finish]]</f>
        <v>#REF!</v>
      </c>
      <c r="BA21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8" s="16" cm="1">
        <f t="array" ref="BC21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8" s="16" t="e">
        <f>IF(AND(tbl_Case_mins[[#This Row],[FirstAMCase]]=1,tbl_Case_mins[[#This Row],[CancelledCase]]=0,OR(tbl_Case_mins[[#This Row],[EarlyStartAM]]&gt;0,tbl_Case_mins[[#This Row],[AnaesthStart]]=tbl_Case_mins[[#This Row],[ThOpenAm]])),1,0)</f>
        <v>#REF!</v>
      </c>
      <c r="BE218" s="16" t="e">
        <f>IF(AND(tbl_Case_mins[[#This Row],[Rank_AnaSt]]=tbl_Case_mins[[#This Row],[Min_RankAnaSt]],tbl_Case_mins[[#This Row],[Anaesth End]]&gt;=tbl_Case_mins[[#This Row],[ThOpenAm]],tbl_Case_mins[[#This Row],[PmCase]]=0),1,0)</f>
        <v>#REF!</v>
      </c>
      <c r="BF21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8" s="9" t="e" cm="1">
        <f t="array" ref="BH21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8" s="9" t="e">
        <f>IF(AND(tbl_Case_mins[[#This Row],[ThOpenPM]]&gt;0,tbl_Case_mins[[#This Row],[AnaesthStart]]&gt;tbl_Case_mins[[#This Row],[ThOpenPM]],tbl_Case_mins[[#This Row],[First PM Case]]=1),tbl_Case_mins[[#This Row],[AnaesthStart]]-tbl_Case_mins[[#This Row],[ThOpenPM]],0)</f>
        <v>#REF!</v>
      </c>
      <c r="BL21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8" s="9" t="e" cm="1">
        <f t="array" ref="BN21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8" s="9" t="e">
        <f>IF(AND(tbl_Case_mins[[#This Row],[ThClosePm]]&gt;0,tbl_Case_mins[[#This Row],[Anaesth End]]&gt;tbl_Case_mins[[#This Row],[ThClosePm]],tbl_Case_mins[[#This Row],[AnaesthStart]]&gt;tbl_Case_mins[[#This Row],[ThClosePm]]),tbl_Case_mins[[#This Row],[Into Recov]]-tbl_Case_mins[[#This Row],[AnaesthStart]],0)</f>
        <v>#REF!</v>
      </c>
      <c r="BP218" s="9" t="e">
        <f>IF(AND(tbl_Case_mins[[#This Row],[AnaesthStart]]&lt;tbl_Case_mins[[#This Row],[ThClosePm]],tbl_Case_mins[[#This Row],[Anaesth End]]&gt;tbl_Case_mins[[#This Row],[ThClosePm]]),tbl_Case_mins[[#This Row],[Anaesth End]]-tbl_Case_mins[[#This Row],[ThClosePm]],0)</f>
        <v>#REF!</v>
      </c>
      <c r="BQ218" s="9" t="e" cm="1">
        <f t="array" ref="BQ21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8" s="9" t="e" cm="1">
        <f t="array" ref="BR218">IF(tbl_Case_mins[[#This Row],[Rank_Adjust]]=SUMPRODUCT(-(tbl_Case_mins[Surgery Start Date]=tbl_Case_mins[[#This Row],[Surgery Start Date]]),-(tbl_Case_mins[Theatre]=tbl_Case_mins[[#This Row],[Theatre]])),INDEX(Poss_Time,MATCH(TEXT(tbl_Case_mins[[#This Row],[Surgery Start Date]],"ddd"),Day,0)),0)</f>
        <v>#REF!</v>
      </c>
      <c r="BS218" s="9" t="e">
        <f>tbl_Case_mins[[#This Row],[Core_Time]]*Util_Goal</f>
        <v>#REF!</v>
      </c>
      <c r="BT218" s="9" t="e" cm="1">
        <f t="array" ref="BT2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8" s="9" t="e" cm="1">
        <f t="array" ref="BU2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8" s="9" t="e">
        <f>IF(tbl_Case_mins[[#This Row],[Surgery End Date]]&gt;tbl_Case_mins[[#This Row],[Surgery Start Date]],tbl_Case_mins[[#This Row],[Anaesth End]]-1440,0)</f>
        <v>#REF!</v>
      </c>
      <c r="BY218" s="9" t="e">
        <f>tbl_Case_mins[[#This Row],[Total_NonCore]]-tbl_Case_mins[[#This Row],[NextDay_NonCore]]</f>
        <v>#REF!</v>
      </c>
      <c r="BZ218" s="10" t="e">
        <f>tbl_Case_mins[[#This Row],[InCoreUse]]/60</f>
        <v>#REF!</v>
      </c>
      <c r="CA218" s="10" t="e">
        <f>tbl_Case_mins[[#This Row],[Total_NonCore]]/60</f>
        <v>#REF!</v>
      </c>
      <c r="CB218" t="e" cm="1">
        <f t="array" ref="CB2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8" s="9" t="e" cm="1">
        <f t="array" ref="CC21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8" s="9" t="e" cm="1">
        <f t="array" ref="CD2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8" s="9" t="e" cm="1">
        <f t="array" ref="CE21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8" s="9" cm="1">
        <f t="array" ref="CF218">IFERROR(_xlfn.AGGREGATE(14,6,(tbl_Case_mins[Rank_AnaEnd])/((tbl_Case_mins[Surgery Start Date]=tbl_Case_mins[[#This Row],[Surgery Start Date]])*(tbl_Case_mins[Theatre]=tbl_Case_mins[[#This Row],[Theatre]])*(tbl_Case_mins[NoInCoreTime]=0)),1),-1)</f>
        <v>-1</v>
      </c>
      <c r="CG218" s="9" cm="1">
        <f t="array" ref="CG218">IFERROR(_xlfn.AGGREGATE(15,6,(tbl_Case_mins[Rank_AnaSt])/((tbl_Case_mins[Surgery Start Date]=tbl_Case_mins[[#This Row],[Surgery Start Date]])*(tbl_Case_mins[Theatre]=tbl_Case_mins[[#This Row],[Theatre]])*(tbl_Case_mins[NoInCoreTime]=0)),1),-1)</f>
        <v>-1</v>
      </c>
      <c r="CH21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8" t="e" cm="1">
        <f t="array" ref="CJ21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8" s="9" cm="1">
        <f t="array" ref="CO2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8" s="9" cm="1">
        <f t="array" ref="CP2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8" s="9" cm="1">
        <f t="array" ref="CQ218">IFERROR(IF(AND(tbl_Case_mins[[#This Row],[FirstAMCase]]=0,tbl_Case_mins[[#This Row],[Rank]]=_xlfn.AGGREGATE(14,6,(tbl_Case_mins[Rank])/((tbl_Case_mins[Surgery Start Date]=tbl_Case_mins[[#This Row],[Surgery Start Date]])*(tbl_Case_mins[Theatre]=tbl_Case_mins[[#This Row],[Theatre]])*(tbl_Case_mins[AmCase]=1)),1)),1,0),0)</f>
        <v>0</v>
      </c>
      <c r="CR218" s="9" cm="1">
        <f t="array" ref="CR21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8" s="9" t="e" cm="1">
        <f t="array" ref="CS21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8" s="9" cm="1">
        <f t="array" ref="CT218">IFERROR(IF(tbl_Case_mins[[#This Row],[Rank]]=_xlfn.AGGREGATE(15,6,(tbl_Case_mins[Rank])/((tbl_Case_mins[Surgery Start Date]=tbl_Case_mins[[#This Row],[Surgery Start Date]])*(tbl_Case_mins[Theatre]=tbl_Case_mins[[#This Row],[Theatre]])*(tbl_Case_mins[PmCase]=1)),1),1,0),0)</f>
        <v>0</v>
      </c>
      <c r="CU218">
        <f>IFERROR(#REF!,0)</f>
        <v>0</v>
      </c>
      <c r="CV218" s="9" t="e" cm="1">
        <f t="array" ref="CV21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8" s="9">
        <f>IFERROR(IF(ISBLANK(INDEX(Bay_AmClose,MATCH(1,INDEX((tbl_Case_mins[[#This Row],[Bay]]=BayNo)*(tbl_Case_mins[[#This Row],[Surgery Start Date]]=BDate),0,1),0))*1440),0,INDEX(Bay_AmClose,MATCH(1,INDEX((tbl_Case_mins[[#This Row],[Bay]]=BayNo)*(tbl_Case_mins[[#This Row],[Surgery Start Date]]=BDate),0,1),0))*1440),0)</f>
        <v>0</v>
      </c>
      <c r="CX218" s="9" cm="1">
        <f t="array" ref="CX218">IFERROR(IF(ISBLANK(INDEX(Bay_PmOpen,MATCH(1,INDEX((tbl_Case_mins[[#This Row],[Bay]]=BayNo)*(tbl_Case_mins[[#This Row],[Surgery Start Date]]=BDate),0,1),0))*1440),0,INDEX(Bay_PmOpen,MATCH(1,INDEX((tbl_Case_mins[[#This Row],[Bay]]=BayNo)*(tbl_Case_mins[[#This Row],[Surgery Start Date]]=BDate),0,1),0))*1440),0)</f>
        <v>0</v>
      </c>
      <c r="CY21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8" s="9"/>
    </row>
    <row r="219" spans="1:104" x14ac:dyDescent="0.2">
      <c r="A219">
        <v>218</v>
      </c>
      <c r="B219" t="e">
        <f>#REF!</f>
        <v>#REF!</v>
      </c>
      <c r="C219" t="e">
        <f>#REF!</f>
        <v>#REF!</v>
      </c>
      <c r="D219" t="e">
        <f>#REF!</f>
        <v>#REF!</v>
      </c>
      <c r="E219" t="e">
        <f>#REF!</f>
        <v>#REF!</v>
      </c>
      <c r="F219" t="e">
        <f>#REF!</f>
        <v>#REF!</v>
      </c>
      <c r="G219" t="e">
        <f>#REF!</f>
        <v>#REF!</v>
      </c>
      <c r="H219" t="e">
        <f>#REF!</f>
        <v>#REF!</v>
      </c>
      <c r="I219" t="e">
        <f>IF(#REF!="Case Cancelled",1,IF(#REF!="No Cases",2,0))</f>
        <v>#REF!</v>
      </c>
      <c r="J219" t="e">
        <f>#REF!</f>
        <v>#REF!</v>
      </c>
      <c r="K219" s="4" t="e">
        <f>#REF!</f>
        <v>#REF!</v>
      </c>
      <c r="L219" t="e">
        <f>"Wk "&amp;WEEKNUM(tbl_Case_mins[[#This Row],[Surgery Start Date]],21)</f>
        <v>#REF!</v>
      </c>
      <c r="M219" t="e">
        <f>TEXT(tbl_Case_mins[[#This Row],[Surgery Start Date]],"ddd")</f>
        <v>#REF!</v>
      </c>
      <c r="N219" s="9" t="e">
        <f>(#REF!-TIME(0,0,0))*1440</f>
        <v>#REF!</v>
      </c>
      <c r="O219" t="e">
        <f>IF(AND(ROUND((#REF!-TIME(0,0,0))*1440,0)&gt;0,ROUND((#REF!-TIME(0,0,0))*1440,0)&lt;tbl_Case_mins[[#This Row],[Patient Called]],tbl_Case_mins[[#This Row],[Surgery End Date]]&gt;tbl_Case_mins[[#This Row],[Surgery Start Date]]),ROUND((#REF!-TIME(0,0,0))*1440,0)+1440,ROUND((#REF!-TIME(0,0,0))*1440,0))</f>
        <v>#REF!</v>
      </c>
      <c r="P219" s="9" t="e">
        <f>IF(AND(ROUND((#REF!-TIME(0,0,0))*1440,0)&gt;0,ROUND((#REF!-TIME(0,0,0))*1440,0)&lt;tbl_Case_mins[[#This Row],[Arrival]],tbl_Case_mins[[#This Row],[Surgery End Date]]&gt;tbl_Case_mins[[#This Row],[Surgery Start Date]]),ROUND((#REF!-TIME(0,0,0))*1440,0)+1440,ROUND((#REF!-TIME(0,0,0))*1440,0))</f>
        <v>#REF!</v>
      </c>
      <c r="Q219" s="9" t="e">
        <f>IF(AND(ROUND((#REF!-TIME(0,0,0))*1440,0)&gt;0,ROUND((#REF!-TIME(0,0,0))*1440,0)&lt;tbl_Case_mins[[#This Row],[Into Th or AR]],tbl_Case_mins[[#This Row],[Surgery End Date]]&gt;tbl_Case_mins[[#This Row],[Surgery Start Date]]),ROUND((#REF!-TIME(0,0,0))*1440,0)+1440,ROUND((#REF!-TIME(0,0,0))*1440,0))</f>
        <v>#REF!</v>
      </c>
      <c r="R219" s="9" t="e">
        <f>IF(AND(ROUND((#REF!-TIME(0,0,0))*1440,0)&gt;0,ROUND((#REF!-TIME(0,0,0))*1440,0)&lt;tbl_Case_mins[[#This Row],[AnaesthStart]],tbl_Case_mins[[#This Row],[Surgery End Date]]&gt;tbl_Case_mins[[#This Row],[Surgery Start Date]]),ROUND((#REF!-TIME(0,0,0))*1440,0)+1440,ROUND((#REF!-TIME(0,0,0))*1440,0))</f>
        <v>#REF!</v>
      </c>
      <c r="S219" s="9" t="e">
        <f>IF(AND(ROUND((#REF!-TIME(0,0,0))*1440,0),ROUND((#REF!-TIME(0,0,0))*1440,0)&lt;tbl_Case_mins[[#This Row],[Surgery Start]],tbl_Case_mins[[#This Row],[Surgery End Date]]&gt;tbl_Case_mins[[#This Row],[Surgery Start Date]]),ROUND((#REF!-TIME(0,0,0))*1440,0)+1440,ROUND((#REF!-TIME(0,0,0))*1440,0))</f>
        <v>#REF!</v>
      </c>
      <c r="T219" s="9" t="e">
        <f>IF(AND(ROUND((#REF!-TIME(0,0,0))*1440,0)&gt;0,ROUND((#REF!-TIME(0,0,0))*1440,0)&lt;tbl_Case_mins[[#This Row],[Surgery Finish]],tbl_Case_mins[[#This Row],[Surgery End Date]]&gt;tbl_Case_mins[[#This Row],[Surgery Start Date]]),ROUND((#REF!-TIME(0,0,0))*1440,0)+1440,ROUND((#REF!-TIME(0,0,0))*1440,0))</f>
        <v>#REF!</v>
      </c>
      <c r="U219" s="9" t="e">
        <f>IF(AND(ROUND((#REF!-TIME(0,0,0))*1440,0)&gt;0,ROUND((#REF!-TIME(0,0,0))*1440,0)&lt;tbl_Case_mins[[#This Row],[Anaesth End]],tbl_Case_mins[[#This Row],[Surgery End Date]]&gt;tbl_Case_mins[[#This Row],[Surgery Start Date]]),ROUND((#REF!-TIME(0,0,0))*1440,0)+1440,ROUND((#REF!-TIME(0,0,0))*1440,0))</f>
        <v>#REF!</v>
      </c>
      <c r="V219" s="9" t="e">
        <f>IF(AND(ROUND((#REF!-TIME(0,0,0))*1440,0)&gt;0,ROUND((#REF!-TIME(0,0,0))*1440,0)&lt;tbl_Case_mins[[#This Row],[Into Recov]],tbl_Case_mins[[#This Row],[Surgery End Date]]&gt;tbl_Case_mins[[#This Row],[Surgery Start Date]]),ROUND((#REF!-TIME(0,0,0))*1440,0)+1440,ROUND((#REF!-TIME(0,0,0))*1440,0))</f>
        <v>#REF!</v>
      </c>
      <c r="W219" s="9" t="e">
        <f>IF(AND(ROUND((#REF!-TIME(0,0,0))*1440,0)&gt;0,ROUND((#REF!-TIME(0,0,0))*1440,0)&lt;tbl_Case_mins[[#This Row],[Ward Called]],tbl_Case_mins[[#This Row],[Surgery End Date]]&gt;tbl_Case_mins[[#This Row],[Surgery Start Date]]),ROUND((#REF!-TIME(0,0,0))*1440,0)+1440,ROUND((#REF!-TIME(0,0,0))*1440,0))</f>
        <v>#REF!</v>
      </c>
      <c r="X219" s="4" t="e">
        <f>IF(ISBLANK(#REF!),tbl_Case_mins[[#This Row],[Surgery Start Date]],#REF!)</f>
        <v>#REF!</v>
      </c>
      <c r="Y219">
        <f>IFERROR(IF(VLOOKUP(tbl_Case_mins[[#This Row],[Theatre]],'Mng Theatres'!$C$7:$G$12,3,FALSE)="Yes","Yes","No"),0)</f>
        <v>0</v>
      </c>
      <c r="Z219" s="9" t="e" cm="1">
        <f t="array" ref="Z21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19" s="9" t="e" cm="1">
        <f t="array" ref="AA21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1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19" s="9" t="e">
        <f>IF(tbl_Case_mins[[#This Row],[Case Type]]="Unsch",1,0)</f>
        <v>#REF!</v>
      </c>
      <c r="AD219" s="9" t="e">
        <f>IF(tbl_Case_mins[[#This Row],[Case Type]]="Sch",1,0)</f>
        <v>#REF!</v>
      </c>
      <c r="AE21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19" s="9">
        <f>IFERROR(IF(ISBLANK(INDEX(Am_Close,MATCH(1,INDEX((tbl_Case_mins[[#This Row],[Theatre]]=Theatre_No)*(tbl_Case_mins[[#This Row],[Surgery Start Date]]=Date),0,1),0))*1440),0,INDEX(Am_Close,MATCH(1,INDEX((tbl_Case_mins[[#This Row],[Theatre]]=Theatre_No)*(tbl_Case_mins[[#This Row],[Surgery Start Date]]=Date),0,1),0))*1440),0)</f>
        <v>0</v>
      </c>
      <c r="AG219" s="9">
        <f>IFERROR(IF(ISBLANK(INDEX(PM_Open,MATCH(1,INDEX((tbl_Case_mins[[#This Row],[Theatre]]=Theatre_No)*(tbl_Case_mins[[#This Row],[Surgery Start Date]]=Date),0,1),0))*1440),0,INDEX(PM_Open,MATCH(1,INDEX((tbl_Case_mins[[#This Row],[Theatre]]=Theatre_No)*(tbl_Case_mins[[#This Row],[Surgery Start Date]]=Date),0,1),0))*1440),0)</f>
        <v>0</v>
      </c>
      <c r="AH21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19" s="9" t="e">
        <f>IF(tbl_Case_mins[[#This Row],[ThOpenAm]]=0,tbl_Case_mins[[#This Row],[ThOpenPM]],tbl_Case_mins[[#This Row],[ThOpenAm]])</f>
        <v>#REF!</v>
      </c>
      <c r="AJ219" s="9" t="e">
        <f>IF(tbl_Case_mins[[#This Row],[ThCloseAm]]&gt;0,IF(tbl_Case_mins[[#This Row],[ThOpenPM]]&gt;0,tbl_Case_mins[[#This Row],[ThClosePm]],tbl_Case_mins[[#This Row],[ThCloseAm]]),tbl_Case_mins[[#This Row],[ThClosePm]])</f>
        <v>#REF!</v>
      </c>
      <c r="AK219" s="9" t="e">
        <f>IF(tbl_Case_mins[[#This Row],[TOT]]&gt;0,1,0)</f>
        <v>#REF!</v>
      </c>
      <c r="AL21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19" s="9" t="e">
        <f>IF(AND(tbl_Case_mins[[#This Row],[Surgery Status]]&lt;&gt;2,tbl_Case_mins[[#This Row],[InCoreCase]]=0,tbl_Case_mins[[#This Row],[CancelledCase]]=0),1,0)</f>
        <v>#REF!</v>
      </c>
      <c r="AN219" s="9" t="e">
        <f>IF(tbl_Case_mins[[#This Row],[Surgery Status]]=1,1,0)</f>
        <v>#REF!</v>
      </c>
      <c r="AO21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19" s="9" t="e">
        <f>IF(AND(tbl_Case_mins[[#This Row],[NonCoreCase]]=1,tbl_Case_mins[[#This Row],[NoInCoreTime]]=0),1,0)</f>
        <v>#REF!</v>
      </c>
      <c r="AQ219" s="9" t="e">
        <f>IF(tbl_Case_mins[[#This Row],[Rank_AnaEnd]]&lt;tbl_Case_mins[[#This Row],[Rank_AnaSt]],1,0)</f>
        <v>#REF!</v>
      </c>
      <c r="AR219" s="9" t="e">
        <f>IF(AND(tbl_Case_mins[[#This Row],[InCoreCase]]=1,tbl_Case_mins[[#This Row],[Sch]]=1),1,0)</f>
        <v>#REF!</v>
      </c>
      <c r="AS219" s="9" t="e">
        <f>IF(AND(tbl_Case_mins[[#This Row],[InCoreCase]]=1,tbl_Case_mins[[#This Row],[Unsch]]=1),1,0)</f>
        <v>#REF!</v>
      </c>
      <c r="AT21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1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1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19" s="9" t="e">
        <f>IF(tbl_Case_mins[[#This Row],[Surgery Status]]=0,(tbl_Case_mins[[#This Row],[Anaesth End]]-tbl_Case_mins[[#This Row],[AnaesthStart]]),0)</f>
        <v>#REF!</v>
      </c>
      <c r="AX219" s="9" t="e">
        <f>IF(tbl_Case_mins[[#This Row],[Surgery Status]]=0,(tbl_Case_mins[[#This Row],[Surgery Finish]]-tbl_Case_mins[[#This Row],[Surgery Start]]),0)</f>
        <v>#REF!</v>
      </c>
      <c r="AY219" s="9" t="e">
        <f>tbl_Case_mins[[#This Row],[Surgery Start]]-tbl_Case_mins[[#This Row],[AnaesthStart]]</f>
        <v>#REF!</v>
      </c>
      <c r="AZ219" s="9" t="e">
        <f>tbl_Case_mins[[#This Row],[Anaesth End]]-tbl_Case_mins[[#This Row],[Surgery Finish]]</f>
        <v>#REF!</v>
      </c>
      <c r="BA21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1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19" s="16" cm="1">
        <f t="array" ref="BC21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19" s="16" t="e">
        <f>IF(AND(tbl_Case_mins[[#This Row],[FirstAMCase]]=1,tbl_Case_mins[[#This Row],[CancelledCase]]=0,OR(tbl_Case_mins[[#This Row],[EarlyStartAM]]&gt;0,tbl_Case_mins[[#This Row],[AnaesthStart]]=tbl_Case_mins[[#This Row],[ThOpenAm]])),1,0)</f>
        <v>#REF!</v>
      </c>
      <c r="BE219" s="16" t="e">
        <f>IF(AND(tbl_Case_mins[[#This Row],[Rank_AnaSt]]=tbl_Case_mins[[#This Row],[Min_RankAnaSt]],tbl_Case_mins[[#This Row],[Anaesth End]]&gt;=tbl_Case_mins[[#This Row],[ThOpenAm]],tbl_Case_mins[[#This Row],[PmCase]]=0),1,0)</f>
        <v>#REF!</v>
      </c>
      <c r="BF21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1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19" s="9" t="e" cm="1">
        <f t="array" ref="BH21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1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1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19" s="9" t="e">
        <f>IF(AND(tbl_Case_mins[[#This Row],[ThOpenPM]]&gt;0,tbl_Case_mins[[#This Row],[AnaesthStart]]&gt;tbl_Case_mins[[#This Row],[ThOpenPM]],tbl_Case_mins[[#This Row],[First PM Case]]=1),tbl_Case_mins[[#This Row],[AnaesthStart]]-tbl_Case_mins[[#This Row],[ThOpenPM]],0)</f>
        <v>#REF!</v>
      </c>
      <c r="BL21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1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19" s="9" t="e" cm="1">
        <f t="array" ref="BN21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19" s="9" t="e">
        <f>IF(AND(tbl_Case_mins[[#This Row],[ThClosePm]]&gt;0,tbl_Case_mins[[#This Row],[Anaesth End]]&gt;tbl_Case_mins[[#This Row],[ThClosePm]],tbl_Case_mins[[#This Row],[AnaesthStart]]&gt;tbl_Case_mins[[#This Row],[ThClosePm]]),tbl_Case_mins[[#This Row],[Into Recov]]-tbl_Case_mins[[#This Row],[AnaesthStart]],0)</f>
        <v>#REF!</v>
      </c>
      <c r="BP219" s="9" t="e">
        <f>IF(AND(tbl_Case_mins[[#This Row],[AnaesthStart]]&lt;tbl_Case_mins[[#This Row],[ThClosePm]],tbl_Case_mins[[#This Row],[Anaesth End]]&gt;tbl_Case_mins[[#This Row],[ThClosePm]]),tbl_Case_mins[[#This Row],[Anaesth End]]-tbl_Case_mins[[#This Row],[ThClosePm]],0)</f>
        <v>#REF!</v>
      </c>
      <c r="BQ219" s="9" t="e" cm="1">
        <f t="array" ref="BQ21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19" s="9" t="e" cm="1">
        <f t="array" ref="BR219">IF(tbl_Case_mins[[#This Row],[Rank_Adjust]]=SUMPRODUCT(-(tbl_Case_mins[Surgery Start Date]=tbl_Case_mins[[#This Row],[Surgery Start Date]]),-(tbl_Case_mins[Theatre]=tbl_Case_mins[[#This Row],[Theatre]])),INDEX(Poss_Time,MATCH(TEXT(tbl_Case_mins[[#This Row],[Surgery Start Date]],"ddd"),Day,0)),0)</f>
        <v>#REF!</v>
      </c>
      <c r="BS219" s="9" t="e">
        <f>tbl_Case_mins[[#This Row],[Core_Time]]*Util_Goal</f>
        <v>#REF!</v>
      </c>
      <c r="BT219" s="9" t="e" cm="1">
        <f t="array" ref="BT2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19" s="9" t="e" cm="1">
        <f t="array" ref="BU2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1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1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19" s="9" t="e">
        <f>IF(tbl_Case_mins[[#This Row],[Surgery End Date]]&gt;tbl_Case_mins[[#This Row],[Surgery Start Date]],tbl_Case_mins[[#This Row],[Anaesth End]]-1440,0)</f>
        <v>#REF!</v>
      </c>
      <c r="BY219" s="9" t="e">
        <f>tbl_Case_mins[[#This Row],[Total_NonCore]]-tbl_Case_mins[[#This Row],[NextDay_NonCore]]</f>
        <v>#REF!</v>
      </c>
      <c r="BZ219" s="10" t="e">
        <f>tbl_Case_mins[[#This Row],[InCoreUse]]/60</f>
        <v>#REF!</v>
      </c>
      <c r="CA219" s="10" t="e">
        <f>tbl_Case_mins[[#This Row],[Total_NonCore]]/60</f>
        <v>#REF!</v>
      </c>
      <c r="CB219" t="e" cm="1">
        <f t="array" ref="CB2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19" s="9" t="e" cm="1">
        <f t="array" ref="CC21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19" s="9" t="e" cm="1">
        <f t="array" ref="CD2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19" s="9" t="e" cm="1">
        <f t="array" ref="CE21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19" s="9" cm="1">
        <f t="array" ref="CF219">IFERROR(_xlfn.AGGREGATE(14,6,(tbl_Case_mins[Rank_AnaEnd])/((tbl_Case_mins[Surgery Start Date]=tbl_Case_mins[[#This Row],[Surgery Start Date]])*(tbl_Case_mins[Theatre]=tbl_Case_mins[[#This Row],[Theatre]])*(tbl_Case_mins[NoInCoreTime]=0)),1),-1)</f>
        <v>-1</v>
      </c>
      <c r="CG219" s="9" cm="1">
        <f t="array" ref="CG219">IFERROR(_xlfn.AGGREGATE(15,6,(tbl_Case_mins[Rank_AnaSt])/((tbl_Case_mins[Surgery Start Date]=tbl_Case_mins[[#This Row],[Surgery Start Date]])*(tbl_Case_mins[Theatre]=tbl_Case_mins[[#This Row],[Theatre]])*(tbl_Case_mins[NoInCoreTime]=0)),1),-1)</f>
        <v>-1</v>
      </c>
      <c r="CH21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1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19" t="e" cm="1">
        <f t="array" ref="CJ21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1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1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19" s="9" cm="1">
        <f t="array" ref="CO2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19" s="9" cm="1">
        <f t="array" ref="CP2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19" s="9" cm="1">
        <f t="array" ref="CQ219">IFERROR(IF(AND(tbl_Case_mins[[#This Row],[FirstAMCase]]=0,tbl_Case_mins[[#This Row],[Rank]]=_xlfn.AGGREGATE(14,6,(tbl_Case_mins[Rank])/((tbl_Case_mins[Surgery Start Date]=tbl_Case_mins[[#This Row],[Surgery Start Date]])*(tbl_Case_mins[Theatre]=tbl_Case_mins[[#This Row],[Theatre]])*(tbl_Case_mins[AmCase]=1)),1)),1,0),0)</f>
        <v>0</v>
      </c>
      <c r="CR219" s="9" cm="1">
        <f t="array" ref="CR21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19" s="9" t="e" cm="1">
        <f t="array" ref="CS21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19" s="9" cm="1">
        <f t="array" ref="CT219">IFERROR(IF(tbl_Case_mins[[#This Row],[Rank]]=_xlfn.AGGREGATE(15,6,(tbl_Case_mins[Rank])/((tbl_Case_mins[Surgery Start Date]=tbl_Case_mins[[#This Row],[Surgery Start Date]])*(tbl_Case_mins[Theatre]=tbl_Case_mins[[#This Row],[Theatre]])*(tbl_Case_mins[PmCase]=1)),1),1,0),0)</f>
        <v>0</v>
      </c>
      <c r="CU219">
        <f>IFERROR(#REF!,0)</f>
        <v>0</v>
      </c>
      <c r="CV219" s="9" t="e" cm="1">
        <f t="array" ref="CV21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19" s="9">
        <f>IFERROR(IF(ISBLANK(INDEX(Bay_AmClose,MATCH(1,INDEX((tbl_Case_mins[[#This Row],[Bay]]=BayNo)*(tbl_Case_mins[[#This Row],[Surgery Start Date]]=BDate),0,1),0))*1440),0,INDEX(Bay_AmClose,MATCH(1,INDEX((tbl_Case_mins[[#This Row],[Bay]]=BayNo)*(tbl_Case_mins[[#This Row],[Surgery Start Date]]=BDate),0,1),0))*1440),0)</f>
        <v>0</v>
      </c>
      <c r="CX219" s="9" cm="1">
        <f t="array" ref="CX219">IFERROR(IF(ISBLANK(INDEX(Bay_PmOpen,MATCH(1,INDEX((tbl_Case_mins[[#This Row],[Bay]]=BayNo)*(tbl_Case_mins[[#This Row],[Surgery Start Date]]=BDate),0,1),0))*1440),0,INDEX(Bay_PmOpen,MATCH(1,INDEX((tbl_Case_mins[[#This Row],[Bay]]=BayNo)*(tbl_Case_mins[[#This Row],[Surgery Start Date]]=BDate),0,1),0))*1440),0)</f>
        <v>0</v>
      </c>
      <c r="CY21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19" s="9"/>
    </row>
    <row r="220" spans="1:104" x14ac:dyDescent="0.2">
      <c r="A220">
        <v>219</v>
      </c>
      <c r="B220" t="e">
        <f>#REF!</f>
        <v>#REF!</v>
      </c>
      <c r="C220" t="e">
        <f>#REF!</f>
        <v>#REF!</v>
      </c>
      <c r="D220" t="e">
        <f>#REF!</f>
        <v>#REF!</v>
      </c>
      <c r="E220" t="e">
        <f>#REF!</f>
        <v>#REF!</v>
      </c>
      <c r="F220" t="e">
        <f>#REF!</f>
        <v>#REF!</v>
      </c>
      <c r="G220" t="e">
        <f>#REF!</f>
        <v>#REF!</v>
      </c>
      <c r="H220" t="e">
        <f>#REF!</f>
        <v>#REF!</v>
      </c>
      <c r="I220" t="e">
        <f>IF(#REF!="Case Cancelled",1,IF(#REF!="No Cases",2,0))</f>
        <v>#REF!</v>
      </c>
      <c r="J220" t="e">
        <f>#REF!</f>
        <v>#REF!</v>
      </c>
      <c r="K220" s="4" t="e">
        <f>#REF!</f>
        <v>#REF!</v>
      </c>
      <c r="L220" t="e">
        <f>"Wk "&amp;WEEKNUM(tbl_Case_mins[[#This Row],[Surgery Start Date]],21)</f>
        <v>#REF!</v>
      </c>
      <c r="M220" t="e">
        <f>TEXT(tbl_Case_mins[[#This Row],[Surgery Start Date]],"ddd")</f>
        <v>#REF!</v>
      </c>
      <c r="N220" s="9" t="e">
        <f>(#REF!-TIME(0,0,0))*1440</f>
        <v>#REF!</v>
      </c>
      <c r="O220" t="e">
        <f>IF(AND(ROUND((#REF!-TIME(0,0,0))*1440,0)&gt;0,ROUND((#REF!-TIME(0,0,0))*1440,0)&lt;tbl_Case_mins[[#This Row],[Patient Called]],tbl_Case_mins[[#This Row],[Surgery End Date]]&gt;tbl_Case_mins[[#This Row],[Surgery Start Date]]),ROUND((#REF!-TIME(0,0,0))*1440,0)+1440,ROUND((#REF!-TIME(0,0,0))*1440,0))</f>
        <v>#REF!</v>
      </c>
      <c r="P220" s="9" t="e">
        <f>IF(AND(ROUND((#REF!-TIME(0,0,0))*1440,0)&gt;0,ROUND((#REF!-TIME(0,0,0))*1440,0)&lt;tbl_Case_mins[[#This Row],[Arrival]],tbl_Case_mins[[#This Row],[Surgery End Date]]&gt;tbl_Case_mins[[#This Row],[Surgery Start Date]]),ROUND((#REF!-TIME(0,0,0))*1440,0)+1440,ROUND((#REF!-TIME(0,0,0))*1440,0))</f>
        <v>#REF!</v>
      </c>
      <c r="Q220" s="9" t="e">
        <f>IF(AND(ROUND((#REF!-TIME(0,0,0))*1440,0)&gt;0,ROUND((#REF!-TIME(0,0,0))*1440,0)&lt;tbl_Case_mins[[#This Row],[Into Th or AR]],tbl_Case_mins[[#This Row],[Surgery End Date]]&gt;tbl_Case_mins[[#This Row],[Surgery Start Date]]),ROUND((#REF!-TIME(0,0,0))*1440,0)+1440,ROUND((#REF!-TIME(0,0,0))*1440,0))</f>
        <v>#REF!</v>
      </c>
      <c r="R220" s="9" t="e">
        <f>IF(AND(ROUND((#REF!-TIME(0,0,0))*1440,0)&gt;0,ROUND((#REF!-TIME(0,0,0))*1440,0)&lt;tbl_Case_mins[[#This Row],[AnaesthStart]],tbl_Case_mins[[#This Row],[Surgery End Date]]&gt;tbl_Case_mins[[#This Row],[Surgery Start Date]]),ROUND((#REF!-TIME(0,0,0))*1440,0)+1440,ROUND((#REF!-TIME(0,0,0))*1440,0))</f>
        <v>#REF!</v>
      </c>
      <c r="S220" s="9" t="e">
        <f>IF(AND(ROUND((#REF!-TIME(0,0,0))*1440,0),ROUND((#REF!-TIME(0,0,0))*1440,0)&lt;tbl_Case_mins[[#This Row],[Surgery Start]],tbl_Case_mins[[#This Row],[Surgery End Date]]&gt;tbl_Case_mins[[#This Row],[Surgery Start Date]]),ROUND((#REF!-TIME(0,0,0))*1440,0)+1440,ROUND((#REF!-TIME(0,0,0))*1440,0))</f>
        <v>#REF!</v>
      </c>
      <c r="T220" s="9" t="e">
        <f>IF(AND(ROUND((#REF!-TIME(0,0,0))*1440,0)&gt;0,ROUND((#REF!-TIME(0,0,0))*1440,0)&lt;tbl_Case_mins[[#This Row],[Surgery Finish]],tbl_Case_mins[[#This Row],[Surgery End Date]]&gt;tbl_Case_mins[[#This Row],[Surgery Start Date]]),ROUND((#REF!-TIME(0,0,0))*1440,0)+1440,ROUND((#REF!-TIME(0,0,0))*1440,0))</f>
        <v>#REF!</v>
      </c>
      <c r="U220" s="9" t="e">
        <f>IF(AND(ROUND((#REF!-TIME(0,0,0))*1440,0)&gt;0,ROUND((#REF!-TIME(0,0,0))*1440,0)&lt;tbl_Case_mins[[#This Row],[Anaesth End]],tbl_Case_mins[[#This Row],[Surgery End Date]]&gt;tbl_Case_mins[[#This Row],[Surgery Start Date]]),ROUND((#REF!-TIME(0,0,0))*1440,0)+1440,ROUND((#REF!-TIME(0,0,0))*1440,0))</f>
        <v>#REF!</v>
      </c>
      <c r="V220" s="9" t="e">
        <f>IF(AND(ROUND((#REF!-TIME(0,0,0))*1440,0)&gt;0,ROUND((#REF!-TIME(0,0,0))*1440,0)&lt;tbl_Case_mins[[#This Row],[Into Recov]],tbl_Case_mins[[#This Row],[Surgery End Date]]&gt;tbl_Case_mins[[#This Row],[Surgery Start Date]]),ROUND((#REF!-TIME(0,0,0))*1440,0)+1440,ROUND((#REF!-TIME(0,0,0))*1440,0))</f>
        <v>#REF!</v>
      </c>
      <c r="W220" s="9" t="e">
        <f>IF(AND(ROUND((#REF!-TIME(0,0,0))*1440,0)&gt;0,ROUND((#REF!-TIME(0,0,0))*1440,0)&lt;tbl_Case_mins[[#This Row],[Ward Called]],tbl_Case_mins[[#This Row],[Surgery End Date]]&gt;tbl_Case_mins[[#This Row],[Surgery Start Date]]),ROUND((#REF!-TIME(0,0,0))*1440,0)+1440,ROUND((#REF!-TIME(0,0,0))*1440,0))</f>
        <v>#REF!</v>
      </c>
      <c r="X220" s="4" t="e">
        <f>IF(ISBLANK(#REF!),tbl_Case_mins[[#This Row],[Surgery Start Date]],#REF!)</f>
        <v>#REF!</v>
      </c>
      <c r="Y220">
        <f>IFERROR(IF(VLOOKUP(tbl_Case_mins[[#This Row],[Theatre]],'Mng Theatres'!$C$7:$G$12,3,FALSE)="Yes","Yes","No"),0)</f>
        <v>0</v>
      </c>
      <c r="Z220" s="9" t="e" cm="1">
        <f t="array" ref="Z22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0" s="9" t="e" cm="1">
        <f t="array" ref="AA22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0" s="9" t="e">
        <f>IF(tbl_Case_mins[[#This Row],[Case Type]]="Unsch",1,0)</f>
        <v>#REF!</v>
      </c>
      <c r="AD220" s="9" t="e">
        <f>IF(tbl_Case_mins[[#This Row],[Case Type]]="Sch",1,0)</f>
        <v>#REF!</v>
      </c>
      <c r="AE22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0" s="9">
        <f>IFERROR(IF(ISBLANK(INDEX(Am_Close,MATCH(1,INDEX((tbl_Case_mins[[#This Row],[Theatre]]=Theatre_No)*(tbl_Case_mins[[#This Row],[Surgery Start Date]]=Date),0,1),0))*1440),0,INDEX(Am_Close,MATCH(1,INDEX((tbl_Case_mins[[#This Row],[Theatre]]=Theatre_No)*(tbl_Case_mins[[#This Row],[Surgery Start Date]]=Date),0,1),0))*1440),0)</f>
        <v>0</v>
      </c>
      <c r="AG220" s="9">
        <f>IFERROR(IF(ISBLANK(INDEX(PM_Open,MATCH(1,INDEX((tbl_Case_mins[[#This Row],[Theatre]]=Theatre_No)*(tbl_Case_mins[[#This Row],[Surgery Start Date]]=Date),0,1),0))*1440),0,INDEX(PM_Open,MATCH(1,INDEX((tbl_Case_mins[[#This Row],[Theatre]]=Theatre_No)*(tbl_Case_mins[[#This Row],[Surgery Start Date]]=Date),0,1),0))*1440),0)</f>
        <v>0</v>
      </c>
      <c r="AH22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0" s="9" t="e">
        <f>IF(tbl_Case_mins[[#This Row],[ThOpenAm]]=0,tbl_Case_mins[[#This Row],[ThOpenPM]],tbl_Case_mins[[#This Row],[ThOpenAm]])</f>
        <v>#REF!</v>
      </c>
      <c r="AJ220" s="9" t="e">
        <f>IF(tbl_Case_mins[[#This Row],[ThCloseAm]]&gt;0,IF(tbl_Case_mins[[#This Row],[ThOpenPM]]&gt;0,tbl_Case_mins[[#This Row],[ThClosePm]],tbl_Case_mins[[#This Row],[ThCloseAm]]),tbl_Case_mins[[#This Row],[ThClosePm]])</f>
        <v>#REF!</v>
      </c>
      <c r="AK220" s="9" t="e">
        <f>IF(tbl_Case_mins[[#This Row],[TOT]]&gt;0,1,0)</f>
        <v>#REF!</v>
      </c>
      <c r="AL22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0" s="9" t="e">
        <f>IF(AND(tbl_Case_mins[[#This Row],[Surgery Status]]&lt;&gt;2,tbl_Case_mins[[#This Row],[InCoreCase]]=0,tbl_Case_mins[[#This Row],[CancelledCase]]=0),1,0)</f>
        <v>#REF!</v>
      </c>
      <c r="AN220" s="9" t="e">
        <f>IF(tbl_Case_mins[[#This Row],[Surgery Status]]=1,1,0)</f>
        <v>#REF!</v>
      </c>
      <c r="AO22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0" s="9" t="e">
        <f>IF(AND(tbl_Case_mins[[#This Row],[NonCoreCase]]=1,tbl_Case_mins[[#This Row],[NoInCoreTime]]=0),1,0)</f>
        <v>#REF!</v>
      </c>
      <c r="AQ220" s="9" t="e">
        <f>IF(tbl_Case_mins[[#This Row],[Rank_AnaEnd]]&lt;tbl_Case_mins[[#This Row],[Rank_AnaSt]],1,0)</f>
        <v>#REF!</v>
      </c>
      <c r="AR220" s="9" t="e">
        <f>IF(AND(tbl_Case_mins[[#This Row],[InCoreCase]]=1,tbl_Case_mins[[#This Row],[Sch]]=1),1,0)</f>
        <v>#REF!</v>
      </c>
      <c r="AS220" s="9" t="e">
        <f>IF(AND(tbl_Case_mins[[#This Row],[InCoreCase]]=1,tbl_Case_mins[[#This Row],[Unsch]]=1),1,0)</f>
        <v>#REF!</v>
      </c>
      <c r="AT22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0" s="9" t="e">
        <f>IF(tbl_Case_mins[[#This Row],[Surgery Status]]=0,(tbl_Case_mins[[#This Row],[Anaesth End]]-tbl_Case_mins[[#This Row],[AnaesthStart]]),0)</f>
        <v>#REF!</v>
      </c>
      <c r="AX220" s="9" t="e">
        <f>IF(tbl_Case_mins[[#This Row],[Surgery Status]]=0,(tbl_Case_mins[[#This Row],[Surgery Finish]]-tbl_Case_mins[[#This Row],[Surgery Start]]),0)</f>
        <v>#REF!</v>
      </c>
      <c r="AY220" s="9" t="e">
        <f>tbl_Case_mins[[#This Row],[Surgery Start]]-tbl_Case_mins[[#This Row],[AnaesthStart]]</f>
        <v>#REF!</v>
      </c>
      <c r="AZ220" s="9" t="e">
        <f>tbl_Case_mins[[#This Row],[Anaesth End]]-tbl_Case_mins[[#This Row],[Surgery Finish]]</f>
        <v>#REF!</v>
      </c>
      <c r="BA22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0" s="16" cm="1">
        <f t="array" ref="BC22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0" s="16" t="e">
        <f>IF(AND(tbl_Case_mins[[#This Row],[FirstAMCase]]=1,tbl_Case_mins[[#This Row],[CancelledCase]]=0,OR(tbl_Case_mins[[#This Row],[EarlyStartAM]]&gt;0,tbl_Case_mins[[#This Row],[AnaesthStart]]=tbl_Case_mins[[#This Row],[ThOpenAm]])),1,0)</f>
        <v>#REF!</v>
      </c>
      <c r="BE220" s="16" t="e">
        <f>IF(AND(tbl_Case_mins[[#This Row],[Rank_AnaSt]]=tbl_Case_mins[[#This Row],[Min_RankAnaSt]],tbl_Case_mins[[#This Row],[Anaesth End]]&gt;=tbl_Case_mins[[#This Row],[ThOpenAm]],tbl_Case_mins[[#This Row],[PmCase]]=0),1,0)</f>
        <v>#REF!</v>
      </c>
      <c r="BF22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0" s="9" t="e" cm="1">
        <f t="array" ref="BH22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0" s="9" t="e">
        <f>IF(AND(tbl_Case_mins[[#This Row],[ThOpenPM]]&gt;0,tbl_Case_mins[[#This Row],[AnaesthStart]]&gt;tbl_Case_mins[[#This Row],[ThOpenPM]],tbl_Case_mins[[#This Row],[First PM Case]]=1),tbl_Case_mins[[#This Row],[AnaesthStart]]-tbl_Case_mins[[#This Row],[ThOpenPM]],0)</f>
        <v>#REF!</v>
      </c>
      <c r="BL22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0" s="9" t="e" cm="1">
        <f t="array" ref="BN22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0" s="9" t="e">
        <f>IF(AND(tbl_Case_mins[[#This Row],[ThClosePm]]&gt;0,tbl_Case_mins[[#This Row],[Anaesth End]]&gt;tbl_Case_mins[[#This Row],[ThClosePm]],tbl_Case_mins[[#This Row],[AnaesthStart]]&gt;tbl_Case_mins[[#This Row],[ThClosePm]]),tbl_Case_mins[[#This Row],[Into Recov]]-tbl_Case_mins[[#This Row],[AnaesthStart]],0)</f>
        <v>#REF!</v>
      </c>
      <c r="BP220" s="9" t="e">
        <f>IF(AND(tbl_Case_mins[[#This Row],[AnaesthStart]]&lt;tbl_Case_mins[[#This Row],[ThClosePm]],tbl_Case_mins[[#This Row],[Anaesth End]]&gt;tbl_Case_mins[[#This Row],[ThClosePm]]),tbl_Case_mins[[#This Row],[Anaesth End]]-tbl_Case_mins[[#This Row],[ThClosePm]],0)</f>
        <v>#REF!</v>
      </c>
      <c r="BQ220" s="9" t="e" cm="1">
        <f t="array" ref="BQ22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0" s="9" t="e" cm="1">
        <f t="array" ref="BR220">IF(tbl_Case_mins[[#This Row],[Rank_Adjust]]=SUMPRODUCT(-(tbl_Case_mins[Surgery Start Date]=tbl_Case_mins[[#This Row],[Surgery Start Date]]),-(tbl_Case_mins[Theatre]=tbl_Case_mins[[#This Row],[Theatre]])),INDEX(Poss_Time,MATCH(TEXT(tbl_Case_mins[[#This Row],[Surgery Start Date]],"ddd"),Day,0)),0)</f>
        <v>#REF!</v>
      </c>
      <c r="BS220" s="9" t="e">
        <f>tbl_Case_mins[[#This Row],[Core_Time]]*Util_Goal</f>
        <v>#REF!</v>
      </c>
      <c r="BT220" s="9" t="e" cm="1">
        <f t="array" ref="BT2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0" s="9" t="e" cm="1">
        <f t="array" ref="BU2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0" s="9" t="e">
        <f>IF(tbl_Case_mins[[#This Row],[Surgery End Date]]&gt;tbl_Case_mins[[#This Row],[Surgery Start Date]],tbl_Case_mins[[#This Row],[Anaesth End]]-1440,0)</f>
        <v>#REF!</v>
      </c>
      <c r="BY220" s="9" t="e">
        <f>tbl_Case_mins[[#This Row],[Total_NonCore]]-tbl_Case_mins[[#This Row],[NextDay_NonCore]]</f>
        <v>#REF!</v>
      </c>
      <c r="BZ220" s="10" t="e">
        <f>tbl_Case_mins[[#This Row],[InCoreUse]]/60</f>
        <v>#REF!</v>
      </c>
      <c r="CA220" s="10" t="e">
        <f>tbl_Case_mins[[#This Row],[Total_NonCore]]/60</f>
        <v>#REF!</v>
      </c>
      <c r="CB220" t="e" cm="1">
        <f t="array" ref="CB2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0" s="9" t="e" cm="1">
        <f t="array" ref="CC22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0" s="9" t="e" cm="1">
        <f t="array" ref="CD2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0" s="9" t="e" cm="1">
        <f t="array" ref="CE22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0" s="9" cm="1">
        <f t="array" ref="CF220">IFERROR(_xlfn.AGGREGATE(14,6,(tbl_Case_mins[Rank_AnaEnd])/((tbl_Case_mins[Surgery Start Date]=tbl_Case_mins[[#This Row],[Surgery Start Date]])*(tbl_Case_mins[Theatre]=tbl_Case_mins[[#This Row],[Theatre]])*(tbl_Case_mins[NoInCoreTime]=0)),1),-1)</f>
        <v>-1</v>
      </c>
      <c r="CG220" s="9" cm="1">
        <f t="array" ref="CG220">IFERROR(_xlfn.AGGREGATE(15,6,(tbl_Case_mins[Rank_AnaSt])/((tbl_Case_mins[Surgery Start Date]=tbl_Case_mins[[#This Row],[Surgery Start Date]])*(tbl_Case_mins[Theatre]=tbl_Case_mins[[#This Row],[Theatre]])*(tbl_Case_mins[NoInCoreTime]=0)),1),-1)</f>
        <v>-1</v>
      </c>
      <c r="CH22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0" t="e" cm="1">
        <f t="array" ref="CJ22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0" s="9" cm="1">
        <f t="array" ref="CO2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0" s="9" cm="1">
        <f t="array" ref="CP2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0" s="9" cm="1">
        <f t="array" ref="CQ220">IFERROR(IF(AND(tbl_Case_mins[[#This Row],[FirstAMCase]]=0,tbl_Case_mins[[#This Row],[Rank]]=_xlfn.AGGREGATE(14,6,(tbl_Case_mins[Rank])/((tbl_Case_mins[Surgery Start Date]=tbl_Case_mins[[#This Row],[Surgery Start Date]])*(tbl_Case_mins[Theatre]=tbl_Case_mins[[#This Row],[Theatre]])*(tbl_Case_mins[AmCase]=1)),1)),1,0),0)</f>
        <v>0</v>
      </c>
      <c r="CR220" s="9" cm="1">
        <f t="array" ref="CR22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0" s="9" t="e" cm="1">
        <f t="array" ref="CS22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0" s="9" cm="1">
        <f t="array" ref="CT220">IFERROR(IF(tbl_Case_mins[[#This Row],[Rank]]=_xlfn.AGGREGATE(15,6,(tbl_Case_mins[Rank])/((tbl_Case_mins[Surgery Start Date]=tbl_Case_mins[[#This Row],[Surgery Start Date]])*(tbl_Case_mins[Theatre]=tbl_Case_mins[[#This Row],[Theatre]])*(tbl_Case_mins[PmCase]=1)),1),1,0),0)</f>
        <v>0</v>
      </c>
      <c r="CU220">
        <f>IFERROR(#REF!,0)</f>
        <v>0</v>
      </c>
      <c r="CV220" s="9" t="e" cm="1">
        <f t="array" ref="CV22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0" s="9">
        <f>IFERROR(IF(ISBLANK(INDEX(Bay_AmClose,MATCH(1,INDEX((tbl_Case_mins[[#This Row],[Bay]]=BayNo)*(tbl_Case_mins[[#This Row],[Surgery Start Date]]=BDate),0,1),0))*1440),0,INDEX(Bay_AmClose,MATCH(1,INDEX((tbl_Case_mins[[#This Row],[Bay]]=BayNo)*(tbl_Case_mins[[#This Row],[Surgery Start Date]]=BDate),0,1),0))*1440),0)</f>
        <v>0</v>
      </c>
      <c r="CX220" s="9" cm="1">
        <f t="array" ref="CX220">IFERROR(IF(ISBLANK(INDEX(Bay_PmOpen,MATCH(1,INDEX((tbl_Case_mins[[#This Row],[Bay]]=BayNo)*(tbl_Case_mins[[#This Row],[Surgery Start Date]]=BDate),0,1),0))*1440),0,INDEX(Bay_PmOpen,MATCH(1,INDEX((tbl_Case_mins[[#This Row],[Bay]]=BayNo)*(tbl_Case_mins[[#This Row],[Surgery Start Date]]=BDate),0,1),0))*1440),0)</f>
        <v>0</v>
      </c>
      <c r="CY22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0" s="9"/>
    </row>
    <row r="221" spans="1:104" x14ac:dyDescent="0.2">
      <c r="A221">
        <v>220</v>
      </c>
      <c r="B221" t="e">
        <f>#REF!</f>
        <v>#REF!</v>
      </c>
      <c r="C221" t="e">
        <f>#REF!</f>
        <v>#REF!</v>
      </c>
      <c r="D221" t="e">
        <f>#REF!</f>
        <v>#REF!</v>
      </c>
      <c r="E221" t="e">
        <f>#REF!</f>
        <v>#REF!</v>
      </c>
      <c r="F221" t="e">
        <f>#REF!</f>
        <v>#REF!</v>
      </c>
      <c r="G221" t="e">
        <f>#REF!</f>
        <v>#REF!</v>
      </c>
      <c r="H221" t="e">
        <f>#REF!</f>
        <v>#REF!</v>
      </c>
      <c r="I221" t="e">
        <f>IF(#REF!="Case Cancelled",1,IF(#REF!="No Cases",2,0))</f>
        <v>#REF!</v>
      </c>
      <c r="J221" t="e">
        <f>#REF!</f>
        <v>#REF!</v>
      </c>
      <c r="K221" s="4" t="e">
        <f>#REF!</f>
        <v>#REF!</v>
      </c>
      <c r="L221" t="e">
        <f>"Wk "&amp;WEEKNUM(tbl_Case_mins[[#This Row],[Surgery Start Date]],21)</f>
        <v>#REF!</v>
      </c>
      <c r="M221" t="e">
        <f>TEXT(tbl_Case_mins[[#This Row],[Surgery Start Date]],"ddd")</f>
        <v>#REF!</v>
      </c>
      <c r="N221" s="9" t="e">
        <f>(#REF!-TIME(0,0,0))*1440</f>
        <v>#REF!</v>
      </c>
      <c r="O221" t="e">
        <f>IF(AND(ROUND((#REF!-TIME(0,0,0))*1440,0)&gt;0,ROUND((#REF!-TIME(0,0,0))*1440,0)&lt;tbl_Case_mins[[#This Row],[Patient Called]],tbl_Case_mins[[#This Row],[Surgery End Date]]&gt;tbl_Case_mins[[#This Row],[Surgery Start Date]]),ROUND((#REF!-TIME(0,0,0))*1440,0)+1440,ROUND((#REF!-TIME(0,0,0))*1440,0))</f>
        <v>#REF!</v>
      </c>
      <c r="P221" s="9" t="e">
        <f>IF(AND(ROUND((#REF!-TIME(0,0,0))*1440,0)&gt;0,ROUND((#REF!-TIME(0,0,0))*1440,0)&lt;tbl_Case_mins[[#This Row],[Arrival]],tbl_Case_mins[[#This Row],[Surgery End Date]]&gt;tbl_Case_mins[[#This Row],[Surgery Start Date]]),ROUND((#REF!-TIME(0,0,0))*1440,0)+1440,ROUND((#REF!-TIME(0,0,0))*1440,0))</f>
        <v>#REF!</v>
      </c>
      <c r="Q221" s="9" t="e">
        <f>IF(AND(ROUND((#REF!-TIME(0,0,0))*1440,0)&gt;0,ROUND((#REF!-TIME(0,0,0))*1440,0)&lt;tbl_Case_mins[[#This Row],[Into Th or AR]],tbl_Case_mins[[#This Row],[Surgery End Date]]&gt;tbl_Case_mins[[#This Row],[Surgery Start Date]]),ROUND((#REF!-TIME(0,0,0))*1440,0)+1440,ROUND((#REF!-TIME(0,0,0))*1440,0))</f>
        <v>#REF!</v>
      </c>
      <c r="R221" s="9" t="e">
        <f>IF(AND(ROUND((#REF!-TIME(0,0,0))*1440,0)&gt;0,ROUND((#REF!-TIME(0,0,0))*1440,0)&lt;tbl_Case_mins[[#This Row],[AnaesthStart]],tbl_Case_mins[[#This Row],[Surgery End Date]]&gt;tbl_Case_mins[[#This Row],[Surgery Start Date]]),ROUND((#REF!-TIME(0,0,0))*1440,0)+1440,ROUND((#REF!-TIME(0,0,0))*1440,0))</f>
        <v>#REF!</v>
      </c>
      <c r="S221" s="9" t="e">
        <f>IF(AND(ROUND((#REF!-TIME(0,0,0))*1440,0),ROUND((#REF!-TIME(0,0,0))*1440,0)&lt;tbl_Case_mins[[#This Row],[Surgery Start]],tbl_Case_mins[[#This Row],[Surgery End Date]]&gt;tbl_Case_mins[[#This Row],[Surgery Start Date]]),ROUND((#REF!-TIME(0,0,0))*1440,0)+1440,ROUND((#REF!-TIME(0,0,0))*1440,0))</f>
        <v>#REF!</v>
      </c>
      <c r="T221" s="9" t="e">
        <f>IF(AND(ROUND((#REF!-TIME(0,0,0))*1440,0)&gt;0,ROUND((#REF!-TIME(0,0,0))*1440,0)&lt;tbl_Case_mins[[#This Row],[Surgery Finish]],tbl_Case_mins[[#This Row],[Surgery End Date]]&gt;tbl_Case_mins[[#This Row],[Surgery Start Date]]),ROUND((#REF!-TIME(0,0,0))*1440,0)+1440,ROUND((#REF!-TIME(0,0,0))*1440,0))</f>
        <v>#REF!</v>
      </c>
      <c r="U221" s="9" t="e">
        <f>IF(AND(ROUND((#REF!-TIME(0,0,0))*1440,0)&gt;0,ROUND((#REF!-TIME(0,0,0))*1440,0)&lt;tbl_Case_mins[[#This Row],[Anaesth End]],tbl_Case_mins[[#This Row],[Surgery End Date]]&gt;tbl_Case_mins[[#This Row],[Surgery Start Date]]),ROUND((#REF!-TIME(0,0,0))*1440,0)+1440,ROUND((#REF!-TIME(0,0,0))*1440,0))</f>
        <v>#REF!</v>
      </c>
      <c r="V221" s="9" t="e">
        <f>IF(AND(ROUND((#REF!-TIME(0,0,0))*1440,0)&gt;0,ROUND((#REF!-TIME(0,0,0))*1440,0)&lt;tbl_Case_mins[[#This Row],[Into Recov]],tbl_Case_mins[[#This Row],[Surgery End Date]]&gt;tbl_Case_mins[[#This Row],[Surgery Start Date]]),ROUND((#REF!-TIME(0,0,0))*1440,0)+1440,ROUND((#REF!-TIME(0,0,0))*1440,0))</f>
        <v>#REF!</v>
      </c>
      <c r="W221" s="9" t="e">
        <f>IF(AND(ROUND((#REF!-TIME(0,0,0))*1440,0)&gt;0,ROUND((#REF!-TIME(0,0,0))*1440,0)&lt;tbl_Case_mins[[#This Row],[Ward Called]],tbl_Case_mins[[#This Row],[Surgery End Date]]&gt;tbl_Case_mins[[#This Row],[Surgery Start Date]]),ROUND((#REF!-TIME(0,0,0))*1440,0)+1440,ROUND((#REF!-TIME(0,0,0))*1440,0))</f>
        <v>#REF!</v>
      </c>
      <c r="X221" s="4" t="e">
        <f>IF(ISBLANK(#REF!),tbl_Case_mins[[#This Row],[Surgery Start Date]],#REF!)</f>
        <v>#REF!</v>
      </c>
      <c r="Y221">
        <f>IFERROR(IF(VLOOKUP(tbl_Case_mins[[#This Row],[Theatre]],'Mng Theatres'!$C$7:$G$12,3,FALSE)="Yes","Yes","No"),0)</f>
        <v>0</v>
      </c>
      <c r="Z221" s="9" t="e" cm="1">
        <f t="array" ref="Z22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1" s="9" t="e" cm="1">
        <f t="array" ref="AA22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1" s="9" t="e">
        <f>IF(tbl_Case_mins[[#This Row],[Case Type]]="Unsch",1,0)</f>
        <v>#REF!</v>
      </c>
      <c r="AD221" s="9" t="e">
        <f>IF(tbl_Case_mins[[#This Row],[Case Type]]="Sch",1,0)</f>
        <v>#REF!</v>
      </c>
      <c r="AE22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1" s="9">
        <f>IFERROR(IF(ISBLANK(INDEX(Am_Close,MATCH(1,INDEX((tbl_Case_mins[[#This Row],[Theatre]]=Theatre_No)*(tbl_Case_mins[[#This Row],[Surgery Start Date]]=Date),0,1),0))*1440),0,INDEX(Am_Close,MATCH(1,INDEX((tbl_Case_mins[[#This Row],[Theatre]]=Theatre_No)*(tbl_Case_mins[[#This Row],[Surgery Start Date]]=Date),0,1),0))*1440),0)</f>
        <v>0</v>
      </c>
      <c r="AG221" s="9">
        <f>IFERROR(IF(ISBLANK(INDEX(PM_Open,MATCH(1,INDEX((tbl_Case_mins[[#This Row],[Theatre]]=Theatre_No)*(tbl_Case_mins[[#This Row],[Surgery Start Date]]=Date),0,1),0))*1440),0,INDEX(PM_Open,MATCH(1,INDEX((tbl_Case_mins[[#This Row],[Theatre]]=Theatre_No)*(tbl_Case_mins[[#This Row],[Surgery Start Date]]=Date),0,1),0))*1440),0)</f>
        <v>0</v>
      </c>
      <c r="AH22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1" s="9" t="e">
        <f>IF(tbl_Case_mins[[#This Row],[ThOpenAm]]=0,tbl_Case_mins[[#This Row],[ThOpenPM]],tbl_Case_mins[[#This Row],[ThOpenAm]])</f>
        <v>#REF!</v>
      </c>
      <c r="AJ221" s="9" t="e">
        <f>IF(tbl_Case_mins[[#This Row],[ThCloseAm]]&gt;0,IF(tbl_Case_mins[[#This Row],[ThOpenPM]]&gt;0,tbl_Case_mins[[#This Row],[ThClosePm]],tbl_Case_mins[[#This Row],[ThCloseAm]]),tbl_Case_mins[[#This Row],[ThClosePm]])</f>
        <v>#REF!</v>
      </c>
      <c r="AK221" s="9" t="e">
        <f>IF(tbl_Case_mins[[#This Row],[TOT]]&gt;0,1,0)</f>
        <v>#REF!</v>
      </c>
      <c r="AL22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1" s="9" t="e">
        <f>IF(AND(tbl_Case_mins[[#This Row],[Surgery Status]]&lt;&gt;2,tbl_Case_mins[[#This Row],[InCoreCase]]=0,tbl_Case_mins[[#This Row],[CancelledCase]]=0),1,0)</f>
        <v>#REF!</v>
      </c>
      <c r="AN221" s="9" t="e">
        <f>IF(tbl_Case_mins[[#This Row],[Surgery Status]]=1,1,0)</f>
        <v>#REF!</v>
      </c>
      <c r="AO22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1" s="9" t="e">
        <f>IF(AND(tbl_Case_mins[[#This Row],[NonCoreCase]]=1,tbl_Case_mins[[#This Row],[NoInCoreTime]]=0),1,0)</f>
        <v>#REF!</v>
      </c>
      <c r="AQ221" s="9" t="e">
        <f>IF(tbl_Case_mins[[#This Row],[Rank_AnaEnd]]&lt;tbl_Case_mins[[#This Row],[Rank_AnaSt]],1,0)</f>
        <v>#REF!</v>
      </c>
      <c r="AR221" s="9" t="e">
        <f>IF(AND(tbl_Case_mins[[#This Row],[InCoreCase]]=1,tbl_Case_mins[[#This Row],[Sch]]=1),1,0)</f>
        <v>#REF!</v>
      </c>
      <c r="AS221" s="9" t="e">
        <f>IF(AND(tbl_Case_mins[[#This Row],[InCoreCase]]=1,tbl_Case_mins[[#This Row],[Unsch]]=1),1,0)</f>
        <v>#REF!</v>
      </c>
      <c r="AT22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1" s="9" t="e">
        <f>IF(tbl_Case_mins[[#This Row],[Surgery Status]]=0,(tbl_Case_mins[[#This Row],[Anaesth End]]-tbl_Case_mins[[#This Row],[AnaesthStart]]),0)</f>
        <v>#REF!</v>
      </c>
      <c r="AX221" s="9" t="e">
        <f>IF(tbl_Case_mins[[#This Row],[Surgery Status]]=0,(tbl_Case_mins[[#This Row],[Surgery Finish]]-tbl_Case_mins[[#This Row],[Surgery Start]]),0)</f>
        <v>#REF!</v>
      </c>
      <c r="AY221" s="9" t="e">
        <f>tbl_Case_mins[[#This Row],[Surgery Start]]-tbl_Case_mins[[#This Row],[AnaesthStart]]</f>
        <v>#REF!</v>
      </c>
      <c r="AZ221" s="9" t="e">
        <f>tbl_Case_mins[[#This Row],[Anaesth End]]-tbl_Case_mins[[#This Row],[Surgery Finish]]</f>
        <v>#REF!</v>
      </c>
      <c r="BA22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1" s="16" cm="1">
        <f t="array" ref="BC22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1" s="16" t="e">
        <f>IF(AND(tbl_Case_mins[[#This Row],[FirstAMCase]]=1,tbl_Case_mins[[#This Row],[CancelledCase]]=0,OR(tbl_Case_mins[[#This Row],[EarlyStartAM]]&gt;0,tbl_Case_mins[[#This Row],[AnaesthStart]]=tbl_Case_mins[[#This Row],[ThOpenAm]])),1,0)</f>
        <v>#REF!</v>
      </c>
      <c r="BE221" s="16" t="e">
        <f>IF(AND(tbl_Case_mins[[#This Row],[Rank_AnaSt]]=tbl_Case_mins[[#This Row],[Min_RankAnaSt]],tbl_Case_mins[[#This Row],[Anaesth End]]&gt;=tbl_Case_mins[[#This Row],[ThOpenAm]],tbl_Case_mins[[#This Row],[PmCase]]=0),1,0)</f>
        <v>#REF!</v>
      </c>
      <c r="BF22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1" s="9" t="e" cm="1">
        <f t="array" ref="BH22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1" s="9" t="e">
        <f>IF(AND(tbl_Case_mins[[#This Row],[ThOpenPM]]&gt;0,tbl_Case_mins[[#This Row],[AnaesthStart]]&gt;tbl_Case_mins[[#This Row],[ThOpenPM]],tbl_Case_mins[[#This Row],[First PM Case]]=1),tbl_Case_mins[[#This Row],[AnaesthStart]]-tbl_Case_mins[[#This Row],[ThOpenPM]],0)</f>
        <v>#REF!</v>
      </c>
      <c r="BL22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1" s="9" t="e" cm="1">
        <f t="array" ref="BN22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1" s="9" t="e">
        <f>IF(AND(tbl_Case_mins[[#This Row],[ThClosePm]]&gt;0,tbl_Case_mins[[#This Row],[Anaesth End]]&gt;tbl_Case_mins[[#This Row],[ThClosePm]],tbl_Case_mins[[#This Row],[AnaesthStart]]&gt;tbl_Case_mins[[#This Row],[ThClosePm]]),tbl_Case_mins[[#This Row],[Into Recov]]-tbl_Case_mins[[#This Row],[AnaesthStart]],0)</f>
        <v>#REF!</v>
      </c>
      <c r="BP221" s="9" t="e">
        <f>IF(AND(tbl_Case_mins[[#This Row],[AnaesthStart]]&lt;tbl_Case_mins[[#This Row],[ThClosePm]],tbl_Case_mins[[#This Row],[Anaesth End]]&gt;tbl_Case_mins[[#This Row],[ThClosePm]]),tbl_Case_mins[[#This Row],[Anaesth End]]-tbl_Case_mins[[#This Row],[ThClosePm]],0)</f>
        <v>#REF!</v>
      </c>
      <c r="BQ221" s="9" t="e" cm="1">
        <f t="array" ref="BQ22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1" s="9" t="e" cm="1">
        <f t="array" ref="BR221">IF(tbl_Case_mins[[#This Row],[Rank_Adjust]]=SUMPRODUCT(-(tbl_Case_mins[Surgery Start Date]=tbl_Case_mins[[#This Row],[Surgery Start Date]]),-(tbl_Case_mins[Theatre]=tbl_Case_mins[[#This Row],[Theatre]])),INDEX(Poss_Time,MATCH(TEXT(tbl_Case_mins[[#This Row],[Surgery Start Date]],"ddd"),Day,0)),0)</f>
        <v>#REF!</v>
      </c>
      <c r="BS221" s="9" t="e">
        <f>tbl_Case_mins[[#This Row],[Core_Time]]*Util_Goal</f>
        <v>#REF!</v>
      </c>
      <c r="BT221" s="9" t="e" cm="1">
        <f t="array" ref="BT2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1" s="9" t="e" cm="1">
        <f t="array" ref="BU2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1" s="9" t="e">
        <f>IF(tbl_Case_mins[[#This Row],[Surgery End Date]]&gt;tbl_Case_mins[[#This Row],[Surgery Start Date]],tbl_Case_mins[[#This Row],[Anaesth End]]-1440,0)</f>
        <v>#REF!</v>
      </c>
      <c r="BY221" s="9" t="e">
        <f>tbl_Case_mins[[#This Row],[Total_NonCore]]-tbl_Case_mins[[#This Row],[NextDay_NonCore]]</f>
        <v>#REF!</v>
      </c>
      <c r="BZ221" s="10" t="e">
        <f>tbl_Case_mins[[#This Row],[InCoreUse]]/60</f>
        <v>#REF!</v>
      </c>
      <c r="CA221" s="10" t="e">
        <f>tbl_Case_mins[[#This Row],[Total_NonCore]]/60</f>
        <v>#REF!</v>
      </c>
      <c r="CB221" t="e" cm="1">
        <f t="array" ref="CB2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1" s="9" t="e" cm="1">
        <f t="array" ref="CC22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1" s="9" t="e" cm="1">
        <f t="array" ref="CD2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1" s="9" t="e" cm="1">
        <f t="array" ref="CE22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1" s="9" cm="1">
        <f t="array" ref="CF221">IFERROR(_xlfn.AGGREGATE(14,6,(tbl_Case_mins[Rank_AnaEnd])/((tbl_Case_mins[Surgery Start Date]=tbl_Case_mins[[#This Row],[Surgery Start Date]])*(tbl_Case_mins[Theatre]=tbl_Case_mins[[#This Row],[Theatre]])*(tbl_Case_mins[NoInCoreTime]=0)),1),-1)</f>
        <v>-1</v>
      </c>
      <c r="CG221" s="9" cm="1">
        <f t="array" ref="CG221">IFERROR(_xlfn.AGGREGATE(15,6,(tbl_Case_mins[Rank_AnaSt])/((tbl_Case_mins[Surgery Start Date]=tbl_Case_mins[[#This Row],[Surgery Start Date]])*(tbl_Case_mins[Theatre]=tbl_Case_mins[[#This Row],[Theatre]])*(tbl_Case_mins[NoInCoreTime]=0)),1),-1)</f>
        <v>-1</v>
      </c>
      <c r="CH22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1" t="e" cm="1">
        <f t="array" ref="CJ22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1" s="9" cm="1">
        <f t="array" ref="CO2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1" s="9" cm="1">
        <f t="array" ref="CP2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1" s="9" cm="1">
        <f t="array" ref="CQ221">IFERROR(IF(AND(tbl_Case_mins[[#This Row],[FirstAMCase]]=0,tbl_Case_mins[[#This Row],[Rank]]=_xlfn.AGGREGATE(14,6,(tbl_Case_mins[Rank])/((tbl_Case_mins[Surgery Start Date]=tbl_Case_mins[[#This Row],[Surgery Start Date]])*(tbl_Case_mins[Theatre]=tbl_Case_mins[[#This Row],[Theatre]])*(tbl_Case_mins[AmCase]=1)),1)),1,0),0)</f>
        <v>0</v>
      </c>
      <c r="CR221" s="9" cm="1">
        <f t="array" ref="CR22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1" s="9" t="e" cm="1">
        <f t="array" ref="CS22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1" s="9" cm="1">
        <f t="array" ref="CT221">IFERROR(IF(tbl_Case_mins[[#This Row],[Rank]]=_xlfn.AGGREGATE(15,6,(tbl_Case_mins[Rank])/((tbl_Case_mins[Surgery Start Date]=tbl_Case_mins[[#This Row],[Surgery Start Date]])*(tbl_Case_mins[Theatre]=tbl_Case_mins[[#This Row],[Theatre]])*(tbl_Case_mins[PmCase]=1)),1),1,0),0)</f>
        <v>0</v>
      </c>
      <c r="CU221">
        <f>IFERROR(#REF!,0)</f>
        <v>0</v>
      </c>
      <c r="CV221" s="9" t="e" cm="1">
        <f t="array" ref="CV22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1" s="9">
        <f>IFERROR(IF(ISBLANK(INDEX(Bay_AmClose,MATCH(1,INDEX((tbl_Case_mins[[#This Row],[Bay]]=BayNo)*(tbl_Case_mins[[#This Row],[Surgery Start Date]]=BDate),0,1),0))*1440),0,INDEX(Bay_AmClose,MATCH(1,INDEX((tbl_Case_mins[[#This Row],[Bay]]=BayNo)*(tbl_Case_mins[[#This Row],[Surgery Start Date]]=BDate),0,1),0))*1440),0)</f>
        <v>0</v>
      </c>
      <c r="CX221" s="9" cm="1">
        <f t="array" ref="CX221">IFERROR(IF(ISBLANK(INDEX(Bay_PmOpen,MATCH(1,INDEX((tbl_Case_mins[[#This Row],[Bay]]=BayNo)*(tbl_Case_mins[[#This Row],[Surgery Start Date]]=BDate),0,1),0))*1440),0,INDEX(Bay_PmOpen,MATCH(1,INDEX((tbl_Case_mins[[#This Row],[Bay]]=BayNo)*(tbl_Case_mins[[#This Row],[Surgery Start Date]]=BDate),0,1),0))*1440),0)</f>
        <v>0</v>
      </c>
      <c r="CY22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1" s="9"/>
    </row>
    <row r="222" spans="1:104" x14ac:dyDescent="0.2">
      <c r="A222">
        <v>221</v>
      </c>
      <c r="B222" t="e">
        <f>#REF!</f>
        <v>#REF!</v>
      </c>
      <c r="C222" t="e">
        <f>#REF!</f>
        <v>#REF!</v>
      </c>
      <c r="D222" t="e">
        <f>#REF!</f>
        <v>#REF!</v>
      </c>
      <c r="E222" t="e">
        <f>#REF!</f>
        <v>#REF!</v>
      </c>
      <c r="F222" t="e">
        <f>#REF!</f>
        <v>#REF!</v>
      </c>
      <c r="G222" t="e">
        <f>#REF!</f>
        <v>#REF!</v>
      </c>
      <c r="H222" t="e">
        <f>#REF!</f>
        <v>#REF!</v>
      </c>
      <c r="I222" t="e">
        <f>IF(#REF!="Case Cancelled",1,IF(#REF!="No Cases",2,0))</f>
        <v>#REF!</v>
      </c>
      <c r="J222" t="e">
        <f>#REF!</f>
        <v>#REF!</v>
      </c>
      <c r="K222" s="4" t="e">
        <f>#REF!</f>
        <v>#REF!</v>
      </c>
      <c r="L222" t="e">
        <f>"Wk "&amp;WEEKNUM(tbl_Case_mins[[#This Row],[Surgery Start Date]],21)</f>
        <v>#REF!</v>
      </c>
      <c r="M222" t="e">
        <f>TEXT(tbl_Case_mins[[#This Row],[Surgery Start Date]],"ddd")</f>
        <v>#REF!</v>
      </c>
      <c r="N222" s="9" t="e">
        <f>(#REF!-TIME(0,0,0))*1440</f>
        <v>#REF!</v>
      </c>
      <c r="O222" t="e">
        <f>IF(AND(ROUND((#REF!-TIME(0,0,0))*1440,0)&gt;0,ROUND((#REF!-TIME(0,0,0))*1440,0)&lt;tbl_Case_mins[[#This Row],[Patient Called]],tbl_Case_mins[[#This Row],[Surgery End Date]]&gt;tbl_Case_mins[[#This Row],[Surgery Start Date]]),ROUND((#REF!-TIME(0,0,0))*1440,0)+1440,ROUND((#REF!-TIME(0,0,0))*1440,0))</f>
        <v>#REF!</v>
      </c>
      <c r="P222" s="9" t="e">
        <f>IF(AND(ROUND((#REF!-TIME(0,0,0))*1440,0)&gt;0,ROUND((#REF!-TIME(0,0,0))*1440,0)&lt;tbl_Case_mins[[#This Row],[Arrival]],tbl_Case_mins[[#This Row],[Surgery End Date]]&gt;tbl_Case_mins[[#This Row],[Surgery Start Date]]),ROUND((#REF!-TIME(0,0,0))*1440,0)+1440,ROUND((#REF!-TIME(0,0,0))*1440,0))</f>
        <v>#REF!</v>
      </c>
      <c r="Q222" s="9" t="e">
        <f>IF(AND(ROUND((#REF!-TIME(0,0,0))*1440,0)&gt;0,ROUND((#REF!-TIME(0,0,0))*1440,0)&lt;tbl_Case_mins[[#This Row],[Into Th or AR]],tbl_Case_mins[[#This Row],[Surgery End Date]]&gt;tbl_Case_mins[[#This Row],[Surgery Start Date]]),ROUND((#REF!-TIME(0,0,0))*1440,0)+1440,ROUND((#REF!-TIME(0,0,0))*1440,0))</f>
        <v>#REF!</v>
      </c>
      <c r="R222" s="9" t="e">
        <f>IF(AND(ROUND((#REF!-TIME(0,0,0))*1440,0)&gt;0,ROUND((#REF!-TIME(0,0,0))*1440,0)&lt;tbl_Case_mins[[#This Row],[AnaesthStart]],tbl_Case_mins[[#This Row],[Surgery End Date]]&gt;tbl_Case_mins[[#This Row],[Surgery Start Date]]),ROUND((#REF!-TIME(0,0,0))*1440,0)+1440,ROUND((#REF!-TIME(0,0,0))*1440,0))</f>
        <v>#REF!</v>
      </c>
      <c r="S222" s="9" t="e">
        <f>IF(AND(ROUND((#REF!-TIME(0,0,0))*1440,0),ROUND((#REF!-TIME(0,0,0))*1440,0)&lt;tbl_Case_mins[[#This Row],[Surgery Start]],tbl_Case_mins[[#This Row],[Surgery End Date]]&gt;tbl_Case_mins[[#This Row],[Surgery Start Date]]),ROUND((#REF!-TIME(0,0,0))*1440,0)+1440,ROUND((#REF!-TIME(0,0,0))*1440,0))</f>
        <v>#REF!</v>
      </c>
      <c r="T222" s="9" t="e">
        <f>IF(AND(ROUND((#REF!-TIME(0,0,0))*1440,0)&gt;0,ROUND((#REF!-TIME(0,0,0))*1440,0)&lt;tbl_Case_mins[[#This Row],[Surgery Finish]],tbl_Case_mins[[#This Row],[Surgery End Date]]&gt;tbl_Case_mins[[#This Row],[Surgery Start Date]]),ROUND((#REF!-TIME(0,0,0))*1440,0)+1440,ROUND((#REF!-TIME(0,0,0))*1440,0))</f>
        <v>#REF!</v>
      </c>
      <c r="U222" s="9" t="e">
        <f>IF(AND(ROUND((#REF!-TIME(0,0,0))*1440,0)&gt;0,ROUND((#REF!-TIME(0,0,0))*1440,0)&lt;tbl_Case_mins[[#This Row],[Anaesth End]],tbl_Case_mins[[#This Row],[Surgery End Date]]&gt;tbl_Case_mins[[#This Row],[Surgery Start Date]]),ROUND((#REF!-TIME(0,0,0))*1440,0)+1440,ROUND((#REF!-TIME(0,0,0))*1440,0))</f>
        <v>#REF!</v>
      </c>
      <c r="V222" s="9" t="e">
        <f>IF(AND(ROUND((#REF!-TIME(0,0,0))*1440,0)&gt;0,ROUND((#REF!-TIME(0,0,0))*1440,0)&lt;tbl_Case_mins[[#This Row],[Into Recov]],tbl_Case_mins[[#This Row],[Surgery End Date]]&gt;tbl_Case_mins[[#This Row],[Surgery Start Date]]),ROUND((#REF!-TIME(0,0,0))*1440,0)+1440,ROUND((#REF!-TIME(0,0,0))*1440,0))</f>
        <v>#REF!</v>
      </c>
      <c r="W222" s="9" t="e">
        <f>IF(AND(ROUND((#REF!-TIME(0,0,0))*1440,0)&gt;0,ROUND((#REF!-TIME(0,0,0))*1440,0)&lt;tbl_Case_mins[[#This Row],[Ward Called]],tbl_Case_mins[[#This Row],[Surgery End Date]]&gt;tbl_Case_mins[[#This Row],[Surgery Start Date]]),ROUND((#REF!-TIME(0,0,0))*1440,0)+1440,ROUND((#REF!-TIME(0,0,0))*1440,0))</f>
        <v>#REF!</v>
      </c>
      <c r="X222" s="4" t="e">
        <f>IF(ISBLANK(#REF!),tbl_Case_mins[[#This Row],[Surgery Start Date]],#REF!)</f>
        <v>#REF!</v>
      </c>
      <c r="Y222">
        <f>IFERROR(IF(VLOOKUP(tbl_Case_mins[[#This Row],[Theatre]],'Mng Theatres'!$C$7:$G$12,3,FALSE)="Yes","Yes","No"),0)</f>
        <v>0</v>
      </c>
      <c r="Z222" s="9" t="e" cm="1">
        <f t="array" ref="Z22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2" s="9" t="e" cm="1">
        <f t="array" ref="AA22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2" s="9" t="e">
        <f>IF(tbl_Case_mins[[#This Row],[Case Type]]="Unsch",1,0)</f>
        <v>#REF!</v>
      </c>
      <c r="AD222" s="9" t="e">
        <f>IF(tbl_Case_mins[[#This Row],[Case Type]]="Sch",1,0)</f>
        <v>#REF!</v>
      </c>
      <c r="AE22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2" s="9">
        <f>IFERROR(IF(ISBLANK(INDEX(Am_Close,MATCH(1,INDEX((tbl_Case_mins[[#This Row],[Theatre]]=Theatre_No)*(tbl_Case_mins[[#This Row],[Surgery Start Date]]=Date),0,1),0))*1440),0,INDEX(Am_Close,MATCH(1,INDEX((tbl_Case_mins[[#This Row],[Theatre]]=Theatre_No)*(tbl_Case_mins[[#This Row],[Surgery Start Date]]=Date),0,1),0))*1440),0)</f>
        <v>0</v>
      </c>
      <c r="AG222" s="9">
        <f>IFERROR(IF(ISBLANK(INDEX(PM_Open,MATCH(1,INDEX((tbl_Case_mins[[#This Row],[Theatre]]=Theatre_No)*(tbl_Case_mins[[#This Row],[Surgery Start Date]]=Date),0,1),0))*1440),0,INDEX(PM_Open,MATCH(1,INDEX((tbl_Case_mins[[#This Row],[Theatre]]=Theatre_No)*(tbl_Case_mins[[#This Row],[Surgery Start Date]]=Date),0,1),0))*1440),0)</f>
        <v>0</v>
      </c>
      <c r="AH22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2" s="9" t="e">
        <f>IF(tbl_Case_mins[[#This Row],[ThOpenAm]]=0,tbl_Case_mins[[#This Row],[ThOpenPM]],tbl_Case_mins[[#This Row],[ThOpenAm]])</f>
        <v>#REF!</v>
      </c>
      <c r="AJ222" s="9" t="e">
        <f>IF(tbl_Case_mins[[#This Row],[ThCloseAm]]&gt;0,IF(tbl_Case_mins[[#This Row],[ThOpenPM]]&gt;0,tbl_Case_mins[[#This Row],[ThClosePm]],tbl_Case_mins[[#This Row],[ThCloseAm]]),tbl_Case_mins[[#This Row],[ThClosePm]])</f>
        <v>#REF!</v>
      </c>
      <c r="AK222" s="9" t="e">
        <f>IF(tbl_Case_mins[[#This Row],[TOT]]&gt;0,1,0)</f>
        <v>#REF!</v>
      </c>
      <c r="AL22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2" s="9" t="e">
        <f>IF(AND(tbl_Case_mins[[#This Row],[Surgery Status]]&lt;&gt;2,tbl_Case_mins[[#This Row],[InCoreCase]]=0,tbl_Case_mins[[#This Row],[CancelledCase]]=0),1,0)</f>
        <v>#REF!</v>
      </c>
      <c r="AN222" s="9" t="e">
        <f>IF(tbl_Case_mins[[#This Row],[Surgery Status]]=1,1,0)</f>
        <v>#REF!</v>
      </c>
      <c r="AO22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2" s="9" t="e">
        <f>IF(AND(tbl_Case_mins[[#This Row],[NonCoreCase]]=1,tbl_Case_mins[[#This Row],[NoInCoreTime]]=0),1,0)</f>
        <v>#REF!</v>
      </c>
      <c r="AQ222" s="9" t="e">
        <f>IF(tbl_Case_mins[[#This Row],[Rank_AnaEnd]]&lt;tbl_Case_mins[[#This Row],[Rank_AnaSt]],1,0)</f>
        <v>#REF!</v>
      </c>
      <c r="AR222" s="9" t="e">
        <f>IF(AND(tbl_Case_mins[[#This Row],[InCoreCase]]=1,tbl_Case_mins[[#This Row],[Sch]]=1),1,0)</f>
        <v>#REF!</v>
      </c>
      <c r="AS222" s="9" t="e">
        <f>IF(AND(tbl_Case_mins[[#This Row],[InCoreCase]]=1,tbl_Case_mins[[#This Row],[Unsch]]=1),1,0)</f>
        <v>#REF!</v>
      </c>
      <c r="AT22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2" s="9" t="e">
        <f>IF(tbl_Case_mins[[#This Row],[Surgery Status]]=0,(tbl_Case_mins[[#This Row],[Anaesth End]]-tbl_Case_mins[[#This Row],[AnaesthStart]]),0)</f>
        <v>#REF!</v>
      </c>
      <c r="AX222" s="9" t="e">
        <f>IF(tbl_Case_mins[[#This Row],[Surgery Status]]=0,(tbl_Case_mins[[#This Row],[Surgery Finish]]-tbl_Case_mins[[#This Row],[Surgery Start]]),0)</f>
        <v>#REF!</v>
      </c>
      <c r="AY222" s="9" t="e">
        <f>tbl_Case_mins[[#This Row],[Surgery Start]]-tbl_Case_mins[[#This Row],[AnaesthStart]]</f>
        <v>#REF!</v>
      </c>
      <c r="AZ222" s="9" t="e">
        <f>tbl_Case_mins[[#This Row],[Anaesth End]]-tbl_Case_mins[[#This Row],[Surgery Finish]]</f>
        <v>#REF!</v>
      </c>
      <c r="BA22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2" s="16" cm="1">
        <f t="array" ref="BC22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2" s="16" t="e">
        <f>IF(AND(tbl_Case_mins[[#This Row],[FirstAMCase]]=1,tbl_Case_mins[[#This Row],[CancelledCase]]=0,OR(tbl_Case_mins[[#This Row],[EarlyStartAM]]&gt;0,tbl_Case_mins[[#This Row],[AnaesthStart]]=tbl_Case_mins[[#This Row],[ThOpenAm]])),1,0)</f>
        <v>#REF!</v>
      </c>
      <c r="BE222" s="16" t="e">
        <f>IF(AND(tbl_Case_mins[[#This Row],[Rank_AnaSt]]=tbl_Case_mins[[#This Row],[Min_RankAnaSt]],tbl_Case_mins[[#This Row],[Anaesth End]]&gt;=tbl_Case_mins[[#This Row],[ThOpenAm]],tbl_Case_mins[[#This Row],[PmCase]]=0),1,0)</f>
        <v>#REF!</v>
      </c>
      <c r="BF22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2" s="9" t="e" cm="1">
        <f t="array" ref="BH22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2" s="9" t="e">
        <f>IF(AND(tbl_Case_mins[[#This Row],[ThOpenPM]]&gt;0,tbl_Case_mins[[#This Row],[AnaesthStart]]&gt;tbl_Case_mins[[#This Row],[ThOpenPM]],tbl_Case_mins[[#This Row],[First PM Case]]=1),tbl_Case_mins[[#This Row],[AnaesthStart]]-tbl_Case_mins[[#This Row],[ThOpenPM]],0)</f>
        <v>#REF!</v>
      </c>
      <c r="BL22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2" s="9" t="e" cm="1">
        <f t="array" ref="BN22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2" s="9" t="e">
        <f>IF(AND(tbl_Case_mins[[#This Row],[ThClosePm]]&gt;0,tbl_Case_mins[[#This Row],[Anaesth End]]&gt;tbl_Case_mins[[#This Row],[ThClosePm]],tbl_Case_mins[[#This Row],[AnaesthStart]]&gt;tbl_Case_mins[[#This Row],[ThClosePm]]),tbl_Case_mins[[#This Row],[Into Recov]]-tbl_Case_mins[[#This Row],[AnaesthStart]],0)</f>
        <v>#REF!</v>
      </c>
      <c r="BP222" s="9" t="e">
        <f>IF(AND(tbl_Case_mins[[#This Row],[AnaesthStart]]&lt;tbl_Case_mins[[#This Row],[ThClosePm]],tbl_Case_mins[[#This Row],[Anaesth End]]&gt;tbl_Case_mins[[#This Row],[ThClosePm]]),tbl_Case_mins[[#This Row],[Anaesth End]]-tbl_Case_mins[[#This Row],[ThClosePm]],0)</f>
        <v>#REF!</v>
      </c>
      <c r="BQ222" s="9" t="e" cm="1">
        <f t="array" ref="BQ22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2" s="9" t="e" cm="1">
        <f t="array" ref="BR222">IF(tbl_Case_mins[[#This Row],[Rank_Adjust]]=SUMPRODUCT(-(tbl_Case_mins[Surgery Start Date]=tbl_Case_mins[[#This Row],[Surgery Start Date]]),-(tbl_Case_mins[Theatre]=tbl_Case_mins[[#This Row],[Theatre]])),INDEX(Poss_Time,MATCH(TEXT(tbl_Case_mins[[#This Row],[Surgery Start Date]],"ddd"),Day,0)),0)</f>
        <v>#REF!</v>
      </c>
      <c r="BS222" s="9" t="e">
        <f>tbl_Case_mins[[#This Row],[Core_Time]]*Util_Goal</f>
        <v>#REF!</v>
      </c>
      <c r="BT222" s="9" t="e" cm="1">
        <f t="array" ref="BT2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2" s="9" t="e" cm="1">
        <f t="array" ref="BU2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2" s="9" t="e">
        <f>IF(tbl_Case_mins[[#This Row],[Surgery End Date]]&gt;tbl_Case_mins[[#This Row],[Surgery Start Date]],tbl_Case_mins[[#This Row],[Anaesth End]]-1440,0)</f>
        <v>#REF!</v>
      </c>
      <c r="BY222" s="9" t="e">
        <f>tbl_Case_mins[[#This Row],[Total_NonCore]]-tbl_Case_mins[[#This Row],[NextDay_NonCore]]</f>
        <v>#REF!</v>
      </c>
      <c r="BZ222" s="10" t="e">
        <f>tbl_Case_mins[[#This Row],[InCoreUse]]/60</f>
        <v>#REF!</v>
      </c>
      <c r="CA222" s="10" t="e">
        <f>tbl_Case_mins[[#This Row],[Total_NonCore]]/60</f>
        <v>#REF!</v>
      </c>
      <c r="CB222" t="e" cm="1">
        <f t="array" ref="CB2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2" s="9" t="e" cm="1">
        <f t="array" ref="CC22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2" s="9" t="e" cm="1">
        <f t="array" ref="CD2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2" s="9" t="e" cm="1">
        <f t="array" ref="CE22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2" s="9" cm="1">
        <f t="array" ref="CF222">IFERROR(_xlfn.AGGREGATE(14,6,(tbl_Case_mins[Rank_AnaEnd])/((tbl_Case_mins[Surgery Start Date]=tbl_Case_mins[[#This Row],[Surgery Start Date]])*(tbl_Case_mins[Theatre]=tbl_Case_mins[[#This Row],[Theatre]])*(tbl_Case_mins[NoInCoreTime]=0)),1),-1)</f>
        <v>-1</v>
      </c>
      <c r="CG222" s="9" cm="1">
        <f t="array" ref="CG222">IFERROR(_xlfn.AGGREGATE(15,6,(tbl_Case_mins[Rank_AnaSt])/((tbl_Case_mins[Surgery Start Date]=tbl_Case_mins[[#This Row],[Surgery Start Date]])*(tbl_Case_mins[Theatre]=tbl_Case_mins[[#This Row],[Theatre]])*(tbl_Case_mins[NoInCoreTime]=0)),1),-1)</f>
        <v>-1</v>
      </c>
      <c r="CH22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2" t="e" cm="1">
        <f t="array" ref="CJ22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2" s="9" cm="1">
        <f t="array" ref="CO2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2" s="9" cm="1">
        <f t="array" ref="CP2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2" s="9" cm="1">
        <f t="array" ref="CQ222">IFERROR(IF(AND(tbl_Case_mins[[#This Row],[FirstAMCase]]=0,tbl_Case_mins[[#This Row],[Rank]]=_xlfn.AGGREGATE(14,6,(tbl_Case_mins[Rank])/((tbl_Case_mins[Surgery Start Date]=tbl_Case_mins[[#This Row],[Surgery Start Date]])*(tbl_Case_mins[Theatre]=tbl_Case_mins[[#This Row],[Theatre]])*(tbl_Case_mins[AmCase]=1)),1)),1,0),0)</f>
        <v>0</v>
      </c>
      <c r="CR222" s="9" cm="1">
        <f t="array" ref="CR22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2" s="9" t="e" cm="1">
        <f t="array" ref="CS22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2" s="9" cm="1">
        <f t="array" ref="CT222">IFERROR(IF(tbl_Case_mins[[#This Row],[Rank]]=_xlfn.AGGREGATE(15,6,(tbl_Case_mins[Rank])/((tbl_Case_mins[Surgery Start Date]=tbl_Case_mins[[#This Row],[Surgery Start Date]])*(tbl_Case_mins[Theatre]=tbl_Case_mins[[#This Row],[Theatre]])*(tbl_Case_mins[PmCase]=1)),1),1,0),0)</f>
        <v>0</v>
      </c>
      <c r="CU222">
        <f>IFERROR(#REF!,0)</f>
        <v>0</v>
      </c>
      <c r="CV222" s="9" t="e" cm="1">
        <f t="array" ref="CV22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2" s="9">
        <f>IFERROR(IF(ISBLANK(INDEX(Bay_AmClose,MATCH(1,INDEX((tbl_Case_mins[[#This Row],[Bay]]=BayNo)*(tbl_Case_mins[[#This Row],[Surgery Start Date]]=BDate),0,1),0))*1440),0,INDEX(Bay_AmClose,MATCH(1,INDEX((tbl_Case_mins[[#This Row],[Bay]]=BayNo)*(tbl_Case_mins[[#This Row],[Surgery Start Date]]=BDate),0,1),0))*1440),0)</f>
        <v>0</v>
      </c>
      <c r="CX222" s="9" cm="1">
        <f t="array" ref="CX222">IFERROR(IF(ISBLANK(INDEX(Bay_PmOpen,MATCH(1,INDEX((tbl_Case_mins[[#This Row],[Bay]]=BayNo)*(tbl_Case_mins[[#This Row],[Surgery Start Date]]=BDate),0,1),0))*1440),0,INDEX(Bay_PmOpen,MATCH(1,INDEX((tbl_Case_mins[[#This Row],[Bay]]=BayNo)*(tbl_Case_mins[[#This Row],[Surgery Start Date]]=BDate),0,1),0))*1440),0)</f>
        <v>0</v>
      </c>
      <c r="CY22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2" s="9"/>
    </row>
    <row r="223" spans="1:104" x14ac:dyDescent="0.2">
      <c r="A223">
        <v>222</v>
      </c>
      <c r="B223" t="e">
        <f>#REF!</f>
        <v>#REF!</v>
      </c>
      <c r="C223" t="e">
        <f>#REF!</f>
        <v>#REF!</v>
      </c>
      <c r="D223" t="e">
        <f>#REF!</f>
        <v>#REF!</v>
      </c>
      <c r="E223" t="e">
        <f>#REF!</f>
        <v>#REF!</v>
      </c>
      <c r="F223" t="e">
        <f>#REF!</f>
        <v>#REF!</v>
      </c>
      <c r="G223" t="e">
        <f>#REF!</f>
        <v>#REF!</v>
      </c>
      <c r="H223" t="e">
        <f>#REF!</f>
        <v>#REF!</v>
      </c>
      <c r="I223" t="e">
        <f>IF(#REF!="Case Cancelled",1,IF(#REF!="No Cases",2,0))</f>
        <v>#REF!</v>
      </c>
      <c r="J223" t="e">
        <f>#REF!</f>
        <v>#REF!</v>
      </c>
      <c r="K223" s="4" t="e">
        <f>#REF!</f>
        <v>#REF!</v>
      </c>
      <c r="L223" t="e">
        <f>"Wk "&amp;WEEKNUM(tbl_Case_mins[[#This Row],[Surgery Start Date]],21)</f>
        <v>#REF!</v>
      </c>
      <c r="M223" t="e">
        <f>TEXT(tbl_Case_mins[[#This Row],[Surgery Start Date]],"ddd")</f>
        <v>#REF!</v>
      </c>
      <c r="N223" s="9" t="e">
        <f>(#REF!-TIME(0,0,0))*1440</f>
        <v>#REF!</v>
      </c>
      <c r="O223" t="e">
        <f>IF(AND(ROUND((#REF!-TIME(0,0,0))*1440,0)&gt;0,ROUND((#REF!-TIME(0,0,0))*1440,0)&lt;tbl_Case_mins[[#This Row],[Patient Called]],tbl_Case_mins[[#This Row],[Surgery End Date]]&gt;tbl_Case_mins[[#This Row],[Surgery Start Date]]),ROUND((#REF!-TIME(0,0,0))*1440,0)+1440,ROUND((#REF!-TIME(0,0,0))*1440,0))</f>
        <v>#REF!</v>
      </c>
      <c r="P223" s="9" t="e">
        <f>IF(AND(ROUND((#REF!-TIME(0,0,0))*1440,0)&gt;0,ROUND((#REF!-TIME(0,0,0))*1440,0)&lt;tbl_Case_mins[[#This Row],[Arrival]],tbl_Case_mins[[#This Row],[Surgery End Date]]&gt;tbl_Case_mins[[#This Row],[Surgery Start Date]]),ROUND((#REF!-TIME(0,0,0))*1440,0)+1440,ROUND((#REF!-TIME(0,0,0))*1440,0))</f>
        <v>#REF!</v>
      </c>
      <c r="Q223" s="9" t="e">
        <f>IF(AND(ROUND((#REF!-TIME(0,0,0))*1440,0)&gt;0,ROUND((#REF!-TIME(0,0,0))*1440,0)&lt;tbl_Case_mins[[#This Row],[Into Th or AR]],tbl_Case_mins[[#This Row],[Surgery End Date]]&gt;tbl_Case_mins[[#This Row],[Surgery Start Date]]),ROUND((#REF!-TIME(0,0,0))*1440,0)+1440,ROUND((#REF!-TIME(0,0,0))*1440,0))</f>
        <v>#REF!</v>
      </c>
      <c r="R223" s="9" t="e">
        <f>IF(AND(ROUND((#REF!-TIME(0,0,0))*1440,0)&gt;0,ROUND((#REF!-TIME(0,0,0))*1440,0)&lt;tbl_Case_mins[[#This Row],[AnaesthStart]],tbl_Case_mins[[#This Row],[Surgery End Date]]&gt;tbl_Case_mins[[#This Row],[Surgery Start Date]]),ROUND((#REF!-TIME(0,0,0))*1440,0)+1440,ROUND((#REF!-TIME(0,0,0))*1440,0))</f>
        <v>#REF!</v>
      </c>
      <c r="S223" s="9" t="e">
        <f>IF(AND(ROUND((#REF!-TIME(0,0,0))*1440,0),ROUND((#REF!-TIME(0,0,0))*1440,0)&lt;tbl_Case_mins[[#This Row],[Surgery Start]],tbl_Case_mins[[#This Row],[Surgery End Date]]&gt;tbl_Case_mins[[#This Row],[Surgery Start Date]]),ROUND((#REF!-TIME(0,0,0))*1440,0)+1440,ROUND((#REF!-TIME(0,0,0))*1440,0))</f>
        <v>#REF!</v>
      </c>
      <c r="T223" s="9" t="e">
        <f>IF(AND(ROUND((#REF!-TIME(0,0,0))*1440,0)&gt;0,ROUND((#REF!-TIME(0,0,0))*1440,0)&lt;tbl_Case_mins[[#This Row],[Surgery Finish]],tbl_Case_mins[[#This Row],[Surgery End Date]]&gt;tbl_Case_mins[[#This Row],[Surgery Start Date]]),ROUND((#REF!-TIME(0,0,0))*1440,0)+1440,ROUND((#REF!-TIME(0,0,0))*1440,0))</f>
        <v>#REF!</v>
      </c>
      <c r="U223" s="9" t="e">
        <f>IF(AND(ROUND((#REF!-TIME(0,0,0))*1440,0)&gt;0,ROUND((#REF!-TIME(0,0,0))*1440,0)&lt;tbl_Case_mins[[#This Row],[Anaesth End]],tbl_Case_mins[[#This Row],[Surgery End Date]]&gt;tbl_Case_mins[[#This Row],[Surgery Start Date]]),ROUND((#REF!-TIME(0,0,0))*1440,0)+1440,ROUND((#REF!-TIME(0,0,0))*1440,0))</f>
        <v>#REF!</v>
      </c>
      <c r="V223" s="9" t="e">
        <f>IF(AND(ROUND((#REF!-TIME(0,0,0))*1440,0)&gt;0,ROUND((#REF!-TIME(0,0,0))*1440,0)&lt;tbl_Case_mins[[#This Row],[Into Recov]],tbl_Case_mins[[#This Row],[Surgery End Date]]&gt;tbl_Case_mins[[#This Row],[Surgery Start Date]]),ROUND((#REF!-TIME(0,0,0))*1440,0)+1440,ROUND((#REF!-TIME(0,0,0))*1440,0))</f>
        <v>#REF!</v>
      </c>
      <c r="W223" s="9" t="e">
        <f>IF(AND(ROUND((#REF!-TIME(0,0,0))*1440,0)&gt;0,ROUND((#REF!-TIME(0,0,0))*1440,0)&lt;tbl_Case_mins[[#This Row],[Ward Called]],tbl_Case_mins[[#This Row],[Surgery End Date]]&gt;tbl_Case_mins[[#This Row],[Surgery Start Date]]),ROUND((#REF!-TIME(0,0,0))*1440,0)+1440,ROUND((#REF!-TIME(0,0,0))*1440,0))</f>
        <v>#REF!</v>
      </c>
      <c r="X223" s="4" t="e">
        <f>IF(ISBLANK(#REF!),tbl_Case_mins[[#This Row],[Surgery Start Date]],#REF!)</f>
        <v>#REF!</v>
      </c>
      <c r="Y223">
        <f>IFERROR(IF(VLOOKUP(tbl_Case_mins[[#This Row],[Theatre]],'Mng Theatres'!$C$7:$G$12,3,FALSE)="Yes","Yes","No"),0)</f>
        <v>0</v>
      </c>
      <c r="Z223" s="9" t="e" cm="1">
        <f t="array" ref="Z22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3" s="9" t="e" cm="1">
        <f t="array" ref="AA22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3" s="9" t="e">
        <f>IF(tbl_Case_mins[[#This Row],[Case Type]]="Unsch",1,0)</f>
        <v>#REF!</v>
      </c>
      <c r="AD223" s="9" t="e">
        <f>IF(tbl_Case_mins[[#This Row],[Case Type]]="Sch",1,0)</f>
        <v>#REF!</v>
      </c>
      <c r="AE22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3" s="9">
        <f>IFERROR(IF(ISBLANK(INDEX(Am_Close,MATCH(1,INDEX((tbl_Case_mins[[#This Row],[Theatre]]=Theatre_No)*(tbl_Case_mins[[#This Row],[Surgery Start Date]]=Date),0,1),0))*1440),0,INDEX(Am_Close,MATCH(1,INDEX((tbl_Case_mins[[#This Row],[Theatre]]=Theatre_No)*(tbl_Case_mins[[#This Row],[Surgery Start Date]]=Date),0,1),0))*1440),0)</f>
        <v>0</v>
      </c>
      <c r="AG223" s="9">
        <f>IFERROR(IF(ISBLANK(INDEX(PM_Open,MATCH(1,INDEX((tbl_Case_mins[[#This Row],[Theatre]]=Theatre_No)*(tbl_Case_mins[[#This Row],[Surgery Start Date]]=Date),0,1),0))*1440),0,INDEX(PM_Open,MATCH(1,INDEX((tbl_Case_mins[[#This Row],[Theatre]]=Theatre_No)*(tbl_Case_mins[[#This Row],[Surgery Start Date]]=Date),0,1),0))*1440),0)</f>
        <v>0</v>
      </c>
      <c r="AH22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3" s="9" t="e">
        <f>IF(tbl_Case_mins[[#This Row],[ThOpenAm]]=0,tbl_Case_mins[[#This Row],[ThOpenPM]],tbl_Case_mins[[#This Row],[ThOpenAm]])</f>
        <v>#REF!</v>
      </c>
      <c r="AJ223" s="9" t="e">
        <f>IF(tbl_Case_mins[[#This Row],[ThCloseAm]]&gt;0,IF(tbl_Case_mins[[#This Row],[ThOpenPM]]&gt;0,tbl_Case_mins[[#This Row],[ThClosePm]],tbl_Case_mins[[#This Row],[ThCloseAm]]),tbl_Case_mins[[#This Row],[ThClosePm]])</f>
        <v>#REF!</v>
      </c>
      <c r="AK223" s="9" t="e">
        <f>IF(tbl_Case_mins[[#This Row],[TOT]]&gt;0,1,0)</f>
        <v>#REF!</v>
      </c>
      <c r="AL22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3" s="9" t="e">
        <f>IF(AND(tbl_Case_mins[[#This Row],[Surgery Status]]&lt;&gt;2,tbl_Case_mins[[#This Row],[InCoreCase]]=0,tbl_Case_mins[[#This Row],[CancelledCase]]=0),1,0)</f>
        <v>#REF!</v>
      </c>
      <c r="AN223" s="9" t="e">
        <f>IF(tbl_Case_mins[[#This Row],[Surgery Status]]=1,1,0)</f>
        <v>#REF!</v>
      </c>
      <c r="AO22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3" s="9" t="e">
        <f>IF(AND(tbl_Case_mins[[#This Row],[NonCoreCase]]=1,tbl_Case_mins[[#This Row],[NoInCoreTime]]=0),1,0)</f>
        <v>#REF!</v>
      </c>
      <c r="AQ223" s="9" t="e">
        <f>IF(tbl_Case_mins[[#This Row],[Rank_AnaEnd]]&lt;tbl_Case_mins[[#This Row],[Rank_AnaSt]],1,0)</f>
        <v>#REF!</v>
      </c>
      <c r="AR223" s="9" t="e">
        <f>IF(AND(tbl_Case_mins[[#This Row],[InCoreCase]]=1,tbl_Case_mins[[#This Row],[Sch]]=1),1,0)</f>
        <v>#REF!</v>
      </c>
      <c r="AS223" s="9" t="e">
        <f>IF(AND(tbl_Case_mins[[#This Row],[InCoreCase]]=1,tbl_Case_mins[[#This Row],[Unsch]]=1),1,0)</f>
        <v>#REF!</v>
      </c>
      <c r="AT22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3" s="9" t="e">
        <f>IF(tbl_Case_mins[[#This Row],[Surgery Status]]=0,(tbl_Case_mins[[#This Row],[Anaesth End]]-tbl_Case_mins[[#This Row],[AnaesthStart]]),0)</f>
        <v>#REF!</v>
      </c>
      <c r="AX223" s="9" t="e">
        <f>IF(tbl_Case_mins[[#This Row],[Surgery Status]]=0,(tbl_Case_mins[[#This Row],[Surgery Finish]]-tbl_Case_mins[[#This Row],[Surgery Start]]),0)</f>
        <v>#REF!</v>
      </c>
      <c r="AY223" s="9" t="e">
        <f>tbl_Case_mins[[#This Row],[Surgery Start]]-tbl_Case_mins[[#This Row],[AnaesthStart]]</f>
        <v>#REF!</v>
      </c>
      <c r="AZ223" s="9" t="e">
        <f>tbl_Case_mins[[#This Row],[Anaesth End]]-tbl_Case_mins[[#This Row],[Surgery Finish]]</f>
        <v>#REF!</v>
      </c>
      <c r="BA22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3" s="16" cm="1">
        <f t="array" ref="BC22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3" s="16" t="e">
        <f>IF(AND(tbl_Case_mins[[#This Row],[FirstAMCase]]=1,tbl_Case_mins[[#This Row],[CancelledCase]]=0,OR(tbl_Case_mins[[#This Row],[EarlyStartAM]]&gt;0,tbl_Case_mins[[#This Row],[AnaesthStart]]=tbl_Case_mins[[#This Row],[ThOpenAm]])),1,0)</f>
        <v>#REF!</v>
      </c>
      <c r="BE223" s="16" t="e">
        <f>IF(AND(tbl_Case_mins[[#This Row],[Rank_AnaSt]]=tbl_Case_mins[[#This Row],[Min_RankAnaSt]],tbl_Case_mins[[#This Row],[Anaesth End]]&gt;=tbl_Case_mins[[#This Row],[ThOpenAm]],tbl_Case_mins[[#This Row],[PmCase]]=0),1,0)</f>
        <v>#REF!</v>
      </c>
      <c r="BF22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3" s="9" t="e" cm="1">
        <f t="array" ref="BH22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3" s="9" t="e">
        <f>IF(AND(tbl_Case_mins[[#This Row],[ThOpenPM]]&gt;0,tbl_Case_mins[[#This Row],[AnaesthStart]]&gt;tbl_Case_mins[[#This Row],[ThOpenPM]],tbl_Case_mins[[#This Row],[First PM Case]]=1),tbl_Case_mins[[#This Row],[AnaesthStart]]-tbl_Case_mins[[#This Row],[ThOpenPM]],0)</f>
        <v>#REF!</v>
      </c>
      <c r="BL22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3" s="9" t="e" cm="1">
        <f t="array" ref="BN22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3" s="9" t="e">
        <f>IF(AND(tbl_Case_mins[[#This Row],[ThClosePm]]&gt;0,tbl_Case_mins[[#This Row],[Anaesth End]]&gt;tbl_Case_mins[[#This Row],[ThClosePm]],tbl_Case_mins[[#This Row],[AnaesthStart]]&gt;tbl_Case_mins[[#This Row],[ThClosePm]]),tbl_Case_mins[[#This Row],[Into Recov]]-tbl_Case_mins[[#This Row],[AnaesthStart]],0)</f>
        <v>#REF!</v>
      </c>
      <c r="BP223" s="9" t="e">
        <f>IF(AND(tbl_Case_mins[[#This Row],[AnaesthStart]]&lt;tbl_Case_mins[[#This Row],[ThClosePm]],tbl_Case_mins[[#This Row],[Anaesth End]]&gt;tbl_Case_mins[[#This Row],[ThClosePm]]),tbl_Case_mins[[#This Row],[Anaesth End]]-tbl_Case_mins[[#This Row],[ThClosePm]],0)</f>
        <v>#REF!</v>
      </c>
      <c r="BQ223" s="9" t="e" cm="1">
        <f t="array" ref="BQ22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3" s="9" t="e" cm="1">
        <f t="array" ref="BR223">IF(tbl_Case_mins[[#This Row],[Rank_Adjust]]=SUMPRODUCT(-(tbl_Case_mins[Surgery Start Date]=tbl_Case_mins[[#This Row],[Surgery Start Date]]),-(tbl_Case_mins[Theatre]=tbl_Case_mins[[#This Row],[Theatre]])),INDEX(Poss_Time,MATCH(TEXT(tbl_Case_mins[[#This Row],[Surgery Start Date]],"ddd"),Day,0)),0)</f>
        <v>#REF!</v>
      </c>
      <c r="BS223" s="9" t="e">
        <f>tbl_Case_mins[[#This Row],[Core_Time]]*Util_Goal</f>
        <v>#REF!</v>
      </c>
      <c r="BT223" s="9" t="e" cm="1">
        <f t="array" ref="BT2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3" s="9" t="e" cm="1">
        <f t="array" ref="BU2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3" s="9" t="e">
        <f>IF(tbl_Case_mins[[#This Row],[Surgery End Date]]&gt;tbl_Case_mins[[#This Row],[Surgery Start Date]],tbl_Case_mins[[#This Row],[Anaesth End]]-1440,0)</f>
        <v>#REF!</v>
      </c>
      <c r="BY223" s="9" t="e">
        <f>tbl_Case_mins[[#This Row],[Total_NonCore]]-tbl_Case_mins[[#This Row],[NextDay_NonCore]]</f>
        <v>#REF!</v>
      </c>
      <c r="BZ223" s="10" t="e">
        <f>tbl_Case_mins[[#This Row],[InCoreUse]]/60</f>
        <v>#REF!</v>
      </c>
      <c r="CA223" s="10" t="e">
        <f>tbl_Case_mins[[#This Row],[Total_NonCore]]/60</f>
        <v>#REF!</v>
      </c>
      <c r="CB223" t="e" cm="1">
        <f t="array" ref="CB2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3" s="9" t="e" cm="1">
        <f t="array" ref="CC22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3" s="9" t="e" cm="1">
        <f t="array" ref="CD2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3" s="9" t="e" cm="1">
        <f t="array" ref="CE22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3" s="9" cm="1">
        <f t="array" ref="CF223">IFERROR(_xlfn.AGGREGATE(14,6,(tbl_Case_mins[Rank_AnaEnd])/((tbl_Case_mins[Surgery Start Date]=tbl_Case_mins[[#This Row],[Surgery Start Date]])*(tbl_Case_mins[Theatre]=tbl_Case_mins[[#This Row],[Theatre]])*(tbl_Case_mins[NoInCoreTime]=0)),1),-1)</f>
        <v>-1</v>
      </c>
      <c r="CG223" s="9" cm="1">
        <f t="array" ref="CG223">IFERROR(_xlfn.AGGREGATE(15,6,(tbl_Case_mins[Rank_AnaSt])/((tbl_Case_mins[Surgery Start Date]=tbl_Case_mins[[#This Row],[Surgery Start Date]])*(tbl_Case_mins[Theatre]=tbl_Case_mins[[#This Row],[Theatre]])*(tbl_Case_mins[NoInCoreTime]=0)),1),-1)</f>
        <v>-1</v>
      </c>
      <c r="CH22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3" t="e" cm="1">
        <f t="array" ref="CJ22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3" s="9" cm="1">
        <f t="array" ref="CO2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3" s="9" cm="1">
        <f t="array" ref="CP2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3" s="9" cm="1">
        <f t="array" ref="CQ223">IFERROR(IF(AND(tbl_Case_mins[[#This Row],[FirstAMCase]]=0,tbl_Case_mins[[#This Row],[Rank]]=_xlfn.AGGREGATE(14,6,(tbl_Case_mins[Rank])/((tbl_Case_mins[Surgery Start Date]=tbl_Case_mins[[#This Row],[Surgery Start Date]])*(tbl_Case_mins[Theatre]=tbl_Case_mins[[#This Row],[Theatre]])*(tbl_Case_mins[AmCase]=1)),1)),1,0),0)</f>
        <v>0</v>
      </c>
      <c r="CR223" s="9" cm="1">
        <f t="array" ref="CR22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3" s="9" t="e" cm="1">
        <f t="array" ref="CS22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3" s="9" cm="1">
        <f t="array" ref="CT223">IFERROR(IF(tbl_Case_mins[[#This Row],[Rank]]=_xlfn.AGGREGATE(15,6,(tbl_Case_mins[Rank])/((tbl_Case_mins[Surgery Start Date]=tbl_Case_mins[[#This Row],[Surgery Start Date]])*(tbl_Case_mins[Theatre]=tbl_Case_mins[[#This Row],[Theatre]])*(tbl_Case_mins[PmCase]=1)),1),1,0),0)</f>
        <v>0</v>
      </c>
      <c r="CU223">
        <f>IFERROR(#REF!,0)</f>
        <v>0</v>
      </c>
      <c r="CV223" s="9" t="e" cm="1">
        <f t="array" ref="CV22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3" s="9">
        <f>IFERROR(IF(ISBLANK(INDEX(Bay_AmClose,MATCH(1,INDEX((tbl_Case_mins[[#This Row],[Bay]]=BayNo)*(tbl_Case_mins[[#This Row],[Surgery Start Date]]=BDate),0,1),0))*1440),0,INDEX(Bay_AmClose,MATCH(1,INDEX((tbl_Case_mins[[#This Row],[Bay]]=BayNo)*(tbl_Case_mins[[#This Row],[Surgery Start Date]]=BDate),0,1),0))*1440),0)</f>
        <v>0</v>
      </c>
      <c r="CX223" s="9" cm="1">
        <f t="array" ref="CX223">IFERROR(IF(ISBLANK(INDEX(Bay_PmOpen,MATCH(1,INDEX((tbl_Case_mins[[#This Row],[Bay]]=BayNo)*(tbl_Case_mins[[#This Row],[Surgery Start Date]]=BDate),0,1),0))*1440),0,INDEX(Bay_PmOpen,MATCH(1,INDEX((tbl_Case_mins[[#This Row],[Bay]]=BayNo)*(tbl_Case_mins[[#This Row],[Surgery Start Date]]=BDate),0,1),0))*1440),0)</f>
        <v>0</v>
      </c>
      <c r="CY22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3" s="9"/>
    </row>
    <row r="224" spans="1:104" x14ac:dyDescent="0.2">
      <c r="A224">
        <v>223</v>
      </c>
      <c r="B224" t="e">
        <f>#REF!</f>
        <v>#REF!</v>
      </c>
      <c r="C224" t="e">
        <f>#REF!</f>
        <v>#REF!</v>
      </c>
      <c r="D224" t="e">
        <f>#REF!</f>
        <v>#REF!</v>
      </c>
      <c r="E224" t="e">
        <f>#REF!</f>
        <v>#REF!</v>
      </c>
      <c r="F224" t="e">
        <f>#REF!</f>
        <v>#REF!</v>
      </c>
      <c r="G224" t="e">
        <f>#REF!</f>
        <v>#REF!</v>
      </c>
      <c r="H224" t="e">
        <f>#REF!</f>
        <v>#REF!</v>
      </c>
      <c r="I224" t="e">
        <f>IF(#REF!="Case Cancelled",1,IF(#REF!="No Cases",2,0))</f>
        <v>#REF!</v>
      </c>
      <c r="J224" t="e">
        <f>#REF!</f>
        <v>#REF!</v>
      </c>
      <c r="K224" s="4" t="e">
        <f>#REF!</f>
        <v>#REF!</v>
      </c>
      <c r="L224" t="e">
        <f>"Wk "&amp;WEEKNUM(tbl_Case_mins[[#This Row],[Surgery Start Date]],21)</f>
        <v>#REF!</v>
      </c>
      <c r="M224" t="e">
        <f>TEXT(tbl_Case_mins[[#This Row],[Surgery Start Date]],"ddd")</f>
        <v>#REF!</v>
      </c>
      <c r="N224" s="9" t="e">
        <f>(#REF!-TIME(0,0,0))*1440</f>
        <v>#REF!</v>
      </c>
      <c r="O224" t="e">
        <f>IF(AND(ROUND((#REF!-TIME(0,0,0))*1440,0)&gt;0,ROUND((#REF!-TIME(0,0,0))*1440,0)&lt;tbl_Case_mins[[#This Row],[Patient Called]],tbl_Case_mins[[#This Row],[Surgery End Date]]&gt;tbl_Case_mins[[#This Row],[Surgery Start Date]]),ROUND((#REF!-TIME(0,0,0))*1440,0)+1440,ROUND((#REF!-TIME(0,0,0))*1440,0))</f>
        <v>#REF!</v>
      </c>
      <c r="P224" s="9" t="e">
        <f>IF(AND(ROUND((#REF!-TIME(0,0,0))*1440,0)&gt;0,ROUND((#REF!-TIME(0,0,0))*1440,0)&lt;tbl_Case_mins[[#This Row],[Arrival]],tbl_Case_mins[[#This Row],[Surgery End Date]]&gt;tbl_Case_mins[[#This Row],[Surgery Start Date]]),ROUND((#REF!-TIME(0,0,0))*1440,0)+1440,ROUND((#REF!-TIME(0,0,0))*1440,0))</f>
        <v>#REF!</v>
      </c>
      <c r="Q224" s="9" t="e">
        <f>IF(AND(ROUND((#REF!-TIME(0,0,0))*1440,0)&gt;0,ROUND((#REF!-TIME(0,0,0))*1440,0)&lt;tbl_Case_mins[[#This Row],[Into Th or AR]],tbl_Case_mins[[#This Row],[Surgery End Date]]&gt;tbl_Case_mins[[#This Row],[Surgery Start Date]]),ROUND((#REF!-TIME(0,0,0))*1440,0)+1440,ROUND((#REF!-TIME(0,0,0))*1440,0))</f>
        <v>#REF!</v>
      </c>
      <c r="R224" s="9" t="e">
        <f>IF(AND(ROUND((#REF!-TIME(0,0,0))*1440,0)&gt;0,ROUND((#REF!-TIME(0,0,0))*1440,0)&lt;tbl_Case_mins[[#This Row],[AnaesthStart]],tbl_Case_mins[[#This Row],[Surgery End Date]]&gt;tbl_Case_mins[[#This Row],[Surgery Start Date]]),ROUND((#REF!-TIME(0,0,0))*1440,0)+1440,ROUND((#REF!-TIME(0,0,0))*1440,0))</f>
        <v>#REF!</v>
      </c>
      <c r="S224" s="9" t="e">
        <f>IF(AND(ROUND((#REF!-TIME(0,0,0))*1440,0),ROUND((#REF!-TIME(0,0,0))*1440,0)&lt;tbl_Case_mins[[#This Row],[Surgery Start]],tbl_Case_mins[[#This Row],[Surgery End Date]]&gt;tbl_Case_mins[[#This Row],[Surgery Start Date]]),ROUND((#REF!-TIME(0,0,0))*1440,0)+1440,ROUND((#REF!-TIME(0,0,0))*1440,0))</f>
        <v>#REF!</v>
      </c>
      <c r="T224" s="9" t="e">
        <f>IF(AND(ROUND((#REF!-TIME(0,0,0))*1440,0)&gt;0,ROUND((#REF!-TIME(0,0,0))*1440,0)&lt;tbl_Case_mins[[#This Row],[Surgery Finish]],tbl_Case_mins[[#This Row],[Surgery End Date]]&gt;tbl_Case_mins[[#This Row],[Surgery Start Date]]),ROUND((#REF!-TIME(0,0,0))*1440,0)+1440,ROUND((#REF!-TIME(0,0,0))*1440,0))</f>
        <v>#REF!</v>
      </c>
      <c r="U224" s="9" t="e">
        <f>IF(AND(ROUND((#REF!-TIME(0,0,0))*1440,0)&gt;0,ROUND((#REF!-TIME(0,0,0))*1440,0)&lt;tbl_Case_mins[[#This Row],[Anaesth End]],tbl_Case_mins[[#This Row],[Surgery End Date]]&gt;tbl_Case_mins[[#This Row],[Surgery Start Date]]),ROUND((#REF!-TIME(0,0,0))*1440,0)+1440,ROUND((#REF!-TIME(0,0,0))*1440,0))</f>
        <v>#REF!</v>
      </c>
      <c r="V224" s="9" t="e">
        <f>IF(AND(ROUND((#REF!-TIME(0,0,0))*1440,0)&gt;0,ROUND((#REF!-TIME(0,0,0))*1440,0)&lt;tbl_Case_mins[[#This Row],[Into Recov]],tbl_Case_mins[[#This Row],[Surgery End Date]]&gt;tbl_Case_mins[[#This Row],[Surgery Start Date]]),ROUND((#REF!-TIME(0,0,0))*1440,0)+1440,ROUND((#REF!-TIME(0,0,0))*1440,0))</f>
        <v>#REF!</v>
      </c>
      <c r="W224" s="9" t="e">
        <f>IF(AND(ROUND((#REF!-TIME(0,0,0))*1440,0)&gt;0,ROUND((#REF!-TIME(0,0,0))*1440,0)&lt;tbl_Case_mins[[#This Row],[Ward Called]],tbl_Case_mins[[#This Row],[Surgery End Date]]&gt;tbl_Case_mins[[#This Row],[Surgery Start Date]]),ROUND((#REF!-TIME(0,0,0))*1440,0)+1440,ROUND((#REF!-TIME(0,0,0))*1440,0))</f>
        <v>#REF!</v>
      </c>
      <c r="X224" s="4" t="e">
        <f>IF(ISBLANK(#REF!),tbl_Case_mins[[#This Row],[Surgery Start Date]],#REF!)</f>
        <v>#REF!</v>
      </c>
      <c r="Y224">
        <f>IFERROR(IF(VLOOKUP(tbl_Case_mins[[#This Row],[Theatre]],'Mng Theatres'!$C$7:$G$12,3,FALSE)="Yes","Yes","No"),0)</f>
        <v>0</v>
      </c>
      <c r="Z224" s="9" t="e" cm="1">
        <f t="array" ref="Z22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4" s="9" t="e" cm="1">
        <f t="array" ref="AA22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4" s="9" t="e">
        <f>IF(tbl_Case_mins[[#This Row],[Case Type]]="Unsch",1,0)</f>
        <v>#REF!</v>
      </c>
      <c r="AD224" s="9" t="e">
        <f>IF(tbl_Case_mins[[#This Row],[Case Type]]="Sch",1,0)</f>
        <v>#REF!</v>
      </c>
      <c r="AE22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4" s="9">
        <f>IFERROR(IF(ISBLANK(INDEX(Am_Close,MATCH(1,INDEX((tbl_Case_mins[[#This Row],[Theatre]]=Theatre_No)*(tbl_Case_mins[[#This Row],[Surgery Start Date]]=Date),0,1),0))*1440),0,INDEX(Am_Close,MATCH(1,INDEX((tbl_Case_mins[[#This Row],[Theatre]]=Theatre_No)*(tbl_Case_mins[[#This Row],[Surgery Start Date]]=Date),0,1),0))*1440),0)</f>
        <v>0</v>
      </c>
      <c r="AG224" s="9">
        <f>IFERROR(IF(ISBLANK(INDEX(PM_Open,MATCH(1,INDEX((tbl_Case_mins[[#This Row],[Theatre]]=Theatre_No)*(tbl_Case_mins[[#This Row],[Surgery Start Date]]=Date),0,1),0))*1440),0,INDEX(PM_Open,MATCH(1,INDEX((tbl_Case_mins[[#This Row],[Theatre]]=Theatre_No)*(tbl_Case_mins[[#This Row],[Surgery Start Date]]=Date),0,1),0))*1440),0)</f>
        <v>0</v>
      </c>
      <c r="AH22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4" s="9" t="e">
        <f>IF(tbl_Case_mins[[#This Row],[ThOpenAm]]=0,tbl_Case_mins[[#This Row],[ThOpenPM]],tbl_Case_mins[[#This Row],[ThOpenAm]])</f>
        <v>#REF!</v>
      </c>
      <c r="AJ224" s="9" t="e">
        <f>IF(tbl_Case_mins[[#This Row],[ThCloseAm]]&gt;0,IF(tbl_Case_mins[[#This Row],[ThOpenPM]]&gt;0,tbl_Case_mins[[#This Row],[ThClosePm]],tbl_Case_mins[[#This Row],[ThCloseAm]]),tbl_Case_mins[[#This Row],[ThClosePm]])</f>
        <v>#REF!</v>
      </c>
      <c r="AK224" s="9" t="e">
        <f>IF(tbl_Case_mins[[#This Row],[TOT]]&gt;0,1,0)</f>
        <v>#REF!</v>
      </c>
      <c r="AL22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4" s="9" t="e">
        <f>IF(AND(tbl_Case_mins[[#This Row],[Surgery Status]]&lt;&gt;2,tbl_Case_mins[[#This Row],[InCoreCase]]=0,tbl_Case_mins[[#This Row],[CancelledCase]]=0),1,0)</f>
        <v>#REF!</v>
      </c>
      <c r="AN224" s="9" t="e">
        <f>IF(tbl_Case_mins[[#This Row],[Surgery Status]]=1,1,0)</f>
        <v>#REF!</v>
      </c>
      <c r="AO22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4" s="9" t="e">
        <f>IF(AND(tbl_Case_mins[[#This Row],[NonCoreCase]]=1,tbl_Case_mins[[#This Row],[NoInCoreTime]]=0),1,0)</f>
        <v>#REF!</v>
      </c>
      <c r="AQ224" s="9" t="e">
        <f>IF(tbl_Case_mins[[#This Row],[Rank_AnaEnd]]&lt;tbl_Case_mins[[#This Row],[Rank_AnaSt]],1,0)</f>
        <v>#REF!</v>
      </c>
      <c r="AR224" s="9" t="e">
        <f>IF(AND(tbl_Case_mins[[#This Row],[InCoreCase]]=1,tbl_Case_mins[[#This Row],[Sch]]=1),1,0)</f>
        <v>#REF!</v>
      </c>
      <c r="AS224" s="9" t="e">
        <f>IF(AND(tbl_Case_mins[[#This Row],[InCoreCase]]=1,tbl_Case_mins[[#This Row],[Unsch]]=1),1,0)</f>
        <v>#REF!</v>
      </c>
      <c r="AT22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4" s="9" t="e">
        <f>IF(tbl_Case_mins[[#This Row],[Surgery Status]]=0,(tbl_Case_mins[[#This Row],[Anaesth End]]-tbl_Case_mins[[#This Row],[AnaesthStart]]),0)</f>
        <v>#REF!</v>
      </c>
      <c r="AX224" s="9" t="e">
        <f>IF(tbl_Case_mins[[#This Row],[Surgery Status]]=0,(tbl_Case_mins[[#This Row],[Surgery Finish]]-tbl_Case_mins[[#This Row],[Surgery Start]]),0)</f>
        <v>#REF!</v>
      </c>
      <c r="AY224" s="9" t="e">
        <f>tbl_Case_mins[[#This Row],[Surgery Start]]-tbl_Case_mins[[#This Row],[AnaesthStart]]</f>
        <v>#REF!</v>
      </c>
      <c r="AZ224" s="9" t="e">
        <f>tbl_Case_mins[[#This Row],[Anaesth End]]-tbl_Case_mins[[#This Row],[Surgery Finish]]</f>
        <v>#REF!</v>
      </c>
      <c r="BA22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4" s="16" cm="1">
        <f t="array" ref="BC22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4" s="16" t="e">
        <f>IF(AND(tbl_Case_mins[[#This Row],[FirstAMCase]]=1,tbl_Case_mins[[#This Row],[CancelledCase]]=0,OR(tbl_Case_mins[[#This Row],[EarlyStartAM]]&gt;0,tbl_Case_mins[[#This Row],[AnaesthStart]]=tbl_Case_mins[[#This Row],[ThOpenAm]])),1,0)</f>
        <v>#REF!</v>
      </c>
      <c r="BE224" s="16" t="e">
        <f>IF(AND(tbl_Case_mins[[#This Row],[Rank_AnaSt]]=tbl_Case_mins[[#This Row],[Min_RankAnaSt]],tbl_Case_mins[[#This Row],[Anaesth End]]&gt;=tbl_Case_mins[[#This Row],[ThOpenAm]],tbl_Case_mins[[#This Row],[PmCase]]=0),1,0)</f>
        <v>#REF!</v>
      </c>
      <c r="BF22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4" s="9" t="e" cm="1">
        <f t="array" ref="BH22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4" s="9" t="e">
        <f>IF(AND(tbl_Case_mins[[#This Row],[ThOpenPM]]&gt;0,tbl_Case_mins[[#This Row],[AnaesthStart]]&gt;tbl_Case_mins[[#This Row],[ThOpenPM]],tbl_Case_mins[[#This Row],[First PM Case]]=1),tbl_Case_mins[[#This Row],[AnaesthStart]]-tbl_Case_mins[[#This Row],[ThOpenPM]],0)</f>
        <v>#REF!</v>
      </c>
      <c r="BL22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4" s="9" t="e" cm="1">
        <f t="array" ref="BN22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4" s="9" t="e">
        <f>IF(AND(tbl_Case_mins[[#This Row],[ThClosePm]]&gt;0,tbl_Case_mins[[#This Row],[Anaesth End]]&gt;tbl_Case_mins[[#This Row],[ThClosePm]],tbl_Case_mins[[#This Row],[AnaesthStart]]&gt;tbl_Case_mins[[#This Row],[ThClosePm]]),tbl_Case_mins[[#This Row],[Into Recov]]-tbl_Case_mins[[#This Row],[AnaesthStart]],0)</f>
        <v>#REF!</v>
      </c>
      <c r="BP224" s="9" t="e">
        <f>IF(AND(tbl_Case_mins[[#This Row],[AnaesthStart]]&lt;tbl_Case_mins[[#This Row],[ThClosePm]],tbl_Case_mins[[#This Row],[Anaesth End]]&gt;tbl_Case_mins[[#This Row],[ThClosePm]]),tbl_Case_mins[[#This Row],[Anaesth End]]-tbl_Case_mins[[#This Row],[ThClosePm]],0)</f>
        <v>#REF!</v>
      </c>
      <c r="BQ224" s="9" t="e" cm="1">
        <f t="array" ref="BQ22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4" s="9" t="e" cm="1">
        <f t="array" ref="BR224">IF(tbl_Case_mins[[#This Row],[Rank_Adjust]]=SUMPRODUCT(-(tbl_Case_mins[Surgery Start Date]=tbl_Case_mins[[#This Row],[Surgery Start Date]]),-(tbl_Case_mins[Theatre]=tbl_Case_mins[[#This Row],[Theatre]])),INDEX(Poss_Time,MATCH(TEXT(tbl_Case_mins[[#This Row],[Surgery Start Date]],"ddd"),Day,0)),0)</f>
        <v>#REF!</v>
      </c>
      <c r="BS224" s="9" t="e">
        <f>tbl_Case_mins[[#This Row],[Core_Time]]*Util_Goal</f>
        <v>#REF!</v>
      </c>
      <c r="BT224" s="9" t="e" cm="1">
        <f t="array" ref="BT2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4" s="9" t="e" cm="1">
        <f t="array" ref="BU2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4" s="9" t="e">
        <f>IF(tbl_Case_mins[[#This Row],[Surgery End Date]]&gt;tbl_Case_mins[[#This Row],[Surgery Start Date]],tbl_Case_mins[[#This Row],[Anaesth End]]-1440,0)</f>
        <v>#REF!</v>
      </c>
      <c r="BY224" s="9" t="e">
        <f>tbl_Case_mins[[#This Row],[Total_NonCore]]-tbl_Case_mins[[#This Row],[NextDay_NonCore]]</f>
        <v>#REF!</v>
      </c>
      <c r="BZ224" s="10" t="e">
        <f>tbl_Case_mins[[#This Row],[InCoreUse]]/60</f>
        <v>#REF!</v>
      </c>
      <c r="CA224" s="10" t="e">
        <f>tbl_Case_mins[[#This Row],[Total_NonCore]]/60</f>
        <v>#REF!</v>
      </c>
      <c r="CB224" t="e" cm="1">
        <f t="array" ref="CB2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4" s="9" t="e" cm="1">
        <f t="array" ref="CC22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4" s="9" t="e" cm="1">
        <f t="array" ref="CD2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4" s="9" t="e" cm="1">
        <f t="array" ref="CE22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4" s="9" cm="1">
        <f t="array" ref="CF224">IFERROR(_xlfn.AGGREGATE(14,6,(tbl_Case_mins[Rank_AnaEnd])/((tbl_Case_mins[Surgery Start Date]=tbl_Case_mins[[#This Row],[Surgery Start Date]])*(tbl_Case_mins[Theatre]=tbl_Case_mins[[#This Row],[Theatre]])*(tbl_Case_mins[NoInCoreTime]=0)),1),-1)</f>
        <v>-1</v>
      </c>
      <c r="CG224" s="9" cm="1">
        <f t="array" ref="CG224">IFERROR(_xlfn.AGGREGATE(15,6,(tbl_Case_mins[Rank_AnaSt])/((tbl_Case_mins[Surgery Start Date]=tbl_Case_mins[[#This Row],[Surgery Start Date]])*(tbl_Case_mins[Theatre]=tbl_Case_mins[[#This Row],[Theatre]])*(tbl_Case_mins[NoInCoreTime]=0)),1),-1)</f>
        <v>-1</v>
      </c>
      <c r="CH22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4" t="e" cm="1">
        <f t="array" ref="CJ22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4" s="9" cm="1">
        <f t="array" ref="CO2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4" s="9" cm="1">
        <f t="array" ref="CP2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4" s="9" cm="1">
        <f t="array" ref="CQ224">IFERROR(IF(AND(tbl_Case_mins[[#This Row],[FirstAMCase]]=0,tbl_Case_mins[[#This Row],[Rank]]=_xlfn.AGGREGATE(14,6,(tbl_Case_mins[Rank])/((tbl_Case_mins[Surgery Start Date]=tbl_Case_mins[[#This Row],[Surgery Start Date]])*(tbl_Case_mins[Theatre]=tbl_Case_mins[[#This Row],[Theatre]])*(tbl_Case_mins[AmCase]=1)),1)),1,0),0)</f>
        <v>0</v>
      </c>
      <c r="CR224" s="9" cm="1">
        <f t="array" ref="CR22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4" s="9" t="e" cm="1">
        <f t="array" ref="CS22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4" s="9" cm="1">
        <f t="array" ref="CT224">IFERROR(IF(tbl_Case_mins[[#This Row],[Rank]]=_xlfn.AGGREGATE(15,6,(tbl_Case_mins[Rank])/((tbl_Case_mins[Surgery Start Date]=tbl_Case_mins[[#This Row],[Surgery Start Date]])*(tbl_Case_mins[Theatre]=tbl_Case_mins[[#This Row],[Theatre]])*(tbl_Case_mins[PmCase]=1)),1),1,0),0)</f>
        <v>0</v>
      </c>
      <c r="CU224">
        <f>IFERROR(#REF!,0)</f>
        <v>0</v>
      </c>
      <c r="CV224" s="9" t="e" cm="1">
        <f t="array" ref="CV22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4" s="9">
        <f>IFERROR(IF(ISBLANK(INDEX(Bay_AmClose,MATCH(1,INDEX((tbl_Case_mins[[#This Row],[Bay]]=BayNo)*(tbl_Case_mins[[#This Row],[Surgery Start Date]]=BDate),0,1),0))*1440),0,INDEX(Bay_AmClose,MATCH(1,INDEX((tbl_Case_mins[[#This Row],[Bay]]=BayNo)*(tbl_Case_mins[[#This Row],[Surgery Start Date]]=BDate),0,1),0))*1440),0)</f>
        <v>0</v>
      </c>
      <c r="CX224" s="9" cm="1">
        <f t="array" ref="CX224">IFERROR(IF(ISBLANK(INDEX(Bay_PmOpen,MATCH(1,INDEX((tbl_Case_mins[[#This Row],[Bay]]=BayNo)*(tbl_Case_mins[[#This Row],[Surgery Start Date]]=BDate),0,1),0))*1440),0,INDEX(Bay_PmOpen,MATCH(1,INDEX((tbl_Case_mins[[#This Row],[Bay]]=BayNo)*(tbl_Case_mins[[#This Row],[Surgery Start Date]]=BDate),0,1),0))*1440),0)</f>
        <v>0</v>
      </c>
      <c r="CY22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4" s="9"/>
    </row>
    <row r="225" spans="1:104" x14ac:dyDescent="0.2">
      <c r="A225">
        <v>224</v>
      </c>
      <c r="B225" t="e">
        <f>#REF!</f>
        <v>#REF!</v>
      </c>
      <c r="C225" t="e">
        <f>#REF!</f>
        <v>#REF!</v>
      </c>
      <c r="D225" t="e">
        <f>#REF!</f>
        <v>#REF!</v>
      </c>
      <c r="E225" t="e">
        <f>#REF!</f>
        <v>#REF!</v>
      </c>
      <c r="F225" t="e">
        <f>#REF!</f>
        <v>#REF!</v>
      </c>
      <c r="G225" t="e">
        <f>#REF!</f>
        <v>#REF!</v>
      </c>
      <c r="H225" t="e">
        <f>#REF!</f>
        <v>#REF!</v>
      </c>
      <c r="I225" t="e">
        <f>IF(#REF!="Case Cancelled",1,IF(#REF!="No Cases",2,0))</f>
        <v>#REF!</v>
      </c>
      <c r="J225" t="e">
        <f>#REF!</f>
        <v>#REF!</v>
      </c>
      <c r="K225" s="4" t="e">
        <f>#REF!</f>
        <v>#REF!</v>
      </c>
      <c r="L225" t="e">
        <f>"Wk "&amp;WEEKNUM(tbl_Case_mins[[#This Row],[Surgery Start Date]],21)</f>
        <v>#REF!</v>
      </c>
      <c r="M225" t="e">
        <f>TEXT(tbl_Case_mins[[#This Row],[Surgery Start Date]],"ddd")</f>
        <v>#REF!</v>
      </c>
      <c r="N225" s="9" t="e">
        <f>(#REF!-TIME(0,0,0))*1440</f>
        <v>#REF!</v>
      </c>
      <c r="O225" t="e">
        <f>IF(AND(ROUND((#REF!-TIME(0,0,0))*1440,0)&gt;0,ROUND((#REF!-TIME(0,0,0))*1440,0)&lt;tbl_Case_mins[[#This Row],[Patient Called]],tbl_Case_mins[[#This Row],[Surgery End Date]]&gt;tbl_Case_mins[[#This Row],[Surgery Start Date]]),ROUND((#REF!-TIME(0,0,0))*1440,0)+1440,ROUND((#REF!-TIME(0,0,0))*1440,0))</f>
        <v>#REF!</v>
      </c>
      <c r="P225" s="9" t="e">
        <f>IF(AND(ROUND((#REF!-TIME(0,0,0))*1440,0)&gt;0,ROUND((#REF!-TIME(0,0,0))*1440,0)&lt;tbl_Case_mins[[#This Row],[Arrival]],tbl_Case_mins[[#This Row],[Surgery End Date]]&gt;tbl_Case_mins[[#This Row],[Surgery Start Date]]),ROUND((#REF!-TIME(0,0,0))*1440,0)+1440,ROUND((#REF!-TIME(0,0,0))*1440,0))</f>
        <v>#REF!</v>
      </c>
      <c r="Q225" s="9" t="e">
        <f>IF(AND(ROUND((#REF!-TIME(0,0,0))*1440,0)&gt;0,ROUND((#REF!-TIME(0,0,0))*1440,0)&lt;tbl_Case_mins[[#This Row],[Into Th or AR]],tbl_Case_mins[[#This Row],[Surgery End Date]]&gt;tbl_Case_mins[[#This Row],[Surgery Start Date]]),ROUND((#REF!-TIME(0,0,0))*1440,0)+1440,ROUND((#REF!-TIME(0,0,0))*1440,0))</f>
        <v>#REF!</v>
      </c>
      <c r="R225" s="9" t="e">
        <f>IF(AND(ROUND((#REF!-TIME(0,0,0))*1440,0)&gt;0,ROUND((#REF!-TIME(0,0,0))*1440,0)&lt;tbl_Case_mins[[#This Row],[AnaesthStart]],tbl_Case_mins[[#This Row],[Surgery End Date]]&gt;tbl_Case_mins[[#This Row],[Surgery Start Date]]),ROUND((#REF!-TIME(0,0,0))*1440,0)+1440,ROUND((#REF!-TIME(0,0,0))*1440,0))</f>
        <v>#REF!</v>
      </c>
      <c r="S225" s="9" t="e">
        <f>IF(AND(ROUND((#REF!-TIME(0,0,0))*1440,0),ROUND((#REF!-TIME(0,0,0))*1440,0)&lt;tbl_Case_mins[[#This Row],[Surgery Start]],tbl_Case_mins[[#This Row],[Surgery End Date]]&gt;tbl_Case_mins[[#This Row],[Surgery Start Date]]),ROUND((#REF!-TIME(0,0,0))*1440,0)+1440,ROUND((#REF!-TIME(0,0,0))*1440,0))</f>
        <v>#REF!</v>
      </c>
      <c r="T225" s="9" t="e">
        <f>IF(AND(ROUND((#REF!-TIME(0,0,0))*1440,0)&gt;0,ROUND((#REF!-TIME(0,0,0))*1440,0)&lt;tbl_Case_mins[[#This Row],[Surgery Finish]],tbl_Case_mins[[#This Row],[Surgery End Date]]&gt;tbl_Case_mins[[#This Row],[Surgery Start Date]]),ROUND((#REF!-TIME(0,0,0))*1440,0)+1440,ROUND((#REF!-TIME(0,0,0))*1440,0))</f>
        <v>#REF!</v>
      </c>
      <c r="U225" s="9" t="e">
        <f>IF(AND(ROUND((#REF!-TIME(0,0,0))*1440,0)&gt;0,ROUND((#REF!-TIME(0,0,0))*1440,0)&lt;tbl_Case_mins[[#This Row],[Anaesth End]],tbl_Case_mins[[#This Row],[Surgery End Date]]&gt;tbl_Case_mins[[#This Row],[Surgery Start Date]]),ROUND((#REF!-TIME(0,0,0))*1440,0)+1440,ROUND((#REF!-TIME(0,0,0))*1440,0))</f>
        <v>#REF!</v>
      </c>
      <c r="V225" s="9" t="e">
        <f>IF(AND(ROUND((#REF!-TIME(0,0,0))*1440,0)&gt;0,ROUND((#REF!-TIME(0,0,0))*1440,0)&lt;tbl_Case_mins[[#This Row],[Into Recov]],tbl_Case_mins[[#This Row],[Surgery End Date]]&gt;tbl_Case_mins[[#This Row],[Surgery Start Date]]),ROUND((#REF!-TIME(0,0,0))*1440,0)+1440,ROUND((#REF!-TIME(0,0,0))*1440,0))</f>
        <v>#REF!</v>
      </c>
      <c r="W225" s="9" t="e">
        <f>IF(AND(ROUND((#REF!-TIME(0,0,0))*1440,0)&gt;0,ROUND((#REF!-TIME(0,0,0))*1440,0)&lt;tbl_Case_mins[[#This Row],[Ward Called]],tbl_Case_mins[[#This Row],[Surgery End Date]]&gt;tbl_Case_mins[[#This Row],[Surgery Start Date]]),ROUND((#REF!-TIME(0,0,0))*1440,0)+1440,ROUND((#REF!-TIME(0,0,0))*1440,0))</f>
        <v>#REF!</v>
      </c>
      <c r="X225" s="4" t="e">
        <f>IF(ISBLANK(#REF!),tbl_Case_mins[[#This Row],[Surgery Start Date]],#REF!)</f>
        <v>#REF!</v>
      </c>
      <c r="Y225">
        <f>IFERROR(IF(VLOOKUP(tbl_Case_mins[[#This Row],[Theatre]],'Mng Theatres'!$C$7:$G$12,3,FALSE)="Yes","Yes","No"),0)</f>
        <v>0</v>
      </c>
      <c r="Z225" s="9" t="e" cm="1">
        <f t="array" ref="Z22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5" s="9" t="e" cm="1">
        <f t="array" ref="AA22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5" s="9" t="e">
        <f>IF(tbl_Case_mins[[#This Row],[Case Type]]="Unsch",1,0)</f>
        <v>#REF!</v>
      </c>
      <c r="AD225" s="9" t="e">
        <f>IF(tbl_Case_mins[[#This Row],[Case Type]]="Sch",1,0)</f>
        <v>#REF!</v>
      </c>
      <c r="AE22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5" s="9">
        <f>IFERROR(IF(ISBLANK(INDEX(Am_Close,MATCH(1,INDEX((tbl_Case_mins[[#This Row],[Theatre]]=Theatre_No)*(tbl_Case_mins[[#This Row],[Surgery Start Date]]=Date),0,1),0))*1440),0,INDEX(Am_Close,MATCH(1,INDEX((tbl_Case_mins[[#This Row],[Theatre]]=Theatre_No)*(tbl_Case_mins[[#This Row],[Surgery Start Date]]=Date),0,1),0))*1440),0)</f>
        <v>0</v>
      </c>
      <c r="AG225" s="9">
        <f>IFERROR(IF(ISBLANK(INDEX(PM_Open,MATCH(1,INDEX((tbl_Case_mins[[#This Row],[Theatre]]=Theatre_No)*(tbl_Case_mins[[#This Row],[Surgery Start Date]]=Date),0,1),0))*1440),0,INDEX(PM_Open,MATCH(1,INDEX((tbl_Case_mins[[#This Row],[Theatre]]=Theatre_No)*(tbl_Case_mins[[#This Row],[Surgery Start Date]]=Date),0,1),0))*1440),0)</f>
        <v>0</v>
      </c>
      <c r="AH22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5" s="9" t="e">
        <f>IF(tbl_Case_mins[[#This Row],[ThOpenAm]]=0,tbl_Case_mins[[#This Row],[ThOpenPM]],tbl_Case_mins[[#This Row],[ThOpenAm]])</f>
        <v>#REF!</v>
      </c>
      <c r="AJ225" s="9" t="e">
        <f>IF(tbl_Case_mins[[#This Row],[ThCloseAm]]&gt;0,IF(tbl_Case_mins[[#This Row],[ThOpenPM]]&gt;0,tbl_Case_mins[[#This Row],[ThClosePm]],tbl_Case_mins[[#This Row],[ThCloseAm]]),tbl_Case_mins[[#This Row],[ThClosePm]])</f>
        <v>#REF!</v>
      </c>
      <c r="AK225" s="9" t="e">
        <f>IF(tbl_Case_mins[[#This Row],[TOT]]&gt;0,1,0)</f>
        <v>#REF!</v>
      </c>
      <c r="AL22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5" s="9" t="e">
        <f>IF(AND(tbl_Case_mins[[#This Row],[Surgery Status]]&lt;&gt;2,tbl_Case_mins[[#This Row],[InCoreCase]]=0,tbl_Case_mins[[#This Row],[CancelledCase]]=0),1,0)</f>
        <v>#REF!</v>
      </c>
      <c r="AN225" s="9" t="e">
        <f>IF(tbl_Case_mins[[#This Row],[Surgery Status]]=1,1,0)</f>
        <v>#REF!</v>
      </c>
      <c r="AO22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5" s="9" t="e">
        <f>IF(AND(tbl_Case_mins[[#This Row],[NonCoreCase]]=1,tbl_Case_mins[[#This Row],[NoInCoreTime]]=0),1,0)</f>
        <v>#REF!</v>
      </c>
      <c r="AQ225" s="9" t="e">
        <f>IF(tbl_Case_mins[[#This Row],[Rank_AnaEnd]]&lt;tbl_Case_mins[[#This Row],[Rank_AnaSt]],1,0)</f>
        <v>#REF!</v>
      </c>
      <c r="AR225" s="9" t="e">
        <f>IF(AND(tbl_Case_mins[[#This Row],[InCoreCase]]=1,tbl_Case_mins[[#This Row],[Sch]]=1),1,0)</f>
        <v>#REF!</v>
      </c>
      <c r="AS225" s="9" t="e">
        <f>IF(AND(tbl_Case_mins[[#This Row],[InCoreCase]]=1,tbl_Case_mins[[#This Row],[Unsch]]=1),1,0)</f>
        <v>#REF!</v>
      </c>
      <c r="AT22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5" s="9" t="e">
        <f>IF(tbl_Case_mins[[#This Row],[Surgery Status]]=0,(tbl_Case_mins[[#This Row],[Anaesth End]]-tbl_Case_mins[[#This Row],[AnaesthStart]]),0)</f>
        <v>#REF!</v>
      </c>
      <c r="AX225" s="9" t="e">
        <f>IF(tbl_Case_mins[[#This Row],[Surgery Status]]=0,(tbl_Case_mins[[#This Row],[Surgery Finish]]-tbl_Case_mins[[#This Row],[Surgery Start]]),0)</f>
        <v>#REF!</v>
      </c>
      <c r="AY225" s="9" t="e">
        <f>tbl_Case_mins[[#This Row],[Surgery Start]]-tbl_Case_mins[[#This Row],[AnaesthStart]]</f>
        <v>#REF!</v>
      </c>
      <c r="AZ225" s="9" t="e">
        <f>tbl_Case_mins[[#This Row],[Anaesth End]]-tbl_Case_mins[[#This Row],[Surgery Finish]]</f>
        <v>#REF!</v>
      </c>
      <c r="BA22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5" s="16" cm="1">
        <f t="array" ref="BC22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5" s="16" t="e">
        <f>IF(AND(tbl_Case_mins[[#This Row],[FirstAMCase]]=1,tbl_Case_mins[[#This Row],[CancelledCase]]=0,OR(tbl_Case_mins[[#This Row],[EarlyStartAM]]&gt;0,tbl_Case_mins[[#This Row],[AnaesthStart]]=tbl_Case_mins[[#This Row],[ThOpenAm]])),1,0)</f>
        <v>#REF!</v>
      </c>
      <c r="BE225" s="16" t="e">
        <f>IF(AND(tbl_Case_mins[[#This Row],[Rank_AnaSt]]=tbl_Case_mins[[#This Row],[Min_RankAnaSt]],tbl_Case_mins[[#This Row],[Anaesth End]]&gt;=tbl_Case_mins[[#This Row],[ThOpenAm]],tbl_Case_mins[[#This Row],[PmCase]]=0),1,0)</f>
        <v>#REF!</v>
      </c>
      <c r="BF22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5" s="9" t="e" cm="1">
        <f t="array" ref="BH22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5" s="9" t="e">
        <f>IF(AND(tbl_Case_mins[[#This Row],[ThOpenPM]]&gt;0,tbl_Case_mins[[#This Row],[AnaesthStart]]&gt;tbl_Case_mins[[#This Row],[ThOpenPM]],tbl_Case_mins[[#This Row],[First PM Case]]=1),tbl_Case_mins[[#This Row],[AnaesthStart]]-tbl_Case_mins[[#This Row],[ThOpenPM]],0)</f>
        <v>#REF!</v>
      </c>
      <c r="BL22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5" s="9" t="e" cm="1">
        <f t="array" ref="BN22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5" s="9" t="e">
        <f>IF(AND(tbl_Case_mins[[#This Row],[ThClosePm]]&gt;0,tbl_Case_mins[[#This Row],[Anaesth End]]&gt;tbl_Case_mins[[#This Row],[ThClosePm]],tbl_Case_mins[[#This Row],[AnaesthStart]]&gt;tbl_Case_mins[[#This Row],[ThClosePm]]),tbl_Case_mins[[#This Row],[Into Recov]]-tbl_Case_mins[[#This Row],[AnaesthStart]],0)</f>
        <v>#REF!</v>
      </c>
      <c r="BP225" s="9" t="e">
        <f>IF(AND(tbl_Case_mins[[#This Row],[AnaesthStart]]&lt;tbl_Case_mins[[#This Row],[ThClosePm]],tbl_Case_mins[[#This Row],[Anaesth End]]&gt;tbl_Case_mins[[#This Row],[ThClosePm]]),tbl_Case_mins[[#This Row],[Anaesth End]]-tbl_Case_mins[[#This Row],[ThClosePm]],0)</f>
        <v>#REF!</v>
      </c>
      <c r="BQ225" s="9" t="e" cm="1">
        <f t="array" ref="BQ22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5" s="9" t="e" cm="1">
        <f t="array" ref="BR225">IF(tbl_Case_mins[[#This Row],[Rank_Adjust]]=SUMPRODUCT(-(tbl_Case_mins[Surgery Start Date]=tbl_Case_mins[[#This Row],[Surgery Start Date]]),-(tbl_Case_mins[Theatre]=tbl_Case_mins[[#This Row],[Theatre]])),INDEX(Poss_Time,MATCH(TEXT(tbl_Case_mins[[#This Row],[Surgery Start Date]],"ddd"),Day,0)),0)</f>
        <v>#REF!</v>
      </c>
      <c r="BS225" s="9" t="e">
        <f>tbl_Case_mins[[#This Row],[Core_Time]]*Util_Goal</f>
        <v>#REF!</v>
      </c>
      <c r="BT225" s="9" t="e" cm="1">
        <f t="array" ref="BT2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5" s="9" t="e" cm="1">
        <f t="array" ref="BU2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5" s="9" t="e">
        <f>IF(tbl_Case_mins[[#This Row],[Surgery End Date]]&gt;tbl_Case_mins[[#This Row],[Surgery Start Date]],tbl_Case_mins[[#This Row],[Anaesth End]]-1440,0)</f>
        <v>#REF!</v>
      </c>
      <c r="BY225" s="9" t="e">
        <f>tbl_Case_mins[[#This Row],[Total_NonCore]]-tbl_Case_mins[[#This Row],[NextDay_NonCore]]</f>
        <v>#REF!</v>
      </c>
      <c r="BZ225" s="10" t="e">
        <f>tbl_Case_mins[[#This Row],[InCoreUse]]/60</f>
        <v>#REF!</v>
      </c>
      <c r="CA225" s="10" t="e">
        <f>tbl_Case_mins[[#This Row],[Total_NonCore]]/60</f>
        <v>#REF!</v>
      </c>
      <c r="CB225" t="e" cm="1">
        <f t="array" ref="CB2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5" s="9" t="e" cm="1">
        <f t="array" ref="CC22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5" s="9" t="e" cm="1">
        <f t="array" ref="CD2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5" s="9" t="e" cm="1">
        <f t="array" ref="CE22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5" s="9" cm="1">
        <f t="array" ref="CF225">IFERROR(_xlfn.AGGREGATE(14,6,(tbl_Case_mins[Rank_AnaEnd])/((tbl_Case_mins[Surgery Start Date]=tbl_Case_mins[[#This Row],[Surgery Start Date]])*(tbl_Case_mins[Theatre]=tbl_Case_mins[[#This Row],[Theatre]])*(tbl_Case_mins[NoInCoreTime]=0)),1),-1)</f>
        <v>-1</v>
      </c>
      <c r="CG225" s="9" cm="1">
        <f t="array" ref="CG225">IFERROR(_xlfn.AGGREGATE(15,6,(tbl_Case_mins[Rank_AnaSt])/((tbl_Case_mins[Surgery Start Date]=tbl_Case_mins[[#This Row],[Surgery Start Date]])*(tbl_Case_mins[Theatre]=tbl_Case_mins[[#This Row],[Theatre]])*(tbl_Case_mins[NoInCoreTime]=0)),1),-1)</f>
        <v>-1</v>
      </c>
      <c r="CH22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5" t="e" cm="1">
        <f t="array" ref="CJ22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5" s="9" cm="1">
        <f t="array" ref="CO2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5" s="9" cm="1">
        <f t="array" ref="CP2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5" s="9" cm="1">
        <f t="array" ref="CQ225">IFERROR(IF(AND(tbl_Case_mins[[#This Row],[FirstAMCase]]=0,tbl_Case_mins[[#This Row],[Rank]]=_xlfn.AGGREGATE(14,6,(tbl_Case_mins[Rank])/((tbl_Case_mins[Surgery Start Date]=tbl_Case_mins[[#This Row],[Surgery Start Date]])*(tbl_Case_mins[Theatre]=tbl_Case_mins[[#This Row],[Theatre]])*(tbl_Case_mins[AmCase]=1)),1)),1,0),0)</f>
        <v>0</v>
      </c>
      <c r="CR225" s="9" cm="1">
        <f t="array" ref="CR22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5" s="9" t="e" cm="1">
        <f t="array" ref="CS22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5" s="9" cm="1">
        <f t="array" ref="CT225">IFERROR(IF(tbl_Case_mins[[#This Row],[Rank]]=_xlfn.AGGREGATE(15,6,(tbl_Case_mins[Rank])/((tbl_Case_mins[Surgery Start Date]=tbl_Case_mins[[#This Row],[Surgery Start Date]])*(tbl_Case_mins[Theatre]=tbl_Case_mins[[#This Row],[Theatre]])*(tbl_Case_mins[PmCase]=1)),1),1,0),0)</f>
        <v>0</v>
      </c>
      <c r="CU225">
        <f>IFERROR(#REF!,0)</f>
        <v>0</v>
      </c>
      <c r="CV225" s="9" t="e" cm="1">
        <f t="array" ref="CV22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5" s="9">
        <f>IFERROR(IF(ISBLANK(INDEX(Bay_AmClose,MATCH(1,INDEX((tbl_Case_mins[[#This Row],[Bay]]=BayNo)*(tbl_Case_mins[[#This Row],[Surgery Start Date]]=BDate),0,1),0))*1440),0,INDEX(Bay_AmClose,MATCH(1,INDEX((tbl_Case_mins[[#This Row],[Bay]]=BayNo)*(tbl_Case_mins[[#This Row],[Surgery Start Date]]=BDate),0,1),0))*1440),0)</f>
        <v>0</v>
      </c>
      <c r="CX225" s="9" cm="1">
        <f t="array" ref="CX225">IFERROR(IF(ISBLANK(INDEX(Bay_PmOpen,MATCH(1,INDEX((tbl_Case_mins[[#This Row],[Bay]]=BayNo)*(tbl_Case_mins[[#This Row],[Surgery Start Date]]=BDate),0,1),0))*1440),0,INDEX(Bay_PmOpen,MATCH(1,INDEX((tbl_Case_mins[[#This Row],[Bay]]=BayNo)*(tbl_Case_mins[[#This Row],[Surgery Start Date]]=BDate),0,1),0))*1440),0)</f>
        <v>0</v>
      </c>
      <c r="CY22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5" s="9"/>
    </row>
    <row r="226" spans="1:104" x14ac:dyDescent="0.2">
      <c r="A226">
        <v>225</v>
      </c>
      <c r="B226" t="e">
        <f>#REF!</f>
        <v>#REF!</v>
      </c>
      <c r="C226" t="e">
        <f>#REF!</f>
        <v>#REF!</v>
      </c>
      <c r="D226" t="e">
        <f>#REF!</f>
        <v>#REF!</v>
      </c>
      <c r="E226" t="e">
        <f>#REF!</f>
        <v>#REF!</v>
      </c>
      <c r="F226" t="e">
        <f>#REF!</f>
        <v>#REF!</v>
      </c>
      <c r="G226" t="e">
        <f>#REF!</f>
        <v>#REF!</v>
      </c>
      <c r="H226" t="e">
        <f>#REF!</f>
        <v>#REF!</v>
      </c>
      <c r="I226" t="e">
        <f>IF(#REF!="Case Cancelled",1,IF(#REF!="No Cases",2,0))</f>
        <v>#REF!</v>
      </c>
      <c r="J226" t="e">
        <f>#REF!</f>
        <v>#REF!</v>
      </c>
      <c r="K226" s="4" t="e">
        <f>#REF!</f>
        <v>#REF!</v>
      </c>
      <c r="L226" t="e">
        <f>"Wk "&amp;WEEKNUM(tbl_Case_mins[[#This Row],[Surgery Start Date]],21)</f>
        <v>#REF!</v>
      </c>
      <c r="M226" t="e">
        <f>TEXT(tbl_Case_mins[[#This Row],[Surgery Start Date]],"ddd")</f>
        <v>#REF!</v>
      </c>
      <c r="N226" s="9" t="e">
        <f>(#REF!-TIME(0,0,0))*1440</f>
        <v>#REF!</v>
      </c>
      <c r="O226" t="e">
        <f>IF(AND(ROUND((#REF!-TIME(0,0,0))*1440,0)&gt;0,ROUND((#REF!-TIME(0,0,0))*1440,0)&lt;tbl_Case_mins[[#This Row],[Patient Called]],tbl_Case_mins[[#This Row],[Surgery End Date]]&gt;tbl_Case_mins[[#This Row],[Surgery Start Date]]),ROUND((#REF!-TIME(0,0,0))*1440,0)+1440,ROUND((#REF!-TIME(0,0,0))*1440,0))</f>
        <v>#REF!</v>
      </c>
      <c r="P226" s="9" t="e">
        <f>IF(AND(ROUND((#REF!-TIME(0,0,0))*1440,0)&gt;0,ROUND((#REF!-TIME(0,0,0))*1440,0)&lt;tbl_Case_mins[[#This Row],[Arrival]],tbl_Case_mins[[#This Row],[Surgery End Date]]&gt;tbl_Case_mins[[#This Row],[Surgery Start Date]]),ROUND((#REF!-TIME(0,0,0))*1440,0)+1440,ROUND((#REF!-TIME(0,0,0))*1440,0))</f>
        <v>#REF!</v>
      </c>
      <c r="Q226" s="9" t="e">
        <f>IF(AND(ROUND((#REF!-TIME(0,0,0))*1440,0)&gt;0,ROUND((#REF!-TIME(0,0,0))*1440,0)&lt;tbl_Case_mins[[#This Row],[Into Th or AR]],tbl_Case_mins[[#This Row],[Surgery End Date]]&gt;tbl_Case_mins[[#This Row],[Surgery Start Date]]),ROUND((#REF!-TIME(0,0,0))*1440,0)+1440,ROUND((#REF!-TIME(0,0,0))*1440,0))</f>
        <v>#REF!</v>
      </c>
      <c r="R226" s="9" t="e">
        <f>IF(AND(ROUND((#REF!-TIME(0,0,0))*1440,0)&gt;0,ROUND((#REF!-TIME(0,0,0))*1440,0)&lt;tbl_Case_mins[[#This Row],[AnaesthStart]],tbl_Case_mins[[#This Row],[Surgery End Date]]&gt;tbl_Case_mins[[#This Row],[Surgery Start Date]]),ROUND((#REF!-TIME(0,0,0))*1440,0)+1440,ROUND((#REF!-TIME(0,0,0))*1440,0))</f>
        <v>#REF!</v>
      </c>
      <c r="S226" s="9" t="e">
        <f>IF(AND(ROUND((#REF!-TIME(0,0,0))*1440,0),ROUND((#REF!-TIME(0,0,0))*1440,0)&lt;tbl_Case_mins[[#This Row],[Surgery Start]],tbl_Case_mins[[#This Row],[Surgery End Date]]&gt;tbl_Case_mins[[#This Row],[Surgery Start Date]]),ROUND((#REF!-TIME(0,0,0))*1440,0)+1440,ROUND((#REF!-TIME(0,0,0))*1440,0))</f>
        <v>#REF!</v>
      </c>
      <c r="T226" s="9" t="e">
        <f>IF(AND(ROUND((#REF!-TIME(0,0,0))*1440,0)&gt;0,ROUND((#REF!-TIME(0,0,0))*1440,0)&lt;tbl_Case_mins[[#This Row],[Surgery Finish]],tbl_Case_mins[[#This Row],[Surgery End Date]]&gt;tbl_Case_mins[[#This Row],[Surgery Start Date]]),ROUND((#REF!-TIME(0,0,0))*1440,0)+1440,ROUND((#REF!-TIME(0,0,0))*1440,0))</f>
        <v>#REF!</v>
      </c>
      <c r="U226" s="9" t="e">
        <f>IF(AND(ROUND((#REF!-TIME(0,0,0))*1440,0)&gt;0,ROUND((#REF!-TIME(0,0,0))*1440,0)&lt;tbl_Case_mins[[#This Row],[Anaesth End]],tbl_Case_mins[[#This Row],[Surgery End Date]]&gt;tbl_Case_mins[[#This Row],[Surgery Start Date]]),ROUND((#REF!-TIME(0,0,0))*1440,0)+1440,ROUND((#REF!-TIME(0,0,0))*1440,0))</f>
        <v>#REF!</v>
      </c>
      <c r="V226" s="9" t="e">
        <f>IF(AND(ROUND((#REF!-TIME(0,0,0))*1440,0)&gt;0,ROUND((#REF!-TIME(0,0,0))*1440,0)&lt;tbl_Case_mins[[#This Row],[Into Recov]],tbl_Case_mins[[#This Row],[Surgery End Date]]&gt;tbl_Case_mins[[#This Row],[Surgery Start Date]]),ROUND((#REF!-TIME(0,0,0))*1440,0)+1440,ROUND((#REF!-TIME(0,0,0))*1440,0))</f>
        <v>#REF!</v>
      </c>
      <c r="W226" s="9" t="e">
        <f>IF(AND(ROUND((#REF!-TIME(0,0,0))*1440,0)&gt;0,ROUND((#REF!-TIME(0,0,0))*1440,0)&lt;tbl_Case_mins[[#This Row],[Ward Called]],tbl_Case_mins[[#This Row],[Surgery End Date]]&gt;tbl_Case_mins[[#This Row],[Surgery Start Date]]),ROUND((#REF!-TIME(0,0,0))*1440,0)+1440,ROUND((#REF!-TIME(0,0,0))*1440,0))</f>
        <v>#REF!</v>
      </c>
      <c r="X226" s="4" t="e">
        <f>IF(ISBLANK(#REF!),tbl_Case_mins[[#This Row],[Surgery Start Date]],#REF!)</f>
        <v>#REF!</v>
      </c>
      <c r="Y226">
        <f>IFERROR(IF(VLOOKUP(tbl_Case_mins[[#This Row],[Theatre]],'Mng Theatres'!$C$7:$G$12,3,FALSE)="Yes","Yes","No"),0)</f>
        <v>0</v>
      </c>
      <c r="Z226" s="9" t="e" cm="1">
        <f t="array" ref="Z22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6" s="9" t="e" cm="1">
        <f t="array" ref="AA22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6" s="9" t="e">
        <f>IF(tbl_Case_mins[[#This Row],[Case Type]]="Unsch",1,0)</f>
        <v>#REF!</v>
      </c>
      <c r="AD226" s="9" t="e">
        <f>IF(tbl_Case_mins[[#This Row],[Case Type]]="Sch",1,0)</f>
        <v>#REF!</v>
      </c>
      <c r="AE22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6" s="9">
        <f>IFERROR(IF(ISBLANK(INDEX(Am_Close,MATCH(1,INDEX((tbl_Case_mins[[#This Row],[Theatre]]=Theatre_No)*(tbl_Case_mins[[#This Row],[Surgery Start Date]]=Date),0,1),0))*1440),0,INDEX(Am_Close,MATCH(1,INDEX((tbl_Case_mins[[#This Row],[Theatre]]=Theatre_No)*(tbl_Case_mins[[#This Row],[Surgery Start Date]]=Date),0,1),0))*1440),0)</f>
        <v>0</v>
      </c>
      <c r="AG226" s="9">
        <f>IFERROR(IF(ISBLANK(INDEX(PM_Open,MATCH(1,INDEX((tbl_Case_mins[[#This Row],[Theatre]]=Theatre_No)*(tbl_Case_mins[[#This Row],[Surgery Start Date]]=Date),0,1),0))*1440),0,INDEX(PM_Open,MATCH(1,INDEX((tbl_Case_mins[[#This Row],[Theatre]]=Theatre_No)*(tbl_Case_mins[[#This Row],[Surgery Start Date]]=Date),0,1),0))*1440),0)</f>
        <v>0</v>
      </c>
      <c r="AH22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6" s="9" t="e">
        <f>IF(tbl_Case_mins[[#This Row],[ThOpenAm]]=0,tbl_Case_mins[[#This Row],[ThOpenPM]],tbl_Case_mins[[#This Row],[ThOpenAm]])</f>
        <v>#REF!</v>
      </c>
      <c r="AJ226" s="9" t="e">
        <f>IF(tbl_Case_mins[[#This Row],[ThCloseAm]]&gt;0,IF(tbl_Case_mins[[#This Row],[ThOpenPM]]&gt;0,tbl_Case_mins[[#This Row],[ThClosePm]],tbl_Case_mins[[#This Row],[ThCloseAm]]),tbl_Case_mins[[#This Row],[ThClosePm]])</f>
        <v>#REF!</v>
      </c>
      <c r="AK226" s="9" t="e">
        <f>IF(tbl_Case_mins[[#This Row],[TOT]]&gt;0,1,0)</f>
        <v>#REF!</v>
      </c>
      <c r="AL22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6" s="9" t="e">
        <f>IF(AND(tbl_Case_mins[[#This Row],[Surgery Status]]&lt;&gt;2,tbl_Case_mins[[#This Row],[InCoreCase]]=0,tbl_Case_mins[[#This Row],[CancelledCase]]=0),1,0)</f>
        <v>#REF!</v>
      </c>
      <c r="AN226" s="9" t="e">
        <f>IF(tbl_Case_mins[[#This Row],[Surgery Status]]=1,1,0)</f>
        <v>#REF!</v>
      </c>
      <c r="AO22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6" s="9" t="e">
        <f>IF(AND(tbl_Case_mins[[#This Row],[NonCoreCase]]=1,tbl_Case_mins[[#This Row],[NoInCoreTime]]=0),1,0)</f>
        <v>#REF!</v>
      </c>
      <c r="AQ226" s="9" t="e">
        <f>IF(tbl_Case_mins[[#This Row],[Rank_AnaEnd]]&lt;tbl_Case_mins[[#This Row],[Rank_AnaSt]],1,0)</f>
        <v>#REF!</v>
      </c>
      <c r="AR226" s="9" t="e">
        <f>IF(AND(tbl_Case_mins[[#This Row],[InCoreCase]]=1,tbl_Case_mins[[#This Row],[Sch]]=1),1,0)</f>
        <v>#REF!</v>
      </c>
      <c r="AS226" s="9" t="e">
        <f>IF(AND(tbl_Case_mins[[#This Row],[InCoreCase]]=1,tbl_Case_mins[[#This Row],[Unsch]]=1),1,0)</f>
        <v>#REF!</v>
      </c>
      <c r="AT22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6" s="9" t="e">
        <f>IF(tbl_Case_mins[[#This Row],[Surgery Status]]=0,(tbl_Case_mins[[#This Row],[Anaesth End]]-tbl_Case_mins[[#This Row],[AnaesthStart]]),0)</f>
        <v>#REF!</v>
      </c>
      <c r="AX226" s="9" t="e">
        <f>IF(tbl_Case_mins[[#This Row],[Surgery Status]]=0,(tbl_Case_mins[[#This Row],[Surgery Finish]]-tbl_Case_mins[[#This Row],[Surgery Start]]),0)</f>
        <v>#REF!</v>
      </c>
      <c r="AY226" s="9" t="e">
        <f>tbl_Case_mins[[#This Row],[Surgery Start]]-tbl_Case_mins[[#This Row],[AnaesthStart]]</f>
        <v>#REF!</v>
      </c>
      <c r="AZ226" s="9" t="e">
        <f>tbl_Case_mins[[#This Row],[Anaesth End]]-tbl_Case_mins[[#This Row],[Surgery Finish]]</f>
        <v>#REF!</v>
      </c>
      <c r="BA22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6" s="16" cm="1">
        <f t="array" ref="BC22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6" s="16" t="e">
        <f>IF(AND(tbl_Case_mins[[#This Row],[FirstAMCase]]=1,tbl_Case_mins[[#This Row],[CancelledCase]]=0,OR(tbl_Case_mins[[#This Row],[EarlyStartAM]]&gt;0,tbl_Case_mins[[#This Row],[AnaesthStart]]=tbl_Case_mins[[#This Row],[ThOpenAm]])),1,0)</f>
        <v>#REF!</v>
      </c>
      <c r="BE226" s="16" t="e">
        <f>IF(AND(tbl_Case_mins[[#This Row],[Rank_AnaSt]]=tbl_Case_mins[[#This Row],[Min_RankAnaSt]],tbl_Case_mins[[#This Row],[Anaesth End]]&gt;=tbl_Case_mins[[#This Row],[ThOpenAm]],tbl_Case_mins[[#This Row],[PmCase]]=0),1,0)</f>
        <v>#REF!</v>
      </c>
      <c r="BF22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6" s="9" t="e" cm="1">
        <f t="array" ref="BH22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6" s="9" t="e">
        <f>IF(AND(tbl_Case_mins[[#This Row],[ThOpenPM]]&gt;0,tbl_Case_mins[[#This Row],[AnaesthStart]]&gt;tbl_Case_mins[[#This Row],[ThOpenPM]],tbl_Case_mins[[#This Row],[First PM Case]]=1),tbl_Case_mins[[#This Row],[AnaesthStart]]-tbl_Case_mins[[#This Row],[ThOpenPM]],0)</f>
        <v>#REF!</v>
      </c>
      <c r="BL22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6" s="9" t="e" cm="1">
        <f t="array" ref="BN22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6" s="9" t="e">
        <f>IF(AND(tbl_Case_mins[[#This Row],[ThClosePm]]&gt;0,tbl_Case_mins[[#This Row],[Anaesth End]]&gt;tbl_Case_mins[[#This Row],[ThClosePm]],tbl_Case_mins[[#This Row],[AnaesthStart]]&gt;tbl_Case_mins[[#This Row],[ThClosePm]]),tbl_Case_mins[[#This Row],[Into Recov]]-tbl_Case_mins[[#This Row],[AnaesthStart]],0)</f>
        <v>#REF!</v>
      </c>
      <c r="BP226" s="9" t="e">
        <f>IF(AND(tbl_Case_mins[[#This Row],[AnaesthStart]]&lt;tbl_Case_mins[[#This Row],[ThClosePm]],tbl_Case_mins[[#This Row],[Anaesth End]]&gt;tbl_Case_mins[[#This Row],[ThClosePm]]),tbl_Case_mins[[#This Row],[Anaesth End]]-tbl_Case_mins[[#This Row],[ThClosePm]],0)</f>
        <v>#REF!</v>
      </c>
      <c r="BQ226" s="9" t="e" cm="1">
        <f t="array" ref="BQ22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6" s="9" t="e" cm="1">
        <f t="array" ref="BR226">IF(tbl_Case_mins[[#This Row],[Rank_Adjust]]=SUMPRODUCT(-(tbl_Case_mins[Surgery Start Date]=tbl_Case_mins[[#This Row],[Surgery Start Date]]),-(tbl_Case_mins[Theatre]=tbl_Case_mins[[#This Row],[Theatre]])),INDEX(Poss_Time,MATCH(TEXT(tbl_Case_mins[[#This Row],[Surgery Start Date]],"ddd"),Day,0)),0)</f>
        <v>#REF!</v>
      </c>
      <c r="BS226" s="9" t="e">
        <f>tbl_Case_mins[[#This Row],[Core_Time]]*Util_Goal</f>
        <v>#REF!</v>
      </c>
      <c r="BT226" s="9" t="e" cm="1">
        <f t="array" ref="BT2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6" s="9" t="e" cm="1">
        <f t="array" ref="BU2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6" s="9" t="e">
        <f>IF(tbl_Case_mins[[#This Row],[Surgery End Date]]&gt;tbl_Case_mins[[#This Row],[Surgery Start Date]],tbl_Case_mins[[#This Row],[Anaesth End]]-1440,0)</f>
        <v>#REF!</v>
      </c>
      <c r="BY226" s="9" t="e">
        <f>tbl_Case_mins[[#This Row],[Total_NonCore]]-tbl_Case_mins[[#This Row],[NextDay_NonCore]]</f>
        <v>#REF!</v>
      </c>
      <c r="BZ226" s="10" t="e">
        <f>tbl_Case_mins[[#This Row],[InCoreUse]]/60</f>
        <v>#REF!</v>
      </c>
      <c r="CA226" s="10" t="e">
        <f>tbl_Case_mins[[#This Row],[Total_NonCore]]/60</f>
        <v>#REF!</v>
      </c>
      <c r="CB226" t="e" cm="1">
        <f t="array" ref="CB2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6" s="9" t="e" cm="1">
        <f t="array" ref="CC22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6" s="9" t="e" cm="1">
        <f t="array" ref="CD2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6" s="9" t="e" cm="1">
        <f t="array" ref="CE22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6" s="9" cm="1">
        <f t="array" ref="CF226">IFERROR(_xlfn.AGGREGATE(14,6,(tbl_Case_mins[Rank_AnaEnd])/((tbl_Case_mins[Surgery Start Date]=tbl_Case_mins[[#This Row],[Surgery Start Date]])*(tbl_Case_mins[Theatre]=tbl_Case_mins[[#This Row],[Theatre]])*(tbl_Case_mins[NoInCoreTime]=0)),1),-1)</f>
        <v>-1</v>
      </c>
      <c r="CG226" s="9" cm="1">
        <f t="array" ref="CG226">IFERROR(_xlfn.AGGREGATE(15,6,(tbl_Case_mins[Rank_AnaSt])/((tbl_Case_mins[Surgery Start Date]=tbl_Case_mins[[#This Row],[Surgery Start Date]])*(tbl_Case_mins[Theatre]=tbl_Case_mins[[#This Row],[Theatre]])*(tbl_Case_mins[NoInCoreTime]=0)),1),-1)</f>
        <v>-1</v>
      </c>
      <c r="CH22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6" t="e" cm="1">
        <f t="array" ref="CJ22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6" s="9" cm="1">
        <f t="array" ref="CO2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6" s="9" cm="1">
        <f t="array" ref="CP2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6" s="9" cm="1">
        <f t="array" ref="CQ226">IFERROR(IF(AND(tbl_Case_mins[[#This Row],[FirstAMCase]]=0,tbl_Case_mins[[#This Row],[Rank]]=_xlfn.AGGREGATE(14,6,(tbl_Case_mins[Rank])/((tbl_Case_mins[Surgery Start Date]=tbl_Case_mins[[#This Row],[Surgery Start Date]])*(tbl_Case_mins[Theatre]=tbl_Case_mins[[#This Row],[Theatre]])*(tbl_Case_mins[AmCase]=1)),1)),1,0),0)</f>
        <v>0</v>
      </c>
      <c r="CR226" s="9" cm="1">
        <f t="array" ref="CR22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6" s="9" t="e" cm="1">
        <f t="array" ref="CS22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6" s="9" cm="1">
        <f t="array" ref="CT226">IFERROR(IF(tbl_Case_mins[[#This Row],[Rank]]=_xlfn.AGGREGATE(15,6,(tbl_Case_mins[Rank])/((tbl_Case_mins[Surgery Start Date]=tbl_Case_mins[[#This Row],[Surgery Start Date]])*(tbl_Case_mins[Theatre]=tbl_Case_mins[[#This Row],[Theatre]])*(tbl_Case_mins[PmCase]=1)),1),1,0),0)</f>
        <v>0</v>
      </c>
      <c r="CU226">
        <f>IFERROR(#REF!,0)</f>
        <v>0</v>
      </c>
      <c r="CV226" s="9" t="e" cm="1">
        <f t="array" ref="CV22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6" s="9">
        <f>IFERROR(IF(ISBLANK(INDEX(Bay_AmClose,MATCH(1,INDEX((tbl_Case_mins[[#This Row],[Bay]]=BayNo)*(tbl_Case_mins[[#This Row],[Surgery Start Date]]=BDate),0,1),0))*1440),0,INDEX(Bay_AmClose,MATCH(1,INDEX((tbl_Case_mins[[#This Row],[Bay]]=BayNo)*(tbl_Case_mins[[#This Row],[Surgery Start Date]]=BDate),0,1),0))*1440),0)</f>
        <v>0</v>
      </c>
      <c r="CX226" s="9" cm="1">
        <f t="array" ref="CX226">IFERROR(IF(ISBLANK(INDEX(Bay_PmOpen,MATCH(1,INDEX((tbl_Case_mins[[#This Row],[Bay]]=BayNo)*(tbl_Case_mins[[#This Row],[Surgery Start Date]]=BDate),0,1),0))*1440),0,INDEX(Bay_PmOpen,MATCH(1,INDEX((tbl_Case_mins[[#This Row],[Bay]]=BayNo)*(tbl_Case_mins[[#This Row],[Surgery Start Date]]=BDate),0,1),0))*1440),0)</f>
        <v>0</v>
      </c>
      <c r="CY22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6" s="9"/>
    </row>
    <row r="227" spans="1:104" x14ac:dyDescent="0.2">
      <c r="A227">
        <v>226</v>
      </c>
      <c r="B227" t="e">
        <f>#REF!</f>
        <v>#REF!</v>
      </c>
      <c r="C227" t="e">
        <f>#REF!</f>
        <v>#REF!</v>
      </c>
      <c r="D227" t="e">
        <f>#REF!</f>
        <v>#REF!</v>
      </c>
      <c r="E227" t="e">
        <f>#REF!</f>
        <v>#REF!</v>
      </c>
      <c r="F227" t="e">
        <f>#REF!</f>
        <v>#REF!</v>
      </c>
      <c r="G227" t="e">
        <f>#REF!</f>
        <v>#REF!</v>
      </c>
      <c r="H227" t="e">
        <f>#REF!</f>
        <v>#REF!</v>
      </c>
      <c r="I227" t="e">
        <f>IF(#REF!="Case Cancelled",1,IF(#REF!="No Cases",2,0))</f>
        <v>#REF!</v>
      </c>
      <c r="J227" t="e">
        <f>#REF!</f>
        <v>#REF!</v>
      </c>
      <c r="K227" s="4" t="e">
        <f>#REF!</f>
        <v>#REF!</v>
      </c>
      <c r="L227" t="e">
        <f>"Wk "&amp;WEEKNUM(tbl_Case_mins[[#This Row],[Surgery Start Date]],21)</f>
        <v>#REF!</v>
      </c>
      <c r="M227" t="e">
        <f>TEXT(tbl_Case_mins[[#This Row],[Surgery Start Date]],"ddd")</f>
        <v>#REF!</v>
      </c>
      <c r="N227" s="9" t="e">
        <f>(#REF!-TIME(0,0,0))*1440</f>
        <v>#REF!</v>
      </c>
      <c r="O227" t="e">
        <f>IF(AND(ROUND((#REF!-TIME(0,0,0))*1440,0)&gt;0,ROUND((#REF!-TIME(0,0,0))*1440,0)&lt;tbl_Case_mins[[#This Row],[Patient Called]],tbl_Case_mins[[#This Row],[Surgery End Date]]&gt;tbl_Case_mins[[#This Row],[Surgery Start Date]]),ROUND((#REF!-TIME(0,0,0))*1440,0)+1440,ROUND((#REF!-TIME(0,0,0))*1440,0))</f>
        <v>#REF!</v>
      </c>
      <c r="P227" s="9" t="e">
        <f>IF(AND(ROUND((#REF!-TIME(0,0,0))*1440,0)&gt;0,ROUND((#REF!-TIME(0,0,0))*1440,0)&lt;tbl_Case_mins[[#This Row],[Arrival]],tbl_Case_mins[[#This Row],[Surgery End Date]]&gt;tbl_Case_mins[[#This Row],[Surgery Start Date]]),ROUND((#REF!-TIME(0,0,0))*1440,0)+1440,ROUND((#REF!-TIME(0,0,0))*1440,0))</f>
        <v>#REF!</v>
      </c>
      <c r="Q227" s="9" t="e">
        <f>IF(AND(ROUND((#REF!-TIME(0,0,0))*1440,0)&gt;0,ROUND((#REF!-TIME(0,0,0))*1440,0)&lt;tbl_Case_mins[[#This Row],[Into Th or AR]],tbl_Case_mins[[#This Row],[Surgery End Date]]&gt;tbl_Case_mins[[#This Row],[Surgery Start Date]]),ROUND((#REF!-TIME(0,0,0))*1440,0)+1440,ROUND((#REF!-TIME(0,0,0))*1440,0))</f>
        <v>#REF!</v>
      </c>
      <c r="R227" s="9" t="e">
        <f>IF(AND(ROUND((#REF!-TIME(0,0,0))*1440,0)&gt;0,ROUND((#REF!-TIME(0,0,0))*1440,0)&lt;tbl_Case_mins[[#This Row],[AnaesthStart]],tbl_Case_mins[[#This Row],[Surgery End Date]]&gt;tbl_Case_mins[[#This Row],[Surgery Start Date]]),ROUND((#REF!-TIME(0,0,0))*1440,0)+1440,ROUND((#REF!-TIME(0,0,0))*1440,0))</f>
        <v>#REF!</v>
      </c>
      <c r="S227" s="9" t="e">
        <f>IF(AND(ROUND((#REF!-TIME(0,0,0))*1440,0),ROUND((#REF!-TIME(0,0,0))*1440,0)&lt;tbl_Case_mins[[#This Row],[Surgery Start]],tbl_Case_mins[[#This Row],[Surgery End Date]]&gt;tbl_Case_mins[[#This Row],[Surgery Start Date]]),ROUND((#REF!-TIME(0,0,0))*1440,0)+1440,ROUND((#REF!-TIME(0,0,0))*1440,0))</f>
        <v>#REF!</v>
      </c>
      <c r="T227" s="9" t="e">
        <f>IF(AND(ROUND((#REF!-TIME(0,0,0))*1440,0)&gt;0,ROUND((#REF!-TIME(0,0,0))*1440,0)&lt;tbl_Case_mins[[#This Row],[Surgery Finish]],tbl_Case_mins[[#This Row],[Surgery End Date]]&gt;tbl_Case_mins[[#This Row],[Surgery Start Date]]),ROUND((#REF!-TIME(0,0,0))*1440,0)+1440,ROUND((#REF!-TIME(0,0,0))*1440,0))</f>
        <v>#REF!</v>
      </c>
      <c r="U227" s="9" t="e">
        <f>IF(AND(ROUND((#REF!-TIME(0,0,0))*1440,0)&gt;0,ROUND((#REF!-TIME(0,0,0))*1440,0)&lt;tbl_Case_mins[[#This Row],[Anaesth End]],tbl_Case_mins[[#This Row],[Surgery End Date]]&gt;tbl_Case_mins[[#This Row],[Surgery Start Date]]),ROUND((#REF!-TIME(0,0,0))*1440,0)+1440,ROUND((#REF!-TIME(0,0,0))*1440,0))</f>
        <v>#REF!</v>
      </c>
      <c r="V227" s="9" t="e">
        <f>IF(AND(ROUND((#REF!-TIME(0,0,0))*1440,0)&gt;0,ROUND((#REF!-TIME(0,0,0))*1440,0)&lt;tbl_Case_mins[[#This Row],[Into Recov]],tbl_Case_mins[[#This Row],[Surgery End Date]]&gt;tbl_Case_mins[[#This Row],[Surgery Start Date]]),ROUND((#REF!-TIME(0,0,0))*1440,0)+1440,ROUND((#REF!-TIME(0,0,0))*1440,0))</f>
        <v>#REF!</v>
      </c>
      <c r="W227" s="9" t="e">
        <f>IF(AND(ROUND((#REF!-TIME(0,0,0))*1440,0)&gt;0,ROUND((#REF!-TIME(0,0,0))*1440,0)&lt;tbl_Case_mins[[#This Row],[Ward Called]],tbl_Case_mins[[#This Row],[Surgery End Date]]&gt;tbl_Case_mins[[#This Row],[Surgery Start Date]]),ROUND((#REF!-TIME(0,0,0))*1440,0)+1440,ROUND((#REF!-TIME(0,0,0))*1440,0))</f>
        <v>#REF!</v>
      </c>
      <c r="X227" s="4" t="e">
        <f>IF(ISBLANK(#REF!),tbl_Case_mins[[#This Row],[Surgery Start Date]],#REF!)</f>
        <v>#REF!</v>
      </c>
      <c r="Y227">
        <f>IFERROR(IF(VLOOKUP(tbl_Case_mins[[#This Row],[Theatre]],'Mng Theatres'!$C$7:$G$12,3,FALSE)="Yes","Yes","No"),0)</f>
        <v>0</v>
      </c>
      <c r="Z227" s="9" t="e" cm="1">
        <f t="array" ref="Z22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7" s="9" t="e" cm="1">
        <f t="array" ref="AA22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7" s="9" t="e">
        <f>IF(tbl_Case_mins[[#This Row],[Case Type]]="Unsch",1,0)</f>
        <v>#REF!</v>
      </c>
      <c r="AD227" s="9" t="e">
        <f>IF(tbl_Case_mins[[#This Row],[Case Type]]="Sch",1,0)</f>
        <v>#REF!</v>
      </c>
      <c r="AE22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7" s="9">
        <f>IFERROR(IF(ISBLANK(INDEX(Am_Close,MATCH(1,INDEX((tbl_Case_mins[[#This Row],[Theatre]]=Theatre_No)*(tbl_Case_mins[[#This Row],[Surgery Start Date]]=Date),0,1),0))*1440),0,INDEX(Am_Close,MATCH(1,INDEX((tbl_Case_mins[[#This Row],[Theatre]]=Theatre_No)*(tbl_Case_mins[[#This Row],[Surgery Start Date]]=Date),0,1),0))*1440),0)</f>
        <v>0</v>
      </c>
      <c r="AG227" s="9">
        <f>IFERROR(IF(ISBLANK(INDEX(PM_Open,MATCH(1,INDEX((tbl_Case_mins[[#This Row],[Theatre]]=Theatre_No)*(tbl_Case_mins[[#This Row],[Surgery Start Date]]=Date),0,1),0))*1440),0,INDEX(PM_Open,MATCH(1,INDEX((tbl_Case_mins[[#This Row],[Theatre]]=Theatre_No)*(tbl_Case_mins[[#This Row],[Surgery Start Date]]=Date),0,1),0))*1440),0)</f>
        <v>0</v>
      </c>
      <c r="AH22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7" s="9" t="e">
        <f>IF(tbl_Case_mins[[#This Row],[ThOpenAm]]=0,tbl_Case_mins[[#This Row],[ThOpenPM]],tbl_Case_mins[[#This Row],[ThOpenAm]])</f>
        <v>#REF!</v>
      </c>
      <c r="AJ227" s="9" t="e">
        <f>IF(tbl_Case_mins[[#This Row],[ThCloseAm]]&gt;0,IF(tbl_Case_mins[[#This Row],[ThOpenPM]]&gt;0,tbl_Case_mins[[#This Row],[ThClosePm]],tbl_Case_mins[[#This Row],[ThCloseAm]]),tbl_Case_mins[[#This Row],[ThClosePm]])</f>
        <v>#REF!</v>
      </c>
      <c r="AK227" s="9" t="e">
        <f>IF(tbl_Case_mins[[#This Row],[TOT]]&gt;0,1,0)</f>
        <v>#REF!</v>
      </c>
      <c r="AL22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7" s="9" t="e">
        <f>IF(AND(tbl_Case_mins[[#This Row],[Surgery Status]]&lt;&gt;2,tbl_Case_mins[[#This Row],[InCoreCase]]=0,tbl_Case_mins[[#This Row],[CancelledCase]]=0),1,0)</f>
        <v>#REF!</v>
      </c>
      <c r="AN227" s="9" t="e">
        <f>IF(tbl_Case_mins[[#This Row],[Surgery Status]]=1,1,0)</f>
        <v>#REF!</v>
      </c>
      <c r="AO22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7" s="9" t="e">
        <f>IF(AND(tbl_Case_mins[[#This Row],[NonCoreCase]]=1,tbl_Case_mins[[#This Row],[NoInCoreTime]]=0),1,0)</f>
        <v>#REF!</v>
      </c>
      <c r="AQ227" s="9" t="e">
        <f>IF(tbl_Case_mins[[#This Row],[Rank_AnaEnd]]&lt;tbl_Case_mins[[#This Row],[Rank_AnaSt]],1,0)</f>
        <v>#REF!</v>
      </c>
      <c r="AR227" s="9" t="e">
        <f>IF(AND(tbl_Case_mins[[#This Row],[InCoreCase]]=1,tbl_Case_mins[[#This Row],[Sch]]=1),1,0)</f>
        <v>#REF!</v>
      </c>
      <c r="AS227" s="9" t="e">
        <f>IF(AND(tbl_Case_mins[[#This Row],[InCoreCase]]=1,tbl_Case_mins[[#This Row],[Unsch]]=1),1,0)</f>
        <v>#REF!</v>
      </c>
      <c r="AT22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7" s="9" t="e">
        <f>IF(tbl_Case_mins[[#This Row],[Surgery Status]]=0,(tbl_Case_mins[[#This Row],[Anaesth End]]-tbl_Case_mins[[#This Row],[AnaesthStart]]),0)</f>
        <v>#REF!</v>
      </c>
      <c r="AX227" s="9" t="e">
        <f>IF(tbl_Case_mins[[#This Row],[Surgery Status]]=0,(tbl_Case_mins[[#This Row],[Surgery Finish]]-tbl_Case_mins[[#This Row],[Surgery Start]]),0)</f>
        <v>#REF!</v>
      </c>
      <c r="AY227" s="9" t="e">
        <f>tbl_Case_mins[[#This Row],[Surgery Start]]-tbl_Case_mins[[#This Row],[AnaesthStart]]</f>
        <v>#REF!</v>
      </c>
      <c r="AZ227" s="9" t="e">
        <f>tbl_Case_mins[[#This Row],[Anaesth End]]-tbl_Case_mins[[#This Row],[Surgery Finish]]</f>
        <v>#REF!</v>
      </c>
      <c r="BA22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7" s="16" cm="1">
        <f t="array" ref="BC22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7" s="16" t="e">
        <f>IF(AND(tbl_Case_mins[[#This Row],[FirstAMCase]]=1,tbl_Case_mins[[#This Row],[CancelledCase]]=0,OR(tbl_Case_mins[[#This Row],[EarlyStartAM]]&gt;0,tbl_Case_mins[[#This Row],[AnaesthStart]]=tbl_Case_mins[[#This Row],[ThOpenAm]])),1,0)</f>
        <v>#REF!</v>
      </c>
      <c r="BE227" s="16" t="e">
        <f>IF(AND(tbl_Case_mins[[#This Row],[Rank_AnaSt]]=tbl_Case_mins[[#This Row],[Min_RankAnaSt]],tbl_Case_mins[[#This Row],[Anaesth End]]&gt;=tbl_Case_mins[[#This Row],[ThOpenAm]],tbl_Case_mins[[#This Row],[PmCase]]=0),1,0)</f>
        <v>#REF!</v>
      </c>
      <c r="BF22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7" s="9" t="e" cm="1">
        <f t="array" ref="BH22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7" s="9" t="e">
        <f>IF(AND(tbl_Case_mins[[#This Row],[ThOpenPM]]&gt;0,tbl_Case_mins[[#This Row],[AnaesthStart]]&gt;tbl_Case_mins[[#This Row],[ThOpenPM]],tbl_Case_mins[[#This Row],[First PM Case]]=1),tbl_Case_mins[[#This Row],[AnaesthStart]]-tbl_Case_mins[[#This Row],[ThOpenPM]],0)</f>
        <v>#REF!</v>
      </c>
      <c r="BL22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7" s="9" t="e" cm="1">
        <f t="array" ref="BN22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7" s="9" t="e">
        <f>IF(AND(tbl_Case_mins[[#This Row],[ThClosePm]]&gt;0,tbl_Case_mins[[#This Row],[Anaesth End]]&gt;tbl_Case_mins[[#This Row],[ThClosePm]],tbl_Case_mins[[#This Row],[AnaesthStart]]&gt;tbl_Case_mins[[#This Row],[ThClosePm]]),tbl_Case_mins[[#This Row],[Into Recov]]-tbl_Case_mins[[#This Row],[AnaesthStart]],0)</f>
        <v>#REF!</v>
      </c>
      <c r="BP227" s="9" t="e">
        <f>IF(AND(tbl_Case_mins[[#This Row],[AnaesthStart]]&lt;tbl_Case_mins[[#This Row],[ThClosePm]],tbl_Case_mins[[#This Row],[Anaesth End]]&gt;tbl_Case_mins[[#This Row],[ThClosePm]]),tbl_Case_mins[[#This Row],[Anaesth End]]-tbl_Case_mins[[#This Row],[ThClosePm]],0)</f>
        <v>#REF!</v>
      </c>
      <c r="BQ227" s="9" t="e" cm="1">
        <f t="array" ref="BQ22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7" s="9" t="e" cm="1">
        <f t="array" ref="BR227">IF(tbl_Case_mins[[#This Row],[Rank_Adjust]]=SUMPRODUCT(-(tbl_Case_mins[Surgery Start Date]=tbl_Case_mins[[#This Row],[Surgery Start Date]]),-(tbl_Case_mins[Theatre]=tbl_Case_mins[[#This Row],[Theatre]])),INDEX(Poss_Time,MATCH(TEXT(tbl_Case_mins[[#This Row],[Surgery Start Date]],"ddd"),Day,0)),0)</f>
        <v>#REF!</v>
      </c>
      <c r="BS227" s="9" t="e">
        <f>tbl_Case_mins[[#This Row],[Core_Time]]*Util_Goal</f>
        <v>#REF!</v>
      </c>
      <c r="BT227" s="9" t="e" cm="1">
        <f t="array" ref="BT2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7" s="9" t="e" cm="1">
        <f t="array" ref="BU2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7" s="9" t="e">
        <f>IF(tbl_Case_mins[[#This Row],[Surgery End Date]]&gt;tbl_Case_mins[[#This Row],[Surgery Start Date]],tbl_Case_mins[[#This Row],[Anaesth End]]-1440,0)</f>
        <v>#REF!</v>
      </c>
      <c r="BY227" s="9" t="e">
        <f>tbl_Case_mins[[#This Row],[Total_NonCore]]-tbl_Case_mins[[#This Row],[NextDay_NonCore]]</f>
        <v>#REF!</v>
      </c>
      <c r="BZ227" s="10" t="e">
        <f>tbl_Case_mins[[#This Row],[InCoreUse]]/60</f>
        <v>#REF!</v>
      </c>
      <c r="CA227" s="10" t="e">
        <f>tbl_Case_mins[[#This Row],[Total_NonCore]]/60</f>
        <v>#REF!</v>
      </c>
      <c r="CB227" t="e" cm="1">
        <f t="array" ref="CB2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7" s="9" t="e" cm="1">
        <f t="array" ref="CC22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7" s="9" t="e" cm="1">
        <f t="array" ref="CD2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7" s="9" t="e" cm="1">
        <f t="array" ref="CE22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7" s="9" cm="1">
        <f t="array" ref="CF227">IFERROR(_xlfn.AGGREGATE(14,6,(tbl_Case_mins[Rank_AnaEnd])/((tbl_Case_mins[Surgery Start Date]=tbl_Case_mins[[#This Row],[Surgery Start Date]])*(tbl_Case_mins[Theatre]=tbl_Case_mins[[#This Row],[Theatre]])*(tbl_Case_mins[NoInCoreTime]=0)),1),-1)</f>
        <v>-1</v>
      </c>
      <c r="CG227" s="9" cm="1">
        <f t="array" ref="CG227">IFERROR(_xlfn.AGGREGATE(15,6,(tbl_Case_mins[Rank_AnaSt])/((tbl_Case_mins[Surgery Start Date]=tbl_Case_mins[[#This Row],[Surgery Start Date]])*(tbl_Case_mins[Theatre]=tbl_Case_mins[[#This Row],[Theatre]])*(tbl_Case_mins[NoInCoreTime]=0)),1),-1)</f>
        <v>-1</v>
      </c>
      <c r="CH22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7" t="e" cm="1">
        <f t="array" ref="CJ22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7" s="9" cm="1">
        <f t="array" ref="CO2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7" s="9" cm="1">
        <f t="array" ref="CP2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7" s="9" cm="1">
        <f t="array" ref="CQ227">IFERROR(IF(AND(tbl_Case_mins[[#This Row],[FirstAMCase]]=0,tbl_Case_mins[[#This Row],[Rank]]=_xlfn.AGGREGATE(14,6,(tbl_Case_mins[Rank])/((tbl_Case_mins[Surgery Start Date]=tbl_Case_mins[[#This Row],[Surgery Start Date]])*(tbl_Case_mins[Theatre]=tbl_Case_mins[[#This Row],[Theatre]])*(tbl_Case_mins[AmCase]=1)),1)),1,0),0)</f>
        <v>0</v>
      </c>
      <c r="CR227" s="9" cm="1">
        <f t="array" ref="CR22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7" s="9" t="e" cm="1">
        <f t="array" ref="CS22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7" s="9" cm="1">
        <f t="array" ref="CT227">IFERROR(IF(tbl_Case_mins[[#This Row],[Rank]]=_xlfn.AGGREGATE(15,6,(tbl_Case_mins[Rank])/((tbl_Case_mins[Surgery Start Date]=tbl_Case_mins[[#This Row],[Surgery Start Date]])*(tbl_Case_mins[Theatre]=tbl_Case_mins[[#This Row],[Theatre]])*(tbl_Case_mins[PmCase]=1)),1),1,0),0)</f>
        <v>0</v>
      </c>
      <c r="CU227">
        <f>IFERROR(#REF!,0)</f>
        <v>0</v>
      </c>
      <c r="CV227" s="9" t="e" cm="1">
        <f t="array" ref="CV22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7" s="9">
        <f>IFERROR(IF(ISBLANK(INDEX(Bay_AmClose,MATCH(1,INDEX((tbl_Case_mins[[#This Row],[Bay]]=BayNo)*(tbl_Case_mins[[#This Row],[Surgery Start Date]]=BDate),0,1),0))*1440),0,INDEX(Bay_AmClose,MATCH(1,INDEX((tbl_Case_mins[[#This Row],[Bay]]=BayNo)*(tbl_Case_mins[[#This Row],[Surgery Start Date]]=BDate),0,1),0))*1440),0)</f>
        <v>0</v>
      </c>
      <c r="CX227" s="9" cm="1">
        <f t="array" ref="CX227">IFERROR(IF(ISBLANK(INDEX(Bay_PmOpen,MATCH(1,INDEX((tbl_Case_mins[[#This Row],[Bay]]=BayNo)*(tbl_Case_mins[[#This Row],[Surgery Start Date]]=BDate),0,1),0))*1440),0,INDEX(Bay_PmOpen,MATCH(1,INDEX((tbl_Case_mins[[#This Row],[Bay]]=BayNo)*(tbl_Case_mins[[#This Row],[Surgery Start Date]]=BDate),0,1),0))*1440),0)</f>
        <v>0</v>
      </c>
      <c r="CY22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7" s="9"/>
    </row>
    <row r="228" spans="1:104" x14ac:dyDescent="0.2">
      <c r="A228">
        <v>227</v>
      </c>
      <c r="B228" t="e">
        <f>#REF!</f>
        <v>#REF!</v>
      </c>
      <c r="C228" t="e">
        <f>#REF!</f>
        <v>#REF!</v>
      </c>
      <c r="D228" t="e">
        <f>#REF!</f>
        <v>#REF!</v>
      </c>
      <c r="E228" t="e">
        <f>#REF!</f>
        <v>#REF!</v>
      </c>
      <c r="F228" t="e">
        <f>#REF!</f>
        <v>#REF!</v>
      </c>
      <c r="G228" t="e">
        <f>#REF!</f>
        <v>#REF!</v>
      </c>
      <c r="H228" t="e">
        <f>#REF!</f>
        <v>#REF!</v>
      </c>
      <c r="I228" t="e">
        <f>IF(#REF!="Case Cancelled",1,IF(#REF!="No Cases",2,0))</f>
        <v>#REF!</v>
      </c>
      <c r="J228" t="e">
        <f>#REF!</f>
        <v>#REF!</v>
      </c>
      <c r="K228" s="4" t="e">
        <f>#REF!</f>
        <v>#REF!</v>
      </c>
      <c r="L228" t="e">
        <f>"Wk "&amp;WEEKNUM(tbl_Case_mins[[#This Row],[Surgery Start Date]],21)</f>
        <v>#REF!</v>
      </c>
      <c r="M228" t="e">
        <f>TEXT(tbl_Case_mins[[#This Row],[Surgery Start Date]],"ddd")</f>
        <v>#REF!</v>
      </c>
      <c r="N228" s="9" t="e">
        <f>(#REF!-TIME(0,0,0))*1440</f>
        <v>#REF!</v>
      </c>
      <c r="O228" t="e">
        <f>IF(AND(ROUND((#REF!-TIME(0,0,0))*1440,0)&gt;0,ROUND((#REF!-TIME(0,0,0))*1440,0)&lt;tbl_Case_mins[[#This Row],[Patient Called]],tbl_Case_mins[[#This Row],[Surgery End Date]]&gt;tbl_Case_mins[[#This Row],[Surgery Start Date]]),ROUND((#REF!-TIME(0,0,0))*1440,0)+1440,ROUND((#REF!-TIME(0,0,0))*1440,0))</f>
        <v>#REF!</v>
      </c>
      <c r="P228" s="9" t="e">
        <f>IF(AND(ROUND((#REF!-TIME(0,0,0))*1440,0)&gt;0,ROUND((#REF!-TIME(0,0,0))*1440,0)&lt;tbl_Case_mins[[#This Row],[Arrival]],tbl_Case_mins[[#This Row],[Surgery End Date]]&gt;tbl_Case_mins[[#This Row],[Surgery Start Date]]),ROUND((#REF!-TIME(0,0,0))*1440,0)+1440,ROUND((#REF!-TIME(0,0,0))*1440,0))</f>
        <v>#REF!</v>
      </c>
      <c r="Q228" s="9" t="e">
        <f>IF(AND(ROUND((#REF!-TIME(0,0,0))*1440,0)&gt;0,ROUND((#REF!-TIME(0,0,0))*1440,0)&lt;tbl_Case_mins[[#This Row],[Into Th or AR]],tbl_Case_mins[[#This Row],[Surgery End Date]]&gt;tbl_Case_mins[[#This Row],[Surgery Start Date]]),ROUND((#REF!-TIME(0,0,0))*1440,0)+1440,ROUND((#REF!-TIME(0,0,0))*1440,0))</f>
        <v>#REF!</v>
      </c>
      <c r="R228" s="9" t="e">
        <f>IF(AND(ROUND((#REF!-TIME(0,0,0))*1440,0)&gt;0,ROUND((#REF!-TIME(0,0,0))*1440,0)&lt;tbl_Case_mins[[#This Row],[AnaesthStart]],tbl_Case_mins[[#This Row],[Surgery End Date]]&gt;tbl_Case_mins[[#This Row],[Surgery Start Date]]),ROUND((#REF!-TIME(0,0,0))*1440,0)+1440,ROUND((#REF!-TIME(0,0,0))*1440,0))</f>
        <v>#REF!</v>
      </c>
      <c r="S228" s="9" t="e">
        <f>IF(AND(ROUND((#REF!-TIME(0,0,0))*1440,0),ROUND((#REF!-TIME(0,0,0))*1440,0)&lt;tbl_Case_mins[[#This Row],[Surgery Start]],tbl_Case_mins[[#This Row],[Surgery End Date]]&gt;tbl_Case_mins[[#This Row],[Surgery Start Date]]),ROUND((#REF!-TIME(0,0,0))*1440,0)+1440,ROUND((#REF!-TIME(0,0,0))*1440,0))</f>
        <v>#REF!</v>
      </c>
      <c r="T228" s="9" t="e">
        <f>IF(AND(ROUND((#REF!-TIME(0,0,0))*1440,0)&gt;0,ROUND((#REF!-TIME(0,0,0))*1440,0)&lt;tbl_Case_mins[[#This Row],[Surgery Finish]],tbl_Case_mins[[#This Row],[Surgery End Date]]&gt;tbl_Case_mins[[#This Row],[Surgery Start Date]]),ROUND((#REF!-TIME(0,0,0))*1440,0)+1440,ROUND((#REF!-TIME(0,0,0))*1440,0))</f>
        <v>#REF!</v>
      </c>
      <c r="U228" s="9" t="e">
        <f>IF(AND(ROUND((#REF!-TIME(0,0,0))*1440,0)&gt;0,ROUND((#REF!-TIME(0,0,0))*1440,0)&lt;tbl_Case_mins[[#This Row],[Anaesth End]],tbl_Case_mins[[#This Row],[Surgery End Date]]&gt;tbl_Case_mins[[#This Row],[Surgery Start Date]]),ROUND((#REF!-TIME(0,0,0))*1440,0)+1440,ROUND((#REF!-TIME(0,0,0))*1440,0))</f>
        <v>#REF!</v>
      </c>
      <c r="V228" s="9" t="e">
        <f>IF(AND(ROUND((#REF!-TIME(0,0,0))*1440,0)&gt;0,ROUND((#REF!-TIME(0,0,0))*1440,0)&lt;tbl_Case_mins[[#This Row],[Into Recov]],tbl_Case_mins[[#This Row],[Surgery End Date]]&gt;tbl_Case_mins[[#This Row],[Surgery Start Date]]),ROUND((#REF!-TIME(0,0,0))*1440,0)+1440,ROUND((#REF!-TIME(0,0,0))*1440,0))</f>
        <v>#REF!</v>
      </c>
      <c r="W228" s="9" t="e">
        <f>IF(AND(ROUND((#REF!-TIME(0,0,0))*1440,0)&gt;0,ROUND((#REF!-TIME(0,0,0))*1440,0)&lt;tbl_Case_mins[[#This Row],[Ward Called]],tbl_Case_mins[[#This Row],[Surgery End Date]]&gt;tbl_Case_mins[[#This Row],[Surgery Start Date]]),ROUND((#REF!-TIME(0,0,0))*1440,0)+1440,ROUND((#REF!-TIME(0,0,0))*1440,0))</f>
        <v>#REF!</v>
      </c>
      <c r="X228" s="4" t="e">
        <f>IF(ISBLANK(#REF!),tbl_Case_mins[[#This Row],[Surgery Start Date]],#REF!)</f>
        <v>#REF!</v>
      </c>
      <c r="Y228">
        <f>IFERROR(IF(VLOOKUP(tbl_Case_mins[[#This Row],[Theatre]],'Mng Theatres'!$C$7:$G$12,3,FALSE)="Yes","Yes","No"),0)</f>
        <v>0</v>
      </c>
      <c r="Z228" s="9" t="e" cm="1">
        <f t="array" ref="Z22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8" s="9" t="e" cm="1">
        <f t="array" ref="AA22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8" s="9" t="e">
        <f>IF(tbl_Case_mins[[#This Row],[Case Type]]="Unsch",1,0)</f>
        <v>#REF!</v>
      </c>
      <c r="AD228" s="9" t="e">
        <f>IF(tbl_Case_mins[[#This Row],[Case Type]]="Sch",1,0)</f>
        <v>#REF!</v>
      </c>
      <c r="AE22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8" s="9">
        <f>IFERROR(IF(ISBLANK(INDEX(Am_Close,MATCH(1,INDEX((tbl_Case_mins[[#This Row],[Theatre]]=Theatre_No)*(tbl_Case_mins[[#This Row],[Surgery Start Date]]=Date),0,1),0))*1440),0,INDEX(Am_Close,MATCH(1,INDEX((tbl_Case_mins[[#This Row],[Theatre]]=Theatre_No)*(tbl_Case_mins[[#This Row],[Surgery Start Date]]=Date),0,1),0))*1440),0)</f>
        <v>0</v>
      </c>
      <c r="AG228" s="9">
        <f>IFERROR(IF(ISBLANK(INDEX(PM_Open,MATCH(1,INDEX((tbl_Case_mins[[#This Row],[Theatre]]=Theatre_No)*(tbl_Case_mins[[#This Row],[Surgery Start Date]]=Date),0,1),0))*1440),0,INDEX(PM_Open,MATCH(1,INDEX((tbl_Case_mins[[#This Row],[Theatre]]=Theatre_No)*(tbl_Case_mins[[#This Row],[Surgery Start Date]]=Date),0,1),0))*1440),0)</f>
        <v>0</v>
      </c>
      <c r="AH22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8" s="9" t="e">
        <f>IF(tbl_Case_mins[[#This Row],[ThOpenAm]]=0,tbl_Case_mins[[#This Row],[ThOpenPM]],tbl_Case_mins[[#This Row],[ThOpenAm]])</f>
        <v>#REF!</v>
      </c>
      <c r="AJ228" s="9" t="e">
        <f>IF(tbl_Case_mins[[#This Row],[ThCloseAm]]&gt;0,IF(tbl_Case_mins[[#This Row],[ThOpenPM]]&gt;0,tbl_Case_mins[[#This Row],[ThClosePm]],tbl_Case_mins[[#This Row],[ThCloseAm]]),tbl_Case_mins[[#This Row],[ThClosePm]])</f>
        <v>#REF!</v>
      </c>
      <c r="AK228" s="9" t="e">
        <f>IF(tbl_Case_mins[[#This Row],[TOT]]&gt;0,1,0)</f>
        <v>#REF!</v>
      </c>
      <c r="AL22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8" s="9" t="e">
        <f>IF(AND(tbl_Case_mins[[#This Row],[Surgery Status]]&lt;&gt;2,tbl_Case_mins[[#This Row],[InCoreCase]]=0,tbl_Case_mins[[#This Row],[CancelledCase]]=0),1,0)</f>
        <v>#REF!</v>
      </c>
      <c r="AN228" s="9" t="e">
        <f>IF(tbl_Case_mins[[#This Row],[Surgery Status]]=1,1,0)</f>
        <v>#REF!</v>
      </c>
      <c r="AO22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8" s="9" t="e">
        <f>IF(AND(tbl_Case_mins[[#This Row],[NonCoreCase]]=1,tbl_Case_mins[[#This Row],[NoInCoreTime]]=0),1,0)</f>
        <v>#REF!</v>
      </c>
      <c r="AQ228" s="9" t="e">
        <f>IF(tbl_Case_mins[[#This Row],[Rank_AnaEnd]]&lt;tbl_Case_mins[[#This Row],[Rank_AnaSt]],1,0)</f>
        <v>#REF!</v>
      </c>
      <c r="AR228" s="9" t="e">
        <f>IF(AND(tbl_Case_mins[[#This Row],[InCoreCase]]=1,tbl_Case_mins[[#This Row],[Sch]]=1),1,0)</f>
        <v>#REF!</v>
      </c>
      <c r="AS228" s="9" t="e">
        <f>IF(AND(tbl_Case_mins[[#This Row],[InCoreCase]]=1,tbl_Case_mins[[#This Row],[Unsch]]=1),1,0)</f>
        <v>#REF!</v>
      </c>
      <c r="AT22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8" s="9" t="e">
        <f>IF(tbl_Case_mins[[#This Row],[Surgery Status]]=0,(tbl_Case_mins[[#This Row],[Anaesth End]]-tbl_Case_mins[[#This Row],[AnaesthStart]]),0)</f>
        <v>#REF!</v>
      </c>
      <c r="AX228" s="9" t="e">
        <f>IF(tbl_Case_mins[[#This Row],[Surgery Status]]=0,(tbl_Case_mins[[#This Row],[Surgery Finish]]-tbl_Case_mins[[#This Row],[Surgery Start]]),0)</f>
        <v>#REF!</v>
      </c>
      <c r="AY228" s="9" t="e">
        <f>tbl_Case_mins[[#This Row],[Surgery Start]]-tbl_Case_mins[[#This Row],[AnaesthStart]]</f>
        <v>#REF!</v>
      </c>
      <c r="AZ228" s="9" t="e">
        <f>tbl_Case_mins[[#This Row],[Anaesth End]]-tbl_Case_mins[[#This Row],[Surgery Finish]]</f>
        <v>#REF!</v>
      </c>
      <c r="BA22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8" s="16" cm="1">
        <f t="array" ref="BC22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8" s="16" t="e">
        <f>IF(AND(tbl_Case_mins[[#This Row],[FirstAMCase]]=1,tbl_Case_mins[[#This Row],[CancelledCase]]=0,OR(tbl_Case_mins[[#This Row],[EarlyStartAM]]&gt;0,tbl_Case_mins[[#This Row],[AnaesthStart]]=tbl_Case_mins[[#This Row],[ThOpenAm]])),1,0)</f>
        <v>#REF!</v>
      </c>
      <c r="BE228" s="16" t="e">
        <f>IF(AND(tbl_Case_mins[[#This Row],[Rank_AnaSt]]=tbl_Case_mins[[#This Row],[Min_RankAnaSt]],tbl_Case_mins[[#This Row],[Anaesth End]]&gt;=tbl_Case_mins[[#This Row],[ThOpenAm]],tbl_Case_mins[[#This Row],[PmCase]]=0),1,0)</f>
        <v>#REF!</v>
      </c>
      <c r="BF22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8" s="9" t="e" cm="1">
        <f t="array" ref="BH22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8" s="9" t="e">
        <f>IF(AND(tbl_Case_mins[[#This Row],[ThOpenPM]]&gt;0,tbl_Case_mins[[#This Row],[AnaesthStart]]&gt;tbl_Case_mins[[#This Row],[ThOpenPM]],tbl_Case_mins[[#This Row],[First PM Case]]=1),tbl_Case_mins[[#This Row],[AnaesthStart]]-tbl_Case_mins[[#This Row],[ThOpenPM]],0)</f>
        <v>#REF!</v>
      </c>
      <c r="BL22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8" s="9" t="e" cm="1">
        <f t="array" ref="BN22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8" s="9" t="e">
        <f>IF(AND(tbl_Case_mins[[#This Row],[ThClosePm]]&gt;0,tbl_Case_mins[[#This Row],[Anaesth End]]&gt;tbl_Case_mins[[#This Row],[ThClosePm]],tbl_Case_mins[[#This Row],[AnaesthStart]]&gt;tbl_Case_mins[[#This Row],[ThClosePm]]),tbl_Case_mins[[#This Row],[Into Recov]]-tbl_Case_mins[[#This Row],[AnaesthStart]],0)</f>
        <v>#REF!</v>
      </c>
      <c r="BP228" s="9" t="e">
        <f>IF(AND(tbl_Case_mins[[#This Row],[AnaesthStart]]&lt;tbl_Case_mins[[#This Row],[ThClosePm]],tbl_Case_mins[[#This Row],[Anaesth End]]&gt;tbl_Case_mins[[#This Row],[ThClosePm]]),tbl_Case_mins[[#This Row],[Anaesth End]]-tbl_Case_mins[[#This Row],[ThClosePm]],0)</f>
        <v>#REF!</v>
      </c>
      <c r="BQ228" s="9" t="e" cm="1">
        <f t="array" ref="BQ22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8" s="9" t="e" cm="1">
        <f t="array" ref="BR228">IF(tbl_Case_mins[[#This Row],[Rank_Adjust]]=SUMPRODUCT(-(tbl_Case_mins[Surgery Start Date]=tbl_Case_mins[[#This Row],[Surgery Start Date]]),-(tbl_Case_mins[Theatre]=tbl_Case_mins[[#This Row],[Theatre]])),INDEX(Poss_Time,MATCH(TEXT(tbl_Case_mins[[#This Row],[Surgery Start Date]],"ddd"),Day,0)),0)</f>
        <v>#REF!</v>
      </c>
      <c r="BS228" s="9" t="e">
        <f>tbl_Case_mins[[#This Row],[Core_Time]]*Util_Goal</f>
        <v>#REF!</v>
      </c>
      <c r="BT228" s="9" t="e" cm="1">
        <f t="array" ref="BT2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8" s="9" t="e" cm="1">
        <f t="array" ref="BU2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8" s="9" t="e">
        <f>IF(tbl_Case_mins[[#This Row],[Surgery End Date]]&gt;tbl_Case_mins[[#This Row],[Surgery Start Date]],tbl_Case_mins[[#This Row],[Anaesth End]]-1440,0)</f>
        <v>#REF!</v>
      </c>
      <c r="BY228" s="9" t="e">
        <f>tbl_Case_mins[[#This Row],[Total_NonCore]]-tbl_Case_mins[[#This Row],[NextDay_NonCore]]</f>
        <v>#REF!</v>
      </c>
      <c r="BZ228" s="10" t="e">
        <f>tbl_Case_mins[[#This Row],[InCoreUse]]/60</f>
        <v>#REF!</v>
      </c>
      <c r="CA228" s="10" t="e">
        <f>tbl_Case_mins[[#This Row],[Total_NonCore]]/60</f>
        <v>#REF!</v>
      </c>
      <c r="CB228" t="e" cm="1">
        <f t="array" ref="CB2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8" s="9" t="e" cm="1">
        <f t="array" ref="CC22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8" s="9" t="e" cm="1">
        <f t="array" ref="CD2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8" s="9" t="e" cm="1">
        <f t="array" ref="CE22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8" s="9" cm="1">
        <f t="array" ref="CF228">IFERROR(_xlfn.AGGREGATE(14,6,(tbl_Case_mins[Rank_AnaEnd])/((tbl_Case_mins[Surgery Start Date]=tbl_Case_mins[[#This Row],[Surgery Start Date]])*(tbl_Case_mins[Theatre]=tbl_Case_mins[[#This Row],[Theatre]])*(tbl_Case_mins[NoInCoreTime]=0)),1),-1)</f>
        <v>-1</v>
      </c>
      <c r="CG228" s="9" cm="1">
        <f t="array" ref="CG228">IFERROR(_xlfn.AGGREGATE(15,6,(tbl_Case_mins[Rank_AnaSt])/((tbl_Case_mins[Surgery Start Date]=tbl_Case_mins[[#This Row],[Surgery Start Date]])*(tbl_Case_mins[Theatre]=tbl_Case_mins[[#This Row],[Theatre]])*(tbl_Case_mins[NoInCoreTime]=0)),1),-1)</f>
        <v>-1</v>
      </c>
      <c r="CH22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8" t="e" cm="1">
        <f t="array" ref="CJ22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8" s="9" cm="1">
        <f t="array" ref="CO2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8" s="9" cm="1">
        <f t="array" ref="CP2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8" s="9" cm="1">
        <f t="array" ref="CQ228">IFERROR(IF(AND(tbl_Case_mins[[#This Row],[FirstAMCase]]=0,tbl_Case_mins[[#This Row],[Rank]]=_xlfn.AGGREGATE(14,6,(tbl_Case_mins[Rank])/((tbl_Case_mins[Surgery Start Date]=tbl_Case_mins[[#This Row],[Surgery Start Date]])*(tbl_Case_mins[Theatre]=tbl_Case_mins[[#This Row],[Theatre]])*(tbl_Case_mins[AmCase]=1)),1)),1,0),0)</f>
        <v>0</v>
      </c>
      <c r="CR228" s="9" cm="1">
        <f t="array" ref="CR22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8" s="9" t="e" cm="1">
        <f t="array" ref="CS22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8" s="9" cm="1">
        <f t="array" ref="CT228">IFERROR(IF(tbl_Case_mins[[#This Row],[Rank]]=_xlfn.AGGREGATE(15,6,(tbl_Case_mins[Rank])/((tbl_Case_mins[Surgery Start Date]=tbl_Case_mins[[#This Row],[Surgery Start Date]])*(tbl_Case_mins[Theatre]=tbl_Case_mins[[#This Row],[Theatre]])*(tbl_Case_mins[PmCase]=1)),1),1,0),0)</f>
        <v>0</v>
      </c>
      <c r="CU228">
        <f>IFERROR(#REF!,0)</f>
        <v>0</v>
      </c>
      <c r="CV228" s="9" t="e" cm="1">
        <f t="array" ref="CV22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8" s="9">
        <f>IFERROR(IF(ISBLANK(INDEX(Bay_AmClose,MATCH(1,INDEX((tbl_Case_mins[[#This Row],[Bay]]=BayNo)*(tbl_Case_mins[[#This Row],[Surgery Start Date]]=BDate),0,1),0))*1440),0,INDEX(Bay_AmClose,MATCH(1,INDEX((tbl_Case_mins[[#This Row],[Bay]]=BayNo)*(tbl_Case_mins[[#This Row],[Surgery Start Date]]=BDate),0,1),0))*1440),0)</f>
        <v>0</v>
      </c>
      <c r="CX228" s="9" cm="1">
        <f t="array" ref="CX228">IFERROR(IF(ISBLANK(INDEX(Bay_PmOpen,MATCH(1,INDEX((tbl_Case_mins[[#This Row],[Bay]]=BayNo)*(tbl_Case_mins[[#This Row],[Surgery Start Date]]=BDate),0,1),0))*1440),0,INDEX(Bay_PmOpen,MATCH(1,INDEX((tbl_Case_mins[[#This Row],[Bay]]=BayNo)*(tbl_Case_mins[[#This Row],[Surgery Start Date]]=BDate),0,1),0))*1440),0)</f>
        <v>0</v>
      </c>
      <c r="CY22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8" s="9"/>
    </row>
    <row r="229" spans="1:104" x14ac:dyDescent="0.2">
      <c r="A229">
        <v>228</v>
      </c>
      <c r="B229" t="e">
        <f>#REF!</f>
        <v>#REF!</v>
      </c>
      <c r="C229" t="e">
        <f>#REF!</f>
        <v>#REF!</v>
      </c>
      <c r="D229" t="e">
        <f>#REF!</f>
        <v>#REF!</v>
      </c>
      <c r="E229" t="e">
        <f>#REF!</f>
        <v>#REF!</v>
      </c>
      <c r="F229" t="e">
        <f>#REF!</f>
        <v>#REF!</v>
      </c>
      <c r="G229" t="e">
        <f>#REF!</f>
        <v>#REF!</v>
      </c>
      <c r="H229" t="e">
        <f>#REF!</f>
        <v>#REF!</v>
      </c>
      <c r="I229" t="e">
        <f>IF(#REF!="Case Cancelled",1,IF(#REF!="No Cases",2,0))</f>
        <v>#REF!</v>
      </c>
      <c r="J229" t="e">
        <f>#REF!</f>
        <v>#REF!</v>
      </c>
      <c r="K229" s="4" t="e">
        <f>#REF!</f>
        <v>#REF!</v>
      </c>
      <c r="L229" t="e">
        <f>"Wk "&amp;WEEKNUM(tbl_Case_mins[[#This Row],[Surgery Start Date]],21)</f>
        <v>#REF!</v>
      </c>
      <c r="M229" t="e">
        <f>TEXT(tbl_Case_mins[[#This Row],[Surgery Start Date]],"ddd")</f>
        <v>#REF!</v>
      </c>
      <c r="N229" s="9" t="e">
        <f>(#REF!-TIME(0,0,0))*1440</f>
        <v>#REF!</v>
      </c>
      <c r="O229" t="e">
        <f>IF(AND(ROUND((#REF!-TIME(0,0,0))*1440,0)&gt;0,ROUND((#REF!-TIME(0,0,0))*1440,0)&lt;tbl_Case_mins[[#This Row],[Patient Called]],tbl_Case_mins[[#This Row],[Surgery End Date]]&gt;tbl_Case_mins[[#This Row],[Surgery Start Date]]),ROUND((#REF!-TIME(0,0,0))*1440,0)+1440,ROUND((#REF!-TIME(0,0,0))*1440,0))</f>
        <v>#REF!</v>
      </c>
      <c r="P229" s="9" t="e">
        <f>IF(AND(ROUND((#REF!-TIME(0,0,0))*1440,0)&gt;0,ROUND((#REF!-TIME(0,0,0))*1440,0)&lt;tbl_Case_mins[[#This Row],[Arrival]],tbl_Case_mins[[#This Row],[Surgery End Date]]&gt;tbl_Case_mins[[#This Row],[Surgery Start Date]]),ROUND((#REF!-TIME(0,0,0))*1440,0)+1440,ROUND((#REF!-TIME(0,0,0))*1440,0))</f>
        <v>#REF!</v>
      </c>
      <c r="Q229" s="9" t="e">
        <f>IF(AND(ROUND((#REF!-TIME(0,0,0))*1440,0)&gt;0,ROUND((#REF!-TIME(0,0,0))*1440,0)&lt;tbl_Case_mins[[#This Row],[Into Th or AR]],tbl_Case_mins[[#This Row],[Surgery End Date]]&gt;tbl_Case_mins[[#This Row],[Surgery Start Date]]),ROUND((#REF!-TIME(0,0,0))*1440,0)+1440,ROUND((#REF!-TIME(0,0,0))*1440,0))</f>
        <v>#REF!</v>
      </c>
      <c r="R229" s="9" t="e">
        <f>IF(AND(ROUND((#REF!-TIME(0,0,0))*1440,0)&gt;0,ROUND((#REF!-TIME(0,0,0))*1440,0)&lt;tbl_Case_mins[[#This Row],[AnaesthStart]],tbl_Case_mins[[#This Row],[Surgery End Date]]&gt;tbl_Case_mins[[#This Row],[Surgery Start Date]]),ROUND((#REF!-TIME(0,0,0))*1440,0)+1440,ROUND((#REF!-TIME(0,0,0))*1440,0))</f>
        <v>#REF!</v>
      </c>
      <c r="S229" s="9" t="e">
        <f>IF(AND(ROUND((#REF!-TIME(0,0,0))*1440,0),ROUND((#REF!-TIME(0,0,0))*1440,0)&lt;tbl_Case_mins[[#This Row],[Surgery Start]],tbl_Case_mins[[#This Row],[Surgery End Date]]&gt;tbl_Case_mins[[#This Row],[Surgery Start Date]]),ROUND((#REF!-TIME(0,0,0))*1440,0)+1440,ROUND((#REF!-TIME(0,0,0))*1440,0))</f>
        <v>#REF!</v>
      </c>
      <c r="T229" s="9" t="e">
        <f>IF(AND(ROUND((#REF!-TIME(0,0,0))*1440,0)&gt;0,ROUND((#REF!-TIME(0,0,0))*1440,0)&lt;tbl_Case_mins[[#This Row],[Surgery Finish]],tbl_Case_mins[[#This Row],[Surgery End Date]]&gt;tbl_Case_mins[[#This Row],[Surgery Start Date]]),ROUND((#REF!-TIME(0,0,0))*1440,0)+1440,ROUND((#REF!-TIME(0,0,0))*1440,0))</f>
        <v>#REF!</v>
      </c>
      <c r="U229" s="9" t="e">
        <f>IF(AND(ROUND((#REF!-TIME(0,0,0))*1440,0)&gt;0,ROUND((#REF!-TIME(0,0,0))*1440,0)&lt;tbl_Case_mins[[#This Row],[Anaesth End]],tbl_Case_mins[[#This Row],[Surgery End Date]]&gt;tbl_Case_mins[[#This Row],[Surgery Start Date]]),ROUND((#REF!-TIME(0,0,0))*1440,0)+1440,ROUND((#REF!-TIME(0,0,0))*1440,0))</f>
        <v>#REF!</v>
      </c>
      <c r="V229" s="9" t="e">
        <f>IF(AND(ROUND((#REF!-TIME(0,0,0))*1440,0)&gt;0,ROUND((#REF!-TIME(0,0,0))*1440,0)&lt;tbl_Case_mins[[#This Row],[Into Recov]],tbl_Case_mins[[#This Row],[Surgery End Date]]&gt;tbl_Case_mins[[#This Row],[Surgery Start Date]]),ROUND((#REF!-TIME(0,0,0))*1440,0)+1440,ROUND((#REF!-TIME(0,0,0))*1440,0))</f>
        <v>#REF!</v>
      </c>
      <c r="W229" s="9" t="e">
        <f>IF(AND(ROUND((#REF!-TIME(0,0,0))*1440,0)&gt;0,ROUND((#REF!-TIME(0,0,0))*1440,0)&lt;tbl_Case_mins[[#This Row],[Ward Called]],tbl_Case_mins[[#This Row],[Surgery End Date]]&gt;tbl_Case_mins[[#This Row],[Surgery Start Date]]),ROUND((#REF!-TIME(0,0,0))*1440,0)+1440,ROUND((#REF!-TIME(0,0,0))*1440,0))</f>
        <v>#REF!</v>
      </c>
      <c r="X229" s="4" t="e">
        <f>IF(ISBLANK(#REF!),tbl_Case_mins[[#This Row],[Surgery Start Date]],#REF!)</f>
        <v>#REF!</v>
      </c>
      <c r="Y229">
        <f>IFERROR(IF(VLOOKUP(tbl_Case_mins[[#This Row],[Theatre]],'Mng Theatres'!$C$7:$G$12,3,FALSE)="Yes","Yes","No"),0)</f>
        <v>0</v>
      </c>
      <c r="Z229" s="9" t="e" cm="1">
        <f t="array" ref="Z22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29" s="9" t="e" cm="1">
        <f t="array" ref="AA22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2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29" s="9" t="e">
        <f>IF(tbl_Case_mins[[#This Row],[Case Type]]="Unsch",1,0)</f>
        <v>#REF!</v>
      </c>
      <c r="AD229" s="9" t="e">
        <f>IF(tbl_Case_mins[[#This Row],[Case Type]]="Sch",1,0)</f>
        <v>#REF!</v>
      </c>
      <c r="AE22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29" s="9">
        <f>IFERROR(IF(ISBLANK(INDEX(Am_Close,MATCH(1,INDEX((tbl_Case_mins[[#This Row],[Theatre]]=Theatre_No)*(tbl_Case_mins[[#This Row],[Surgery Start Date]]=Date),0,1),0))*1440),0,INDEX(Am_Close,MATCH(1,INDEX((tbl_Case_mins[[#This Row],[Theatre]]=Theatre_No)*(tbl_Case_mins[[#This Row],[Surgery Start Date]]=Date),0,1),0))*1440),0)</f>
        <v>0</v>
      </c>
      <c r="AG229" s="9">
        <f>IFERROR(IF(ISBLANK(INDEX(PM_Open,MATCH(1,INDEX((tbl_Case_mins[[#This Row],[Theatre]]=Theatre_No)*(tbl_Case_mins[[#This Row],[Surgery Start Date]]=Date),0,1),0))*1440),0,INDEX(PM_Open,MATCH(1,INDEX((tbl_Case_mins[[#This Row],[Theatre]]=Theatre_No)*(tbl_Case_mins[[#This Row],[Surgery Start Date]]=Date),0,1),0))*1440),0)</f>
        <v>0</v>
      </c>
      <c r="AH22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29" s="9" t="e">
        <f>IF(tbl_Case_mins[[#This Row],[ThOpenAm]]=0,tbl_Case_mins[[#This Row],[ThOpenPM]],tbl_Case_mins[[#This Row],[ThOpenAm]])</f>
        <v>#REF!</v>
      </c>
      <c r="AJ229" s="9" t="e">
        <f>IF(tbl_Case_mins[[#This Row],[ThCloseAm]]&gt;0,IF(tbl_Case_mins[[#This Row],[ThOpenPM]]&gt;0,tbl_Case_mins[[#This Row],[ThClosePm]],tbl_Case_mins[[#This Row],[ThCloseAm]]),tbl_Case_mins[[#This Row],[ThClosePm]])</f>
        <v>#REF!</v>
      </c>
      <c r="AK229" s="9" t="e">
        <f>IF(tbl_Case_mins[[#This Row],[TOT]]&gt;0,1,0)</f>
        <v>#REF!</v>
      </c>
      <c r="AL22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29" s="9" t="e">
        <f>IF(AND(tbl_Case_mins[[#This Row],[Surgery Status]]&lt;&gt;2,tbl_Case_mins[[#This Row],[InCoreCase]]=0,tbl_Case_mins[[#This Row],[CancelledCase]]=0),1,0)</f>
        <v>#REF!</v>
      </c>
      <c r="AN229" s="9" t="e">
        <f>IF(tbl_Case_mins[[#This Row],[Surgery Status]]=1,1,0)</f>
        <v>#REF!</v>
      </c>
      <c r="AO22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29" s="9" t="e">
        <f>IF(AND(tbl_Case_mins[[#This Row],[NonCoreCase]]=1,tbl_Case_mins[[#This Row],[NoInCoreTime]]=0),1,0)</f>
        <v>#REF!</v>
      </c>
      <c r="AQ229" s="9" t="e">
        <f>IF(tbl_Case_mins[[#This Row],[Rank_AnaEnd]]&lt;tbl_Case_mins[[#This Row],[Rank_AnaSt]],1,0)</f>
        <v>#REF!</v>
      </c>
      <c r="AR229" s="9" t="e">
        <f>IF(AND(tbl_Case_mins[[#This Row],[InCoreCase]]=1,tbl_Case_mins[[#This Row],[Sch]]=1),1,0)</f>
        <v>#REF!</v>
      </c>
      <c r="AS229" s="9" t="e">
        <f>IF(AND(tbl_Case_mins[[#This Row],[InCoreCase]]=1,tbl_Case_mins[[#This Row],[Unsch]]=1),1,0)</f>
        <v>#REF!</v>
      </c>
      <c r="AT22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2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2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29" s="9" t="e">
        <f>IF(tbl_Case_mins[[#This Row],[Surgery Status]]=0,(tbl_Case_mins[[#This Row],[Anaesth End]]-tbl_Case_mins[[#This Row],[AnaesthStart]]),0)</f>
        <v>#REF!</v>
      </c>
      <c r="AX229" s="9" t="e">
        <f>IF(tbl_Case_mins[[#This Row],[Surgery Status]]=0,(tbl_Case_mins[[#This Row],[Surgery Finish]]-tbl_Case_mins[[#This Row],[Surgery Start]]),0)</f>
        <v>#REF!</v>
      </c>
      <c r="AY229" s="9" t="e">
        <f>tbl_Case_mins[[#This Row],[Surgery Start]]-tbl_Case_mins[[#This Row],[AnaesthStart]]</f>
        <v>#REF!</v>
      </c>
      <c r="AZ229" s="9" t="e">
        <f>tbl_Case_mins[[#This Row],[Anaesth End]]-tbl_Case_mins[[#This Row],[Surgery Finish]]</f>
        <v>#REF!</v>
      </c>
      <c r="BA22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2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29" s="16" cm="1">
        <f t="array" ref="BC22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29" s="16" t="e">
        <f>IF(AND(tbl_Case_mins[[#This Row],[FirstAMCase]]=1,tbl_Case_mins[[#This Row],[CancelledCase]]=0,OR(tbl_Case_mins[[#This Row],[EarlyStartAM]]&gt;0,tbl_Case_mins[[#This Row],[AnaesthStart]]=tbl_Case_mins[[#This Row],[ThOpenAm]])),1,0)</f>
        <v>#REF!</v>
      </c>
      <c r="BE229" s="16" t="e">
        <f>IF(AND(tbl_Case_mins[[#This Row],[Rank_AnaSt]]=tbl_Case_mins[[#This Row],[Min_RankAnaSt]],tbl_Case_mins[[#This Row],[Anaesth End]]&gt;=tbl_Case_mins[[#This Row],[ThOpenAm]],tbl_Case_mins[[#This Row],[PmCase]]=0),1,0)</f>
        <v>#REF!</v>
      </c>
      <c r="BF22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2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29" s="9" t="e" cm="1">
        <f t="array" ref="BH22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2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2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29" s="9" t="e">
        <f>IF(AND(tbl_Case_mins[[#This Row],[ThOpenPM]]&gt;0,tbl_Case_mins[[#This Row],[AnaesthStart]]&gt;tbl_Case_mins[[#This Row],[ThOpenPM]],tbl_Case_mins[[#This Row],[First PM Case]]=1),tbl_Case_mins[[#This Row],[AnaesthStart]]-tbl_Case_mins[[#This Row],[ThOpenPM]],0)</f>
        <v>#REF!</v>
      </c>
      <c r="BL22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2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29" s="9" t="e" cm="1">
        <f t="array" ref="BN22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29" s="9" t="e">
        <f>IF(AND(tbl_Case_mins[[#This Row],[ThClosePm]]&gt;0,tbl_Case_mins[[#This Row],[Anaesth End]]&gt;tbl_Case_mins[[#This Row],[ThClosePm]],tbl_Case_mins[[#This Row],[AnaesthStart]]&gt;tbl_Case_mins[[#This Row],[ThClosePm]]),tbl_Case_mins[[#This Row],[Into Recov]]-tbl_Case_mins[[#This Row],[AnaesthStart]],0)</f>
        <v>#REF!</v>
      </c>
      <c r="BP229" s="9" t="e">
        <f>IF(AND(tbl_Case_mins[[#This Row],[AnaesthStart]]&lt;tbl_Case_mins[[#This Row],[ThClosePm]],tbl_Case_mins[[#This Row],[Anaesth End]]&gt;tbl_Case_mins[[#This Row],[ThClosePm]]),tbl_Case_mins[[#This Row],[Anaesth End]]-tbl_Case_mins[[#This Row],[ThClosePm]],0)</f>
        <v>#REF!</v>
      </c>
      <c r="BQ229" s="9" t="e" cm="1">
        <f t="array" ref="BQ22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29" s="9" t="e" cm="1">
        <f t="array" ref="BR229">IF(tbl_Case_mins[[#This Row],[Rank_Adjust]]=SUMPRODUCT(-(tbl_Case_mins[Surgery Start Date]=tbl_Case_mins[[#This Row],[Surgery Start Date]]),-(tbl_Case_mins[Theatre]=tbl_Case_mins[[#This Row],[Theatre]])),INDEX(Poss_Time,MATCH(TEXT(tbl_Case_mins[[#This Row],[Surgery Start Date]],"ddd"),Day,0)),0)</f>
        <v>#REF!</v>
      </c>
      <c r="BS229" s="9" t="e">
        <f>tbl_Case_mins[[#This Row],[Core_Time]]*Util_Goal</f>
        <v>#REF!</v>
      </c>
      <c r="BT229" s="9" t="e" cm="1">
        <f t="array" ref="BT2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29" s="9" t="e" cm="1">
        <f t="array" ref="BU2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2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2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29" s="9" t="e">
        <f>IF(tbl_Case_mins[[#This Row],[Surgery End Date]]&gt;tbl_Case_mins[[#This Row],[Surgery Start Date]],tbl_Case_mins[[#This Row],[Anaesth End]]-1440,0)</f>
        <v>#REF!</v>
      </c>
      <c r="BY229" s="9" t="e">
        <f>tbl_Case_mins[[#This Row],[Total_NonCore]]-tbl_Case_mins[[#This Row],[NextDay_NonCore]]</f>
        <v>#REF!</v>
      </c>
      <c r="BZ229" s="10" t="e">
        <f>tbl_Case_mins[[#This Row],[InCoreUse]]/60</f>
        <v>#REF!</v>
      </c>
      <c r="CA229" s="10" t="e">
        <f>tbl_Case_mins[[#This Row],[Total_NonCore]]/60</f>
        <v>#REF!</v>
      </c>
      <c r="CB229" t="e" cm="1">
        <f t="array" ref="CB2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29" s="9" t="e" cm="1">
        <f t="array" ref="CC22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29" s="9" t="e" cm="1">
        <f t="array" ref="CD2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29" s="9" t="e" cm="1">
        <f t="array" ref="CE22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29" s="9" cm="1">
        <f t="array" ref="CF229">IFERROR(_xlfn.AGGREGATE(14,6,(tbl_Case_mins[Rank_AnaEnd])/((tbl_Case_mins[Surgery Start Date]=tbl_Case_mins[[#This Row],[Surgery Start Date]])*(tbl_Case_mins[Theatre]=tbl_Case_mins[[#This Row],[Theatre]])*(tbl_Case_mins[NoInCoreTime]=0)),1),-1)</f>
        <v>-1</v>
      </c>
      <c r="CG229" s="9" cm="1">
        <f t="array" ref="CG229">IFERROR(_xlfn.AGGREGATE(15,6,(tbl_Case_mins[Rank_AnaSt])/((tbl_Case_mins[Surgery Start Date]=tbl_Case_mins[[#This Row],[Surgery Start Date]])*(tbl_Case_mins[Theatre]=tbl_Case_mins[[#This Row],[Theatre]])*(tbl_Case_mins[NoInCoreTime]=0)),1),-1)</f>
        <v>-1</v>
      </c>
      <c r="CH22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2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29" t="e" cm="1">
        <f t="array" ref="CJ22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2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2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29" s="9" cm="1">
        <f t="array" ref="CO2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29" s="9" cm="1">
        <f t="array" ref="CP2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29" s="9" cm="1">
        <f t="array" ref="CQ229">IFERROR(IF(AND(tbl_Case_mins[[#This Row],[FirstAMCase]]=0,tbl_Case_mins[[#This Row],[Rank]]=_xlfn.AGGREGATE(14,6,(tbl_Case_mins[Rank])/((tbl_Case_mins[Surgery Start Date]=tbl_Case_mins[[#This Row],[Surgery Start Date]])*(tbl_Case_mins[Theatre]=tbl_Case_mins[[#This Row],[Theatre]])*(tbl_Case_mins[AmCase]=1)),1)),1,0),0)</f>
        <v>0</v>
      </c>
      <c r="CR229" s="9" cm="1">
        <f t="array" ref="CR22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29" s="9" t="e" cm="1">
        <f t="array" ref="CS22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29" s="9" cm="1">
        <f t="array" ref="CT229">IFERROR(IF(tbl_Case_mins[[#This Row],[Rank]]=_xlfn.AGGREGATE(15,6,(tbl_Case_mins[Rank])/((tbl_Case_mins[Surgery Start Date]=tbl_Case_mins[[#This Row],[Surgery Start Date]])*(tbl_Case_mins[Theatre]=tbl_Case_mins[[#This Row],[Theatre]])*(tbl_Case_mins[PmCase]=1)),1),1,0),0)</f>
        <v>0</v>
      </c>
      <c r="CU229">
        <f>IFERROR(#REF!,0)</f>
        <v>0</v>
      </c>
      <c r="CV229" s="9" t="e" cm="1">
        <f t="array" ref="CV22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29" s="9">
        <f>IFERROR(IF(ISBLANK(INDEX(Bay_AmClose,MATCH(1,INDEX((tbl_Case_mins[[#This Row],[Bay]]=BayNo)*(tbl_Case_mins[[#This Row],[Surgery Start Date]]=BDate),0,1),0))*1440),0,INDEX(Bay_AmClose,MATCH(1,INDEX((tbl_Case_mins[[#This Row],[Bay]]=BayNo)*(tbl_Case_mins[[#This Row],[Surgery Start Date]]=BDate),0,1),0))*1440),0)</f>
        <v>0</v>
      </c>
      <c r="CX229" s="9" cm="1">
        <f t="array" ref="CX229">IFERROR(IF(ISBLANK(INDEX(Bay_PmOpen,MATCH(1,INDEX((tbl_Case_mins[[#This Row],[Bay]]=BayNo)*(tbl_Case_mins[[#This Row],[Surgery Start Date]]=BDate),0,1),0))*1440),0,INDEX(Bay_PmOpen,MATCH(1,INDEX((tbl_Case_mins[[#This Row],[Bay]]=BayNo)*(tbl_Case_mins[[#This Row],[Surgery Start Date]]=BDate),0,1),0))*1440),0)</f>
        <v>0</v>
      </c>
      <c r="CY22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29" s="9"/>
    </row>
    <row r="230" spans="1:104" x14ac:dyDescent="0.2">
      <c r="A230">
        <v>229</v>
      </c>
      <c r="B230" t="e">
        <f>#REF!</f>
        <v>#REF!</v>
      </c>
      <c r="C230" t="e">
        <f>#REF!</f>
        <v>#REF!</v>
      </c>
      <c r="D230" t="e">
        <f>#REF!</f>
        <v>#REF!</v>
      </c>
      <c r="E230" t="e">
        <f>#REF!</f>
        <v>#REF!</v>
      </c>
      <c r="F230" t="e">
        <f>#REF!</f>
        <v>#REF!</v>
      </c>
      <c r="G230" t="e">
        <f>#REF!</f>
        <v>#REF!</v>
      </c>
      <c r="H230" t="e">
        <f>#REF!</f>
        <v>#REF!</v>
      </c>
      <c r="I230" t="e">
        <f>IF(#REF!="Case Cancelled",1,IF(#REF!="No Cases",2,0))</f>
        <v>#REF!</v>
      </c>
      <c r="J230" t="e">
        <f>#REF!</f>
        <v>#REF!</v>
      </c>
      <c r="K230" s="4" t="e">
        <f>#REF!</f>
        <v>#REF!</v>
      </c>
      <c r="L230" t="e">
        <f>"Wk "&amp;WEEKNUM(tbl_Case_mins[[#This Row],[Surgery Start Date]],21)</f>
        <v>#REF!</v>
      </c>
      <c r="M230" t="e">
        <f>TEXT(tbl_Case_mins[[#This Row],[Surgery Start Date]],"ddd")</f>
        <v>#REF!</v>
      </c>
      <c r="N230" s="9" t="e">
        <f>(#REF!-TIME(0,0,0))*1440</f>
        <v>#REF!</v>
      </c>
      <c r="O230" t="e">
        <f>IF(AND(ROUND((#REF!-TIME(0,0,0))*1440,0)&gt;0,ROUND((#REF!-TIME(0,0,0))*1440,0)&lt;tbl_Case_mins[[#This Row],[Patient Called]],tbl_Case_mins[[#This Row],[Surgery End Date]]&gt;tbl_Case_mins[[#This Row],[Surgery Start Date]]),ROUND((#REF!-TIME(0,0,0))*1440,0)+1440,ROUND((#REF!-TIME(0,0,0))*1440,0))</f>
        <v>#REF!</v>
      </c>
      <c r="P230" s="9" t="e">
        <f>IF(AND(ROUND((#REF!-TIME(0,0,0))*1440,0)&gt;0,ROUND((#REF!-TIME(0,0,0))*1440,0)&lt;tbl_Case_mins[[#This Row],[Arrival]],tbl_Case_mins[[#This Row],[Surgery End Date]]&gt;tbl_Case_mins[[#This Row],[Surgery Start Date]]),ROUND((#REF!-TIME(0,0,0))*1440,0)+1440,ROUND((#REF!-TIME(0,0,0))*1440,0))</f>
        <v>#REF!</v>
      </c>
      <c r="Q230" s="9" t="e">
        <f>IF(AND(ROUND((#REF!-TIME(0,0,0))*1440,0)&gt;0,ROUND((#REF!-TIME(0,0,0))*1440,0)&lt;tbl_Case_mins[[#This Row],[Into Th or AR]],tbl_Case_mins[[#This Row],[Surgery End Date]]&gt;tbl_Case_mins[[#This Row],[Surgery Start Date]]),ROUND((#REF!-TIME(0,0,0))*1440,0)+1440,ROUND((#REF!-TIME(0,0,0))*1440,0))</f>
        <v>#REF!</v>
      </c>
      <c r="R230" s="9" t="e">
        <f>IF(AND(ROUND((#REF!-TIME(0,0,0))*1440,0)&gt;0,ROUND((#REF!-TIME(0,0,0))*1440,0)&lt;tbl_Case_mins[[#This Row],[AnaesthStart]],tbl_Case_mins[[#This Row],[Surgery End Date]]&gt;tbl_Case_mins[[#This Row],[Surgery Start Date]]),ROUND((#REF!-TIME(0,0,0))*1440,0)+1440,ROUND((#REF!-TIME(0,0,0))*1440,0))</f>
        <v>#REF!</v>
      </c>
      <c r="S230" s="9" t="e">
        <f>IF(AND(ROUND((#REF!-TIME(0,0,0))*1440,0),ROUND((#REF!-TIME(0,0,0))*1440,0)&lt;tbl_Case_mins[[#This Row],[Surgery Start]],tbl_Case_mins[[#This Row],[Surgery End Date]]&gt;tbl_Case_mins[[#This Row],[Surgery Start Date]]),ROUND((#REF!-TIME(0,0,0))*1440,0)+1440,ROUND((#REF!-TIME(0,0,0))*1440,0))</f>
        <v>#REF!</v>
      </c>
      <c r="T230" s="9" t="e">
        <f>IF(AND(ROUND((#REF!-TIME(0,0,0))*1440,0)&gt;0,ROUND((#REF!-TIME(0,0,0))*1440,0)&lt;tbl_Case_mins[[#This Row],[Surgery Finish]],tbl_Case_mins[[#This Row],[Surgery End Date]]&gt;tbl_Case_mins[[#This Row],[Surgery Start Date]]),ROUND((#REF!-TIME(0,0,0))*1440,0)+1440,ROUND((#REF!-TIME(0,0,0))*1440,0))</f>
        <v>#REF!</v>
      </c>
      <c r="U230" s="9" t="e">
        <f>IF(AND(ROUND((#REF!-TIME(0,0,0))*1440,0)&gt;0,ROUND((#REF!-TIME(0,0,0))*1440,0)&lt;tbl_Case_mins[[#This Row],[Anaesth End]],tbl_Case_mins[[#This Row],[Surgery End Date]]&gt;tbl_Case_mins[[#This Row],[Surgery Start Date]]),ROUND((#REF!-TIME(0,0,0))*1440,0)+1440,ROUND((#REF!-TIME(0,0,0))*1440,0))</f>
        <v>#REF!</v>
      </c>
      <c r="V230" s="9" t="e">
        <f>IF(AND(ROUND((#REF!-TIME(0,0,0))*1440,0)&gt;0,ROUND((#REF!-TIME(0,0,0))*1440,0)&lt;tbl_Case_mins[[#This Row],[Into Recov]],tbl_Case_mins[[#This Row],[Surgery End Date]]&gt;tbl_Case_mins[[#This Row],[Surgery Start Date]]),ROUND((#REF!-TIME(0,0,0))*1440,0)+1440,ROUND((#REF!-TIME(0,0,0))*1440,0))</f>
        <v>#REF!</v>
      </c>
      <c r="W230" s="9" t="e">
        <f>IF(AND(ROUND((#REF!-TIME(0,0,0))*1440,0)&gt;0,ROUND((#REF!-TIME(0,0,0))*1440,0)&lt;tbl_Case_mins[[#This Row],[Ward Called]],tbl_Case_mins[[#This Row],[Surgery End Date]]&gt;tbl_Case_mins[[#This Row],[Surgery Start Date]]),ROUND((#REF!-TIME(0,0,0))*1440,0)+1440,ROUND((#REF!-TIME(0,0,0))*1440,0))</f>
        <v>#REF!</v>
      </c>
      <c r="X230" s="4" t="e">
        <f>IF(ISBLANK(#REF!),tbl_Case_mins[[#This Row],[Surgery Start Date]],#REF!)</f>
        <v>#REF!</v>
      </c>
      <c r="Y230">
        <f>IFERROR(IF(VLOOKUP(tbl_Case_mins[[#This Row],[Theatre]],'Mng Theatres'!$C$7:$G$12,3,FALSE)="Yes","Yes","No"),0)</f>
        <v>0</v>
      </c>
      <c r="Z230" s="9" t="e" cm="1">
        <f t="array" ref="Z23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0" s="9" t="e" cm="1">
        <f t="array" ref="AA23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0" s="9" t="e">
        <f>IF(tbl_Case_mins[[#This Row],[Case Type]]="Unsch",1,0)</f>
        <v>#REF!</v>
      </c>
      <c r="AD230" s="9" t="e">
        <f>IF(tbl_Case_mins[[#This Row],[Case Type]]="Sch",1,0)</f>
        <v>#REF!</v>
      </c>
      <c r="AE23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0" s="9">
        <f>IFERROR(IF(ISBLANK(INDEX(Am_Close,MATCH(1,INDEX((tbl_Case_mins[[#This Row],[Theatre]]=Theatre_No)*(tbl_Case_mins[[#This Row],[Surgery Start Date]]=Date),0,1),0))*1440),0,INDEX(Am_Close,MATCH(1,INDEX((tbl_Case_mins[[#This Row],[Theatre]]=Theatre_No)*(tbl_Case_mins[[#This Row],[Surgery Start Date]]=Date),0,1),0))*1440),0)</f>
        <v>0</v>
      </c>
      <c r="AG230" s="9">
        <f>IFERROR(IF(ISBLANK(INDEX(PM_Open,MATCH(1,INDEX((tbl_Case_mins[[#This Row],[Theatre]]=Theatre_No)*(tbl_Case_mins[[#This Row],[Surgery Start Date]]=Date),0,1),0))*1440),0,INDEX(PM_Open,MATCH(1,INDEX((tbl_Case_mins[[#This Row],[Theatre]]=Theatre_No)*(tbl_Case_mins[[#This Row],[Surgery Start Date]]=Date),0,1),0))*1440),0)</f>
        <v>0</v>
      </c>
      <c r="AH23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0" s="9" t="e">
        <f>IF(tbl_Case_mins[[#This Row],[ThOpenAm]]=0,tbl_Case_mins[[#This Row],[ThOpenPM]],tbl_Case_mins[[#This Row],[ThOpenAm]])</f>
        <v>#REF!</v>
      </c>
      <c r="AJ230" s="9" t="e">
        <f>IF(tbl_Case_mins[[#This Row],[ThCloseAm]]&gt;0,IF(tbl_Case_mins[[#This Row],[ThOpenPM]]&gt;0,tbl_Case_mins[[#This Row],[ThClosePm]],tbl_Case_mins[[#This Row],[ThCloseAm]]),tbl_Case_mins[[#This Row],[ThClosePm]])</f>
        <v>#REF!</v>
      </c>
      <c r="AK230" s="9" t="e">
        <f>IF(tbl_Case_mins[[#This Row],[TOT]]&gt;0,1,0)</f>
        <v>#REF!</v>
      </c>
      <c r="AL23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0" s="9" t="e">
        <f>IF(AND(tbl_Case_mins[[#This Row],[Surgery Status]]&lt;&gt;2,tbl_Case_mins[[#This Row],[InCoreCase]]=0,tbl_Case_mins[[#This Row],[CancelledCase]]=0),1,0)</f>
        <v>#REF!</v>
      </c>
      <c r="AN230" s="9" t="e">
        <f>IF(tbl_Case_mins[[#This Row],[Surgery Status]]=1,1,0)</f>
        <v>#REF!</v>
      </c>
      <c r="AO23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0" s="9" t="e">
        <f>IF(AND(tbl_Case_mins[[#This Row],[NonCoreCase]]=1,tbl_Case_mins[[#This Row],[NoInCoreTime]]=0),1,0)</f>
        <v>#REF!</v>
      </c>
      <c r="AQ230" s="9" t="e">
        <f>IF(tbl_Case_mins[[#This Row],[Rank_AnaEnd]]&lt;tbl_Case_mins[[#This Row],[Rank_AnaSt]],1,0)</f>
        <v>#REF!</v>
      </c>
      <c r="AR230" s="9" t="e">
        <f>IF(AND(tbl_Case_mins[[#This Row],[InCoreCase]]=1,tbl_Case_mins[[#This Row],[Sch]]=1),1,0)</f>
        <v>#REF!</v>
      </c>
      <c r="AS230" s="9" t="e">
        <f>IF(AND(tbl_Case_mins[[#This Row],[InCoreCase]]=1,tbl_Case_mins[[#This Row],[Unsch]]=1),1,0)</f>
        <v>#REF!</v>
      </c>
      <c r="AT23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0" s="9" t="e">
        <f>IF(tbl_Case_mins[[#This Row],[Surgery Status]]=0,(tbl_Case_mins[[#This Row],[Anaesth End]]-tbl_Case_mins[[#This Row],[AnaesthStart]]),0)</f>
        <v>#REF!</v>
      </c>
      <c r="AX230" s="9" t="e">
        <f>IF(tbl_Case_mins[[#This Row],[Surgery Status]]=0,(tbl_Case_mins[[#This Row],[Surgery Finish]]-tbl_Case_mins[[#This Row],[Surgery Start]]),0)</f>
        <v>#REF!</v>
      </c>
      <c r="AY230" s="9" t="e">
        <f>tbl_Case_mins[[#This Row],[Surgery Start]]-tbl_Case_mins[[#This Row],[AnaesthStart]]</f>
        <v>#REF!</v>
      </c>
      <c r="AZ230" s="9" t="e">
        <f>tbl_Case_mins[[#This Row],[Anaesth End]]-tbl_Case_mins[[#This Row],[Surgery Finish]]</f>
        <v>#REF!</v>
      </c>
      <c r="BA23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0" s="16" cm="1">
        <f t="array" ref="BC23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0" s="16" t="e">
        <f>IF(AND(tbl_Case_mins[[#This Row],[FirstAMCase]]=1,tbl_Case_mins[[#This Row],[CancelledCase]]=0,OR(tbl_Case_mins[[#This Row],[EarlyStartAM]]&gt;0,tbl_Case_mins[[#This Row],[AnaesthStart]]=tbl_Case_mins[[#This Row],[ThOpenAm]])),1,0)</f>
        <v>#REF!</v>
      </c>
      <c r="BE230" s="16" t="e">
        <f>IF(AND(tbl_Case_mins[[#This Row],[Rank_AnaSt]]=tbl_Case_mins[[#This Row],[Min_RankAnaSt]],tbl_Case_mins[[#This Row],[Anaesth End]]&gt;=tbl_Case_mins[[#This Row],[ThOpenAm]],tbl_Case_mins[[#This Row],[PmCase]]=0),1,0)</f>
        <v>#REF!</v>
      </c>
      <c r="BF23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0" s="9" t="e" cm="1">
        <f t="array" ref="BH23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0" s="9" t="e">
        <f>IF(AND(tbl_Case_mins[[#This Row],[ThOpenPM]]&gt;0,tbl_Case_mins[[#This Row],[AnaesthStart]]&gt;tbl_Case_mins[[#This Row],[ThOpenPM]],tbl_Case_mins[[#This Row],[First PM Case]]=1),tbl_Case_mins[[#This Row],[AnaesthStart]]-tbl_Case_mins[[#This Row],[ThOpenPM]],0)</f>
        <v>#REF!</v>
      </c>
      <c r="BL23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0" s="9" t="e" cm="1">
        <f t="array" ref="BN23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0" s="9" t="e">
        <f>IF(AND(tbl_Case_mins[[#This Row],[ThClosePm]]&gt;0,tbl_Case_mins[[#This Row],[Anaesth End]]&gt;tbl_Case_mins[[#This Row],[ThClosePm]],tbl_Case_mins[[#This Row],[AnaesthStart]]&gt;tbl_Case_mins[[#This Row],[ThClosePm]]),tbl_Case_mins[[#This Row],[Into Recov]]-tbl_Case_mins[[#This Row],[AnaesthStart]],0)</f>
        <v>#REF!</v>
      </c>
      <c r="BP230" s="9" t="e">
        <f>IF(AND(tbl_Case_mins[[#This Row],[AnaesthStart]]&lt;tbl_Case_mins[[#This Row],[ThClosePm]],tbl_Case_mins[[#This Row],[Anaesth End]]&gt;tbl_Case_mins[[#This Row],[ThClosePm]]),tbl_Case_mins[[#This Row],[Anaesth End]]-tbl_Case_mins[[#This Row],[ThClosePm]],0)</f>
        <v>#REF!</v>
      </c>
      <c r="BQ230" s="9" t="e" cm="1">
        <f t="array" ref="BQ23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0" s="9" t="e" cm="1">
        <f t="array" ref="BR230">IF(tbl_Case_mins[[#This Row],[Rank_Adjust]]=SUMPRODUCT(-(tbl_Case_mins[Surgery Start Date]=tbl_Case_mins[[#This Row],[Surgery Start Date]]),-(tbl_Case_mins[Theatre]=tbl_Case_mins[[#This Row],[Theatre]])),INDEX(Poss_Time,MATCH(TEXT(tbl_Case_mins[[#This Row],[Surgery Start Date]],"ddd"),Day,0)),0)</f>
        <v>#REF!</v>
      </c>
      <c r="BS230" s="9" t="e">
        <f>tbl_Case_mins[[#This Row],[Core_Time]]*Util_Goal</f>
        <v>#REF!</v>
      </c>
      <c r="BT230" s="9" t="e" cm="1">
        <f t="array" ref="BT2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0" s="9" t="e" cm="1">
        <f t="array" ref="BU2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0" s="9" t="e">
        <f>IF(tbl_Case_mins[[#This Row],[Surgery End Date]]&gt;tbl_Case_mins[[#This Row],[Surgery Start Date]],tbl_Case_mins[[#This Row],[Anaesth End]]-1440,0)</f>
        <v>#REF!</v>
      </c>
      <c r="BY230" s="9" t="e">
        <f>tbl_Case_mins[[#This Row],[Total_NonCore]]-tbl_Case_mins[[#This Row],[NextDay_NonCore]]</f>
        <v>#REF!</v>
      </c>
      <c r="BZ230" s="10" t="e">
        <f>tbl_Case_mins[[#This Row],[InCoreUse]]/60</f>
        <v>#REF!</v>
      </c>
      <c r="CA230" s="10" t="e">
        <f>tbl_Case_mins[[#This Row],[Total_NonCore]]/60</f>
        <v>#REF!</v>
      </c>
      <c r="CB230" t="e" cm="1">
        <f t="array" ref="CB2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0" s="9" t="e" cm="1">
        <f t="array" ref="CC23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0" s="9" t="e" cm="1">
        <f t="array" ref="CD2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0" s="9" t="e" cm="1">
        <f t="array" ref="CE23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0" s="9" cm="1">
        <f t="array" ref="CF230">IFERROR(_xlfn.AGGREGATE(14,6,(tbl_Case_mins[Rank_AnaEnd])/((tbl_Case_mins[Surgery Start Date]=tbl_Case_mins[[#This Row],[Surgery Start Date]])*(tbl_Case_mins[Theatre]=tbl_Case_mins[[#This Row],[Theatre]])*(tbl_Case_mins[NoInCoreTime]=0)),1),-1)</f>
        <v>-1</v>
      </c>
      <c r="CG230" s="9" cm="1">
        <f t="array" ref="CG230">IFERROR(_xlfn.AGGREGATE(15,6,(tbl_Case_mins[Rank_AnaSt])/((tbl_Case_mins[Surgery Start Date]=tbl_Case_mins[[#This Row],[Surgery Start Date]])*(tbl_Case_mins[Theatre]=tbl_Case_mins[[#This Row],[Theatre]])*(tbl_Case_mins[NoInCoreTime]=0)),1),-1)</f>
        <v>-1</v>
      </c>
      <c r="CH23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0" t="e" cm="1">
        <f t="array" ref="CJ23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0" s="9" cm="1">
        <f t="array" ref="CO2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0" s="9" cm="1">
        <f t="array" ref="CP2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0" s="9" cm="1">
        <f t="array" ref="CQ230">IFERROR(IF(AND(tbl_Case_mins[[#This Row],[FirstAMCase]]=0,tbl_Case_mins[[#This Row],[Rank]]=_xlfn.AGGREGATE(14,6,(tbl_Case_mins[Rank])/((tbl_Case_mins[Surgery Start Date]=tbl_Case_mins[[#This Row],[Surgery Start Date]])*(tbl_Case_mins[Theatre]=tbl_Case_mins[[#This Row],[Theatre]])*(tbl_Case_mins[AmCase]=1)),1)),1,0),0)</f>
        <v>0</v>
      </c>
      <c r="CR230" s="9" cm="1">
        <f t="array" ref="CR23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0" s="9" t="e" cm="1">
        <f t="array" ref="CS23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0" s="9" cm="1">
        <f t="array" ref="CT230">IFERROR(IF(tbl_Case_mins[[#This Row],[Rank]]=_xlfn.AGGREGATE(15,6,(tbl_Case_mins[Rank])/((tbl_Case_mins[Surgery Start Date]=tbl_Case_mins[[#This Row],[Surgery Start Date]])*(tbl_Case_mins[Theatre]=tbl_Case_mins[[#This Row],[Theatre]])*(tbl_Case_mins[PmCase]=1)),1),1,0),0)</f>
        <v>0</v>
      </c>
      <c r="CU230">
        <f>IFERROR(#REF!,0)</f>
        <v>0</v>
      </c>
      <c r="CV230" s="9" t="e" cm="1">
        <f t="array" ref="CV23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0" s="9">
        <f>IFERROR(IF(ISBLANK(INDEX(Bay_AmClose,MATCH(1,INDEX((tbl_Case_mins[[#This Row],[Bay]]=BayNo)*(tbl_Case_mins[[#This Row],[Surgery Start Date]]=BDate),0,1),0))*1440),0,INDEX(Bay_AmClose,MATCH(1,INDEX((tbl_Case_mins[[#This Row],[Bay]]=BayNo)*(tbl_Case_mins[[#This Row],[Surgery Start Date]]=BDate),0,1),0))*1440),0)</f>
        <v>0</v>
      </c>
      <c r="CX230" s="9" cm="1">
        <f t="array" ref="CX230">IFERROR(IF(ISBLANK(INDEX(Bay_PmOpen,MATCH(1,INDEX((tbl_Case_mins[[#This Row],[Bay]]=BayNo)*(tbl_Case_mins[[#This Row],[Surgery Start Date]]=BDate),0,1),0))*1440),0,INDEX(Bay_PmOpen,MATCH(1,INDEX((tbl_Case_mins[[#This Row],[Bay]]=BayNo)*(tbl_Case_mins[[#This Row],[Surgery Start Date]]=BDate),0,1),0))*1440),0)</f>
        <v>0</v>
      </c>
      <c r="CY23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0" s="9"/>
    </row>
    <row r="231" spans="1:104" x14ac:dyDescent="0.2">
      <c r="A231">
        <v>230</v>
      </c>
      <c r="B231" t="e">
        <f>#REF!</f>
        <v>#REF!</v>
      </c>
      <c r="C231" t="e">
        <f>#REF!</f>
        <v>#REF!</v>
      </c>
      <c r="D231" t="e">
        <f>#REF!</f>
        <v>#REF!</v>
      </c>
      <c r="E231" t="e">
        <f>#REF!</f>
        <v>#REF!</v>
      </c>
      <c r="F231" t="e">
        <f>#REF!</f>
        <v>#REF!</v>
      </c>
      <c r="G231" t="e">
        <f>#REF!</f>
        <v>#REF!</v>
      </c>
      <c r="H231" t="e">
        <f>#REF!</f>
        <v>#REF!</v>
      </c>
      <c r="I231" t="e">
        <f>IF(#REF!="Case Cancelled",1,IF(#REF!="No Cases",2,0))</f>
        <v>#REF!</v>
      </c>
      <c r="J231" t="e">
        <f>#REF!</f>
        <v>#REF!</v>
      </c>
      <c r="K231" s="4" t="e">
        <f>#REF!</f>
        <v>#REF!</v>
      </c>
      <c r="L231" t="e">
        <f>"Wk "&amp;WEEKNUM(tbl_Case_mins[[#This Row],[Surgery Start Date]],21)</f>
        <v>#REF!</v>
      </c>
      <c r="M231" t="e">
        <f>TEXT(tbl_Case_mins[[#This Row],[Surgery Start Date]],"ddd")</f>
        <v>#REF!</v>
      </c>
      <c r="N231" s="9" t="e">
        <f>(#REF!-TIME(0,0,0))*1440</f>
        <v>#REF!</v>
      </c>
      <c r="O231" t="e">
        <f>IF(AND(ROUND((#REF!-TIME(0,0,0))*1440,0)&gt;0,ROUND((#REF!-TIME(0,0,0))*1440,0)&lt;tbl_Case_mins[[#This Row],[Patient Called]],tbl_Case_mins[[#This Row],[Surgery End Date]]&gt;tbl_Case_mins[[#This Row],[Surgery Start Date]]),ROUND((#REF!-TIME(0,0,0))*1440,0)+1440,ROUND((#REF!-TIME(0,0,0))*1440,0))</f>
        <v>#REF!</v>
      </c>
      <c r="P231" s="9" t="e">
        <f>IF(AND(ROUND((#REF!-TIME(0,0,0))*1440,0)&gt;0,ROUND((#REF!-TIME(0,0,0))*1440,0)&lt;tbl_Case_mins[[#This Row],[Arrival]],tbl_Case_mins[[#This Row],[Surgery End Date]]&gt;tbl_Case_mins[[#This Row],[Surgery Start Date]]),ROUND((#REF!-TIME(0,0,0))*1440,0)+1440,ROUND((#REF!-TIME(0,0,0))*1440,0))</f>
        <v>#REF!</v>
      </c>
      <c r="Q231" s="9" t="e">
        <f>IF(AND(ROUND((#REF!-TIME(0,0,0))*1440,0)&gt;0,ROUND((#REF!-TIME(0,0,0))*1440,0)&lt;tbl_Case_mins[[#This Row],[Into Th or AR]],tbl_Case_mins[[#This Row],[Surgery End Date]]&gt;tbl_Case_mins[[#This Row],[Surgery Start Date]]),ROUND((#REF!-TIME(0,0,0))*1440,0)+1440,ROUND((#REF!-TIME(0,0,0))*1440,0))</f>
        <v>#REF!</v>
      </c>
      <c r="R231" s="9" t="e">
        <f>IF(AND(ROUND((#REF!-TIME(0,0,0))*1440,0)&gt;0,ROUND((#REF!-TIME(0,0,0))*1440,0)&lt;tbl_Case_mins[[#This Row],[AnaesthStart]],tbl_Case_mins[[#This Row],[Surgery End Date]]&gt;tbl_Case_mins[[#This Row],[Surgery Start Date]]),ROUND((#REF!-TIME(0,0,0))*1440,0)+1440,ROUND((#REF!-TIME(0,0,0))*1440,0))</f>
        <v>#REF!</v>
      </c>
      <c r="S231" s="9" t="e">
        <f>IF(AND(ROUND((#REF!-TIME(0,0,0))*1440,0),ROUND((#REF!-TIME(0,0,0))*1440,0)&lt;tbl_Case_mins[[#This Row],[Surgery Start]],tbl_Case_mins[[#This Row],[Surgery End Date]]&gt;tbl_Case_mins[[#This Row],[Surgery Start Date]]),ROUND((#REF!-TIME(0,0,0))*1440,0)+1440,ROUND((#REF!-TIME(0,0,0))*1440,0))</f>
        <v>#REF!</v>
      </c>
      <c r="T231" s="9" t="e">
        <f>IF(AND(ROUND((#REF!-TIME(0,0,0))*1440,0)&gt;0,ROUND((#REF!-TIME(0,0,0))*1440,0)&lt;tbl_Case_mins[[#This Row],[Surgery Finish]],tbl_Case_mins[[#This Row],[Surgery End Date]]&gt;tbl_Case_mins[[#This Row],[Surgery Start Date]]),ROUND((#REF!-TIME(0,0,0))*1440,0)+1440,ROUND((#REF!-TIME(0,0,0))*1440,0))</f>
        <v>#REF!</v>
      </c>
      <c r="U231" s="9" t="e">
        <f>IF(AND(ROUND((#REF!-TIME(0,0,0))*1440,0)&gt;0,ROUND((#REF!-TIME(0,0,0))*1440,0)&lt;tbl_Case_mins[[#This Row],[Anaesth End]],tbl_Case_mins[[#This Row],[Surgery End Date]]&gt;tbl_Case_mins[[#This Row],[Surgery Start Date]]),ROUND((#REF!-TIME(0,0,0))*1440,0)+1440,ROUND((#REF!-TIME(0,0,0))*1440,0))</f>
        <v>#REF!</v>
      </c>
      <c r="V231" s="9" t="e">
        <f>IF(AND(ROUND((#REF!-TIME(0,0,0))*1440,0)&gt;0,ROUND((#REF!-TIME(0,0,0))*1440,0)&lt;tbl_Case_mins[[#This Row],[Into Recov]],tbl_Case_mins[[#This Row],[Surgery End Date]]&gt;tbl_Case_mins[[#This Row],[Surgery Start Date]]),ROUND((#REF!-TIME(0,0,0))*1440,0)+1440,ROUND((#REF!-TIME(0,0,0))*1440,0))</f>
        <v>#REF!</v>
      </c>
      <c r="W231" s="9" t="e">
        <f>IF(AND(ROUND((#REF!-TIME(0,0,0))*1440,0)&gt;0,ROUND((#REF!-TIME(0,0,0))*1440,0)&lt;tbl_Case_mins[[#This Row],[Ward Called]],tbl_Case_mins[[#This Row],[Surgery End Date]]&gt;tbl_Case_mins[[#This Row],[Surgery Start Date]]),ROUND((#REF!-TIME(0,0,0))*1440,0)+1440,ROUND((#REF!-TIME(0,0,0))*1440,0))</f>
        <v>#REF!</v>
      </c>
      <c r="X231" s="4" t="e">
        <f>IF(ISBLANK(#REF!),tbl_Case_mins[[#This Row],[Surgery Start Date]],#REF!)</f>
        <v>#REF!</v>
      </c>
      <c r="Y231">
        <f>IFERROR(IF(VLOOKUP(tbl_Case_mins[[#This Row],[Theatre]],'Mng Theatres'!$C$7:$G$12,3,FALSE)="Yes","Yes","No"),0)</f>
        <v>0</v>
      </c>
      <c r="Z231" s="9" t="e" cm="1">
        <f t="array" ref="Z23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1" s="9" t="e" cm="1">
        <f t="array" ref="AA23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1" s="9" t="e">
        <f>IF(tbl_Case_mins[[#This Row],[Case Type]]="Unsch",1,0)</f>
        <v>#REF!</v>
      </c>
      <c r="AD231" s="9" t="e">
        <f>IF(tbl_Case_mins[[#This Row],[Case Type]]="Sch",1,0)</f>
        <v>#REF!</v>
      </c>
      <c r="AE23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1" s="9">
        <f>IFERROR(IF(ISBLANK(INDEX(Am_Close,MATCH(1,INDEX((tbl_Case_mins[[#This Row],[Theatre]]=Theatre_No)*(tbl_Case_mins[[#This Row],[Surgery Start Date]]=Date),0,1),0))*1440),0,INDEX(Am_Close,MATCH(1,INDEX((tbl_Case_mins[[#This Row],[Theatre]]=Theatre_No)*(tbl_Case_mins[[#This Row],[Surgery Start Date]]=Date),0,1),0))*1440),0)</f>
        <v>0</v>
      </c>
      <c r="AG231" s="9">
        <f>IFERROR(IF(ISBLANK(INDEX(PM_Open,MATCH(1,INDEX((tbl_Case_mins[[#This Row],[Theatre]]=Theatre_No)*(tbl_Case_mins[[#This Row],[Surgery Start Date]]=Date),0,1),0))*1440),0,INDEX(PM_Open,MATCH(1,INDEX((tbl_Case_mins[[#This Row],[Theatre]]=Theatre_No)*(tbl_Case_mins[[#This Row],[Surgery Start Date]]=Date),0,1),0))*1440),0)</f>
        <v>0</v>
      </c>
      <c r="AH23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1" s="9" t="e">
        <f>IF(tbl_Case_mins[[#This Row],[ThOpenAm]]=0,tbl_Case_mins[[#This Row],[ThOpenPM]],tbl_Case_mins[[#This Row],[ThOpenAm]])</f>
        <v>#REF!</v>
      </c>
      <c r="AJ231" s="9" t="e">
        <f>IF(tbl_Case_mins[[#This Row],[ThCloseAm]]&gt;0,IF(tbl_Case_mins[[#This Row],[ThOpenPM]]&gt;0,tbl_Case_mins[[#This Row],[ThClosePm]],tbl_Case_mins[[#This Row],[ThCloseAm]]),tbl_Case_mins[[#This Row],[ThClosePm]])</f>
        <v>#REF!</v>
      </c>
      <c r="AK231" s="9" t="e">
        <f>IF(tbl_Case_mins[[#This Row],[TOT]]&gt;0,1,0)</f>
        <v>#REF!</v>
      </c>
      <c r="AL23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1" s="9" t="e">
        <f>IF(AND(tbl_Case_mins[[#This Row],[Surgery Status]]&lt;&gt;2,tbl_Case_mins[[#This Row],[InCoreCase]]=0,tbl_Case_mins[[#This Row],[CancelledCase]]=0),1,0)</f>
        <v>#REF!</v>
      </c>
      <c r="AN231" s="9" t="e">
        <f>IF(tbl_Case_mins[[#This Row],[Surgery Status]]=1,1,0)</f>
        <v>#REF!</v>
      </c>
      <c r="AO23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1" s="9" t="e">
        <f>IF(AND(tbl_Case_mins[[#This Row],[NonCoreCase]]=1,tbl_Case_mins[[#This Row],[NoInCoreTime]]=0),1,0)</f>
        <v>#REF!</v>
      </c>
      <c r="AQ231" s="9" t="e">
        <f>IF(tbl_Case_mins[[#This Row],[Rank_AnaEnd]]&lt;tbl_Case_mins[[#This Row],[Rank_AnaSt]],1,0)</f>
        <v>#REF!</v>
      </c>
      <c r="AR231" s="9" t="e">
        <f>IF(AND(tbl_Case_mins[[#This Row],[InCoreCase]]=1,tbl_Case_mins[[#This Row],[Sch]]=1),1,0)</f>
        <v>#REF!</v>
      </c>
      <c r="AS231" s="9" t="e">
        <f>IF(AND(tbl_Case_mins[[#This Row],[InCoreCase]]=1,tbl_Case_mins[[#This Row],[Unsch]]=1),1,0)</f>
        <v>#REF!</v>
      </c>
      <c r="AT23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1" s="9" t="e">
        <f>IF(tbl_Case_mins[[#This Row],[Surgery Status]]=0,(tbl_Case_mins[[#This Row],[Anaesth End]]-tbl_Case_mins[[#This Row],[AnaesthStart]]),0)</f>
        <v>#REF!</v>
      </c>
      <c r="AX231" s="9" t="e">
        <f>IF(tbl_Case_mins[[#This Row],[Surgery Status]]=0,(tbl_Case_mins[[#This Row],[Surgery Finish]]-tbl_Case_mins[[#This Row],[Surgery Start]]),0)</f>
        <v>#REF!</v>
      </c>
      <c r="AY231" s="9" t="e">
        <f>tbl_Case_mins[[#This Row],[Surgery Start]]-tbl_Case_mins[[#This Row],[AnaesthStart]]</f>
        <v>#REF!</v>
      </c>
      <c r="AZ231" s="9" t="e">
        <f>tbl_Case_mins[[#This Row],[Anaesth End]]-tbl_Case_mins[[#This Row],[Surgery Finish]]</f>
        <v>#REF!</v>
      </c>
      <c r="BA23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1" s="16" cm="1">
        <f t="array" ref="BC23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1" s="16" t="e">
        <f>IF(AND(tbl_Case_mins[[#This Row],[FirstAMCase]]=1,tbl_Case_mins[[#This Row],[CancelledCase]]=0,OR(tbl_Case_mins[[#This Row],[EarlyStartAM]]&gt;0,tbl_Case_mins[[#This Row],[AnaesthStart]]=tbl_Case_mins[[#This Row],[ThOpenAm]])),1,0)</f>
        <v>#REF!</v>
      </c>
      <c r="BE231" s="16" t="e">
        <f>IF(AND(tbl_Case_mins[[#This Row],[Rank_AnaSt]]=tbl_Case_mins[[#This Row],[Min_RankAnaSt]],tbl_Case_mins[[#This Row],[Anaesth End]]&gt;=tbl_Case_mins[[#This Row],[ThOpenAm]],tbl_Case_mins[[#This Row],[PmCase]]=0),1,0)</f>
        <v>#REF!</v>
      </c>
      <c r="BF23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1" s="9" t="e" cm="1">
        <f t="array" ref="BH23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1" s="9" t="e">
        <f>IF(AND(tbl_Case_mins[[#This Row],[ThOpenPM]]&gt;0,tbl_Case_mins[[#This Row],[AnaesthStart]]&gt;tbl_Case_mins[[#This Row],[ThOpenPM]],tbl_Case_mins[[#This Row],[First PM Case]]=1),tbl_Case_mins[[#This Row],[AnaesthStart]]-tbl_Case_mins[[#This Row],[ThOpenPM]],0)</f>
        <v>#REF!</v>
      </c>
      <c r="BL23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1" s="9" t="e" cm="1">
        <f t="array" ref="BN23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1" s="9" t="e">
        <f>IF(AND(tbl_Case_mins[[#This Row],[ThClosePm]]&gt;0,tbl_Case_mins[[#This Row],[Anaesth End]]&gt;tbl_Case_mins[[#This Row],[ThClosePm]],tbl_Case_mins[[#This Row],[AnaesthStart]]&gt;tbl_Case_mins[[#This Row],[ThClosePm]]),tbl_Case_mins[[#This Row],[Into Recov]]-tbl_Case_mins[[#This Row],[AnaesthStart]],0)</f>
        <v>#REF!</v>
      </c>
      <c r="BP231" s="9" t="e">
        <f>IF(AND(tbl_Case_mins[[#This Row],[AnaesthStart]]&lt;tbl_Case_mins[[#This Row],[ThClosePm]],tbl_Case_mins[[#This Row],[Anaesth End]]&gt;tbl_Case_mins[[#This Row],[ThClosePm]]),tbl_Case_mins[[#This Row],[Anaesth End]]-tbl_Case_mins[[#This Row],[ThClosePm]],0)</f>
        <v>#REF!</v>
      </c>
      <c r="BQ231" s="9" t="e" cm="1">
        <f t="array" ref="BQ23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1" s="9" t="e" cm="1">
        <f t="array" ref="BR231">IF(tbl_Case_mins[[#This Row],[Rank_Adjust]]=SUMPRODUCT(-(tbl_Case_mins[Surgery Start Date]=tbl_Case_mins[[#This Row],[Surgery Start Date]]),-(tbl_Case_mins[Theatre]=tbl_Case_mins[[#This Row],[Theatre]])),INDEX(Poss_Time,MATCH(TEXT(tbl_Case_mins[[#This Row],[Surgery Start Date]],"ddd"),Day,0)),0)</f>
        <v>#REF!</v>
      </c>
      <c r="BS231" s="9" t="e">
        <f>tbl_Case_mins[[#This Row],[Core_Time]]*Util_Goal</f>
        <v>#REF!</v>
      </c>
      <c r="BT231" s="9" t="e" cm="1">
        <f t="array" ref="BT2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1" s="9" t="e" cm="1">
        <f t="array" ref="BU2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1" s="9" t="e">
        <f>IF(tbl_Case_mins[[#This Row],[Surgery End Date]]&gt;tbl_Case_mins[[#This Row],[Surgery Start Date]],tbl_Case_mins[[#This Row],[Anaesth End]]-1440,0)</f>
        <v>#REF!</v>
      </c>
      <c r="BY231" s="9" t="e">
        <f>tbl_Case_mins[[#This Row],[Total_NonCore]]-tbl_Case_mins[[#This Row],[NextDay_NonCore]]</f>
        <v>#REF!</v>
      </c>
      <c r="BZ231" s="10" t="e">
        <f>tbl_Case_mins[[#This Row],[InCoreUse]]/60</f>
        <v>#REF!</v>
      </c>
      <c r="CA231" s="10" t="e">
        <f>tbl_Case_mins[[#This Row],[Total_NonCore]]/60</f>
        <v>#REF!</v>
      </c>
      <c r="CB231" t="e" cm="1">
        <f t="array" ref="CB2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1" s="9" t="e" cm="1">
        <f t="array" ref="CC23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1" s="9" t="e" cm="1">
        <f t="array" ref="CD2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1" s="9" t="e" cm="1">
        <f t="array" ref="CE23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1" s="9" cm="1">
        <f t="array" ref="CF231">IFERROR(_xlfn.AGGREGATE(14,6,(tbl_Case_mins[Rank_AnaEnd])/((tbl_Case_mins[Surgery Start Date]=tbl_Case_mins[[#This Row],[Surgery Start Date]])*(tbl_Case_mins[Theatre]=tbl_Case_mins[[#This Row],[Theatre]])*(tbl_Case_mins[NoInCoreTime]=0)),1),-1)</f>
        <v>-1</v>
      </c>
      <c r="CG231" s="9" cm="1">
        <f t="array" ref="CG231">IFERROR(_xlfn.AGGREGATE(15,6,(tbl_Case_mins[Rank_AnaSt])/((tbl_Case_mins[Surgery Start Date]=tbl_Case_mins[[#This Row],[Surgery Start Date]])*(tbl_Case_mins[Theatre]=tbl_Case_mins[[#This Row],[Theatre]])*(tbl_Case_mins[NoInCoreTime]=0)),1),-1)</f>
        <v>-1</v>
      </c>
      <c r="CH23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1" t="e" cm="1">
        <f t="array" ref="CJ23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1" s="9" cm="1">
        <f t="array" ref="CO2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1" s="9" cm="1">
        <f t="array" ref="CP2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1" s="9" cm="1">
        <f t="array" ref="CQ231">IFERROR(IF(AND(tbl_Case_mins[[#This Row],[FirstAMCase]]=0,tbl_Case_mins[[#This Row],[Rank]]=_xlfn.AGGREGATE(14,6,(tbl_Case_mins[Rank])/((tbl_Case_mins[Surgery Start Date]=tbl_Case_mins[[#This Row],[Surgery Start Date]])*(tbl_Case_mins[Theatre]=tbl_Case_mins[[#This Row],[Theatre]])*(tbl_Case_mins[AmCase]=1)),1)),1,0),0)</f>
        <v>0</v>
      </c>
      <c r="CR231" s="9" cm="1">
        <f t="array" ref="CR23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1" s="9" t="e" cm="1">
        <f t="array" ref="CS23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1" s="9" cm="1">
        <f t="array" ref="CT231">IFERROR(IF(tbl_Case_mins[[#This Row],[Rank]]=_xlfn.AGGREGATE(15,6,(tbl_Case_mins[Rank])/((tbl_Case_mins[Surgery Start Date]=tbl_Case_mins[[#This Row],[Surgery Start Date]])*(tbl_Case_mins[Theatre]=tbl_Case_mins[[#This Row],[Theatre]])*(tbl_Case_mins[PmCase]=1)),1),1,0),0)</f>
        <v>0</v>
      </c>
      <c r="CU231">
        <f>IFERROR(#REF!,0)</f>
        <v>0</v>
      </c>
      <c r="CV231" s="9" t="e" cm="1">
        <f t="array" ref="CV23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1" s="9">
        <f>IFERROR(IF(ISBLANK(INDEX(Bay_AmClose,MATCH(1,INDEX((tbl_Case_mins[[#This Row],[Bay]]=BayNo)*(tbl_Case_mins[[#This Row],[Surgery Start Date]]=BDate),0,1),0))*1440),0,INDEX(Bay_AmClose,MATCH(1,INDEX((tbl_Case_mins[[#This Row],[Bay]]=BayNo)*(tbl_Case_mins[[#This Row],[Surgery Start Date]]=BDate),0,1),0))*1440),0)</f>
        <v>0</v>
      </c>
      <c r="CX231" s="9" cm="1">
        <f t="array" ref="CX231">IFERROR(IF(ISBLANK(INDEX(Bay_PmOpen,MATCH(1,INDEX((tbl_Case_mins[[#This Row],[Bay]]=BayNo)*(tbl_Case_mins[[#This Row],[Surgery Start Date]]=BDate),0,1),0))*1440),0,INDEX(Bay_PmOpen,MATCH(1,INDEX((tbl_Case_mins[[#This Row],[Bay]]=BayNo)*(tbl_Case_mins[[#This Row],[Surgery Start Date]]=BDate),0,1),0))*1440),0)</f>
        <v>0</v>
      </c>
      <c r="CY23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1" s="9"/>
    </row>
    <row r="232" spans="1:104" x14ac:dyDescent="0.2">
      <c r="A232">
        <v>231</v>
      </c>
      <c r="B232" t="e">
        <f>#REF!</f>
        <v>#REF!</v>
      </c>
      <c r="C232" t="e">
        <f>#REF!</f>
        <v>#REF!</v>
      </c>
      <c r="D232" t="e">
        <f>#REF!</f>
        <v>#REF!</v>
      </c>
      <c r="E232" t="e">
        <f>#REF!</f>
        <v>#REF!</v>
      </c>
      <c r="F232" t="e">
        <f>#REF!</f>
        <v>#REF!</v>
      </c>
      <c r="G232" t="e">
        <f>#REF!</f>
        <v>#REF!</v>
      </c>
      <c r="H232" t="e">
        <f>#REF!</f>
        <v>#REF!</v>
      </c>
      <c r="I232" t="e">
        <f>IF(#REF!="Case Cancelled",1,IF(#REF!="No Cases",2,0))</f>
        <v>#REF!</v>
      </c>
      <c r="J232" t="e">
        <f>#REF!</f>
        <v>#REF!</v>
      </c>
      <c r="K232" s="4" t="e">
        <f>#REF!</f>
        <v>#REF!</v>
      </c>
      <c r="L232" t="e">
        <f>"Wk "&amp;WEEKNUM(tbl_Case_mins[[#This Row],[Surgery Start Date]],21)</f>
        <v>#REF!</v>
      </c>
      <c r="M232" t="e">
        <f>TEXT(tbl_Case_mins[[#This Row],[Surgery Start Date]],"ddd")</f>
        <v>#REF!</v>
      </c>
      <c r="N232" s="9" t="e">
        <f>(#REF!-TIME(0,0,0))*1440</f>
        <v>#REF!</v>
      </c>
      <c r="O232" t="e">
        <f>IF(AND(ROUND((#REF!-TIME(0,0,0))*1440,0)&gt;0,ROUND((#REF!-TIME(0,0,0))*1440,0)&lt;tbl_Case_mins[[#This Row],[Patient Called]],tbl_Case_mins[[#This Row],[Surgery End Date]]&gt;tbl_Case_mins[[#This Row],[Surgery Start Date]]),ROUND((#REF!-TIME(0,0,0))*1440,0)+1440,ROUND((#REF!-TIME(0,0,0))*1440,0))</f>
        <v>#REF!</v>
      </c>
      <c r="P232" s="9" t="e">
        <f>IF(AND(ROUND((#REF!-TIME(0,0,0))*1440,0)&gt;0,ROUND((#REF!-TIME(0,0,0))*1440,0)&lt;tbl_Case_mins[[#This Row],[Arrival]],tbl_Case_mins[[#This Row],[Surgery End Date]]&gt;tbl_Case_mins[[#This Row],[Surgery Start Date]]),ROUND((#REF!-TIME(0,0,0))*1440,0)+1440,ROUND((#REF!-TIME(0,0,0))*1440,0))</f>
        <v>#REF!</v>
      </c>
      <c r="Q232" s="9" t="e">
        <f>IF(AND(ROUND((#REF!-TIME(0,0,0))*1440,0)&gt;0,ROUND((#REF!-TIME(0,0,0))*1440,0)&lt;tbl_Case_mins[[#This Row],[Into Th or AR]],tbl_Case_mins[[#This Row],[Surgery End Date]]&gt;tbl_Case_mins[[#This Row],[Surgery Start Date]]),ROUND((#REF!-TIME(0,0,0))*1440,0)+1440,ROUND((#REF!-TIME(0,0,0))*1440,0))</f>
        <v>#REF!</v>
      </c>
      <c r="R232" s="9" t="e">
        <f>IF(AND(ROUND((#REF!-TIME(0,0,0))*1440,0)&gt;0,ROUND((#REF!-TIME(0,0,0))*1440,0)&lt;tbl_Case_mins[[#This Row],[AnaesthStart]],tbl_Case_mins[[#This Row],[Surgery End Date]]&gt;tbl_Case_mins[[#This Row],[Surgery Start Date]]),ROUND((#REF!-TIME(0,0,0))*1440,0)+1440,ROUND((#REF!-TIME(0,0,0))*1440,0))</f>
        <v>#REF!</v>
      </c>
      <c r="S232" s="9" t="e">
        <f>IF(AND(ROUND((#REF!-TIME(0,0,0))*1440,0),ROUND((#REF!-TIME(0,0,0))*1440,0)&lt;tbl_Case_mins[[#This Row],[Surgery Start]],tbl_Case_mins[[#This Row],[Surgery End Date]]&gt;tbl_Case_mins[[#This Row],[Surgery Start Date]]),ROUND((#REF!-TIME(0,0,0))*1440,0)+1440,ROUND((#REF!-TIME(0,0,0))*1440,0))</f>
        <v>#REF!</v>
      </c>
      <c r="T232" s="9" t="e">
        <f>IF(AND(ROUND((#REF!-TIME(0,0,0))*1440,0)&gt;0,ROUND((#REF!-TIME(0,0,0))*1440,0)&lt;tbl_Case_mins[[#This Row],[Surgery Finish]],tbl_Case_mins[[#This Row],[Surgery End Date]]&gt;tbl_Case_mins[[#This Row],[Surgery Start Date]]),ROUND((#REF!-TIME(0,0,0))*1440,0)+1440,ROUND((#REF!-TIME(0,0,0))*1440,0))</f>
        <v>#REF!</v>
      </c>
      <c r="U232" s="9" t="e">
        <f>IF(AND(ROUND((#REF!-TIME(0,0,0))*1440,0)&gt;0,ROUND((#REF!-TIME(0,0,0))*1440,0)&lt;tbl_Case_mins[[#This Row],[Anaesth End]],tbl_Case_mins[[#This Row],[Surgery End Date]]&gt;tbl_Case_mins[[#This Row],[Surgery Start Date]]),ROUND((#REF!-TIME(0,0,0))*1440,0)+1440,ROUND((#REF!-TIME(0,0,0))*1440,0))</f>
        <v>#REF!</v>
      </c>
      <c r="V232" s="9" t="e">
        <f>IF(AND(ROUND((#REF!-TIME(0,0,0))*1440,0)&gt;0,ROUND((#REF!-TIME(0,0,0))*1440,0)&lt;tbl_Case_mins[[#This Row],[Into Recov]],tbl_Case_mins[[#This Row],[Surgery End Date]]&gt;tbl_Case_mins[[#This Row],[Surgery Start Date]]),ROUND((#REF!-TIME(0,0,0))*1440,0)+1440,ROUND((#REF!-TIME(0,0,0))*1440,0))</f>
        <v>#REF!</v>
      </c>
      <c r="W232" s="9" t="e">
        <f>IF(AND(ROUND((#REF!-TIME(0,0,0))*1440,0)&gt;0,ROUND((#REF!-TIME(0,0,0))*1440,0)&lt;tbl_Case_mins[[#This Row],[Ward Called]],tbl_Case_mins[[#This Row],[Surgery End Date]]&gt;tbl_Case_mins[[#This Row],[Surgery Start Date]]),ROUND((#REF!-TIME(0,0,0))*1440,0)+1440,ROUND((#REF!-TIME(0,0,0))*1440,0))</f>
        <v>#REF!</v>
      </c>
      <c r="X232" s="4" t="e">
        <f>IF(ISBLANK(#REF!),tbl_Case_mins[[#This Row],[Surgery Start Date]],#REF!)</f>
        <v>#REF!</v>
      </c>
      <c r="Y232">
        <f>IFERROR(IF(VLOOKUP(tbl_Case_mins[[#This Row],[Theatre]],'Mng Theatres'!$C$7:$G$12,3,FALSE)="Yes","Yes","No"),0)</f>
        <v>0</v>
      </c>
      <c r="Z232" s="9" t="e" cm="1">
        <f t="array" ref="Z23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2" s="9" t="e" cm="1">
        <f t="array" ref="AA23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2" s="9" t="e">
        <f>IF(tbl_Case_mins[[#This Row],[Case Type]]="Unsch",1,0)</f>
        <v>#REF!</v>
      </c>
      <c r="AD232" s="9" t="e">
        <f>IF(tbl_Case_mins[[#This Row],[Case Type]]="Sch",1,0)</f>
        <v>#REF!</v>
      </c>
      <c r="AE23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2" s="9">
        <f>IFERROR(IF(ISBLANK(INDEX(Am_Close,MATCH(1,INDEX((tbl_Case_mins[[#This Row],[Theatre]]=Theatre_No)*(tbl_Case_mins[[#This Row],[Surgery Start Date]]=Date),0,1),0))*1440),0,INDEX(Am_Close,MATCH(1,INDEX((tbl_Case_mins[[#This Row],[Theatre]]=Theatre_No)*(tbl_Case_mins[[#This Row],[Surgery Start Date]]=Date),0,1),0))*1440),0)</f>
        <v>0</v>
      </c>
      <c r="AG232" s="9">
        <f>IFERROR(IF(ISBLANK(INDEX(PM_Open,MATCH(1,INDEX((tbl_Case_mins[[#This Row],[Theatre]]=Theatre_No)*(tbl_Case_mins[[#This Row],[Surgery Start Date]]=Date),0,1),0))*1440),0,INDEX(PM_Open,MATCH(1,INDEX((tbl_Case_mins[[#This Row],[Theatre]]=Theatre_No)*(tbl_Case_mins[[#This Row],[Surgery Start Date]]=Date),0,1),0))*1440),0)</f>
        <v>0</v>
      </c>
      <c r="AH23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2" s="9" t="e">
        <f>IF(tbl_Case_mins[[#This Row],[ThOpenAm]]=0,tbl_Case_mins[[#This Row],[ThOpenPM]],tbl_Case_mins[[#This Row],[ThOpenAm]])</f>
        <v>#REF!</v>
      </c>
      <c r="AJ232" s="9" t="e">
        <f>IF(tbl_Case_mins[[#This Row],[ThCloseAm]]&gt;0,IF(tbl_Case_mins[[#This Row],[ThOpenPM]]&gt;0,tbl_Case_mins[[#This Row],[ThClosePm]],tbl_Case_mins[[#This Row],[ThCloseAm]]),tbl_Case_mins[[#This Row],[ThClosePm]])</f>
        <v>#REF!</v>
      </c>
      <c r="AK232" s="9" t="e">
        <f>IF(tbl_Case_mins[[#This Row],[TOT]]&gt;0,1,0)</f>
        <v>#REF!</v>
      </c>
      <c r="AL23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2" s="9" t="e">
        <f>IF(AND(tbl_Case_mins[[#This Row],[Surgery Status]]&lt;&gt;2,tbl_Case_mins[[#This Row],[InCoreCase]]=0,tbl_Case_mins[[#This Row],[CancelledCase]]=0),1,0)</f>
        <v>#REF!</v>
      </c>
      <c r="AN232" s="9" t="e">
        <f>IF(tbl_Case_mins[[#This Row],[Surgery Status]]=1,1,0)</f>
        <v>#REF!</v>
      </c>
      <c r="AO23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2" s="9" t="e">
        <f>IF(AND(tbl_Case_mins[[#This Row],[NonCoreCase]]=1,tbl_Case_mins[[#This Row],[NoInCoreTime]]=0),1,0)</f>
        <v>#REF!</v>
      </c>
      <c r="AQ232" s="9" t="e">
        <f>IF(tbl_Case_mins[[#This Row],[Rank_AnaEnd]]&lt;tbl_Case_mins[[#This Row],[Rank_AnaSt]],1,0)</f>
        <v>#REF!</v>
      </c>
      <c r="AR232" s="9" t="e">
        <f>IF(AND(tbl_Case_mins[[#This Row],[InCoreCase]]=1,tbl_Case_mins[[#This Row],[Sch]]=1),1,0)</f>
        <v>#REF!</v>
      </c>
      <c r="AS232" s="9" t="e">
        <f>IF(AND(tbl_Case_mins[[#This Row],[InCoreCase]]=1,tbl_Case_mins[[#This Row],[Unsch]]=1),1,0)</f>
        <v>#REF!</v>
      </c>
      <c r="AT23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2" s="9" t="e">
        <f>IF(tbl_Case_mins[[#This Row],[Surgery Status]]=0,(tbl_Case_mins[[#This Row],[Anaesth End]]-tbl_Case_mins[[#This Row],[AnaesthStart]]),0)</f>
        <v>#REF!</v>
      </c>
      <c r="AX232" s="9" t="e">
        <f>IF(tbl_Case_mins[[#This Row],[Surgery Status]]=0,(tbl_Case_mins[[#This Row],[Surgery Finish]]-tbl_Case_mins[[#This Row],[Surgery Start]]),0)</f>
        <v>#REF!</v>
      </c>
      <c r="AY232" s="9" t="e">
        <f>tbl_Case_mins[[#This Row],[Surgery Start]]-tbl_Case_mins[[#This Row],[AnaesthStart]]</f>
        <v>#REF!</v>
      </c>
      <c r="AZ232" s="9" t="e">
        <f>tbl_Case_mins[[#This Row],[Anaesth End]]-tbl_Case_mins[[#This Row],[Surgery Finish]]</f>
        <v>#REF!</v>
      </c>
      <c r="BA23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2" s="16" cm="1">
        <f t="array" ref="BC23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2" s="16" t="e">
        <f>IF(AND(tbl_Case_mins[[#This Row],[FirstAMCase]]=1,tbl_Case_mins[[#This Row],[CancelledCase]]=0,OR(tbl_Case_mins[[#This Row],[EarlyStartAM]]&gt;0,tbl_Case_mins[[#This Row],[AnaesthStart]]=tbl_Case_mins[[#This Row],[ThOpenAm]])),1,0)</f>
        <v>#REF!</v>
      </c>
      <c r="BE232" s="16" t="e">
        <f>IF(AND(tbl_Case_mins[[#This Row],[Rank_AnaSt]]=tbl_Case_mins[[#This Row],[Min_RankAnaSt]],tbl_Case_mins[[#This Row],[Anaesth End]]&gt;=tbl_Case_mins[[#This Row],[ThOpenAm]],tbl_Case_mins[[#This Row],[PmCase]]=0),1,0)</f>
        <v>#REF!</v>
      </c>
      <c r="BF23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2" s="9" t="e" cm="1">
        <f t="array" ref="BH23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2" s="9" t="e">
        <f>IF(AND(tbl_Case_mins[[#This Row],[ThOpenPM]]&gt;0,tbl_Case_mins[[#This Row],[AnaesthStart]]&gt;tbl_Case_mins[[#This Row],[ThOpenPM]],tbl_Case_mins[[#This Row],[First PM Case]]=1),tbl_Case_mins[[#This Row],[AnaesthStart]]-tbl_Case_mins[[#This Row],[ThOpenPM]],0)</f>
        <v>#REF!</v>
      </c>
      <c r="BL23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2" s="9" t="e" cm="1">
        <f t="array" ref="BN23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2" s="9" t="e">
        <f>IF(AND(tbl_Case_mins[[#This Row],[ThClosePm]]&gt;0,tbl_Case_mins[[#This Row],[Anaesth End]]&gt;tbl_Case_mins[[#This Row],[ThClosePm]],tbl_Case_mins[[#This Row],[AnaesthStart]]&gt;tbl_Case_mins[[#This Row],[ThClosePm]]),tbl_Case_mins[[#This Row],[Into Recov]]-tbl_Case_mins[[#This Row],[AnaesthStart]],0)</f>
        <v>#REF!</v>
      </c>
      <c r="BP232" s="9" t="e">
        <f>IF(AND(tbl_Case_mins[[#This Row],[AnaesthStart]]&lt;tbl_Case_mins[[#This Row],[ThClosePm]],tbl_Case_mins[[#This Row],[Anaesth End]]&gt;tbl_Case_mins[[#This Row],[ThClosePm]]),tbl_Case_mins[[#This Row],[Anaesth End]]-tbl_Case_mins[[#This Row],[ThClosePm]],0)</f>
        <v>#REF!</v>
      </c>
      <c r="BQ232" s="9" t="e" cm="1">
        <f t="array" ref="BQ23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2" s="9" t="e" cm="1">
        <f t="array" ref="BR232">IF(tbl_Case_mins[[#This Row],[Rank_Adjust]]=SUMPRODUCT(-(tbl_Case_mins[Surgery Start Date]=tbl_Case_mins[[#This Row],[Surgery Start Date]]),-(tbl_Case_mins[Theatre]=tbl_Case_mins[[#This Row],[Theatre]])),INDEX(Poss_Time,MATCH(TEXT(tbl_Case_mins[[#This Row],[Surgery Start Date]],"ddd"),Day,0)),0)</f>
        <v>#REF!</v>
      </c>
      <c r="BS232" s="9" t="e">
        <f>tbl_Case_mins[[#This Row],[Core_Time]]*Util_Goal</f>
        <v>#REF!</v>
      </c>
      <c r="BT232" s="9" t="e" cm="1">
        <f t="array" ref="BT2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2" s="9" t="e" cm="1">
        <f t="array" ref="BU2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2" s="9" t="e">
        <f>IF(tbl_Case_mins[[#This Row],[Surgery End Date]]&gt;tbl_Case_mins[[#This Row],[Surgery Start Date]],tbl_Case_mins[[#This Row],[Anaesth End]]-1440,0)</f>
        <v>#REF!</v>
      </c>
      <c r="BY232" s="9" t="e">
        <f>tbl_Case_mins[[#This Row],[Total_NonCore]]-tbl_Case_mins[[#This Row],[NextDay_NonCore]]</f>
        <v>#REF!</v>
      </c>
      <c r="BZ232" s="10" t="e">
        <f>tbl_Case_mins[[#This Row],[InCoreUse]]/60</f>
        <v>#REF!</v>
      </c>
      <c r="CA232" s="10" t="e">
        <f>tbl_Case_mins[[#This Row],[Total_NonCore]]/60</f>
        <v>#REF!</v>
      </c>
      <c r="CB232" t="e" cm="1">
        <f t="array" ref="CB2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2" s="9" t="e" cm="1">
        <f t="array" ref="CC23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2" s="9" t="e" cm="1">
        <f t="array" ref="CD2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2" s="9" t="e" cm="1">
        <f t="array" ref="CE23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2" s="9" cm="1">
        <f t="array" ref="CF232">IFERROR(_xlfn.AGGREGATE(14,6,(tbl_Case_mins[Rank_AnaEnd])/((tbl_Case_mins[Surgery Start Date]=tbl_Case_mins[[#This Row],[Surgery Start Date]])*(tbl_Case_mins[Theatre]=tbl_Case_mins[[#This Row],[Theatre]])*(tbl_Case_mins[NoInCoreTime]=0)),1),-1)</f>
        <v>-1</v>
      </c>
      <c r="CG232" s="9" cm="1">
        <f t="array" ref="CG232">IFERROR(_xlfn.AGGREGATE(15,6,(tbl_Case_mins[Rank_AnaSt])/((tbl_Case_mins[Surgery Start Date]=tbl_Case_mins[[#This Row],[Surgery Start Date]])*(tbl_Case_mins[Theatre]=tbl_Case_mins[[#This Row],[Theatre]])*(tbl_Case_mins[NoInCoreTime]=0)),1),-1)</f>
        <v>-1</v>
      </c>
      <c r="CH23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2" t="e" cm="1">
        <f t="array" ref="CJ23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2" s="9" cm="1">
        <f t="array" ref="CO2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2" s="9" cm="1">
        <f t="array" ref="CP2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2" s="9" cm="1">
        <f t="array" ref="CQ232">IFERROR(IF(AND(tbl_Case_mins[[#This Row],[FirstAMCase]]=0,tbl_Case_mins[[#This Row],[Rank]]=_xlfn.AGGREGATE(14,6,(tbl_Case_mins[Rank])/((tbl_Case_mins[Surgery Start Date]=tbl_Case_mins[[#This Row],[Surgery Start Date]])*(tbl_Case_mins[Theatre]=tbl_Case_mins[[#This Row],[Theatre]])*(tbl_Case_mins[AmCase]=1)),1)),1,0),0)</f>
        <v>0</v>
      </c>
      <c r="CR232" s="9" cm="1">
        <f t="array" ref="CR23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2" s="9" t="e" cm="1">
        <f t="array" ref="CS23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2" s="9" cm="1">
        <f t="array" ref="CT232">IFERROR(IF(tbl_Case_mins[[#This Row],[Rank]]=_xlfn.AGGREGATE(15,6,(tbl_Case_mins[Rank])/((tbl_Case_mins[Surgery Start Date]=tbl_Case_mins[[#This Row],[Surgery Start Date]])*(tbl_Case_mins[Theatre]=tbl_Case_mins[[#This Row],[Theatre]])*(tbl_Case_mins[PmCase]=1)),1),1,0),0)</f>
        <v>0</v>
      </c>
      <c r="CU232">
        <f>IFERROR(#REF!,0)</f>
        <v>0</v>
      </c>
      <c r="CV232" s="9" t="e" cm="1">
        <f t="array" ref="CV23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2" s="9">
        <f>IFERROR(IF(ISBLANK(INDEX(Bay_AmClose,MATCH(1,INDEX((tbl_Case_mins[[#This Row],[Bay]]=BayNo)*(tbl_Case_mins[[#This Row],[Surgery Start Date]]=BDate),0,1),0))*1440),0,INDEX(Bay_AmClose,MATCH(1,INDEX((tbl_Case_mins[[#This Row],[Bay]]=BayNo)*(tbl_Case_mins[[#This Row],[Surgery Start Date]]=BDate),0,1),0))*1440),0)</f>
        <v>0</v>
      </c>
      <c r="CX232" s="9" cm="1">
        <f t="array" ref="CX232">IFERROR(IF(ISBLANK(INDEX(Bay_PmOpen,MATCH(1,INDEX((tbl_Case_mins[[#This Row],[Bay]]=BayNo)*(tbl_Case_mins[[#This Row],[Surgery Start Date]]=BDate),0,1),0))*1440),0,INDEX(Bay_PmOpen,MATCH(1,INDEX((tbl_Case_mins[[#This Row],[Bay]]=BayNo)*(tbl_Case_mins[[#This Row],[Surgery Start Date]]=BDate),0,1),0))*1440),0)</f>
        <v>0</v>
      </c>
      <c r="CY23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2" s="9"/>
    </row>
    <row r="233" spans="1:104" x14ac:dyDescent="0.2">
      <c r="A233">
        <v>232</v>
      </c>
      <c r="B233" t="e">
        <f>#REF!</f>
        <v>#REF!</v>
      </c>
      <c r="C233" t="e">
        <f>#REF!</f>
        <v>#REF!</v>
      </c>
      <c r="D233" t="e">
        <f>#REF!</f>
        <v>#REF!</v>
      </c>
      <c r="E233" t="e">
        <f>#REF!</f>
        <v>#REF!</v>
      </c>
      <c r="F233" t="e">
        <f>#REF!</f>
        <v>#REF!</v>
      </c>
      <c r="G233" t="e">
        <f>#REF!</f>
        <v>#REF!</v>
      </c>
      <c r="H233" t="e">
        <f>#REF!</f>
        <v>#REF!</v>
      </c>
      <c r="I233" t="e">
        <f>IF(#REF!="Case Cancelled",1,IF(#REF!="No Cases",2,0))</f>
        <v>#REF!</v>
      </c>
      <c r="J233" t="e">
        <f>#REF!</f>
        <v>#REF!</v>
      </c>
      <c r="K233" s="4" t="e">
        <f>#REF!</f>
        <v>#REF!</v>
      </c>
      <c r="L233" t="e">
        <f>"Wk "&amp;WEEKNUM(tbl_Case_mins[[#This Row],[Surgery Start Date]],21)</f>
        <v>#REF!</v>
      </c>
      <c r="M233" t="e">
        <f>TEXT(tbl_Case_mins[[#This Row],[Surgery Start Date]],"ddd")</f>
        <v>#REF!</v>
      </c>
      <c r="N233" s="9" t="e">
        <f>(#REF!-TIME(0,0,0))*1440</f>
        <v>#REF!</v>
      </c>
      <c r="O233" t="e">
        <f>IF(AND(ROUND((#REF!-TIME(0,0,0))*1440,0)&gt;0,ROUND((#REF!-TIME(0,0,0))*1440,0)&lt;tbl_Case_mins[[#This Row],[Patient Called]],tbl_Case_mins[[#This Row],[Surgery End Date]]&gt;tbl_Case_mins[[#This Row],[Surgery Start Date]]),ROUND((#REF!-TIME(0,0,0))*1440,0)+1440,ROUND((#REF!-TIME(0,0,0))*1440,0))</f>
        <v>#REF!</v>
      </c>
      <c r="P233" s="9" t="e">
        <f>IF(AND(ROUND((#REF!-TIME(0,0,0))*1440,0)&gt;0,ROUND((#REF!-TIME(0,0,0))*1440,0)&lt;tbl_Case_mins[[#This Row],[Arrival]],tbl_Case_mins[[#This Row],[Surgery End Date]]&gt;tbl_Case_mins[[#This Row],[Surgery Start Date]]),ROUND((#REF!-TIME(0,0,0))*1440,0)+1440,ROUND((#REF!-TIME(0,0,0))*1440,0))</f>
        <v>#REF!</v>
      </c>
      <c r="Q233" s="9" t="e">
        <f>IF(AND(ROUND((#REF!-TIME(0,0,0))*1440,0)&gt;0,ROUND((#REF!-TIME(0,0,0))*1440,0)&lt;tbl_Case_mins[[#This Row],[Into Th or AR]],tbl_Case_mins[[#This Row],[Surgery End Date]]&gt;tbl_Case_mins[[#This Row],[Surgery Start Date]]),ROUND((#REF!-TIME(0,0,0))*1440,0)+1440,ROUND((#REF!-TIME(0,0,0))*1440,0))</f>
        <v>#REF!</v>
      </c>
      <c r="R233" s="9" t="e">
        <f>IF(AND(ROUND((#REF!-TIME(0,0,0))*1440,0)&gt;0,ROUND((#REF!-TIME(0,0,0))*1440,0)&lt;tbl_Case_mins[[#This Row],[AnaesthStart]],tbl_Case_mins[[#This Row],[Surgery End Date]]&gt;tbl_Case_mins[[#This Row],[Surgery Start Date]]),ROUND((#REF!-TIME(0,0,0))*1440,0)+1440,ROUND((#REF!-TIME(0,0,0))*1440,0))</f>
        <v>#REF!</v>
      </c>
      <c r="S233" s="9" t="e">
        <f>IF(AND(ROUND((#REF!-TIME(0,0,0))*1440,0),ROUND((#REF!-TIME(0,0,0))*1440,0)&lt;tbl_Case_mins[[#This Row],[Surgery Start]],tbl_Case_mins[[#This Row],[Surgery End Date]]&gt;tbl_Case_mins[[#This Row],[Surgery Start Date]]),ROUND((#REF!-TIME(0,0,0))*1440,0)+1440,ROUND((#REF!-TIME(0,0,0))*1440,0))</f>
        <v>#REF!</v>
      </c>
      <c r="T233" s="9" t="e">
        <f>IF(AND(ROUND((#REF!-TIME(0,0,0))*1440,0)&gt;0,ROUND((#REF!-TIME(0,0,0))*1440,0)&lt;tbl_Case_mins[[#This Row],[Surgery Finish]],tbl_Case_mins[[#This Row],[Surgery End Date]]&gt;tbl_Case_mins[[#This Row],[Surgery Start Date]]),ROUND((#REF!-TIME(0,0,0))*1440,0)+1440,ROUND((#REF!-TIME(0,0,0))*1440,0))</f>
        <v>#REF!</v>
      </c>
      <c r="U233" s="9" t="e">
        <f>IF(AND(ROUND((#REF!-TIME(0,0,0))*1440,0)&gt;0,ROUND((#REF!-TIME(0,0,0))*1440,0)&lt;tbl_Case_mins[[#This Row],[Anaesth End]],tbl_Case_mins[[#This Row],[Surgery End Date]]&gt;tbl_Case_mins[[#This Row],[Surgery Start Date]]),ROUND((#REF!-TIME(0,0,0))*1440,0)+1440,ROUND((#REF!-TIME(0,0,0))*1440,0))</f>
        <v>#REF!</v>
      </c>
      <c r="V233" s="9" t="e">
        <f>IF(AND(ROUND((#REF!-TIME(0,0,0))*1440,0)&gt;0,ROUND((#REF!-TIME(0,0,0))*1440,0)&lt;tbl_Case_mins[[#This Row],[Into Recov]],tbl_Case_mins[[#This Row],[Surgery End Date]]&gt;tbl_Case_mins[[#This Row],[Surgery Start Date]]),ROUND((#REF!-TIME(0,0,0))*1440,0)+1440,ROUND((#REF!-TIME(0,0,0))*1440,0))</f>
        <v>#REF!</v>
      </c>
      <c r="W233" s="9" t="e">
        <f>IF(AND(ROUND((#REF!-TIME(0,0,0))*1440,0)&gt;0,ROUND((#REF!-TIME(0,0,0))*1440,0)&lt;tbl_Case_mins[[#This Row],[Ward Called]],tbl_Case_mins[[#This Row],[Surgery End Date]]&gt;tbl_Case_mins[[#This Row],[Surgery Start Date]]),ROUND((#REF!-TIME(0,0,0))*1440,0)+1440,ROUND((#REF!-TIME(0,0,0))*1440,0))</f>
        <v>#REF!</v>
      </c>
      <c r="X233" s="4" t="e">
        <f>IF(ISBLANK(#REF!),tbl_Case_mins[[#This Row],[Surgery Start Date]],#REF!)</f>
        <v>#REF!</v>
      </c>
      <c r="Y233">
        <f>IFERROR(IF(VLOOKUP(tbl_Case_mins[[#This Row],[Theatre]],'Mng Theatres'!$C$7:$G$12,3,FALSE)="Yes","Yes","No"),0)</f>
        <v>0</v>
      </c>
      <c r="Z233" s="9" t="e" cm="1">
        <f t="array" ref="Z23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3" s="9" t="e" cm="1">
        <f t="array" ref="AA23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3" s="9" t="e">
        <f>IF(tbl_Case_mins[[#This Row],[Case Type]]="Unsch",1,0)</f>
        <v>#REF!</v>
      </c>
      <c r="AD233" s="9" t="e">
        <f>IF(tbl_Case_mins[[#This Row],[Case Type]]="Sch",1,0)</f>
        <v>#REF!</v>
      </c>
      <c r="AE23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3" s="9">
        <f>IFERROR(IF(ISBLANK(INDEX(Am_Close,MATCH(1,INDEX((tbl_Case_mins[[#This Row],[Theatre]]=Theatre_No)*(tbl_Case_mins[[#This Row],[Surgery Start Date]]=Date),0,1),0))*1440),0,INDEX(Am_Close,MATCH(1,INDEX((tbl_Case_mins[[#This Row],[Theatre]]=Theatre_No)*(tbl_Case_mins[[#This Row],[Surgery Start Date]]=Date),0,1),0))*1440),0)</f>
        <v>0</v>
      </c>
      <c r="AG233" s="9">
        <f>IFERROR(IF(ISBLANK(INDEX(PM_Open,MATCH(1,INDEX((tbl_Case_mins[[#This Row],[Theatre]]=Theatre_No)*(tbl_Case_mins[[#This Row],[Surgery Start Date]]=Date),0,1),0))*1440),0,INDEX(PM_Open,MATCH(1,INDEX((tbl_Case_mins[[#This Row],[Theatre]]=Theatre_No)*(tbl_Case_mins[[#This Row],[Surgery Start Date]]=Date),0,1),0))*1440),0)</f>
        <v>0</v>
      </c>
      <c r="AH23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3" s="9" t="e">
        <f>IF(tbl_Case_mins[[#This Row],[ThOpenAm]]=0,tbl_Case_mins[[#This Row],[ThOpenPM]],tbl_Case_mins[[#This Row],[ThOpenAm]])</f>
        <v>#REF!</v>
      </c>
      <c r="AJ233" s="9" t="e">
        <f>IF(tbl_Case_mins[[#This Row],[ThCloseAm]]&gt;0,IF(tbl_Case_mins[[#This Row],[ThOpenPM]]&gt;0,tbl_Case_mins[[#This Row],[ThClosePm]],tbl_Case_mins[[#This Row],[ThCloseAm]]),tbl_Case_mins[[#This Row],[ThClosePm]])</f>
        <v>#REF!</v>
      </c>
      <c r="AK233" s="9" t="e">
        <f>IF(tbl_Case_mins[[#This Row],[TOT]]&gt;0,1,0)</f>
        <v>#REF!</v>
      </c>
      <c r="AL23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3" s="9" t="e">
        <f>IF(AND(tbl_Case_mins[[#This Row],[Surgery Status]]&lt;&gt;2,tbl_Case_mins[[#This Row],[InCoreCase]]=0,tbl_Case_mins[[#This Row],[CancelledCase]]=0),1,0)</f>
        <v>#REF!</v>
      </c>
      <c r="AN233" s="9" t="e">
        <f>IF(tbl_Case_mins[[#This Row],[Surgery Status]]=1,1,0)</f>
        <v>#REF!</v>
      </c>
      <c r="AO23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3" s="9" t="e">
        <f>IF(AND(tbl_Case_mins[[#This Row],[NonCoreCase]]=1,tbl_Case_mins[[#This Row],[NoInCoreTime]]=0),1,0)</f>
        <v>#REF!</v>
      </c>
      <c r="AQ233" s="9" t="e">
        <f>IF(tbl_Case_mins[[#This Row],[Rank_AnaEnd]]&lt;tbl_Case_mins[[#This Row],[Rank_AnaSt]],1,0)</f>
        <v>#REF!</v>
      </c>
      <c r="AR233" s="9" t="e">
        <f>IF(AND(tbl_Case_mins[[#This Row],[InCoreCase]]=1,tbl_Case_mins[[#This Row],[Sch]]=1),1,0)</f>
        <v>#REF!</v>
      </c>
      <c r="AS233" s="9" t="e">
        <f>IF(AND(tbl_Case_mins[[#This Row],[InCoreCase]]=1,tbl_Case_mins[[#This Row],[Unsch]]=1),1,0)</f>
        <v>#REF!</v>
      </c>
      <c r="AT23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3" s="9" t="e">
        <f>IF(tbl_Case_mins[[#This Row],[Surgery Status]]=0,(tbl_Case_mins[[#This Row],[Anaesth End]]-tbl_Case_mins[[#This Row],[AnaesthStart]]),0)</f>
        <v>#REF!</v>
      </c>
      <c r="AX233" s="9" t="e">
        <f>IF(tbl_Case_mins[[#This Row],[Surgery Status]]=0,(tbl_Case_mins[[#This Row],[Surgery Finish]]-tbl_Case_mins[[#This Row],[Surgery Start]]),0)</f>
        <v>#REF!</v>
      </c>
      <c r="AY233" s="9" t="e">
        <f>tbl_Case_mins[[#This Row],[Surgery Start]]-tbl_Case_mins[[#This Row],[AnaesthStart]]</f>
        <v>#REF!</v>
      </c>
      <c r="AZ233" s="9" t="e">
        <f>tbl_Case_mins[[#This Row],[Anaesth End]]-tbl_Case_mins[[#This Row],[Surgery Finish]]</f>
        <v>#REF!</v>
      </c>
      <c r="BA23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3" s="16" cm="1">
        <f t="array" ref="BC23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3" s="16" t="e">
        <f>IF(AND(tbl_Case_mins[[#This Row],[FirstAMCase]]=1,tbl_Case_mins[[#This Row],[CancelledCase]]=0,OR(tbl_Case_mins[[#This Row],[EarlyStartAM]]&gt;0,tbl_Case_mins[[#This Row],[AnaesthStart]]=tbl_Case_mins[[#This Row],[ThOpenAm]])),1,0)</f>
        <v>#REF!</v>
      </c>
      <c r="BE233" s="16" t="e">
        <f>IF(AND(tbl_Case_mins[[#This Row],[Rank_AnaSt]]=tbl_Case_mins[[#This Row],[Min_RankAnaSt]],tbl_Case_mins[[#This Row],[Anaesth End]]&gt;=tbl_Case_mins[[#This Row],[ThOpenAm]],tbl_Case_mins[[#This Row],[PmCase]]=0),1,0)</f>
        <v>#REF!</v>
      </c>
      <c r="BF23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3" s="9" t="e" cm="1">
        <f t="array" ref="BH23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3" s="9" t="e">
        <f>IF(AND(tbl_Case_mins[[#This Row],[ThOpenPM]]&gt;0,tbl_Case_mins[[#This Row],[AnaesthStart]]&gt;tbl_Case_mins[[#This Row],[ThOpenPM]],tbl_Case_mins[[#This Row],[First PM Case]]=1),tbl_Case_mins[[#This Row],[AnaesthStart]]-tbl_Case_mins[[#This Row],[ThOpenPM]],0)</f>
        <v>#REF!</v>
      </c>
      <c r="BL23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3" s="9" t="e" cm="1">
        <f t="array" ref="BN23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3" s="9" t="e">
        <f>IF(AND(tbl_Case_mins[[#This Row],[ThClosePm]]&gt;0,tbl_Case_mins[[#This Row],[Anaesth End]]&gt;tbl_Case_mins[[#This Row],[ThClosePm]],tbl_Case_mins[[#This Row],[AnaesthStart]]&gt;tbl_Case_mins[[#This Row],[ThClosePm]]),tbl_Case_mins[[#This Row],[Into Recov]]-tbl_Case_mins[[#This Row],[AnaesthStart]],0)</f>
        <v>#REF!</v>
      </c>
      <c r="BP233" s="9" t="e">
        <f>IF(AND(tbl_Case_mins[[#This Row],[AnaesthStart]]&lt;tbl_Case_mins[[#This Row],[ThClosePm]],tbl_Case_mins[[#This Row],[Anaesth End]]&gt;tbl_Case_mins[[#This Row],[ThClosePm]]),tbl_Case_mins[[#This Row],[Anaesth End]]-tbl_Case_mins[[#This Row],[ThClosePm]],0)</f>
        <v>#REF!</v>
      </c>
      <c r="BQ233" s="9" t="e" cm="1">
        <f t="array" ref="BQ23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3" s="9" t="e" cm="1">
        <f t="array" ref="BR233">IF(tbl_Case_mins[[#This Row],[Rank_Adjust]]=SUMPRODUCT(-(tbl_Case_mins[Surgery Start Date]=tbl_Case_mins[[#This Row],[Surgery Start Date]]),-(tbl_Case_mins[Theatre]=tbl_Case_mins[[#This Row],[Theatre]])),INDEX(Poss_Time,MATCH(TEXT(tbl_Case_mins[[#This Row],[Surgery Start Date]],"ddd"),Day,0)),0)</f>
        <v>#REF!</v>
      </c>
      <c r="BS233" s="9" t="e">
        <f>tbl_Case_mins[[#This Row],[Core_Time]]*Util_Goal</f>
        <v>#REF!</v>
      </c>
      <c r="BT233" s="9" t="e" cm="1">
        <f t="array" ref="BT2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3" s="9" t="e" cm="1">
        <f t="array" ref="BU2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3" s="9" t="e">
        <f>IF(tbl_Case_mins[[#This Row],[Surgery End Date]]&gt;tbl_Case_mins[[#This Row],[Surgery Start Date]],tbl_Case_mins[[#This Row],[Anaesth End]]-1440,0)</f>
        <v>#REF!</v>
      </c>
      <c r="BY233" s="9" t="e">
        <f>tbl_Case_mins[[#This Row],[Total_NonCore]]-tbl_Case_mins[[#This Row],[NextDay_NonCore]]</f>
        <v>#REF!</v>
      </c>
      <c r="BZ233" s="10" t="e">
        <f>tbl_Case_mins[[#This Row],[InCoreUse]]/60</f>
        <v>#REF!</v>
      </c>
      <c r="CA233" s="10" t="e">
        <f>tbl_Case_mins[[#This Row],[Total_NonCore]]/60</f>
        <v>#REF!</v>
      </c>
      <c r="CB233" t="e" cm="1">
        <f t="array" ref="CB2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3" s="9" t="e" cm="1">
        <f t="array" ref="CC23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3" s="9" t="e" cm="1">
        <f t="array" ref="CD2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3" s="9" t="e" cm="1">
        <f t="array" ref="CE23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3" s="9" cm="1">
        <f t="array" ref="CF233">IFERROR(_xlfn.AGGREGATE(14,6,(tbl_Case_mins[Rank_AnaEnd])/((tbl_Case_mins[Surgery Start Date]=tbl_Case_mins[[#This Row],[Surgery Start Date]])*(tbl_Case_mins[Theatre]=tbl_Case_mins[[#This Row],[Theatre]])*(tbl_Case_mins[NoInCoreTime]=0)),1),-1)</f>
        <v>-1</v>
      </c>
      <c r="CG233" s="9" cm="1">
        <f t="array" ref="CG233">IFERROR(_xlfn.AGGREGATE(15,6,(tbl_Case_mins[Rank_AnaSt])/((tbl_Case_mins[Surgery Start Date]=tbl_Case_mins[[#This Row],[Surgery Start Date]])*(tbl_Case_mins[Theatre]=tbl_Case_mins[[#This Row],[Theatre]])*(tbl_Case_mins[NoInCoreTime]=0)),1),-1)</f>
        <v>-1</v>
      </c>
      <c r="CH23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3" t="e" cm="1">
        <f t="array" ref="CJ23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3" s="9" cm="1">
        <f t="array" ref="CO2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3" s="9" cm="1">
        <f t="array" ref="CP2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3" s="9" cm="1">
        <f t="array" ref="CQ233">IFERROR(IF(AND(tbl_Case_mins[[#This Row],[FirstAMCase]]=0,tbl_Case_mins[[#This Row],[Rank]]=_xlfn.AGGREGATE(14,6,(tbl_Case_mins[Rank])/((tbl_Case_mins[Surgery Start Date]=tbl_Case_mins[[#This Row],[Surgery Start Date]])*(tbl_Case_mins[Theatre]=tbl_Case_mins[[#This Row],[Theatre]])*(tbl_Case_mins[AmCase]=1)),1)),1,0),0)</f>
        <v>0</v>
      </c>
      <c r="CR233" s="9" cm="1">
        <f t="array" ref="CR23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3" s="9" t="e" cm="1">
        <f t="array" ref="CS23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3" s="9" cm="1">
        <f t="array" ref="CT233">IFERROR(IF(tbl_Case_mins[[#This Row],[Rank]]=_xlfn.AGGREGATE(15,6,(tbl_Case_mins[Rank])/((tbl_Case_mins[Surgery Start Date]=tbl_Case_mins[[#This Row],[Surgery Start Date]])*(tbl_Case_mins[Theatre]=tbl_Case_mins[[#This Row],[Theatre]])*(tbl_Case_mins[PmCase]=1)),1),1,0),0)</f>
        <v>0</v>
      </c>
      <c r="CU233">
        <f>IFERROR(#REF!,0)</f>
        <v>0</v>
      </c>
      <c r="CV233" s="9" t="e" cm="1">
        <f t="array" ref="CV23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3" s="9">
        <f>IFERROR(IF(ISBLANK(INDEX(Bay_AmClose,MATCH(1,INDEX((tbl_Case_mins[[#This Row],[Bay]]=BayNo)*(tbl_Case_mins[[#This Row],[Surgery Start Date]]=BDate),0,1),0))*1440),0,INDEX(Bay_AmClose,MATCH(1,INDEX((tbl_Case_mins[[#This Row],[Bay]]=BayNo)*(tbl_Case_mins[[#This Row],[Surgery Start Date]]=BDate),0,1),0))*1440),0)</f>
        <v>0</v>
      </c>
      <c r="CX233" s="9" cm="1">
        <f t="array" ref="CX233">IFERROR(IF(ISBLANK(INDEX(Bay_PmOpen,MATCH(1,INDEX((tbl_Case_mins[[#This Row],[Bay]]=BayNo)*(tbl_Case_mins[[#This Row],[Surgery Start Date]]=BDate),0,1),0))*1440),0,INDEX(Bay_PmOpen,MATCH(1,INDEX((tbl_Case_mins[[#This Row],[Bay]]=BayNo)*(tbl_Case_mins[[#This Row],[Surgery Start Date]]=BDate),0,1),0))*1440),0)</f>
        <v>0</v>
      </c>
      <c r="CY23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3" s="9"/>
    </row>
    <row r="234" spans="1:104" x14ac:dyDescent="0.2">
      <c r="A234">
        <v>233</v>
      </c>
      <c r="B234" t="e">
        <f>#REF!</f>
        <v>#REF!</v>
      </c>
      <c r="C234" t="e">
        <f>#REF!</f>
        <v>#REF!</v>
      </c>
      <c r="D234" t="e">
        <f>#REF!</f>
        <v>#REF!</v>
      </c>
      <c r="E234" t="e">
        <f>#REF!</f>
        <v>#REF!</v>
      </c>
      <c r="F234" t="e">
        <f>#REF!</f>
        <v>#REF!</v>
      </c>
      <c r="G234" t="e">
        <f>#REF!</f>
        <v>#REF!</v>
      </c>
      <c r="H234" t="e">
        <f>#REF!</f>
        <v>#REF!</v>
      </c>
      <c r="I234" t="e">
        <f>IF(#REF!="Case Cancelled",1,IF(#REF!="No Cases",2,0))</f>
        <v>#REF!</v>
      </c>
      <c r="J234" t="e">
        <f>#REF!</f>
        <v>#REF!</v>
      </c>
      <c r="K234" s="4" t="e">
        <f>#REF!</f>
        <v>#REF!</v>
      </c>
      <c r="L234" t="e">
        <f>"Wk "&amp;WEEKNUM(tbl_Case_mins[[#This Row],[Surgery Start Date]],21)</f>
        <v>#REF!</v>
      </c>
      <c r="M234" t="e">
        <f>TEXT(tbl_Case_mins[[#This Row],[Surgery Start Date]],"ddd")</f>
        <v>#REF!</v>
      </c>
      <c r="N234" s="9" t="e">
        <f>(#REF!-TIME(0,0,0))*1440</f>
        <v>#REF!</v>
      </c>
      <c r="O234" t="e">
        <f>IF(AND(ROUND((#REF!-TIME(0,0,0))*1440,0)&gt;0,ROUND((#REF!-TIME(0,0,0))*1440,0)&lt;tbl_Case_mins[[#This Row],[Patient Called]],tbl_Case_mins[[#This Row],[Surgery End Date]]&gt;tbl_Case_mins[[#This Row],[Surgery Start Date]]),ROUND((#REF!-TIME(0,0,0))*1440,0)+1440,ROUND((#REF!-TIME(0,0,0))*1440,0))</f>
        <v>#REF!</v>
      </c>
      <c r="P234" s="9" t="e">
        <f>IF(AND(ROUND((#REF!-TIME(0,0,0))*1440,0)&gt;0,ROUND((#REF!-TIME(0,0,0))*1440,0)&lt;tbl_Case_mins[[#This Row],[Arrival]],tbl_Case_mins[[#This Row],[Surgery End Date]]&gt;tbl_Case_mins[[#This Row],[Surgery Start Date]]),ROUND((#REF!-TIME(0,0,0))*1440,0)+1440,ROUND((#REF!-TIME(0,0,0))*1440,0))</f>
        <v>#REF!</v>
      </c>
      <c r="Q234" s="9" t="e">
        <f>IF(AND(ROUND((#REF!-TIME(0,0,0))*1440,0)&gt;0,ROUND((#REF!-TIME(0,0,0))*1440,0)&lt;tbl_Case_mins[[#This Row],[Into Th or AR]],tbl_Case_mins[[#This Row],[Surgery End Date]]&gt;tbl_Case_mins[[#This Row],[Surgery Start Date]]),ROUND((#REF!-TIME(0,0,0))*1440,0)+1440,ROUND((#REF!-TIME(0,0,0))*1440,0))</f>
        <v>#REF!</v>
      </c>
      <c r="R234" s="9" t="e">
        <f>IF(AND(ROUND((#REF!-TIME(0,0,0))*1440,0)&gt;0,ROUND((#REF!-TIME(0,0,0))*1440,0)&lt;tbl_Case_mins[[#This Row],[AnaesthStart]],tbl_Case_mins[[#This Row],[Surgery End Date]]&gt;tbl_Case_mins[[#This Row],[Surgery Start Date]]),ROUND((#REF!-TIME(0,0,0))*1440,0)+1440,ROUND((#REF!-TIME(0,0,0))*1440,0))</f>
        <v>#REF!</v>
      </c>
      <c r="S234" s="9" t="e">
        <f>IF(AND(ROUND((#REF!-TIME(0,0,0))*1440,0),ROUND((#REF!-TIME(0,0,0))*1440,0)&lt;tbl_Case_mins[[#This Row],[Surgery Start]],tbl_Case_mins[[#This Row],[Surgery End Date]]&gt;tbl_Case_mins[[#This Row],[Surgery Start Date]]),ROUND((#REF!-TIME(0,0,0))*1440,0)+1440,ROUND((#REF!-TIME(0,0,0))*1440,0))</f>
        <v>#REF!</v>
      </c>
      <c r="T234" s="9" t="e">
        <f>IF(AND(ROUND((#REF!-TIME(0,0,0))*1440,0)&gt;0,ROUND((#REF!-TIME(0,0,0))*1440,0)&lt;tbl_Case_mins[[#This Row],[Surgery Finish]],tbl_Case_mins[[#This Row],[Surgery End Date]]&gt;tbl_Case_mins[[#This Row],[Surgery Start Date]]),ROUND((#REF!-TIME(0,0,0))*1440,0)+1440,ROUND((#REF!-TIME(0,0,0))*1440,0))</f>
        <v>#REF!</v>
      </c>
      <c r="U234" s="9" t="e">
        <f>IF(AND(ROUND((#REF!-TIME(0,0,0))*1440,0)&gt;0,ROUND((#REF!-TIME(0,0,0))*1440,0)&lt;tbl_Case_mins[[#This Row],[Anaesth End]],tbl_Case_mins[[#This Row],[Surgery End Date]]&gt;tbl_Case_mins[[#This Row],[Surgery Start Date]]),ROUND((#REF!-TIME(0,0,0))*1440,0)+1440,ROUND((#REF!-TIME(0,0,0))*1440,0))</f>
        <v>#REF!</v>
      </c>
      <c r="V234" s="9" t="e">
        <f>IF(AND(ROUND((#REF!-TIME(0,0,0))*1440,0)&gt;0,ROUND((#REF!-TIME(0,0,0))*1440,0)&lt;tbl_Case_mins[[#This Row],[Into Recov]],tbl_Case_mins[[#This Row],[Surgery End Date]]&gt;tbl_Case_mins[[#This Row],[Surgery Start Date]]),ROUND((#REF!-TIME(0,0,0))*1440,0)+1440,ROUND((#REF!-TIME(0,0,0))*1440,0))</f>
        <v>#REF!</v>
      </c>
      <c r="W234" s="9" t="e">
        <f>IF(AND(ROUND((#REF!-TIME(0,0,0))*1440,0)&gt;0,ROUND((#REF!-TIME(0,0,0))*1440,0)&lt;tbl_Case_mins[[#This Row],[Ward Called]],tbl_Case_mins[[#This Row],[Surgery End Date]]&gt;tbl_Case_mins[[#This Row],[Surgery Start Date]]),ROUND((#REF!-TIME(0,0,0))*1440,0)+1440,ROUND((#REF!-TIME(0,0,0))*1440,0))</f>
        <v>#REF!</v>
      </c>
      <c r="X234" s="4" t="e">
        <f>IF(ISBLANK(#REF!),tbl_Case_mins[[#This Row],[Surgery Start Date]],#REF!)</f>
        <v>#REF!</v>
      </c>
      <c r="Y234">
        <f>IFERROR(IF(VLOOKUP(tbl_Case_mins[[#This Row],[Theatre]],'Mng Theatres'!$C$7:$G$12,3,FALSE)="Yes","Yes","No"),0)</f>
        <v>0</v>
      </c>
      <c r="Z234" s="9" t="e" cm="1">
        <f t="array" ref="Z23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4" s="9" t="e" cm="1">
        <f t="array" ref="AA23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4" s="9" t="e">
        <f>IF(tbl_Case_mins[[#This Row],[Case Type]]="Unsch",1,0)</f>
        <v>#REF!</v>
      </c>
      <c r="AD234" s="9" t="e">
        <f>IF(tbl_Case_mins[[#This Row],[Case Type]]="Sch",1,0)</f>
        <v>#REF!</v>
      </c>
      <c r="AE23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4" s="9">
        <f>IFERROR(IF(ISBLANK(INDEX(Am_Close,MATCH(1,INDEX((tbl_Case_mins[[#This Row],[Theatre]]=Theatre_No)*(tbl_Case_mins[[#This Row],[Surgery Start Date]]=Date),0,1),0))*1440),0,INDEX(Am_Close,MATCH(1,INDEX((tbl_Case_mins[[#This Row],[Theatre]]=Theatre_No)*(tbl_Case_mins[[#This Row],[Surgery Start Date]]=Date),0,1),0))*1440),0)</f>
        <v>0</v>
      </c>
      <c r="AG234" s="9">
        <f>IFERROR(IF(ISBLANK(INDEX(PM_Open,MATCH(1,INDEX((tbl_Case_mins[[#This Row],[Theatre]]=Theatre_No)*(tbl_Case_mins[[#This Row],[Surgery Start Date]]=Date),0,1),0))*1440),0,INDEX(PM_Open,MATCH(1,INDEX((tbl_Case_mins[[#This Row],[Theatre]]=Theatre_No)*(tbl_Case_mins[[#This Row],[Surgery Start Date]]=Date),0,1),0))*1440),0)</f>
        <v>0</v>
      </c>
      <c r="AH23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4" s="9" t="e">
        <f>IF(tbl_Case_mins[[#This Row],[ThOpenAm]]=0,tbl_Case_mins[[#This Row],[ThOpenPM]],tbl_Case_mins[[#This Row],[ThOpenAm]])</f>
        <v>#REF!</v>
      </c>
      <c r="AJ234" s="9" t="e">
        <f>IF(tbl_Case_mins[[#This Row],[ThCloseAm]]&gt;0,IF(tbl_Case_mins[[#This Row],[ThOpenPM]]&gt;0,tbl_Case_mins[[#This Row],[ThClosePm]],tbl_Case_mins[[#This Row],[ThCloseAm]]),tbl_Case_mins[[#This Row],[ThClosePm]])</f>
        <v>#REF!</v>
      </c>
      <c r="AK234" s="9" t="e">
        <f>IF(tbl_Case_mins[[#This Row],[TOT]]&gt;0,1,0)</f>
        <v>#REF!</v>
      </c>
      <c r="AL23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4" s="9" t="e">
        <f>IF(AND(tbl_Case_mins[[#This Row],[Surgery Status]]&lt;&gt;2,tbl_Case_mins[[#This Row],[InCoreCase]]=0,tbl_Case_mins[[#This Row],[CancelledCase]]=0),1,0)</f>
        <v>#REF!</v>
      </c>
      <c r="AN234" s="9" t="e">
        <f>IF(tbl_Case_mins[[#This Row],[Surgery Status]]=1,1,0)</f>
        <v>#REF!</v>
      </c>
      <c r="AO23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4" s="9" t="e">
        <f>IF(AND(tbl_Case_mins[[#This Row],[NonCoreCase]]=1,tbl_Case_mins[[#This Row],[NoInCoreTime]]=0),1,0)</f>
        <v>#REF!</v>
      </c>
      <c r="AQ234" s="9" t="e">
        <f>IF(tbl_Case_mins[[#This Row],[Rank_AnaEnd]]&lt;tbl_Case_mins[[#This Row],[Rank_AnaSt]],1,0)</f>
        <v>#REF!</v>
      </c>
      <c r="AR234" s="9" t="e">
        <f>IF(AND(tbl_Case_mins[[#This Row],[InCoreCase]]=1,tbl_Case_mins[[#This Row],[Sch]]=1),1,0)</f>
        <v>#REF!</v>
      </c>
      <c r="AS234" s="9" t="e">
        <f>IF(AND(tbl_Case_mins[[#This Row],[InCoreCase]]=1,tbl_Case_mins[[#This Row],[Unsch]]=1),1,0)</f>
        <v>#REF!</v>
      </c>
      <c r="AT23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4" s="9" t="e">
        <f>IF(tbl_Case_mins[[#This Row],[Surgery Status]]=0,(tbl_Case_mins[[#This Row],[Anaesth End]]-tbl_Case_mins[[#This Row],[AnaesthStart]]),0)</f>
        <v>#REF!</v>
      </c>
      <c r="AX234" s="9" t="e">
        <f>IF(tbl_Case_mins[[#This Row],[Surgery Status]]=0,(tbl_Case_mins[[#This Row],[Surgery Finish]]-tbl_Case_mins[[#This Row],[Surgery Start]]),0)</f>
        <v>#REF!</v>
      </c>
      <c r="AY234" s="9" t="e">
        <f>tbl_Case_mins[[#This Row],[Surgery Start]]-tbl_Case_mins[[#This Row],[AnaesthStart]]</f>
        <v>#REF!</v>
      </c>
      <c r="AZ234" s="9" t="e">
        <f>tbl_Case_mins[[#This Row],[Anaesth End]]-tbl_Case_mins[[#This Row],[Surgery Finish]]</f>
        <v>#REF!</v>
      </c>
      <c r="BA23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4" s="16" cm="1">
        <f t="array" ref="BC23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4" s="16" t="e">
        <f>IF(AND(tbl_Case_mins[[#This Row],[FirstAMCase]]=1,tbl_Case_mins[[#This Row],[CancelledCase]]=0,OR(tbl_Case_mins[[#This Row],[EarlyStartAM]]&gt;0,tbl_Case_mins[[#This Row],[AnaesthStart]]=tbl_Case_mins[[#This Row],[ThOpenAm]])),1,0)</f>
        <v>#REF!</v>
      </c>
      <c r="BE234" s="16" t="e">
        <f>IF(AND(tbl_Case_mins[[#This Row],[Rank_AnaSt]]=tbl_Case_mins[[#This Row],[Min_RankAnaSt]],tbl_Case_mins[[#This Row],[Anaesth End]]&gt;=tbl_Case_mins[[#This Row],[ThOpenAm]],tbl_Case_mins[[#This Row],[PmCase]]=0),1,0)</f>
        <v>#REF!</v>
      </c>
      <c r="BF23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4" s="9" t="e" cm="1">
        <f t="array" ref="BH23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4" s="9" t="e">
        <f>IF(AND(tbl_Case_mins[[#This Row],[ThOpenPM]]&gt;0,tbl_Case_mins[[#This Row],[AnaesthStart]]&gt;tbl_Case_mins[[#This Row],[ThOpenPM]],tbl_Case_mins[[#This Row],[First PM Case]]=1),tbl_Case_mins[[#This Row],[AnaesthStart]]-tbl_Case_mins[[#This Row],[ThOpenPM]],0)</f>
        <v>#REF!</v>
      </c>
      <c r="BL23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4" s="9" t="e" cm="1">
        <f t="array" ref="BN23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4" s="9" t="e">
        <f>IF(AND(tbl_Case_mins[[#This Row],[ThClosePm]]&gt;0,tbl_Case_mins[[#This Row],[Anaesth End]]&gt;tbl_Case_mins[[#This Row],[ThClosePm]],tbl_Case_mins[[#This Row],[AnaesthStart]]&gt;tbl_Case_mins[[#This Row],[ThClosePm]]),tbl_Case_mins[[#This Row],[Into Recov]]-tbl_Case_mins[[#This Row],[AnaesthStart]],0)</f>
        <v>#REF!</v>
      </c>
      <c r="BP234" s="9" t="e">
        <f>IF(AND(tbl_Case_mins[[#This Row],[AnaesthStart]]&lt;tbl_Case_mins[[#This Row],[ThClosePm]],tbl_Case_mins[[#This Row],[Anaesth End]]&gt;tbl_Case_mins[[#This Row],[ThClosePm]]),tbl_Case_mins[[#This Row],[Anaesth End]]-tbl_Case_mins[[#This Row],[ThClosePm]],0)</f>
        <v>#REF!</v>
      </c>
      <c r="BQ234" s="9" t="e" cm="1">
        <f t="array" ref="BQ23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4" s="9" t="e" cm="1">
        <f t="array" ref="BR234">IF(tbl_Case_mins[[#This Row],[Rank_Adjust]]=SUMPRODUCT(-(tbl_Case_mins[Surgery Start Date]=tbl_Case_mins[[#This Row],[Surgery Start Date]]),-(tbl_Case_mins[Theatre]=tbl_Case_mins[[#This Row],[Theatre]])),INDEX(Poss_Time,MATCH(TEXT(tbl_Case_mins[[#This Row],[Surgery Start Date]],"ddd"),Day,0)),0)</f>
        <v>#REF!</v>
      </c>
      <c r="BS234" s="9" t="e">
        <f>tbl_Case_mins[[#This Row],[Core_Time]]*Util_Goal</f>
        <v>#REF!</v>
      </c>
      <c r="BT234" s="9" t="e" cm="1">
        <f t="array" ref="BT2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4" s="9" t="e" cm="1">
        <f t="array" ref="BU2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4" s="9" t="e">
        <f>IF(tbl_Case_mins[[#This Row],[Surgery End Date]]&gt;tbl_Case_mins[[#This Row],[Surgery Start Date]],tbl_Case_mins[[#This Row],[Anaesth End]]-1440,0)</f>
        <v>#REF!</v>
      </c>
      <c r="BY234" s="9" t="e">
        <f>tbl_Case_mins[[#This Row],[Total_NonCore]]-tbl_Case_mins[[#This Row],[NextDay_NonCore]]</f>
        <v>#REF!</v>
      </c>
      <c r="BZ234" s="10" t="e">
        <f>tbl_Case_mins[[#This Row],[InCoreUse]]/60</f>
        <v>#REF!</v>
      </c>
      <c r="CA234" s="10" t="e">
        <f>tbl_Case_mins[[#This Row],[Total_NonCore]]/60</f>
        <v>#REF!</v>
      </c>
      <c r="CB234" t="e" cm="1">
        <f t="array" ref="CB2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4" s="9" t="e" cm="1">
        <f t="array" ref="CC23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4" s="9" t="e" cm="1">
        <f t="array" ref="CD2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4" s="9" t="e" cm="1">
        <f t="array" ref="CE23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4" s="9" cm="1">
        <f t="array" ref="CF234">IFERROR(_xlfn.AGGREGATE(14,6,(tbl_Case_mins[Rank_AnaEnd])/((tbl_Case_mins[Surgery Start Date]=tbl_Case_mins[[#This Row],[Surgery Start Date]])*(tbl_Case_mins[Theatre]=tbl_Case_mins[[#This Row],[Theatre]])*(tbl_Case_mins[NoInCoreTime]=0)),1),-1)</f>
        <v>-1</v>
      </c>
      <c r="CG234" s="9" cm="1">
        <f t="array" ref="CG234">IFERROR(_xlfn.AGGREGATE(15,6,(tbl_Case_mins[Rank_AnaSt])/((tbl_Case_mins[Surgery Start Date]=tbl_Case_mins[[#This Row],[Surgery Start Date]])*(tbl_Case_mins[Theatre]=tbl_Case_mins[[#This Row],[Theatre]])*(tbl_Case_mins[NoInCoreTime]=0)),1),-1)</f>
        <v>-1</v>
      </c>
      <c r="CH23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4" t="e" cm="1">
        <f t="array" ref="CJ23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4" s="9" cm="1">
        <f t="array" ref="CO2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4" s="9" cm="1">
        <f t="array" ref="CP2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4" s="9" cm="1">
        <f t="array" ref="CQ234">IFERROR(IF(AND(tbl_Case_mins[[#This Row],[FirstAMCase]]=0,tbl_Case_mins[[#This Row],[Rank]]=_xlfn.AGGREGATE(14,6,(tbl_Case_mins[Rank])/((tbl_Case_mins[Surgery Start Date]=tbl_Case_mins[[#This Row],[Surgery Start Date]])*(tbl_Case_mins[Theatre]=tbl_Case_mins[[#This Row],[Theatre]])*(tbl_Case_mins[AmCase]=1)),1)),1,0),0)</f>
        <v>0</v>
      </c>
      <c r="CR234" s="9" cm="1">
        <f t="array" ref="CR23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4" s="9" t="e" cm="1">
        <f t="array" ref="CS23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4" s="9" cm="1">
        <f t="array" ref="CT234">IFERROR(IF(tbl_Case_mins[[#This Row],[Rank]]=_xlfn.AGGREGATE(15,6,(tbl_Case_mins[Rank])/((tbl_Case_mins[Surgery Start Date]=tbl_Case_mins[[#This Row],[Surgery Start Date]])*(tbl_Case_mins[Theatre]=tbl_Case_mins[[#This Row],[Theatre]])*(tbl_Case_mins[PmCase]=1)),1),1,0),0)</f>
        <v>0</v>
      </c>
      <c r="CU234">
        <f>IFERROR(#REF!,0)</f>
        <v>0</v>
      </c>
      <c r="CV234" s="9" t="e" cm="1">
        <f t="array" ref="CV23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4" s="9">
        <f>IFERROR(IF(ISBLANK(INDEX(Bay_AmClose,MATCH(1,INDEX((tbl_Case_mins[[#This Row],[Bay]]=BayNo)*(tbl_Case_mins[[#This Row],[Surgery Start Date]]=BDate),0,1),0))*1440),0,INDEX(Bay_AmClose,MATCH(1,INDEX((tbl_Case_mins[[#This Row],[Bay]]=BayNo)*(tbl_Case_mins[[#This Row],[Surgery Start Date]]=BDate),0,1),0))*1440),0)</f>
        <v>0</v>
      </c>
      <c r="CX234" s="9" cm="1">
        <f t="array" ref="CX234">IFERROR(IF(ISBLANK(INDEX(Bay_PmOpen,MATCH(1,INDEX((tbl_Case_mins[[#This Row],[Bay]]=BayNo)*(tbl_Case_mins[[#This Row],[Surgery Start Date]]=BDate),0,1),0))*1440),0,INDEX(Bay_PmOpen,MATCH(1,INDEX((tbl_Case_mins[[#This Row],[Bay]]=BayNo)*(tbl_Case_mins[[#This Row],[Surgery Start Date]]=BDate),0,1),0))*1440),0)</f>
        <v>0</v>
      </c>
      <c r="CY23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4" s="9"/>
    </row>
    <row r="235" spans="1:104" x14ac:dyDescent="0.2">
      <c r="A235">
        <v>234</v>
      </c>
      <c r="B235" t="e">
        <f>#REF!</f>
        <v>#REF!</v>
      </c>
      <c r="C235" t="e">
        <f>#REF!</f>
        <v>#REF!</v>
      </c>
      <c r="D235" t="e">
        <f>#REF!</f>
        <v>#REF!</v>
      </c>
      <c r="E235" t="e">
        <f>#REF!</f>
        <v>#REF!</v>
      </c>
      <c r="F235" t="e">
        <f>#REF!</f>
        <v>#REF!</v>
      </c>
      <c r="G235" t="e">
        <f>#REF!</f>
        <v>#REF!</v>
      </c>
      <c r="H235" t="e">
        <f>#REF!</f>
        <v>#REF!</v>
      </c>
      <c r="I235" t="e">
        <f>IF(#REF!="Case Cancelled",1,IF(#REF!="No Cases",2,0))</f>
        <v>#REF!</v>
      </c>
      <c r="J235" t="e">
        <f>#REF!</f>
        <v>#REF!</v>
      </c>
      <c r="K235" s="4" t="e">
        <f>#REF!</f>
        <v>#REF!</v>
      </c>
      <c r="L235" t="e">
        <f>"Wk "&amp;WEEKNUM(tbl_Case_mins[[#This Row],[Surgery Start Date]],21)</f>
        <v>#REF!</v>
      </c>
      <c r="M235" t="e">
        <f>TEXT(tbl_Case_mins[[#This Row],[Surgery Start Date]],"ddd")</f>
        <v>#REF!</v>
      </c>
      <c r="N235" s="9" t="e">
        <f>(#REF!-TIME(0,0,0))*1440</f>
        <v>#REF!</v>
      </c>
      <c r="O235" t="e">
        <f>IF(AND(ROUND((#REF!-TIME(0,0,0))*1440,0)&gt;0,ROUND((#REF!-TIME(0,0,0))*1440,0)&lt;tbl_Case_mins[[#This Row],[Patient Called]],tbl_Case_mins[[#This Row],[Surgery End Date]]&gt;tbl_Case_mins[[#This Row],[Surgery Start Date]]),ROUND((#REF!-TIME(0,0,0))*1440,0)+1440,ROUND((#REF!-TIME(0,0,0))*1440,0))</f>
        <v>#REF!</v>
      </c>
      <c r="P235" s="9" t="e">
        <f>IF(AND(ROUND((#REF!-TIME(0,0,0))*1440,0)&gt;0,ROUND((#REF!-TIME(0,0,0))*1440,0)&lt;tbl_Case_mins[[#This Row],[Arrival]],tbl_Case_mins[[#This Row],[Surgery End Date]]&gt;tbl_Case_mins[[#This Row],[Surgery Start Date]]),ROUND((#REF!-TIME(0,0,0))*1440,0)+1440,ROUND((#REF!-TIME(0,0,0))*1440,0))</f>
        <v>#REF!</v>
      </c>
      <c r="Q235" s="9" t="e">
        <f>IF(AND(ROUND((#REF!-TIME(0,0,0))*1440,0)&gt;0,ROUND((#REF!-TIME(0,0,0))*1440,0)&lt;tbl_Case_mins[[#This Row],[Into Th or AR]],tbl_Case_mins[[#This Row],[Surgery End Date]]&gt;tbl_Case_mins[[#This Row],[Surgery Start Date]]),ROUND((#REF!-TIME(0,0,0))*1440,0)+1440,ROUND((#REF!-TIME(0,0,0))*1440,0))</f>
        <v>#REF!</v>
      </c>
      <c r="R235" s="9" t="e">
        <f>IF(AND(ROUND((#REF!-TIME(0,0,0))*1440,0)&gt;0,ROUND((#REF!-TIME(0,0,0))*1440,0)&lt;tbl_Case_mins[[#This Row],[AnaesthStart]],tbl_Case_mins[[#This Row],[Surgery End Date]]&gt;tbl_Case_mins[[#This Row],[Surgery Start Date]]),ROUND((#REF!-TIME(0,0,0))*1440,0)+1440,ROUND((#REF!-TIME(0,0,0))*1440,0))</f>
        <v>#REF!</v>
      </c>
      <c r="S235" s="9" t="e">
        <f>IF(AND(ROUND((#REF!-TIME(0,0,0))*1440,0),ROUND((#REF!-TIME(0,0,0))*1440,0)&lt;tbl_Case_mins[[#This Row],[Surgery Start]],tbl_Case_mins[[#This Row],[Surgery End Date]]&gt;tbl_Case_mins[[#This Row],[Surgery Start Date]]),ROUND((#REF!-TIME(0,0,0))*1440,0)+1440,ROUND((#REF!-TIME(0,0,0))*1440,0))</f>
        <v>#REF!</v>
      </c>
      <c r="T235" s="9" t="e">
        <f>IF(AND(ROUND((#REF!-TIME(0,0,0))*1440,0)&gt;0,ROUND((#REF!-TIME(0,0,0))*1440,0)&lt;tbl_Case_mins[[#This Row],[Surgery Finish]],tbl_Case_mins[[#This Row],[Surgery End Date]]&gt;tbl_Case_mins[[#This Row],[Surgery Start Date]]),ROUND((#REF!-TIME(0,0,0))*1440,0)+1440,ROUND((#REF!-TIME(0,0,0))*1440,0))</f>
        <v>#REF!</v>
      </c>
      <c r="U235" s="9" t="e">
        <f>IF(AND(ROUND((#REF!-TIME(0,0,0))*1440,0)&gt;0,ROUND((#REF!-TIME(0,0,0))*1440,0)&lt;tbl_Case_mins[[#This Row],[Anaesth End]],tbl_Case_mins[[#This Row],[Surgery End Date]]&gt;tbl_Case_mins[[#This Row],[Surgery Start Date]]),ROUND((#REF!-TIME(0,0,0))*1440,0)+1440,ROUND((#REF!-TIME(0,0,0))*1440,0))</f>
        <v>#REF!</v>
      </c>
      <c r="V235" s="9" t="e">
        <f>IF(AND(ROUND((#REF!-TIME(0,0,0))*1440,0)&gt;0,ROUND((#REF!-TIME(0,0,0))*1440,0)&lt;tbl_Case_mins[[#This Row],[Into Recov]],tbl_Case_mins[[#This Row],[Surgery End Date]]&gt;tbl_Case_mins[[#This Row],[Surgery Start Date]]),ROUND((#REF!-TIME(0,0,0))*1440,0)+1440,ROUND((#REF!-TIME(0,0,0))*1440,0))</f>
        <v>#REF!</v>
      </c>
      <c r="W235" s="9" t="e">
        <f>IF(AND(ROUND((#REF!-TIME(0,0,0))*1440,0)&gt;0,ROUND((#REF!-TIME(0,0,0))*1440,0)&lt;tbl_Case_mins[[#This Row],[Ward Called]],tbl_Case_mins[[#This Row],[Surgery End Date]]&gt;tbl_Case_mins[[#This Row],[Surgery Start Date]]),ROUND((#REF!-TIME(0,0,0))*1440,0)+1440,ROUND((#REF!-TIME(0,0,0))*1440,0))</f>
        <v>#REF!</v>
      </c>
      <c r="X235" s="4" t="e">
        <f>IF(ISBLANK(#REF!),tbl_Case_mins[[#This Row],[Surgery Start Date]],#REF!)</f>
        <v>#REF!</v>
      </c>
      <c r="Y235">
        <f>IFERROR(IF(VLOOKUP(tbl_Case_mins[[#This Row],[Theatre]],'Mng Theatres'!$C$7:$G$12,3,FALSE)="Yes","Yes","No"),0)</f>
        <v>0</v>
      </c>
      <c r="Z235" s="9" t="e" cm="1">
        <f t="array" ref="Z23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5" s="9" t="e" cm="1">
        <f t="array" ref="AA23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5" s="9" t="e">
        <f>IF(tbl_Case_mins[[#This Row],[Case Type]]="Unsch",1,0)</f>
        <v>#REF!</v>
      </c>
      <c r="AD235" s="9" t="e">
        <f>IF(tbl_Case_mins[[#This Row],[Case Type]]="Sch",1,0)</f>
        <v>#REF!</v>
      </c>
      <c r="AE23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5" s="9">
        <f>IFERROR(IF(ISBLANK(INDEX(Am_Close,MATCH(1,INDEX((tbl_Case_mins[[#This Row],[Theatre]]=Theatre_No)*(tbl_Case_mins[[#This Row],[Surgery Start Date]]=Date),0,1),0))*1440),0,INDEX(Am_Close,MATCH(1,INDEX((tbl_Case_mins[[#This Row],[Theatre]]=Theatre_No)*(tbl_Case_mins[[#This Row],[Surgery Start Date]]=Date),0,1),0))*1440),0)</f>
        <v>0</v>
      </c>
      <c r="AG235" s="9">
        <f>IFERROR(IF(ISBLANK(INDEX(PM_Open,MATCH(1,INDEX((tbl_Case_mins[[#This Row],[Theatre]]=Theatre_No)*(tbl_Case_mins[[#This Row],[Surgery Start Date]]=Date),0,1),0))*1440),0,INDEX(PM_Open,MATCH(1,INDEX((tbl_Case_mins[[#This Row],[Theatre]]=Theatre_No)*(tbl_Case_mins[[#This Row],[Surgery Start Date]]=Date),0,1),0))*1440),0)</f>
        <v>0</v>
      </c>
      <c r="AH23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5" s="9" t="e">
        <f>IF(tbl_Case_mins[[#This Row],[ThOpenAm]]=0,tbl_Case_mins[[#This Row],[ThOpenPM]],tbl_Case_mins[[#This Row],[ThOpenAm]])</f>
        <v>#REF!</v>
      </c>
      <c r="AJ235" s="9" t="e">
        <f>IF(tbl_Case_mins[[#This Row],[ThCloseAm]]&gt;0,IF(tbl_Case_mins[[#This Row],[ThOpenPM]]&gt;0,tbl_Case_mins[[#This Row],[ThClosePm]],tbl_Case_mins[[#This Row],[ThCloseAm]]),tbl_Case_mins[[#This Row],[ThClosePm]])</f>
        <v>#REF!</v>
      </c>
      <c r="AK235" s="9" t="e">
        <f>IF(tbl_Case_mins[[#This Row],[TOT]]&gt;0,1,0)</f>
        <v>#REF!</v>
      </c>
      <c r="AL23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5" s="9" t="e">
        <f>IF(AND(tbl_Case_mins[[#This Row],[Surgery Status]]&lt;&gt;2,tbl_Case_mins[[#This Row],[InCoreCase]]=0,tbl_Case_mins[[#This Row],[CancelledCase]]=0),1,0)</f>
        <v>#REF!</v>
      </c>
      <c r="AN235" s="9" t="e">
        <f>IF(tbl_Case_mins[[#This Row],[Surgery Status]]=1,1,0)</f>
        <v>#REF!</v>
      </c>
      <c r="AO23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5" s="9" t="e">
        <f>IF(AND(tbl_Case_mins[[#This Row],[NonCoreCase]]=1,tbl_Case_mins[[#This Row],[NoInCoreTime]]=0),1,0)</f>
        <v>#REF!</v>
      </c>
      <c r="AQ235" s="9" t="e">
        <f>IF(tbl_Case_mins[[#This Row],[Rank_AnaEnd]]&lt;tbl_Case_mins[[#This Row],[Rank_AnaSt]],1,0)</f>
        <v>#REF!</v>
      </c>
      <c r="AR235" s="9" t="e">
        <f>IF(AND(tbl_Case_mins[[#This Row],[InCoreCase]]=1,tbl_Case_mins[[#This Row],[Sch]]=1),1,0)</f>
        <v>#REF!</v>
      </c>
      <c r="AS235" s="9" t="e">
        <f>IF(AND(tbl_Case_mins[[#This Row],[InCoreCase]]=1,tbl_Case_mins[[#This Row],[Unsch]]=1),1,0)</f>
        <v>#REF!</v>
      </c>
      <c r="AT23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5" s="9" t="e">
        <f>IF(tbl_Case_mins[[#This Row],[Surgery Status]]=0,(tbl_Case_mins[[#This Row],[Anaesth End]]-tbl_Case_mins[[#This Row],[AnaesthStart]]),0)</f>
        <v>#REF!</v>
      </c>
      <c r="AX235" s="9" t="e">
        <f>IF(tbl_Case_mins[[#This Row],[Surgery Status]]=0,(tbl_Case_mins[[#This Row],[Surgery Finish]]-tbl_Case_mins[[#This Row],[Surgery Start]]),0)</f>
        <v>#REF!</v>
      </c>
      <c r="AY235" s="9" t="e">
        <f>tbl_Case_mins[[#This Row],[Surgery Start]]-tbl_Case_mins[[#This Row],[AnaesthStart]]</f>
        <v>#REF!</v>
      </c>
      <c r="AZ235" s="9" t="e">
        <f>tbl_Case_mins[[#This Row],[Anaesth End]]-tbl_Case_mins[[#This Row],[Surgery Finish]]</f>
        <v>#REF!</v>
      </c>
      <c r="BA23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5" s="16" cm="1">
        <f t="array" ref="BC23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5" s="16" t="e">
        <f>IF(AND(tbl_Case_mins[[#This Row],[FirstAMCase]]=1,tbl_Case_mins[[#This Row],[CancelledCase]]=0,OR(tbl_Case_mins[[#This Row],[EarlyStartAM]]&gt;0,tbl_Case_mins[[#This Row],[AnaesthStart]]=tbl_Case_mins[[#This Row],[ThOpenAm]])),1,0)</f>
        <v>#REF!</v>
      </c>
      <c r="BE235" s="16" t="e">
        <f>IF(AND(tbl_Case_mins[[#This Row],[Rank_AnaSt]]=tbl_Case_mins[[#This Row],[Min_RankAnaSt]],tbl_Case_mins[[#This Row],[Anaesth End]]&gt;=tbl_Case_mins[[#This Row],[ThOpenAm]],tbl_Case_mins[[#This Row],[PmCase]]=0),1,0)</f>
        <v>#REF!</v>
      </c>
      <c r="BF23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5" s="9" t="e" cm="1">
        <f t="array" ref="BH23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5" s="9" t="e">
        <f>IF(AND(tbl_Case_mins[[#This Row],[ThOpenPM]]&gt;0,tbl_Case_mins[[#This Row],[AnaesthStart]]&gt;tbl_Case_mins[[#This Row],[ThOpenPM]],tbl_Case_mins[[#This Row],[First PM Case]]=1),tbl_Case_mins[[#This Row],[AnaesthStart]]-tbl_Case_mins[[#This Row],[ThOpenPM]],0)</f>
        <v>#REF!</v>
      </c>
      <c r="BL23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5" s="9" t="e" cm="1">
        <f t="array" ref="BN23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5" s="9" t="e">
        <f>IF(AND(tbl_Case_mins[[#This Row],[ThClosePm]]&gt;0,tbl_Case_mins[[#This Row],[Anaesth End]]&gt;tbl_Case_mins[[#This Row],[ThClosePm]],tbl_Case_mins[[#This Row],[AnaesthStart]]&gt;tbl_Case_mins[[#This Row],[ThClosePm]]),tbl_Case_mins[[#This Row],[Into Recov]]-tbl_Case_mins[[#This Row],[AnaesthStart]],0)</f>
        <v>#REF!</v>
      </c>
      <c r="BP235" s="9" t="e">
        <f>IF(AND(tbl_Case_mins[[#This Row],[AnaesthStart]]&lt;tbl_Case_mins[[#This Row],[ThClosePm]],tbl_Case_mins[[#This Row],[Anaesth End]]&gt;tbl_Case_mins[[#This Row],[ThClosePm]]),tbl_Case_mins[[#This Row],[Anaesth End]]-tbl_Case_mins[[#This Row],[ThClosePm]],0)</f>
        <v>#REF!</v>
      </c>
      <c r="BQ235" s="9" t="e" cm="1">
        <f t="array" ref="BQ23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5" s="9" t="e" cm="1">
        <f t="array" ref="BR235">IF(tbl_Case_mins[[#This Row],[Rank_Adjust]]=SUMPRODUCT(-(tbl_Case_mins[Surgery Start Date]=tbl_Case_mins[[#This Row],[Surgery Start Date]]),-(tbl_Case_mins[Theatre]=tbl_Case_mins[[#This Row],[Theatre]])),INDEX(Poss_Time,MATCH(TEXT(tbl_Case_mins[[#This Row],[Surgery Start Date]],"ddd"),Day,0)),0)</f>
        <v>#REF!</v>
      </c>
      <c r="BS235" s="9" t="e">
        <f>tbl_Case_mins[[#This Row],[Core_Time]]*Util_Goal</f>
        <v>#REF!</v>
      </c>
      <c r="BT235" s="9" t="e" cm="1">
        <f t="array" ref="BT2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5" s="9" t="e" cm="1">
        <f t="array" ref="BU2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5" s="9" t="e">
        <f>IF(tbl_Case_mins[[#This Row],[Surgery End Date]]&gt;tbl_Case_mins[[#This Row],[Surgery Start Date]],tbl_Case_mins[[#This Row],[Anaesth End]]-1440,0)</f>
        <v>#REF!</v>
      </c>
      <c r="BY235" s="9" t="e">
        <f>tbl_Case_mins[[#This Row],[Total_NonCore]]-tbl_Case_mins[[#This Row],[NextDay_NonCore]]</f>
        <v>#REF!</v>
      </c>
      <c r="BZ235" s="10" t="e">
        <f>tbl_Case_mins[[#This Row],[InCoreUse]]/60</f>
        <v>#REF!</v>
      </c>
      <c r="CA235" s="10" t="e">
        <f>tbl_Case_mins[[#This Row],[Total_NonCore]]/60</f>
        <v>#REF!</v>
      </c>
      <c r="CB235" t="e" cm="1">
        <f t="array" ref="CB2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5" s="9" t="e" cm="1">
        <f t="array" ref="CC23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5" s="9" t="e" cm="1">
        <f t="array" ref="CD2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5" s="9" t="e" cm="1">
        <f t="array" ref="CE23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5" s="9" cm="1">
        <f t="array" ref="CF235">IFERROR(_xlfn.AGGREGATE(14,6,(tbl_Case_mins[Rank_AnaEnd])/((tbl_Case_mins[Surgery Start Date]=tbl_Case_mins[[#This Row],[Surgery Start Date]])*(tbl_Case_mins[Theatre]=tbl_Case_mins[[#This Row],[Theatre]])*(tbl_Case_mins[NoInCoreTime]=0)),1),-1)</f>
        <v>-1</v>
      </c>
      <c r="CG235" s="9" cm="1">
        <f t="array" ref="CG235">IFERROR(_xlfn.AGGREGATE(15,6,(tbl_Case_mins[Rank_AnaSt])/((tbl_Case_mins[Surgery Start Date]=tbl_Case_mins[[#This Row],[Surgery Start Date]])*(tbl_Case_mins[Theatre]=tbl_Case_mins[[#This Row],[Theatre]])*(tbl_Case_mins[NoInCoreTime]=0)),1),-1)</f>
        <v>-1</v>
      </c>
      <c r="CH23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5" t="e" cm="1">
        <f t="array" ref="CJ23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5" s="9" cm="1">
        <f t="array" ref="CO2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5" s="9" cm="1">
        <f t="array" ref="CP2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5" s="9" cm="1">
        <f t="array" ref="CQ235">IFERROR(IF(AND(tbl_Case_mins[[#This Row],[FirstAMCase]]=0,tbl_Case_mins[[#This Row],[Rank]]=_xlfn.AGGREGATE(14,6,(tbl_Case_mins[Rank])/((tbl_Case_mins[Surgery Start Date]=tbl_Case_mins[[#This Row],[Surgery Start Date]])*(tbl_Case_mins[Theatre]=tbl_Case_mins[[#This Row],[Theatre]])*(tbl_Case_mins[AmCase]=1)),1)),1,0),0)</f>
        <v>0</v>
      </c>
      <c r="CR235" s="9" cm="1">
        <f t="array" ref="CR23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5" s="9" t="e" cm="1">
        <f t="array" ref="CS23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5" s="9" cm="1">
        <f t="array" ref="CT235">IFERROR(IF(tbl_Case_mins[[#This Row],[Rank]]=_xlfn.AGGREGATE(15,6,(tbl_Case_mins[Rank])/((tbl_Case_mins[Surgery Start Date]=tbl_Case_mins[[#This Row],[Surgery Start Date]])*(tbl_Case_mins[Theatre]=tbl_Case_mins[[#This Row],[Theatre]])*(tbl_Case_mins[PmCase]=1)),1),1,0),0)</f>
        <v>0</v>
      </c>
      <c r="CU235">
        <f>IFERROR(#REF!,0)</f>
        <v>0</v>
      </c>
      <c r="CV235" s="9" t="e" cm="1">
        <f t="array" ref="CV23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5" s="9">
        <f>IFERROR(IF(ISBLANK(INDEX(Bay_AmClose,MATCH(1,INDEX((tbl_Case_mins[[#This Row],[Bay]]=BayNo)*(tbl_Case_mins[[#This Row],[Surgery Start Date]]=BDate),0,1),0))*1440),0,INDEX(Bay_AmClose,MATCH(1,INDEX((tbl_Case_mins[[#This Row],[Bay]]=BayNo)*(tbl_Case_mins[[#This Row],[Surgery Start Date]]=BDate),0,1),0))*1440),0)</f>
        <v>0</v>
      </c>
      <c r="CX235" s="9" cm="1">
        <f t="array" ref="CX235">IFERROR(IF(ISBLANK(INDEX(Bay_PmOpen,MATCH(1,INDEX((tbl_Case_mins[[#This Row],[Bay]]=BayNo)*(tbl_Case_mins[[#This Row],[Surgery Start Date]]=BDate),0,1),0))*1440),0,INDEX(Bay_PmOpen,MATCH(1,INDEX((tbl_Case_mins[[#This Row],[Bay]]=BayNo)*(tbl_Case_mins[[#This Row],[Surgery Start Date]]=BDate),0,1),0))*1440),0)</f>
        <v>0</v>
      </c>
      <c r="CY23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5" s="9"/>
    </row>
    <row r="236" spans="1:104" x14ac:dyDescent="0.2">
      <c r="A236">
        <v>235</v>
      </c>
      <c r="B236" t="e">
        <f>#REF!</f>
        <v>#REF!</v>
      </c>
      <c r="C236" t="e">
        <f>#REF!</f>
        <v>#REF!</v>
      </c>
      <c r="D236" t="e">
        <f>#REF!</f>
        <v>#REF!</v>
      </c>
      <c r="E236" t="e">
        <f>#REF!</f>
        <v>#REF!</v>
      </c>
      <c r="F236" t="e">
        <f>#REF!</f>
        <v>#REF!</v>
      </c>
      <c r="G236" t="e">
        <f>#REF!</f>
        <v>#REF!</v>
      </c>
      <c r="H236" t="e">
        <f>#REF!</f>
        <v>#REF!</v>
      </c>
      <c r="I236" t="e">
        <f>IF(#REF!="Case Cancelled",1,IF(#REF!="No Cases",2,0))</f>
        <v>#REF!</v>
      </c>
      <c r="J236" t="e">
        <f>#REF!</f>
        <v>#REF!</v>
      </c>
      <c r="K236" s="4" t="e">
        <f>#REF!</f>
        <v>#REF!</v>
      </c>
      <c r="L236" t="e">
        <f>"Wk "&amp;WEEKNUM(tbl_Case_mins[[#This Row],[Surgery Start Date]],21)</f>
        <v>#REF!</v>
      </c>
      <c r="M236" t="e">
        <f>TEXT(tbl_Case_mins[[#This Row],[Surgery Start Date]],"ddd")</f>
        <v>#REF!</v>
      </c>
      <c r="N236" s="9" t="e">
        <f>(#REF!-TIME(0,0,0))*1440</f>
        <v>#REF!</v>
      </c>
      <c r="O236" t="e">
        <f>IF(AND(ROUND((#REF!-TIME(0,0,0))*1440,0)&gt;0,ROUND((#REF!-TIME(0,0,0))*1440,0)&lt;tbl_Case_mins[[#This Row],[Patient Called]],tbl_Case_mins[[#This Row],[Surgery End Date]]&gt;tbl_Case_mins[[#This Row],[Surgery Start Date]]),ROUND((#REF!-TIME(0,0,0))*1440,0)+1440,ROUND((#REF!-TIME(0,0,0))*1440,0))</f>
        <v>#REF!</v>
      </c>
      <c r="P236" s="9" t="e">
        <f>IF(AND(ROUND((#REF!-TIME(0,0,0))*1440,0)&gt;0,ROUND((#REF!-TIME(0,0,0))*1440,0)&lt;tbl_Case_mins[[#This Row],[Arrival]],tbl_Case_mins[[#This Row],[Surgery End Date]]&gt;tbl_Case_mins[[#This Row],[Surgery Start Date]]),ROUND((#REF!-TIME(0,0,0))*1440,0)+1440,ROUND((#REF!-TIME(0,0,0))*1440,0))</f>
        <v>#REF!</v>
      </c>
      <c r="Q236" s="9" t="e">
        <f>IF(AND(ROUND((#REF!-TIME(0,0,0))*1440,0)&gt;0,ROUND((#REF!-TIME(0,0,0))*1440,0)&lt;tbl_Case_mins[[#This Row],[Into Th or AR]],tbl_Case_mins[[#This Row],[Surgery End Date]]&gt;tbl_Case_mins[[#This Row],[Surgery Start Date]]),ROUND((#REF!-TIME(0,0,0))*1440,0)+1440,ROUND((#REF!-TIME(0,0,0))*1440,0))</f>
        <v>#REF!</v>
      </c>
      <c r="R236" s="9" t="e">
        <f>IF(AND(ROUND((#REF!-TIME(0,0,0))*1440,0)&gt;0,ROUND((#REF!-TIME(0,0,0))*1440,0)&lt;tbl_Case_mins[[#This Row],[AnaesthStart]],tbl_Case_mins[[#This Row],[Surgery End Date]]&gt;tbl_Case_mins[[#This Row],[Surgery Start Date]]),ROUND((#REF!-TIME(0,0,0))*1440,0)+1440,ROUND((#REF!-TIME(0,0,0))*1440,0))</f>
        <v>#REF!</v>
      </c>
      <c r="S236" s="9" t="e">
        <f>IF(AND(ROUND((#REF!-TIME(0,0,0))*1440,0),ROUND((#REF!-TIME(0,0,0))*1440,0)&lt;tbl_Case_mins[[#This Row],[Surgery Start]],tbl_Case_mins[[#This Row],[Surgery End Date]]&gt;tbl_Case_mins[[#This Row],[Surgery Start Date]]),ROUND((#REF!-TIME(0,0,0))*1440,0)+1440,ROUND((#REF!-TIME(0,0,0))*1440,0))</f>
        <v>#REF!</v>
      </c>
      <c r="T236" s="9" t="e">
        <f>IF(AND(ROUND((#REF!-TIME(0,0,0))*1440,0)&gt;0,ROUND((#REF!-TIME(0,0,0))*1440,0)&lt;tbl_Case_mins[[#This Row],[Surgery Finish]],tbl_Case_mins[[#This Row],[Surgery End Date]]&gt;tbl_Case_mins[[#This Row],[Surgery Start Date]]),ROUND((#REF!-TIME(0,0,0))*1440,0)+1440,ROUND((#REF!-TIME(0,0,0))*1440,0))</f>
        <v>#REF!</v>
      </c>
      <c r="U236" s="9" t="e">
        <f>IF(AND(ROUND((#REF!-TIME(0,0,0))*1440,0)&gt;0,ROUND((#REF!-TIME(0,0,0))*1440,0)&lt;tbl_Case_mins[[#This Row],[Anaesth End]],tbl_Case_mins[[#This Row],[Surgery End Date]]&gt;tbl_Case_mins[[#This Row],[Surgery Start Date]]),ROUND((#REF!-TIME(0,0,0))*1440,0)+1440,ROUND((#REF!-TIME(0,0,0))*1440,0))</f>
        <v>#REF!</v>
      </c>
      <c r="V236" s="9" t="e">
        <f>IF(AND(ROUND((#REF!-TIME(0,0,0))*1440,0)&gt;0,ROUND((#REF!-TIME(0,0,0))*1440,0)&lt;tbl_Case_mins[[#This Row],[Into Recov]],tbl_Case_mins[[#This Row],[Surgery End Date]]&gt;tbl_Case_mins[[#This Row],[Surgery Start Date]]),ROUND((#REF!-TIME(0,0,0))*1440,0)+1440,ROUND((#REF!-TIME(0,0,0))*1440,0))</f>
        <v>#REF!</v>
      </c>
      <c r="W236" s="9" t="e">
        <f>IF(AND(ROUND((#REF!-TIME(0,0,0))*1440,0)&gt;0,ROUND((#REF!-TIME(0,0,0))*1440,0)&lt;tbl_Case_mins[[#This Row],[Ward Called]],tbl_Case_mins[[#This Row],[Surgery End Date]]&gt;tbl_Case_mins[[#This Row],[Surgery Start Date]]),ROUND((#REF!-TIME(0,0,0))*1440,0)+1440,ROUND((#REF!-TIME(0,0,0))*1440,0))</f>
        <v>#REF!</v>
      </c>
      <c r="X236" s="4" t="e">
        <f>IF(ISBLANK(#REF!),tbl_Case_mins[[#This Row],[Surgery Start Date]],#REF!)</f>
        <v>#REF!</v>
      </c>
      <c r="Y236">
        <f>IFERROR(IF(VLOOKUP(tbl_Case_mins[[#This Row],[Theatre]],'Mng Theatres'!$C$7:$G$12,3,FALSE)="Yes","Yes","No"),0)</f>
        <v>0</v>
      </c>
      <c r="Z236" s="9" t="e" cm="1">
        <f t="array" ref="Z23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6" s="9" t="e" cm="1">
        <f t="array" ref="AA23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6" s="9" t="e">
        <f>IF(tbl_Case_mins[[#This Row],[Case Type]]="Unsch",1,0)</f>
        <v>#REF!</v>
      </c>
      <c r="AD236" s="9" t="e">
        <f>IF(tbl_Case_mins[[#This Row],[Case Type]]="Sch",1,0)</f>
        <v>#REF!</v>
      </c>
      <c r="AE23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6" s="9">
        <f>IFERROR(IF(ISBLANK(INDEX(Am_Close,MATCH(1,INDEX((tbl_Case_mins[[#This Row],[Theatre]]=Theatre_No)*(tbl_Case_mins[[#This Row],[Surgery Start Date]]=Date),0,1),0))*1440),0,INDEX(Am_Close,MATCH(1,INDEX((tbl_Case_mins[[#This Row],[Theatre]]=Theatre_No)*(tbl_Case_mins[[#This Row],[Surgery Start Date]]=Date),0,1),0))*1440),0)</f>
        <v>0</v>
      </c>
      <c r="AG236" s="9">
        <f>IFERROR(IF(ISBLANK(INDEX(PM_Open,MATCH(1,INDEX((tbl_Case_mins[[#This Row],[Theatre]]=Theatre_No)*(tbl_Case_mins[[#This Row],[Surgery Start Date]]=Date),0,1),0))*1440),0,INDEX(PM_Open,MATCH(1,INDEX((tbl_Case_mins[[#This Row],[Theatre]]=Theatre_No)*(tbl_Case_mins[[#This Row],[Surgery Start Date]]=Date),0,1),0))*1440),0)</f>
        <v>0</v>
      </c>
      <c r="AH23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6" s="9" t="e">
        <f>IF(tbl_Case_mins[[#This Row],[ThOpenAm]]=0,tbl_Case_mins[[#This Row],[ThOpenPM]],tbl_Case_mins[[#This Row],[ThOpenAm]])</f>
        <v>#REF!</v>
      </c>
      <c r="AJ236" s="9" t="e">
        <f>IF(tbl_Case_mins[[#This Row],[ThCloseAm]]&gt;0,IF(tbl_Case_mins[[#This Row],[ThOpenPM]]&gt;0,tbl_Case_mins[[#This Row],[ThClosePm]],tbl_Case_mins[[#This Row],[ThCloseAm]]),tbl_Case_mins[[#This Row],[ThClosePm]])</f>
        <v>#REF!</v>
      </c>
      <c r="AK236" s="9" t="e">
        <f>IF(tbl_Case_mins[[#This Row],[TOT]]&gt;0,1,0)</f>
        <v>#REF!</v>
      </c>
      <c r="AL23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6" s="9" t="e">
        <f>IF(AND(tbl_Case_mins[[#This Row],[Surgery Status]]&lt;&gt;2,tbl_Case_mins[[#This Row],[InCoreCase]]=0,tbl_Case_mins[[#This Row],[CancelledCase]]=0),1,0)</f>
        <v>#REF!</v>
      </c>
      <c r="AN236" s="9" t="e">
        <f>IF(tbl_Case_mins[[#This Row],[Surgery Status]]=1,1,0)</f>
        <v>#REF!</v>
      </c>
      <c r="AO23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6" s="9" t="e">
        <f>IF(AND(tbl_Case_mins[[#This Row],[NonCoreCase]]=1,tbl_Case_mins[[#This Row],[NoInCoreTime]]=0),1,0)</f>
        <v>#REF!</v>
      </c>
      <c r="AQ236" s="9" t="e">
        <f>IF(tbl_Case_mins[[#This Row],[Rank_AnaEnd]]&lt;tbl_Case_mins[[#This Row],[Rank_AnaSt]],1,0)</f>
        <v>#REF!</v>
      </c>
      <c r="AR236" s="9" t="e">
        <f>IF(AND(tbl_Case_mins[[#This Row],[InCoreCase]]=1,tbl_Case_mins[[#This Row],[Sch]]=1),1,0)</f>
        <v>#REF!</v>
      </c>
      <c r="AS236" s="9" t="e">
        <f>IF(AND(tbl_Case_mins[[#This Row],[InCoreCase]]=1,tbl_Case_mins[[#This Row],[Unsch]]=1),1,0)</f>
        <v>#REF!</v>
      </c>
      <c r="AT23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6" s="9" t="e">
        <f>IF(tbl_Case_mins[[#This Row],[Surgery Status]]=0,(tbl_Case_mins[[#This Row],[Anaesth End]]-tbl_Case_mins[[#This Row],[AnaesthStart]]),0)</f>
        <v>#REF!</v>
      </c>
      <c r="AX236" s="9" t="e">
        <f>IF(tbl_Case_mins[[#This Row],[Surgery Status]]=0,(tbl_Case_mins[[#This Row],[Surgery Finish]]-tbl_Case_mins[[#This Row],[Surgery Start]]),0)</f>
        <v>#REF!</v>
      </c>
      <c r="AY236" s="9" t="e">
        <f>tbl_Case_mins[[#This Row],[Surgery Start]]-tbl_Case_mins[[#This Row],[AnaesthStart]]</f>
        <v>#REF!</v>
      </c>
      <c r="AZ236" s="9" t="e">
        <f>tbl_Case_mins[[#This Row],[Anaesth End]]-tbl_Case_mins[[#This Row],[Surgery Finish]]</f>
        <v>#REF!</v>
      </c>
      <c r="BA23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6" s="16" cm="1">
        <f t="array" ref="BC23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6" s="16" t="e">
        <f>IF(AND(tbl_Case_mins[[#This Row],[FirstAMCase]]=1,tbl_Case_mins[[#This Row],[CancelledCase]]=0,OR(tbl_Case_mins[[#This Row],[EarlyStartAM]]&gt;0,tbl_Case_mins[[#This Row],[AnaesthStart]]=tbl_Case_mins[[#This Row],[ThOpenAm]])),1,0)</f>
        <v>#REF!</v>
      </c>
      <c r="BE236" s="16" t="e">
        <f>IF(AND(tbl_Case_mins[[#This Row],[Rank_AnaSt]]=tbl_Case_mins[[#This Row],[Min_RankAnaSt]],tbl_Case_mins[[#This Row],[Anaesth End]]&gt;=tbl_Case_mins[[#This Row],[ThOpenAm]],tbl_Case_mins[[#This Row],[PmCase]]=0),1,0)</f>
        <v>#REF!</v>
      </c>
      <c r="BF23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6" s="9" t="e" cm="1">
        <f t="array" ref="BH23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6" s="9" t="e">
        <f>IF(AND(tbl_Case_mins[[#This Row],[ThOpenPM]]&gt;0,tbl_Case_mins[[#This Row],[AnaesthStart]]&gt;tbl_Case_mins[[#This Row],[ThOpenPM]],tbl_Case_mins[[#This Row],[First PM Case]]=1),tbl_Case_mins[[#This Row],[AnaesthStart]]-tbl_Case_mins[[#This Row],[ThOpenPM]],0)</f>
        <v>#REF!</v>
      </c>
      <c r="BL23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6" s="9" t="e" cm="1">
        <f t="array" ref="BN23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6" s="9" t="e">
        <f>IF(AND(tbl_Case_mins[[#This Row],[ThClosePm]]&gt;0,tbl_Case_mins[[#This Row],[Anaesth End]]&gt;tbl_Case_mins[[#This Row],[ThClosePm]],tbl_Case_mins[[#This Row],[AnaesthStart]]&gt;tbl_Case_mins[[#This Row],[ThClosePm]]),tbl_Case_mins[[#This Row],[Into Recov]]-tbl_Case_mins[[#This Row],[AnaesthStart]],0)</f>
        <v>#REF!</v>
      </c>
      <c r="BP236" s="9" t="e">
        <f>IF(AND(tbl_Case_mins[[#This Row],[AnaesthStart]]&lt;tbl_Case_mins[[#This Row],[ThClosePm]],tbl_Case_mins[[#This Row],[Anaesth End]]&gt;tbl_Case_mins[[#This Row],[ThClosePm]]),tbl_Case_mins[[#This Row],[Anaesth End]]-tbl_Case_mins[[#This Row],[ThClosePm]],0)</f>
        <v>#REF!</v>
      </c>
      <c r="BQ236" s="9" t="e" cm="1">
        <f t="array" ref="BQ23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6" s="9" t="e" cm="1">
        <f t="array" ref="BR236">IF(tbl_Case_mins[[#This Row],[Rank_Adjust]]=SUMPRODUCT(-(tbl_Case_mins[Surgery Start Date]=tbl_Case_mins[[#This Row],[Surgery Start Date]]),-(tbl_Case_mins[Theatre]=tbl_Case_mins[[#This Row],[Theatre]])),INDEX(Poss_Time,MATCH(TEXT(tbl_Case_mins[[#This Row],[Surgery Start Date]],"ddd"),Day,0)),0)</f>
        <v>#REF!</v>
      </c>
      <c r="BS236" s="9" t="e">
        <f>tbl_Case_mins[[#This Row],[Core_Time]]*Util_Goal</f>
        <v>#REF!</v>
      </c>
      <c r="BT236" s="9" t="e" cm="1">
        <f t="array" ref="BT2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6" s="9" t="e" cm="1">
        <f t="array" ref="BU2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6" s="9" t="e">
        <f>IF(tbl_Case_mins[[#This Row],[Surgery End Date]]&gt;tbl_Case_mins[[#This Row],[Surgery Start Date]],tbl_Case_mins[[#This Row],[Anaesth End]]-1440,0)</f>
        <v>#REF!</v>
      </c>
      <c r="BY236" s="9" t="e">
        <f>tbl_Case_mins[[#This Row],[Total_NonCore]]-tbl_Case_mins[[#This Row],[NextDay_NonCore]]</f>
        <v>#REF!</v>
      </c>
      <c r="BZ236" s="10" t="e">
        <f>tbl_Case_mins[[#This Row],[InCoreUse]]/60</f>
        <v>#REF!</v>
      </c>
      <c r="CA236" s="10" t="e">
        <f>tbl_Case_mins[[#This Row],[Total_NonCore]]/60</f>
        <v>#REF!</v>
      </c>
      <c r="CB236" t="e" cm="1">
        <f t="array" ref="CB2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6" s="9" t="e" cm="1">
        <f t="array" ref="CC23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6" s="9" t="e" cm="1">
        <f t="array" ref="CD2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6" s="9" t="e" cm="1">
        <f t="array" ref="CE23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6" s="9" cm="1">
        <f t="array" ref="CF236">IFERROR(_xlfn.AGGREGATE(14,6,(tbl_Case_mins[Rank_AnaEnd])/((tbl_Case_mins[Surgery Start Date]=tbl_Case_mins[[#This Row],[Surgery Start Date]])*(tbl_Case_mins[Theatre]=tbl_Case_mins[[#This Row],[Theatre]])*(tbl_Case_mins[NoInCoreTime]=0)),1),-1)</f>
        <v>-1</v>
      </c>
      <c r="CG236" s="9" cm="1">
        <f t="array" ref="CG236">IFERROR(_xlfn.AGGREGATE(15,6,(tbl_Case_mins[Rank_AnaSt])/((tbl_Case_mins[Surgery Start Date]=tbl_Case_mins[[#This Row],[Surgery Start Date]])*(tbl_Case_mins[Theatre]=tbl_Case_mins[[#This Row],[Theatre]])*(tbl_Case_mins[NoInCoreTime]=0)),1),-1)</f>
        <v>-1</v>
      </c>
      <c r="CH23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6" t="e" cm="1">
        <f t="array" ref="CJ23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6" s="9" cm="1">
        <f t="array" ref="CO2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6" s="9" cm="1">
        <f t="array" ref="CP2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6" s="9" cm="1">
        <f t="array" ref="CQ236">IFERROR(IF(AND(tbl_Case_mins[[#This Row],[FirstAMCase]]=0,tbl_Case_mins[[#This Row],[Rank]]=_xlfn.AGGREGATE(14,6,(tbl_Case_mins[Rank])/((tbl_Case_mins[Surgery Start Date]=tbl_Case_mins[[#This Row],[Surgery Start Date]])*(tbl_Case_mins[Theatre]=tbl_Case_mins[[#This Row],[Theatre]])*(tbl_Case_mins[AmCase]=1)),1)),1,0),0)</f>
        <v>0</v>
      </c>
      <c r="CR236" s="9" cm="1">
        <f t="array" ref="CR23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6" s="9" t="e" cm="1">
        <f t="array" ref="CS23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6" s="9" cm="1">
        <f t="array" ref="CT236">IFERROR(IF(tbl_Case_mins[[#This Row],[Rank]]=_xlfn.AGGREGATE(15,6,(tbl_Case_mins[Rank])/((tbl_Case_mins[Surgery Start Date]=tbl_Case_mins[[#This Row],[Surgery Start Date]])*(tbl_Case_mins[Theatre]=tbl_Case_mins[[#This Row],[Theatre]])*(tbl_Case_mins[PmCase]=1)),1),1,0),0)</f>
        <v>0</v>
      </c>
      <c r="CU236">
        <f>IFERROR(#REF!,0)</f>
        <v>0</v>
      </c>
      <c r="CV236" s="9" t="e" cm="1">
        <f t="array" ref="CV23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6" s="9">
        <f>IFERROR(IF(ISBLANK(INDEX(Bay_AmClose,MATCH(1,INDEX((tbl_Case_mins[[#This Row],[Bay]]=BayNo)*(tbl_Case_mins[[#This Row],[Surgery Start Date]]=BDate),0,1),0))*1440),0,INDEX(Bay_AmClose,MATCH(1,INDEX((tbl_Case_mins[[#This Row],[Bay]]=BayNo)*(tbl_Case_mins[[#This Row],[Surgery Start Date]]=BDate),0,1),0))*1440),0)</f>
        <v>0</v>
      </c>
      <c r="CX236" s="9" cm="1">
        <f t="array" ref="CX236">IFERROR(IF(ISBLANK(INDEX(Bay_PmOpen,MATCH(1,INDEX((tbl_Case_mins[[#This Row],[Bay]]=BayNo)*(tbl_Case_mins[[#This Row],[Surgery Start Date]]=BDate),0,1),0))*1440),0,INDEX(Bay_PmOpen,MATCH(1,INDEX((tbl_Case_mins[[#This Row],[Bay]]=BayNo)*(tbl_Case_mins[[#This Row],[Surgery Start Date]]=BDate),0,1),0))*1440),0)</f>
        <v>0</v>
      </c>
      <c r="CY23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6" s="9"/>
    </row>
    <row r="237" spans="1:104" x14ac:dyDescent="0.2">
      <c r="A237">
        <v>236</v>
      </c>
      <c r="B237" t="e">
        <f>#REF!</f>
        <v>#REF!</v>
      </c>
      <c r="C237" t="e">
        <f>#REF!</f>
        <v>#REF!</v>
      </c>
      <c r="D237" t="e">
        <f>#REF!</f>
        <v>#REF!</v>
      </c>
      <c r="E237" t="e">
        <f>#REF!</f>
        <v>#REF!</v>
      </c>
      <c r="F237" t="e">
        <f>#REF!</f>
        <v>#REF!</v>
      </c>
      <c r="G237" t="e">
        <f>#REF!</f>
        <v>#REF!</v>
      </c>
      <c r="H237" t="e">
        <f>#REF!</f>
        <v>#REF!</v>
      </c>
      <c r="I237" t="e">
        <f>IF(#REF!="Case Cancelled",1,IF(#REF!="No Cases",2,0))</f>
        <v>#REF!</v>
      </c>
      <c r="J237" t="e">
        <f>#REF!</f>
        <v>#REF!</v>
      </c>
      <c r="K237" s="4" t="e">
        <f>#REF!</f>
        <v>#REF!</v>
      </c>
      <c r="L237" t="e">
        <f>"Wk "&amp;WEEKNUM(tbl_Case_mins[[#This Row],[Surgery Start Date]],21)</f>
        <v>#REF!</v>
      </c>
      <c r="M237" t="e">
        <f>TEXT(tbl_Case_mins[[#This Row],[Surgery Start Date]],"ddd")</f>
        <v>#REF!</v>
      </c>
      <c r="N237" s="9" t="e">
        <f>(#REF!-TIME(0,0,0))*1440</f>
        <v>#REF!</v>
      </c>
      <c r="O237" t="e">
        <f>IF(AND(ROUND((#REF!-TIME(0,0,0))*1440,0)&gt;0,ROUND((#REF!-TIME(0,0,0))*1440,0)&lt;tbl_Case_mins[[#This Row],[Patient Called]],tbl_Case_mins[[#This Row],[Surgery End Date]]&gt;tbl_Case_mins[[#This Row],[Surgery Start Date]]),ROUND((#REF!-TIME(0,0,0))*1440,0)+1440,ROUND((#REF!-TIME(0,0,0))*1440,0))</f>
        <v>#REF!</v>
      </c>
      <c r="P237" s="9" t="e">
        <f>IF(AND(ROUND((#REF!-TIME(0,0,0))*1440,0)&gt;0,ROUND((#REF!-TIME(0,0,0))*1440,0)&lt;tbl_Case_mins[[#This Row],[Arrival]],tbl_Case_mins[[#This Row],[Surgery End Date]]&gt;tbl_Case_mins[[#This Row],[Surgery Start Date]]),ROUND((#REF!-TIME(0,0,0))*1440,0)+1440,ROUND((#REF!-TIME(0,0,0))*1440,0))</f>
        <v>#REF!</v>
      </c>
      <c r="Q237" s="9" t="e">
        <f>IF(AND(ROUND((#REF!-TIME(0,0,0))*1440,0)&gt;0,ROUND((#REF!-TIME(0,0,0))*1440,0)&lt;tbl_Case_mins[[#This Row],[Into Th or AR]],tbl_Case_mins[[#This Row],[Surgery End Date]]&gt;tbl_Case_mins[[#This Row],[Surgery Start Date]]),ROUND((#REF!-TIME(0,0,0))*1440,0)+1440,ROUND((#REF!-TIME(0,0,0))*1440,0))</f>
        <v>#REF!</v>
      </c>
      <c r="R237" s="9" t="e">
        <f>IF(AND(ROUND((#REF!-TIME(0,0,0))*1440,0)&gt;0,ROUND((#REF!-TIME(0,0,0))*1440,0)&lt;tbl_Case_mins[[#This Row],[AnaesthStart]],tbl_Case_mins[[#This Row],[Surgery End Date]]&gt;tbl_Case_mins[[#This Row],[Surgery Start Date]]),ROUND((#REF!-TIME(0,0,0))*1440,0)+1440,ROUND((#REF!-TIME(0,0,0))*1440,0))</f>
        <v>#REF!</v>
      </c>
      <c r="S237" s="9" t="e">
        <f>IF(AND(ROUND((#REF!-TIME(0,0,0))*1440,0),ROUND((#REF!-TIME(0,0,0))*1440,0)&lt;tbl_Case_mins[[#This Row],[Surgery Start]],tbl_Case_mins[[#This Row],[Surgery End Date]]&gt;tbl_Case_mins[[#This Row],[Surgery Start Date]]),ROUND((#REF!-TIME(0,0,0))*1440,0)+1440,ROUND((#REF!-TIME(0,0,0))*1440,0))</f>
        <v>#REF!</v>
      </c>
      <c r="T237" s="9" t="e">
        <f>IF(AND(ROUND((#REF!-TIME(0,0,0))*1440,0)&gt;0,ROUND((#REF!-TIME(0,0,0))*1440,0)&lt;tbl_Case_mins[[#This Row],[Surgery Finish]],tbl_Case_mins[[#This Row],[Surgery End Date]]&gt;tbl_Case_mins[[#This Row],[Surgery Start Date]]),ROUND((#REF!-TIME(0,0,0))*1440,0)+1440,ROUND((#REF!-TIME(0,0,0))*1440,0))</f>
        <v>#REF!</v>
      </c>
      <c r="U237" s="9" t="e">
        <f>IF(AND(ROUND((#REF!-TIME(0,0,0))*1440,0)&gt;0,ROUND((#REF!-TIME(0,0,0))*1440,0)&lt;tbl_Case_mins[[#This Row],[Anaesth End]],tbl_Case_mins[[#This Row],[Surgery End Date]]&gt;tbl_Case_mins[[#This Row],[Surgery Start Date]]),ROUND((#REF!-TIME(0,0,0))*1440,0)+1440,ROUND((#REF!-TIME(0,0,0))*1440,0))</f>
        <v>#REF!</v>
      </c>
      <c r="V237" s="9" t="e">
        <f>IF(AND(ROUND((#REF!-TIME(0,0,0))*1440,0)&gt;0,ROUND((#REF!-TIME(0,0,0))*1440,0)&lt;tbl_Case_mins[[#This Row],[Into Recov]],tbl_Case_mins[[#This Row],[Surgery End Date]]&gt;tbl_Case_mins[[#This Row],[Surgery Start Date]]),ROUND((#REF!-TIME(0,0,0))*1440,0)+1440,ROUND((#REF!-TIME(0,0,0))*1440,0))</f>
        <v>#REF!</v>
      </c>
      <c r="W237" s="9" t="e">
        <f>IF(AND(ROUND((#REF!-TIME(0,0,0))*1440,0)&gt;0,ROUND((#REF!-TIME(0,0,0))*1440,0)&lt;tbl_Case_mins[[#This Row],[Ward Called]],tbl_Case_mins[[#This Row],[Surgery End Date]]&gt;tbl_Case_mins[[#This Row],[Surgery Start Date]]),ROUND((#REF!-TIME(0,0,0))*1440,0)+1440,ROUND((#REF!-TIME(0,0,0))*1440,0))</f>
        <v>#REF!</v>
      </c>
      <c r="X237" s="4" t="e">
        <f>IF(ISBLANK(#REF!),tbl_Case_mins[[#This Row],[Surgery Start Date]],#REF!)</f>
        <v>#REF!</v>
      </c>
      <c r="Y237">
        <f>IFERROR(IF(VLOOKUP(tbl_Case_mins[[#This Row],[Theatre]],'Mng Theatres'!$C$7:$G$12,3,FALSE)="Yes","Yes","No"),0)</f>
        <v>0</v>
      </c>
      <c r="Z237" s="9" t="e" cm="1">
        <f t="array" ref="Z23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7" s="9" t="e" cm="1">
        <f t="array" ref="AA23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7" s="9" t="e">
        <f>IF(tbl_Case_mins[[#This Row],[Case Type]]="Unsch",1,0)</f>
        <v>#REF!</v>
      </c>
      <c r="AD237" s="9" t="e">
        <f>IF(tbl_Case_mins[[#This Row],[Case Type]]="Sch",1,0)</f>
        <v>#REF!</v>
      </c>
      <c r="AE23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7" s="9">
        <f>IFERROR(IF(ISBLANK(INDEX(Am_Close,MATCH(1,INDEX((tbl_Case_mins[[#This Row],[Theatre]]=Theatre_No)*(tbl_Case_mins[[#This Row],[Surgery Start Date]]=Date),0,1),0))*1440),0,INDEX(Am_Close,MATCH(1,INDEX((tbl_Case_mins[[#This Row],[Theatre]]=Theatre_No)*(tbl_Case_mins[[#This Row],[Surgery Start Date]]=Date),0,1),0))*1440),0)</f>
        <v>0</v>
      </c>
      <c r="AG237" s="9">
        <f>IFERROR(IF(ISBLANK(INDEX(PM_Open,MATCH(1,INDEX((tbl_Case_mins[[#This Row],[Theatre]]=Theatre_No)*(tbl_Case_mins[[#This Row],[Surgery Start Date]]=Date),0,1),0))*1440),0,INDEX(PM_Open,MATCH(1,INDEX((tbl_Case_mins[[#This Row],[Theatre]]=Theatre_No)*(tbl_Case_mins[[#This Row],[Surgery Start Date]]=Date),0,1),0))*1440),0)</f>
        <v>0</v>
      </c>
      <c r="AH23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7" s="9" t="e">
        <f>IF(tbl_Case_mins[[#This Row],[ThOpenAm]]=0,tbl_Case_mins[[#This Row],[ThOpenPM]],tbl_Case_mins[[#This Row],[ThOpenAm]])</f>
        <v>#REF!</v>
      </c>
      <c r="AJ237" s="9" t="e">
        <f>IF(tbl_Case_mins[[#This Row],[ThCloseAm]]&gt;0,IF(tbl_Case_mins[[#This Row],[ThOpenPM]]&gt;0,tbl_Case_mins[[#This Row],[ThClosePm]],tbl_Case_mins[[#This Row],[ThCloseAm]]),tbl_Case_mins[[#This Row],[ThClosePm]])</f>
        <v>#REF!</v>
      </c>
      <c r="AK237" s="9" t="e">
        <f>IF(tbl_Case_mins[[#This Row],[TOT]]&gt;0,1,0)</f>
        <v>#REF!</v>
      </c>
      <c r="AL23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7" s="9" t="e">
        <f>IF(AND(tbl_Case_mins[[#This Row],[Surgery Status]]&lt;&gt;2,tbl_Case_mins[[#This Row],[InCoreCase]]=0,tbl_Case_mins[[#This Row],[CancelledCase]]=0),1,0)</f>
        <v>#REF!</v>
      </c>
      <c r="AN237" s="9" t="e">
        <f>IF(tbl_Case_mins[[#This Row],[Surgery Status]]=1,1,0)</f>
        <v>#REF!</v>
      </c>
      <c r="AO23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7" s="9" t="e">
        <f>IF(AND(tbl_Case_mins[[#This Row],[NonCoreCase]]=1,tbl_Case_mins[[#This Row],[NoInCoreTime]]=0),1,0)</f>
        <v>#REF!</v>
      </c>
      <c r="AQ237" s="9" t="e">
        <f>IF(tbl_Case_mins[[#This Row],[Rank_AnaEnd]]&lt;tbl_Case_mins[[#This Row],[Rank_AnaSt]],1,0)</f>
        <v>#REF!</v>
      </c>
      <c r="AR237" s="9" t="e">
        <f>IF(AND(tbl_Case_mins[[#This Row],[InCoreCase]]=1,tbl_Case_mins[[#This Row],[Sch]]=1),1,0)</f>
        <v>#REF!</v>
      </c>
      <c r="AS237" s="9" t="e">
        <f>IF(AND(tbl_Case_mins[[#This Row],[InCoreCase]]=1,tbl_Case_mins[[#This Row],[Unsch]]=1),1,0)</f>
        <v>#REF!</v>
      </c>
      <c r="AT23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7" s="9" t="e">
        <f>IF(tbl_Case_mins[[#This Row],[Surgery Status]]=0,(tbl_Case_mins[[#This Row],[Anaesth End]]-tbl_Case_mins[[#This Row],[AnaesthStart]]),0)</f>
        <v>#REF!</v>
      </c>
      <c r="AX237" s="9" t="e">
        <f>IF(tbl_Case_mins[[#This Row],[Surgery Status]]=0,(tbl_Case_mins[[#This Row],[Surgery Finish]]-tbl_Case_mins[[#This Row],[Surgery Start]]),0)</f>
        <v>#REF!</v>
      </c>
      <c r="AY237" s="9" t="e">
        <f>tbl_Case_mins[[#This Row],[Surgery Start]]-tbl_Case_mins[[#This Row],[AnaesthStart]]</f>
        <v>#REF!</v>
      </c>
      <c r="AZ237" s="9" t="e">
        <f>tbl_Case_mins[[#This Row],[Anaesth End]]-tbl_Case_mins[[#This Row],[Surgery Finish]]</f>
        <v>#REF!</v>
      </c>
      <c r="BA23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7" s="16" cm="1">
        <f t="array" ref="BC23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7" s="16" t="e">
        <f>IF(AND(tbl_Case_mins[[#This Row],[FirstAMCase]]=1,tbl_Case_mins[[#This Row],[CancelledCase]]=0,OR(tbl_Case_mins[[#This Row],[EarlyStartAM]]&gt;0,tbl_Case_mins[[#This Row],[AnaesthStart]]=tbl_Case_mins[[#This Row],[ThOpenAm]])),1,0)</f>
        <v>#REF!</v>
      </c>
      <c r="BE237" s="16" t="e">
        <f>IF(AND(tbl_Case_mins[[#This Row],[Rank_AnaSt]]=tbl_Case_mins[[#This Row],[Min_RankAnaSt]],tbl_Case_mins[[#This Row],[Anaesth End]]&gt;=tbl_Case_mins[[#This Row],[ThOpenAm]],tbl_Case_mins[[#This Row],[PmCase]]=0),1,0)</f>
        <v>#REF!</v>
      </c>
      <c r="BF23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7" s="9" t="e" cm="1">
        <f t="array" ref="BH23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7" s="9" t="e">
        <f>IF(AND(tbl_Case_mins[[#This Row],[ThOpenPM]]&gt;0,tbl_Case_mins[[#This Row],[AnaesthStart]]&gt;tbl_Case_mins[[#This Row],[ThOpenPM]],tbl_Case_mins[[#This Row],[First PM Case]]=1),tbl_Case_mins[[#This Row],[AnaesthStart]]-tbl_Case_mins[[#This Row],[ThOpenPM]],0)</f>
        <v>#REF!</v>
      </c>
      <c r="BL23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7" s="9" t="e" cm="1">
        <f t="array" ref="BN23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7" s="9" t="e">
        <f>IF(AND(tbl_Case_mins[[#This Row],[ThClosePm]]&gt;0,tbl_Case_mins[[#This Row],[Anaesth End]]&gt;tbl_Case_mins[[#This Row],[ThClosePm]],tbl_Case_mins[[#This Row],[AnaesthStart]]&gt;tbl_Case_mins[[#This Row],[ThClosePm]]),tbl_Case_mins[[#This Row],[Into Recov]]-tbl_Case_mins[[#This Row],[AnaesthStart]],0)</f>
        <v>#REF!</v>
      </c>
      <c r="BP237" s="9" t="e">
        <f>IF(AND(tbl_Case_mins[[#This Row],[AnaesthStart]]&lt;tbl_Case_mins[[#This Row],[ThClosePm]],tbl_Case_mins[[#This Row],[Anaesth End]]&gt;tbl_Case_mins[[#This Row],[ThClosePm]]),tbl_Case_mins[[#This Row],[Anaesth End]]-tbl_Case_mins[[#This Row],[ThClosePm]],0)</f>
        <v>#REF!</v>
      </c>
      <c r="BQ237" s="9" t="e" cm="1">
        <f t="array" ref="BQ23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7" s="9" t="e" cm="1">
        <f t="array" ref="BR237">IF(tbl_Case_mins[[#This Row],[Rank_Adjust]]=SUMPRODUCT(-(tbl_Case_mins[Surgery Start Date]=tbl_Case_mins[[#This Row],[Surgery Start Date]]),-(tbl_Case_mins[Theatre]=tbl_Case_mins[[#This Row],[Theatre]])),INDEX(Poss_Time,MATCH(TEXT(tbl_Case_mins[[#This Row],[Surgery Start Date]],"ddd"),Day,0)),0)</f>
        <v>#REF!</v>
      </c>
      <c r="BS237" s="9" t="e">
        <f>tbl_Case_mins[[#This Row],[Core_Time]]*Util_Goal</f>
        <v>#REF!</v>
      </c>
      <c r="BT237" s="9" t="e" cm="1">
        <f t="array" ref="BT2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7" s="9" t="e" cm="1">
        <f t="array" ref="BU2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7" s="9" t="e">
        <f>IF(tbl_Case_mins[[#This Row],[Surgery End Date]]&gt;tbl_Case_mins[[#This Row],[Surgery Start Date]],tbl_Case_mins[[#This Row],[Anaesth End]]-1440,0)</f>
        <v>#REF!</v>
      </c>
      <c r="BY237" s="9" t="e">
        <f>tbl_Case_mins[[#This Row],[Total_NonCore]]-tbl_Case_mins[[#This Row],[NextDay_NonCore]]</f>
        <v>#REF!</v>
      </c>
      <c r="BZ237" s="10" t="e">
        <f>tbl_Case_mins[[#This Row],[InCoreUse]]/60</f>
        <v>#REF!</v>
      </c>
      <c r="CA237" s="10" t="e">
        <f>tbl_Case_mins[[#This Row],[Total_NonCore]]/60</f>
        <v>#REF!</v>
      </c>
      <c r="CB237" t="e" cm="1">
        <f t="array" ref="CB2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7" s="9" t="e" cm="1">
        <f t="array" ref="CC23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7" s="9" t="e" cm="1">
        <f t="array" ref="CD2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7" s="9" t="e" cm="1">
        <f t="array" ref="CE23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7" s="9" cm="1">
        <f t="array" ref="CF237">IFERROR(_xlfn.AGGREGATE(14,6,(tbl_Case_mins[Rank_AnaEnd])/((tbl_Case_mins[Surgery Start Date]=tbl_Case_mins[[#This Row],[Surgery Start Date]])*(tbl_Case_mins[Theatre]=tbl_Case_mins[[#This Row],[Theatre]])*(tbl_Case_mins[NoInCoreTime]=0)),1),-1)</f>
        <v>-1</v>
      </c>
      <c r="CG237" s="9" cm="1">
        <f t="array" ref="CG237">IFERROR(_xlfn.AGGREGATE(15,6,(tbl_Case_mins[Rank_AnaSt])/((tbl_Case_mins[Surgery Start Date]=tbl_Case_mins[[#This Row],[Surgery Start Date]])*(tbl_Case_mins[Theatre]=tbl_Case_mins[[#This Row],[Theatre]])*(tbl_Case_mins[NoInCoreTime]=0)),1),-1)</f>
        <v>-1</v>
      </c>
      <c r="CH23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7" t="e" cm="1">
        <f t="array" ref="CJ23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7" s="9" cm="1">
        <f t="array" ref="CO2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7" s="9" cm="1">
        <f t="array" ref="CP2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7" s="9" cm="1">
        <f t="array" ref="CQ237">IFERROR(IF(AND(tbl_Case_mins[[#This Row],[FirstAMCase]]=0,tbl_Case_mins[[#This Row],[Rank]]=_xlfn.AGGREGATE(14,6,(tbl_Case_mins[Rank])/((tbl_Case_mins[Surgery Start Date]=tbl_Case_mins[[#This Row],[Surgery Start Date]])*(tbl_Case_mins[Theatre]=tbl_Case_mins[[#This Row],[Theatre]])*(tbl_Case_mins[AmCase]=1)),1)),1,0),0)</f>
        <v>0</v>
      </c>
      <c r="CR237" s="9" cm="1">
        <f t="array" ref="CR23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7" s="9" t="e" cm="1">
        <f t="array" ref="CS23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7" s="9" cm="1">
        <f t="array" ref="CT237">IFERROR(IF(tbl_Case_mins[[#This Row],[Rank]]=_xlfn.AGGREGATE(15,6,(tbl_Case_mins[Rank])/((tbl_Case_mins[Surgery Start Date]=tbl_Case_mins[[#This Row],[Surgery Start Date]])*(tbl_Case_mins[Theatre]=tbl_Case_mins[[#This Row],[Theatre]])*(tbl_Case_mins[PmCase]=1)),1),1,0),0)</f>
        <v>0</v>
      </c>
      <c r="CU237">
        <f>IFERROR(#REF!,0)</f>
        <v>0</v>
      </c>
      <c r="CV237" s="9" t="e" cm="1">
        <f t="array" ref="CV23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7" s="9">
        <f>IFERROR(IF(ISBLANK(INDEX(Bay_AmClose,MATCH(1,INDEX((tbl_Case_mins[[#This Row],[Bay]]=BayNo)*(tbl_Case_mins[[#This Row],[Surgery Start Date]]=BDate),0,1),0))*1440),0,INDEX(Bay_AmClose,MATCH(1,INDEX((tbl_Case_mins[[#This Row],[Bay]]=BayNo)*(tbl_Case_mins[[#This Row],[Surgery Start Date]]=BDate),0,1),0))*1440),0)</f>
        <v>0</v>
      </c>
      <c r="CX237" s="9" cm="1">
        <f t="array" ref="CX237">IFERROR(IF(ISBLANK(INDEX(Bay_PmOpen,MATCH(1,INDEX((tbl_Case_mins[[#This Row],[Bay]]=BayNo)*(tbl_Case_mins[[#This Row],[Surgery Start Date]]=BDate),0,1),0))*1440),0,INDEX(Bay_PmOpen,MATCH(1,INDEX((tbl_Case_mins[[#This Row],[Bay]]=BayNo)*(tbl_Case_mins[[#This Row],[Surgery Start Date]]=BDate),0,1),0))*1440),0)</f>
        <v>0</v>
      </c>
      <c r="CY23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7" s="9"/>
    </row>
    <row r="238" spans="1:104" x14ac:dyDescent="0.2">
      <c r="A238">
        <v>237</v>
      </c>
      <c r="B238" t="e">
        <f>#REF!</f>
        <v>#REF!</v>
      </c>
      <c r="C238" t="e">
        <f>#REF!</f>
        <v>#REF!</v>
      </c>
      <c r="D238" t="e">
        <f>#REF!</f>
        <v>#REF!</v>
      </c>
      <c r="E238" t="e">
        <f>#REF!</f>
        <v>#REF!</v>
      </c>
      <c r="F238" t="e">
        <f>#REF!</f>
        <v>#REF!</v>
      </c>
      <c r="G238" t="e">
        <f>#REF!</f>
        <v>#REF!</v>
      </c>
      <c r="H238" t="e">
        <f>#REF!</f>
        <v>#REF!</v>
      </c>
      <c r="I238" t="e">
        <f>IF(#REF!="Case Cancelled",1,IF(#REF!="No Cases",2,0))</f>
        <v>#REF!</v>
      </c>
      <c r="J238" t="e">
        <f>#REF!</f>
        <v>#REF!</v>
      </c>
      <c r="K238" s="4" t="e">
        <f>#REF!</f>
        <v>#REF!</v>
      </c>
      <c r="L238" t="e">
        <f>"Wk "&amp;WEEKNUM(tbl_Case_mins[[#This Row],[Surgery Start Date]],21)</f>
        <v>#REF!</v>
      </c>
      <c r="M238" t="e">
        <f>TEXT(tbl_Case_mins[[#This Row],[Surgery Start Date]],"ddd")</f>
        <v>#REF!</v>
      </c>
      <c r="N238" s="9" t="e">
        <f>(#REF!-TIME(0,0,0))*1440</f>
        <v>#REF!</v>
      </c>
      <c r="O238" t="e">
        <f>IF(AND(ROUND((#REF!-TIME(0,0,0))*1440,0)&gt;0,ROUND((#REF!-TIME(0,0,0))*1440,0)&lt;tbl_Case_mins[[#This Row],[Patient Called]],tbl_Case_mins[[#This Row],[Surgery End Date]]&gt;tbl_Case_mins[[#This Row],[Surgery Start Date]]),ROUND((#REF!-TIME(0,0,0))*1440,0)+1440,ROUND((#REF!-TIME(0,0,0))*1440,0))</f>
        <v>#REF!</v>
      </c>
      <c r="P238" s="9" t="e">
        <f>IF(AND(ROUND((#REF!-TIME(0,0,0))*1440,0)&gt;0,ROUND((#REF!-TIME(0,0,0))*1440,0)&lt;tbl_Case_mins[[#This Row],[Arrival]],tbl_Case_mins[[#This Row],[Surgery End Date]]&gt;tbl_Case_mins[[#This Row],[Surgery Start Date]]),ROUND((#REF!-TIME(0,0,0))*1440,0)+1440,ROUND((#REF!-TIME(0,0,0))*1440,0))</f>
        <v>#REF!</v>
      </c>
      <c r="Q238" s="9" t="e">
        <f>IF(AND(ROUND((#REF!-TIME(0,0,0))*1440,0)&gt;0,ROUND((#REF!-TIME(0,0,0))*1440,0)&lt;tbl_Case_mins[[#This Row],[Into Th or AR]],tbl_Case_mins[[#This Row],[Surgery End Date]]&gt;tbl_Case_mins[[#This Row],[Surgery Start Date]]),ROUND((#REF!-TIME(0,0,0))*1440,0)+1440,ROUND((#REF!-TIME(0,0,0))*1440,0))</f>
        <v>#REF!</v>
      </c>
      <c r="R238" s="9" t="e">
        <f>IF(AND(ROUND((#REF!-TIME(0,0,0))*1440,0)&gt;0,ROUND((#REF!-TIME(0,0,0))*1440,0)&lt;tbl_Case_mins[[#This Row],[AnaesthStart]],tbl_Case_mins[[#This Row],[Surgery End Date]]&gt;tbl_Case_mins[[#This Row],[Surgery Start Date]]),ROUND((#REF!-TIME(0,0,0))*1440,0)+1440,ROUND((#REF!-TIME(0,0,0))*1440,0))</f>
        <v>#REF!</v>
      </c>
      <c r="S238" s="9" t="e">
        <f>IF(AND(ROUND((#REF!-TIME(0,0,0))*1440,0),ROUND((#REF!-TIME(0,0,0))*1440,0)&lt;tbl_Case_mins[[#This Row],[Surgery Start]],tbl_Case_mins[[#This Row],[Surgery End Date]]&gt;tbl_Case_mins[[#This Row],[Surgery Start Date]]),ROUND((#REF!-TIME(0,0,0))*1440,0)+1440,ROUND((#REF!-TIME(0,0,0))*1440,0))</f>
        <v>#REF!</v>
      </c>
      <c r="T238" s="9" t="e">
        <f>IF(AND(ROUND((#REF!-TIME(0,0,0))*1440,0)&gt;0,ROUND((#REF!-TIME(0,0,0))*1440,0)&lt;tbl_Case_mins[[#This Row],[Surgery Finish]],tbl_Case_mins[[#This Row],[Surgery End Date]]&gt;tbl_Case_mins[[#This Row],[Surgery Start Date]]),ROUND((#REF!-TIME(0,0,0))*1440,0)+1440,ROUND((#REF!-TIME(0,0,0))*1440,0))</f>
        <v>#REF!</v>
      </c>
      <c r="U238" s="9" t="e">
        <f>IF(AND(ROUND((#REF!-TIME(0,0,0))*1440,0)&gt;0,ROUND((#REF!-TIME(0,0,0))*1440,0)&lt;tbl_Case_mins[[#This Row],[Anaesth End]],tbl_Case_mins[[#This Row],[Surgery End Date]]&gt;tbl_Case_mins[[#This Row],[Surgery Start Date]]),ROUND((#REF!-TIME(0,0,0))*1440,0)+1440,ROUND((#REF!-TIME(0,0,0))*1440,0))</f>
        <v>#REF!</v>
      </c>
      <c r="V238" s="9" t="e">
        <f>IF(AND(ROUND((#REF!-TIME(0,0,0))*1440,0)&gt;0,ROUND((#REF!-TIME(0,0,0))*1440,0)&lt;tbl_Case_mins[[#This Row],[Into Recov]],tbl_Case_mins[[#This Row],[Surgery End Date]]&gt;tbl_Case_mins[[#This Row],[Surgery Start Date]]),ROUND((#REF!-TIME(0,0,0))*1440,0)+1440,ROUND((#REF!-TIME(0,0,0))*1440,0))</f>
        <v>#REF!</v>
      </c>
      <c r="W238" s="9" t="e">
        <f>IF(AND(ROUND((#REF!-TIME(0,0,0))*1440,0)&gt;0,ROUND((#REF!-TIME(0,0,0))*1440,0)&lt;tbl_Case_mins[[#This Row],[Ward Called]],tbl_Case_mins[[#This Row],[Surgery End Date]]&gt;tbl_Case_mins[[#This Row],[Surgery Start Date]]),ROUND((#REF!-TIME(0,0,0))*1440,0)+1440,ROUND((#REF!-TIME(0,0,0))*1440,0))</f>
        <v>#REF!</v>
      </c>
      <c r="X238" s="4" t="e">
        <f>IF(ISBLANK(#REF!),tbl_Case_mins[[#This Row],[Surgery Start Date]],#REF!)</f>
        <v>#REF!</v>
      </c>
      <c r="Y238">
        <f>IFERROR(IF(VLOOKUP(tbl_Case_mins[[#This Row],[Theatre]],'Mng Theatres'!$C$7:$G$12,3,FALSE)="Yes","Yes","No"),0)</f>
        <v>0</v>
      </c>
      <c r="Z238" s="9" t="e" cm="1">
        <f t="array" ref="Z23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8" s="9" t="e" cm="1">
        <f t="array" ref="AA23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8" s="9" t="e">
        <f>IF(tbl_Case_mins[[#This Row],[Case Type]]="Unsch",1,0)</f>
        <v>#REF!</v>
      </c>
      <c r="AD238" s="9" t="e">
        <f>IF(tbl_Case_mins[[#This Row],[Case Type]]="Sch",1,0)</f>
        <v>#REF!</v>
      </c>
      <c r="AE23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8" s="9">
        <f>IFERROR(IF(ISBLANK(INDEX(Am_Close,MATCH(1,INDEX((tbl_Case_mins[[#This Row],[Theatre]]=Theatre_No)*(tbl_Case_mins[[#This Row],[Surgery Start Date]]=Date),0,1),0))*1440),0,INDEX(Am_Close,MATCH(1,INDEX((tbl_Case_mins[[#This Row],[Theatre]]=Theatre_No)*(tbl_Case_mins[[#This Row],[Surgery Start Date]]=Date),0,1),0))*1440),0)</f>
        <v>0</v>
      </c>
      <c r="AG238" s="9">
        <f>IFERROR(IF(ISBLANK(INDEX(PM_Open,MATCH(1,INDEX((tbl_Case_mins[[#This Row],[Theatre]]=Theatre_No)*(tbl_Case_mins[[#This Row],[Surgery Start Date]]=Date),0,1),0))*1440),0,INDEX(PM_Open,MATCH(1,INDEX((tbl_Case_mins[[#This Row],[Theatre]]=Theatre_No)*(tbl_Case_mins[[#This Row],[Surgery Start Date]]=Date),0,1),0))*1440),0)</f>
        <v>0</v>
      </c>
      <c r="AH23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8" s="9" t="e">
        <f>IF(tbl_Case_mins[[#This Row],[ThOpenAm]]=0,tbl_Case_mins[[#This Row],[ThOpenPM]],tbl_Case_mins[[#This Row],[ThOpenAm]])</f>
        <v>#REF!</v>
      </c>
      <c r="AJ238" s="9" t="e">
        <f>IF(tbl_Case_mins[[#This Row],[ThCloseAm]]&gt;0,IF(tbl_Case_mins[[#This Row],[ThOpenPM]]&gt;0,tbl_Case_mins[[#This Row],[ThClosePm]],tbl_Case_mins[[#This Row],[ThCloseAm]]),tbl_Case_mins[[#This Row],[ThClosePm]])</f>
        <v>#REF!</v>
      </c>
      <c r="AK238" s="9" t="e">
        <f>IF(tbl_Case_mins[[#This Row],[TOT]]&gt;0,1,0)</f>
        <v>#REF!</v>
      </c>
      <c r="AL23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8" s="9" t="e">
        <f>IF(AND(tbl_Case_mins[[#This Row],[Surgery Status]]&lt;&gt;2,tbl_Case_mins[[#This Row],[InCoreCase]]=0,tbl_Case_mins[[#This Row],[CancelledCase]]=0),1,0)</f>
        <v>#REF!</v>
      </c>
      <c r="AN238" s="9" t="e">
        <f>IF(tbl_Case_mins[[#This Row],[Surgery Status]]=1,1,0)</f>
        <v>#REF!</v>
      </c>
      <c r="AO23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8" s="9" t="e">
        <f>IF(AND(tbl_Case_mins[[#This Row],[NonCoreCase]]=1,tbl_Case_mins[[#This Row],[NoInCoreTime]]=0),1,0)</f>
        <v>#REF!</v>
      </c>
      <c r="AQ238" s="9" t="e">
        <f>IF(tbl_Case_mins[[#This Row],[Rank_AnaEnd]]&lt;tbl_Case_mins[[#This Row],[Rank_AnaSt]],1,0)</f>
        <v>#REF!</v>
      </c>
      <c r="AR238" s="9" t="e">
        <f>IF(AND(tbl_Case_mins[[#This Row],[InCoreCase]]=1,tbl_Case_mins[[#This Row],[Sch]]=1),1,0)</f>
        <v>#REF!</v>
      </c>
      <c r="AS238" s="9" t="e">
        <f>IF(AND(tbl_Case_mins[[#This Row],[InCoreCase]]=1,tbl_Case_mins[[#This Row],[Unsch]]=1),1,0)</f>
        <v>#REF!</v>
      </c>
      <c r="AT23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8" s="9" t="e">
        <f>IF(tbl_Case_mins[[#This Row],[Surgery Status]]=0,(tbl_Case_mins[[#This Row],[Anaesth End]]-tbl_Case_mins[[#This Row],[AnaesthStart]]),0)</f>
        <v>#REF!</v>
      </c>
      <c r="AX238" s="9" t="e">
        <f>IF(tbl_Case_mins[[#This Row],[Surgery Status]]=0,(tbl_Case_mins[[#This Row],[Surgery Finish]]-tbl_Case_mins[[#This Row],[Surgery Start]]),0)</f>
        <v>#REF!</v>
      </c>
      <c r="AY238" s="9" t="e">
        <f>tbl_Case_mins[[#This Row],[Surgery Start]]-tbl_Case_mins[[#This Row],[AnaesthStart]]</f>
        <v>#REF!</v>
      </c>
      <c r="AZ238" s="9" t="e">
        <f>tbl_Case_mins[[#This Row],[Anaesth End]]-tbl_Case_mins[[#This Row],[Surgery Finish]]</f>
        <v>#REF!</v>
      </c>
      <c r="BA23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8" s="16" cm="1">
        <f t="array" ref="BC23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8" s="16" t="e">
        <f>IF(AND(tbl_Case_mins[[#This Row],[FirstAMCase]]=1,tbl_Case_mins[[#This Row],[CancelledCase]]=0,OR(tbl_Case_mins[[#This Row],[EarlyStartAM]]&gt;0,tbl_Case_mins[[#This Row],[AnaesthStart]]=tbl_Case_mins[[#This Row],[ThOpenAm]])),1,0)</f>
        <v>#REF!</v>
      </c>
      <c r="BE238" s="16" t="e">
        <f>IF(AND(tbl_Case_mins[[#This Row],[Rank_AnaSt]]=tbl_Case_mins[[#This Row],[Min_RankAnaSt]],tbl_Case_mins[[#This Row],[Anaesth End]]&gt;=tbl_Case_mins[[#This Row],[ThOpenAm]],tbl_Case_mins[[#This Row],[PmCase]]=0),1,0)</f>
        <v>#REF!</v>
      </c>
      <c r="BF23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8" s="9" t="e" cm="1">
        <f t="array" ref="BH23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8" s="9" t="e">
        <f>IF(AND(tbl_Case_mins[[#This Row],[ThOpenPM]]&gt;0,tbl_Case_mins[[#This Row],[AnaesthStart]]&gt;tbl_Case_mins[[#This Row],[ThOpenPM]],tbl_Case_mins[[#This Row],[First PM Case]]=1),tbl_Case_mins[[#This Row],[AnaesthStart]]-tbl_Case_mins[[#This Row],[ThOpenPM]],0)</f>
        <v>#REF!</v>
      </c>
      <c r="BL23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8" s="9" t="e" cm="1">
        <f t="array" ref="BN23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8" s="9" t="e">
        <f>IF(AND(tbl_Case_mins[[#This Row],[ThClosePm]]&gt;0,tbl_Case_mins[[#This Row],[Anaesth End]]&gt;tbl_Case_mins[[#This Row],[ThClosePm]],tbl_Case_mins[[#This Row],[AnaesthStart]]&gt;tbl_Case_mins[[#This Row],[ThClosePm]]),tbl_Case_mins[[#This Row],[Into Recov]]-tbl_Case_mins[[#This Row],[AnaesthStart]],0)</f>
        <v>#REF!</v>
      </c>
      <c r="BP238" s="9" t="e">
        <f>IF(AND(tbl_Case_mins[[#This Row],[AnaesthStart]]&lt;tbl_Case_mins[[#This Row],[ThClosePm]],tbl_Case_mins[[#This Row],[Anaesth End]]&gt;tbl_Case_mins[[#This Row],[ThClosePm]]),tbl_Case_mins[[#This Row],[Anaesth End]]-tbl_Case_mins[[#This Row],[ThClosePm]],0)</f>
        <v>#REF!</v>
      </c>
      <c r="BQ238" s="9" t="e" cm="1">
        <f t="array" ref="BQ23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8" s="9" t="e" cm="1">
        <f t="array" ref="BR238">IF(tbl_Case_mins[[#This Row],[Rank_Adjust]]=SUMPRODUCT(-(tbl_Case_mins[Surgery Start Date]=tbl_Case_mins[[#This Row],[Surgery Start Date]]),-(tbl_Case_mins[Theatre]=tbl_Case_mins[[#This Row],[Theatre]])),INDEX(Poss_Time,MATCH(TEXT(tbl_Case_mins[[#This Row],[Surgery Start Date]],"ddd"),Day,0)),0)</f>
        <v>#REF!</v>
      </c>
      <c r="BS238" s="9" t="e">
        <f>tbl_Case_mins[[#This Row],[Core_Time]]*Util_Goal</f>
        <v>#REF!</v>
      </c>
      <c r="BT238" s="9" t="e" cm="1">
        <f t="array" ref="BT2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8" s="9" t="e" cm="1">
        <f t="array" ref="BU2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8" s="9" t="e">
        <f>IF(tbl_Case_mins[[#This Row],[Surgery End Date]]&gt;tbl_Case_mins[[#This Row],[Surgery Start Date]],tbl_Case_mins[[#This Row],[Anaesth End]]-1440,0)</f>
        <v>#REF!</v>
      </c>
      <c r="BY238" s="9" t="e">
        <f>tbl_Case_mins[[#This Row],[Total_NonCore]]-tbl_Case_mins[[#This Row],[NextDay_NonCore]]</f>
        <v>#REF!</v>
      </c>
      <c r="BZ238" s="10" t="e">
        <f>tbl_Case_mins[[#This Row],[InCoreUse]]/60</f>
        <v>#REF!</v>
      </c>
      <c r="CA238" s="10" t="e">
        <f>tbl_Case_mins[[#This Row],[Total_NonCore]]/60</f>
        <v>#REF!</v>
      </c>
      <c r="CB238" t="e" cm="1">
        <f t="array" ref="CB2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8" s="9" t="e" cm="1">
        <f t="array" ref="CC23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8" s="9" t="e" cm="1">
        <f t="array" ref="CD2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8" s="9" t="e" cm="1">
        <f t="array" ref="CE23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8" s="9" cm="1">
        <f t="array" ref="CF238">IFERROR(_xlfn.AGGREGATE(14,6,(tbl_Case_mins[Rank_AnaEnd])/((tbl_Case_mins[Surgery Start Date]=tbl_Case_mins[[#This Row],[Surgery Start Date]])*(tbl_Case_mins[Theatre]=tbl_Case_mins[[#This Row],[Theatre]])*(tbl_Case_mins[NoInCoreTime]=0)),1),-1)</f>
        <v>-1</v>
      </c>
      <c r="CG238" s="9" cm="1">
        <f t="array" ref="CG238">IFERROR(_xlfn.AGGREGATE(15,6,(tbl_Case_mins[Rank_AnaSt])/((tbl_Case_mins[Surgery Start Date]=tbl_Case_mins[[#This Row],[Surgery Start Date]])*(tbl_Case_mins[Theatre]=tbl_Case_mins[[#This Row],[Theatre]])*(tbl_Case_mins[NoInCoreTime]=0)),1),-1)</f>
        <v>-1</v>
      </c>
      <c r="CH23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8" t="e" cm="1">
        <f t="array" ref="CJ23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8" s="9" cm="1">
        <f t="array" ref="CO2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8" s="9" cm="1">
        <f t="array" ref="CP2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8" s="9" cm="1">
        <f t="array" ref="CQ238">IFERROR(IF(AND(tbl_Case_mins[[#This Row],[FirstAMCase]]=0,tbl_Case_mins[[#This Row],[Rank]]=_xlfn.AGGREGATE(14,6,(tbl_Case_mins[Rank])/((tbl_Case_mins[Surgery Start Date]=tbl_Case_mins[[#This Row],[Surgery Start Date]])*(tbl_Case_mins[Theatre]=tbl_Case_mins[[#This Row],[Theatre]])*(tbl_Case_mins[AmCase]=1)),1)),1,0),0)</f>
        <v>0</v>
      </c>
      <c r="CR238" s="9" cm="1">
        <f t="array" ref="CR23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8" s="9" t="e" cm="1">
        <f t="array" ref="CS23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8" s="9" cm="1">
        <f t="array" ref="CT238">IFERROR(IF(tbl_Case_mins[[#This Row],[Rank]]=_xlfn.AGGREGATE(15,6,(tbl_Case_mins[Rank])/((tbl_Case_mins[Surgery Start Date]=tbl_Case_mins[[#This Row],[Surgery Start Date]])*(tbl_Case_mins[Theatre]=tbl_Case_mins[[#This Row],[Theatre]])*(tbl_Case_mins[PmCase]=1)),1),1,0),0)</f>
        <v>0</v>
      </c>
      <c r="CU238">
        <f>IFERROR(#REF!,0)</f>
        <v>0</v>
      </c>
      <c r="CV238" s="9" t="e" cm="1">
        <f t="array" ref="CV23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8" s="9">
        <f>IFERROR(IF(ISBLANK(INDEX(Bay_AmClose,MATCH(1,INDEX((tbl_Case_mins[[#This Row],[Bay]]=BayNo)*(tbl_Case_mins[[#This Row],[Surgery Start Date]]=BDate),0,1),0))*1440),0,INDEX(Bay_AmClose,MATCH(1,INDEX((tbl_Case_mins[[#This Row],[Bay]]=BayNo)*(tbl_Case_mins[[#This Row],[Surgery Start Date]]=BDate),0,1),0))*1440),0)</f>
        <v>0</v>
      </c>
      <c r="CX238" s="9" cm="1">
        <f t="array" ref="CX238">IFERROR(IF(ISBLANK(INDEX(Bay_PmOpen,MATCH(1,INDEX((tbl_Case_mins[[#This Row],[Bay]]=BayNo)*(tbl_Case_mins[[#This Row],[Surgery Start Date]]=BDate),0,1),0))*1440),0,INDEX(Bay_PmOpen,MATCH(1,INDEX((tbl_Case_mins[[#This Row],[Bay]]=BayNo)*(tbl_Case_mins[[#This Row],[Surgery Start Date]]=BDate),0,1),0))*1440),0)</f>
        <v>0</v>
      </c>
      <c r="CY23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8" s="9"/>
    </row>
    <row r="239" spans="1:104" x14ac:dyDescent="0.2">
      <c r="A239">
        <v>238</v>
      </c>
      <c r="B239" t="e">
        <f>#REF!</f>
        <v>#REF!</v>
      </c>
      <c r="C239" t="e">
        <f>#REF!</f>
        <v>#REF!</v>
      </c>
      <c r="D239" t="e">
        <f>#REF!</f>
        <v>#REF!</v>
      </c>
      <c r="E239" t="e">
        <f>#REF!</f>
        <v>#REF!</v>
      </c>
      <c r="F239" t="e">
        <f>#REF!</f>
        <v>#REF!</v>
      </c>
      <c r="G239" t="e">
        <f>#REF!</f>
        <v>#REF!</v>
      </c>
      <c r="H239" t="e">
        <f>#REF!</f>
        <v>#REF!</v>
      </c>
      <c r="I239" t="e">
        <f>IF(#REF!="Case Cancelled",1,IF(#REF!="No Cases",2,0))</f>
        <v>#REF!</v>
      </c>
      <c r="J239" t="e">
        <f>#REF!</f>
        <v>#REF!</v>
      </c>
      <c r="K239" s="4" t="e">
        <f>#REF!</f>
        <v>#REF!</v>
      </c>
      <c r="L239" t="e">
        <f>"Wk "&amp;WEEKNUM(tbl_Case_mins[[#This Row],[Surgery Start Date]],21)</f>
        <v>#REF!</v>
      </c>
      <c r="M239" t="e">
        <f>TEXT(tbl_Case_mins[[#This Row],[Surgery Start Date]],"ddd")</f>
        <v>#REF!</v>
      </c>
      <c r="N239" s="9" t="e">
        <f>(#REF!-TIME(0,0,0))*1440</f>
        <v>#REF!</v>
      </c>
      <c r="O239" t="e">
        <f>IF(AND(ROUND((#REF!-TIME(0,0,0))*1440,0)&gt;0,ROUND((#REF!-TIME(0,0,0))*1440,0)&lt;tbl_Case_mins[[#This Row],[Patient Called]],tbl_Case_mins[[#This Row],[Surgery End Date]]&gt;tbl_Case_mins[[#This Row],[Surgery Start Date]]),ROUND((#REF!-TIME(0,0,0))*1440,0)+1440,ROUND((#REF!-TIME(0,0,0))*1440,0))</f>
        <v>#REF!</v>
      </c>
      <c r="P239" s="9" t="e">
        <f>IF(AND(ROUND((#REF!-TIME(0,0,0))*1440,0)&gt;0,ROUND((#REF!-TIME(0,0,0))*1440,0)&lt;tbl_Case_mins[[#This Row],[Arrival]],tbl_Case_mins[[#This Row],[Surgery End Date]]&gt;tbl_Case_mins[[#This Row],[Surgery Start Date]]),ROUND((#REF!-TIME(0,0,0))*1440,0)+1440,ROUND((#REF!-TIME(0,0,0))*1440,0))</f>
        <v>#REF!</v>
      </c>
      <c r="Q239" s="9" t="e">
        <f>IF(AND(ROUND((#REF!-TIME(0,0,0))*1440,0)&gt;0,ROUND((#REF!-TIME(0,0,0))*1440,0)&lt;tbl_Case_mins[[#This Row],[Into Th or AR]],tbl_Case_mins[[#This Row],[Surgery End Date]]&gt;tbl_Case_mins[[#This Row],[Surgery Start Date]]),ROUND((#REF!-TIME(0,0,0))*1440,0)+1440,ROUND((#REF!-TIME(0,0,0))*1440,0))</f>
        <v>#REF!</v>
      </c>
      <c r="R239" s="9" t="e">
        <f>IF(AND(ROUND((#REF!-TIME(0,0,0))*1440,0)&gt;0,ROUND((#REF!-TIME(0,0,0))*1440,0)&lt;tbl_Case_mins[[#This Row],[AnaesthStart]],tbl_Case_mins[[#This Row],[Surgery End Date]]&gt;tbl_Case_mins[[#This Row],[Surgery Start Date]]),ROUND((#REF!-TIME(0,0,0))*1440,0)+1440,ROUND((#REF!-TIME(0,0,0))*1440,0))</f>
        <v>#REF!</v>
      </c>
      <c r="S239" s="9" t="e">
        <f>IF(AND(ROUND((#REF!-TIME(0,0,0))*1440,0),ROUND((#REF!-TIME(0,0,0))*1440,0)&lt;tbl_Case_mins[[#This Row],[Surgery Start]],tbl_Case_mins[[#This Row],[Surgery End Date]]&gt;tbl_Case_mins[[#This Row],[Surgery Start Date]]),ROUND((#REF!-TIME(0,0,0))*1440,0)+1440,ROUND((#REF!-TIME(0,0,0))*1440,0))</f>
        <v>#REF!</v>
      </c>
      <c r="T239" s="9" t="e">
        <f>IF(AND(ROUND((#REF!-TIME(0,0,0))*1440,0)&gt;0,ROUND((#REF!-TIME(0,0,0))*1440,0)&lt;tbl_Case_mins[[#This Row],[Surgery Finish]],tbl_Case_mins[[#This Row],[Surgery End Date]]&gt;tbl_Case_mins[[#This Row],[Surgery Start Date]]),ROUND((#REF!-TIME(0,0,0))*1440,0)+1440,ROUND((#REF!-TIME(0,0,0))*1440,0))</f>
        <v>#REF!</v>
      </c>
      <c r="U239" s="9" t="e">
        <f>IF(AND(ROUND((#REF!-TIME(0,0,0))*1440,0)&gt;0,ROUND((#REF!-TIME(0,0,0))*1440,0)&lt;tbl_Case_mins[[#This Row],[Anaesth End]],tbl_Case_mins[[#This Row],[Surgery End Date]]&gt;tbl_Case_mins[[#This Row],[Surgery Start Date]]),ROUND((#REF!-TIME(0,0,0))*1440,0)+1440,ROUND((#REF!-TIME(0,0,0))*1440,0))</f>
        <v>#REF!</v>
      </c>
      <c r="V239" s="9" t="e">
        <f>IF(AND(ROUND((#REF!-TIME(0,0,0))*1440,0)&gt;0,ROUND((#REF!-TIME(0,0,0))*1440,0)&lt;tbl_Case_mins[[#This Row],[Into Recov]],tbl_Case_mins[[#This Row],[Surgery End Date]]&gt;tbl_Case_mins[[#This Row],[Surgery Start Date]]),ROUND((#REF!-TIME(0,0,0))*1440,0)+1440,ROUND((#REF!-TIME(0,0,0))*1440,0))</f>
        <v>#REF!</v>
      </c>
      <c r="W239" s="9" t="e">
        <f>IF(AND(ROUND((#REF!-TIME(0,0,0))*1440,0)&gt;0,ROUND((#REF!-TIME(0,0,0))*1440,0)&lt;tbl_Case_mins[[#This Row],[Ward Called]],tbl_Case_mins[[#This Row],[Surgery End Date]]&gt;tbl_Case_mins[[#This Row],[Surgery Start Date]]),ROUND((#REF!-TIME(0,0,0))*1440,0)+1440,ROUND((#REF!-TIME(0,0,0))*1440,0))</f>
        <v>#REF!</v>
      </c>
      <c r="X239" s="4" t="e">
        <f>IF(ISBLANK(#REF!),tbl_Case_mins[[#This Row],[Surgery Start Date]],#REF!)</f>
        <v>#REF!</v>
      </c>
      <c r="Y239">
        <f>IFERROR(IF(VLOOKUP(tbl_Case_mins[[#This Row],[Theatre]],'Mng Theatres'!$C$7:$G$12,3,FALSE)="Yes","Yes","No"),0)</f>
        <v>0</v>
      </c>
      <c r="Z239" s="9" t="e" cm="1">
        <f t="array" ref="Z23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39" s="9" t="e" cm="1">
        <f t="array" ref="AA23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3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39" s="9" t="e">
        <f>IF(tbl_Case_mins[[#This Row],[Case Type]]="Unsch",1,0)</f>
        <v>#REF!</v>
      </c>
      <c r="AD239" s="9" t="e">
        <f>IF(tbl_Case_mins[[#This Row],[Case Type]]="Sch",1,0)</f>
        <v>#REF!</v>
      </c>
      <c r="AE23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39" s="9">
        <f>IFERROR(IF(ISBLANK(INDEX(Am_Close,MATCH(1,INDEX((tbl_Case_mins[[#This Row],[Theatre]]=Theatre_No)*(tbl_Case_mins[[#This Row],[Surgery Start Date]]=Date),0,1),0))*1440),0,INDEX(Am_Close,MATCH(1,INDEX((tbl_Case_mins[[#This Row],[Theatre]]=Theatre_No)*(tbl_Case_mins[[#This Row],[Surgery Start Date]]=Date),0,1),0))*1440),0)</f>
        <v>0</v>
      </c>
      <c r="AG239" s="9">
        <f>IFERROR(IF(ISBLANK(INDEX(PM_Open,MATCH(1,INDEX((tbl_Case_mins[[#This Row],[Theatre]]=Theatre_No)*(tbl_Case_mins[[#This Row],[Surgery Start Date]]=Date),0,1),0))*1440),0,INDEX(PM_Open,MATCH(1,INDEX((tbl_Case_mins[[#This Row],[Theatre]]=Theatre_No)*(tbl_Case_mins[[#This Row],[Surgery Start Date]]=Date),0,1),0))*1440),0)</f>
        <v>0</v>
      </c>
      <c r="AH23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39" s="9" t="e">
        <f>IF(tbl_Case_mins[[#This Row],[ThOpenAm]]=0,tbl_Case_mins[[#This Row],[ThOpenPM]],tbl_Case_mins[[#This Row],[ThOpenAm]])</f>
        <v>#REF!</v>
      </c>
      <c r="AJ239" s="9" t="e">
        <f>IF(tbl_Case_mins[[#This Row],[ThCloseAm]]&gt;0,IF(tbl_Case_mins[[#This Row],[ThOpenPM]]&gt;0,tbl_Case_mins[[#This Row],[ThClosePm]],tbl_Case_mins[[#This Row],[ThCloseAm]]),tbl_Case_mins[[#This Row],[ThClosePm]])</f>
        <v>#REF!</v>
      </c>
      <c r="AK239" s="9" t="e">
        <f>IF(tbl_Case_mins[[#This Row],[TOT]]&gt;0,1,0)</f>
        <v>#REF!</v>
      </c>
      <c r="AL23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39" s="9" t="e">
        <f>IF(AND(tbl_Case_mins[[#This Row],[Surgery Status]]&lt;&gt;2,tbl_Case_mins[[#This Row],[InCoreCase]]=0,tbl_Case_mins[[#This Row],[CancelledCase]]=0),1,0)</f>
        <v>#REF!</v>
      </c>
      <c r="AN239" s="9" t="e">
        <f>IF(tbl_Case_mins[[#This Row],[Surgery Status]]=1,1,0)</f>
        <v>#REF!</v>
      </c>
      <c r="AO23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39" s="9" t="e">
        <f>IF(AND(tbl_Case_mins[[#This Row],[NonCoreCase]]=1,tbl_Case_mins[[#This Row],[NoInCoreTime]]=0),1,0)</f>
        <v>#REF!</v>
      </c>
      <c r="AQ239" s="9" t="e">
        <f>IF(tbl_Case_mins[[#This Row],[Rank_AnaEnd]]&lt;tbl_Case_mins[[#This Row],[Rank_AnaSt]],1,0)</f>
        <v>#REF!</v>
      </c>
      <c r="AR239" s="9" t="e">
        <f>IF(AND(tbl_Case_mins[[#This Row],[InCoreCase]]=1,tbl_Case_mins[[#This Row],[Sch]]=1),1,0)</f>
        <v>#REF!</v>
      </c>
      <c r="AS239" s="9" t="e">
        <f>IF(AND(tbl_Case_mins[[#This Row],[InCoreCase]]=1,tbl_Case_mins[[#This Row],[Unsch]]=1),1,0)</f>
        <v>#REF!</v>
      </c>
      <c r="AT23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3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3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39" s="9" t="e">
        <f>IF(tbl_Case_mins[[#This Row],[Surgery Status]]=0,(tbl_Case_mins[[#This Row],[Anaesth End]]-tbl_Case_mins[[#This Row],[AnaesthStart]]),0)</f>
        <v>#REF!</v>
      </c>
      <c r="AX239" s="9" t="e">
        <f>IF(tbl_Case_mins[[#This Row],[Surgery Status]]=0,(tbl_Case_mins[[#This Row],[Surgery Finish]]-tbl_Case_mins[[#This Row],[Surgery Start]]),0)</f>
        <v>#REF!</v>
      </c>
      <c r="AY239" s="9" t="e">
        <f>tbl_Case_mins[[#This Row],[Surgery Start]]-tbl_Case_mins[[#This Row],[AnaesthStart]]</f>
        <v>#REF!</v>
      </c>
      <c r="AZ239" s="9" t="e">
        <f>tbl_Case_mins[[#This Row],[Anaesth End]]-tbl_Case_mins[[#This Row],[Surgery Finish]]</f>
        <v>#REF!</v>
      </c>
      <c r="BA23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3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39" s="16" cm="1">
        <f t="array" ref="BC23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39" s="16" t="e">
        <f>IF(AND(tbl_Case_mins[[#This Row],[FirstAMCase]]=1,tbl_Case_mins[[#This Row],[CancelledCase]]=0,OR(tbl_Case_mins[[#This Row],[EarlyStartAM]]&gt;0,tbl_Case_mins[[#This Row],[AnaesthStart]]=tbl_Case_mins[[#This Row],[ThOpenAm]])),1,0)</f>
        <v>#REF!</v>
      </c>
      <c r="BE239" s="16" t="e">
        <f>IF(AND(tbl_Case_mins[[#This Row],[Rank_AnaSt]]=tbl_Case_mins[[#This Row],[Min_RankAnaSt]],tbl_Case_mins[[#This Row],[Anaesth End]]&gt;=tbl_Case_mins[[#This Row],[ThOpenAm]],tbl_Case_mins[[#This Row],[PmCase]]=0),1,0)</f>
        <v>#REF!</v>
      </c>
      <c r="BF23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3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39" s="9" t="e" cm="1">
        <f t="array" ref="BH23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3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3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39" s="9" t="e">
        <f>IF(AND(tbl_Case_mins[[#This Row],[ThOpenPM]]&gt;0,tbl_Case_mins[[#This Row],[AnaesthStart]]&gt;tbl_Case_mins[[#This Row],[ThOpenPM]],tbl_Case_mins[[#This Row],[First PM Case]]=1),tbl_Case_mins[[#This Row],[AnaesthStart]]-tbl_Case_mins[[#This Row],[ThOpenPM]],0)</f>
        <v>#REF!</v>
      </c>
      <c r="BL23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3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39" s="9" t="e" cm="1">
        <f t="array" ref="BN23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39" s="9" t="e">
        <f>IF(AND(tbl_Case_mins[[#This Row],[ThClosePm]]&gt;0,tbl_Case_mins[[#This Row],[Anaesth End]]&gt;tbl_Case_mins[[#This Row],[ThClosePm]],tbl_Case_mins[[#This Row],[AnaesthStart]]&gt;tbl_Case_mins[[#This Row],[ThClosePm]]),tbl_Case_mins[[#This Row],[Into Recov]]-tbl_Case_mins[[#This Row],[AnaesthStart]],0)</f>
        <v>#REF!</v>
      </c>
      <c r="BP239" s="9" t="e">
        <f>IF(AND(tbl_Case_mins[[#This Row],[AnaesthStart]]&lt;tbl_Case_mins[[#This Row],[ThClosePm]],tbl_Case_mins[[#This Row],[Anaesth End]]&gt;tbl_Case_mins[[#This Row],[ThClosePm]]),tbl_Case_mins[[#This Row],[Anaesth End]]-tbl_Case_mins[[#This Row],[ThClosePm]],0)</f>
        <v>#REF!</v>
      </c>
      <c r="BQ239" s="9" t="e" cm="1">
        <f t="array" ref="BQ23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39" s="9" t="e" cm="1">
        <f t="array" ref="BR239">IF(tbl_Case_mins[[#This Row],[Rank_Adjust]]=SUMPRODUCT(-(tbl_Case_mins[Surgery Start Date]=tbl_Case_mins[[#This Row],[Surgery Start Date]]),-(tbl_Case_mins[Theatre]=tbl_Case_mins[[#This Row],[Theatre]])),INDEX(Poss_Time,MATCH(TEXT(tbl_Case_mins[[#This Row],[Surgery Start Date]],"ddd"),Day,0)),0)</f>
        <v>#REF!</v>
      </c>
      <c r="BS239" s="9" t="e">
        <f>tbl_Case_mins[[#This Row],[Core_Time]]*Util_Goal</f>
        <v>#REF!</v>
      </c>
      <c r="BT239" s="9" t="e" cm="1">
        <f t="array" ref="BT2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39" s="9" t="e" cm="1">
        <f t="array" ref="BU2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3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3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39" s="9" t="e">
        <f>IF(tbl_Case_mins[[#This Row],[Surgery End Date]]&gt;tbl_Case_mins[[#This Row],[Surgery Start Date]],tbl_Case_mins[[#This Row],[Anaesth End]]-1440,0)</f>
        <v>#REF!</v>
      </c>
      <c r="BY239" s="9" t="e">
        <f>tbl_Case_mins[[#This Row],[Total_NonCore]]-tbl_Case_mins[[#This Row],[NextDay_NonCore]]</f>
        <v>#REF!</v>
      </c>
      <c r="BZ239" s="10" t="e">
        <f>tbl_Case_mins[[#This Row],[InCoreUse]]/60</f>
        <v>#REF!</v>
      </c>
      <c r="CA239" s="10" t="e">
        <f>tbl_Case_mins[[#This Row],[Total_NonCore]]/60</f>
        <v>#REF!</v>
      </c>
      <c r="CB239" t="e" cm="1">
        <f t="array" ref="CB2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39" s="9" t="e" cm="1">
        <f t="array" ref="CC23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39" s="9" t="e" cm="1">
        <f t="array" ref="CD2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39" s="9" t="e" cm="1">
        <f t="array" ref="CE23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39" s="9" cm="1">
        <f t="array" ref="CF239">IFERROR(_xlfn.AGGREGATE(14,6,(tbl_Case_mins[Rank_AnaEnd])/((tbl_Case_mins[Surgery Start Date]=tbl_Case_mins[[#This Row],[Surgery Start Date]])*(tbl_Case_mins[Theatre]=tbl_Case_mins[[#This Row],[Theatre]])*(tbl_Case_mins[NoInCoreTime]=0)),1),-1)</f>
        <v>-1</v>
      </c>
      <c r="CG239" s="9" cm="1">
        <f t="array" ref="CG239">IFERROR(_xlfn.AGGREGATE(15,6,(tbl_Case_mins[Rank_AnaSt])/((tbl_Case_mins[Surgery Start Date]=tbl_Case_mins[[#This Row],[Surgery Start Date]])*(tbl_Case_mins[Theatre]=tbl_Case_mins[[#This Row],[Theatre]])*(tbl_Case_mins[NoInCoreTime]=0)),1),-1)</f>
        <v>-1</v>
      </c>
      <c r="CH23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3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39" t="e" cm="1">
        <f t="array" ref="CJ23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3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3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39" s="9" cm="1">
        <f t="array" ref="CO2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39" s="9" cm="1">
        <f t="array" ref="CP2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39" s="9" cm="1">
        <f t="array" ref="CQ239">IFERROR(IF(AND(tbl_Case_mins[[#This Row],[FirstAMCase]]=0,tbl_Case_mins[[#This Row],[Rank]]=_xlfn.AGGREGATE(14,6,(tbl_Case_mins[Rank])/((tbl_Case_mins[Surgery Start Date]=tbl_Case_mins[[#This Row],[Surgery Start Date]])*(tbl_Case_mins[Theatre]=tbl_Case_mins[[#This Row],[Theatre]])*(tbl_Case_mins[AmCase]=1)),1)),1,0),0)</f>
        <v>0</v>
      </c>
      <c r="CR239" s="9" cm="1">
        <f t="array" ref="CR23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39" s="9" t="e" cm="1">
        <f t="array" ref="CS23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39" s="9" cm="1">
        <f t="array" ref="CT239">IFERROR(IF(tbl_Case_mins[[#This Row],[Rank]]=_xlfn.AGGREGATE(15,6,(tbl_Case_mins[Rank])/((tbl_Case_mins[Surgery Start Date]=tbl_Case_mins[[#This Row],[Surgery Start Date]])*(tbl_Case_mins[Theatre]=tbl_Case_mins[[#This Row],[Theatre]])*(tbl_Case_mins[PmCase]=1)),1),1,0),0)</f>
        <v>0</v>
      </c>
      <c r="CU239">
        <f>IFERROR(#REF!,0)</f>
        <v>0</v>
      </c>
      <c r="CV239" s="9" t="e" cm="1">
        <f t="array" ref="CV23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39" s="9">
        <f>IFERROR(IF(ISBLANK(INDEX(Bay_AmClose,MATCH(1,INDEX((tbl_Case_mins[[#This Row],[Bay]]=BayNo)*(tbl_Case_mins[[#This Row],[Surgery Start Date]]=BDate),0,1),0))*1440),0,INDEX(Bay_AmClose,MATCH(1,INDEX((tbl_Case_mins[[#This Row],[Bay]]=BayNo)*(tbl_Case_mins[[#This Row],[Surgery Start Date]]=BDate),0,1),0))*1440),0)</f>
        <v>0</v>
      </c>
      <c r="CX239" s="9" cm="1">
        <f t="array" ref="CX239">IFERROR(IF(ISBLANK(INDEX(Bay_PmOpen,MATCH(1,INDEX((tbl_Case_mins[[#This Row],[Bay]]=BayNo)*(tbl_Case_mins[[#This Row],[Surgery Start Date]]=BDate),0,1),0))*1440),0,INDEX(Bay_PmOpen,MATCH(1,INDEX((tbl_Case_mins[[#This Row],[Bay]]=BayNo)*(tbl_Case_mins[[#This Row],[Surgery Start Date]]=BDate),0,1),0))*1440),0)</f>
        <v>0</v>
      </c>
      <c r="CY23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39" s="9"/>
    </row>
    <row r="240" spans="1:104" x14ac:dyDescent="0.2">
      <c r="A240">
        <v>239</v>
      </c>
      <c r="B240" t="e">
        <f>#REF!</f>
        <v>#REF!</v>
      </c>
      <c r="C240" t="e">
        <f>#REF!</f>
        <v>#REF!</v>
      </c>
      <c r="D240" t="e">
        <f>#REF!</f>
        <v>#REF!</v>
      </c>
      <c r="E240" t="e">
        <f>#REF!</f>
        <v>#REF!</v>
      </c>
      <c r="F240" t="e">
        <f>#REF!</f>
        <v>#REF!</v>
      </c>
      <c r="G240" t="e">
        <f>#REF!</f>
        <v>#REF!</v>
      </c>
      <c r="H240" t="e">
        <f>#REF!</f>
        <v>#REF!</v>
      </c>
      <c r="I240" t="e">
        <f>IF(#REF!="Case Cancelled",1,IF(#REF!="No Cases",2,0))</f>
        <v>#REF!</v>
      </c>
      <c r="J240" t="e">
        <f>#REF!</f>
        <v>#REF!</v>
      </c>
      <c r="K240" s="4" t="e">
        <f>#REF!</f>
        <v>#REF!</v>
      </c>
      <c r="L240" t="e">
        <f>"Wk "&amp;WEEKNUM(tbl_Case_mins[[#This Row],[Surgery Start Date]],21)</f>
        <v>#REF!</v>
      </c>
      <c r="M240" t="e">
        <f>TEXT(tbl_Case_mins[[#This Row],[Surgery Start Date]],"ddd")</f>
        <v>#REF!</v>
      </c>
      <c r="N240" s="9" t="e">
        <f>(#REF!-TIME(0,0,0))*1440</f>
        <v>#REF!</v>
      </c>
      <c r="O240" t="e">
        <f>IF(AND(ROUND((#REF!-TIME(0,0,0))*1440,0)&gt;0,ROUND((#REF!-TIME(0,0,0))*1440,0)&lt;tbl_Case_mins[[#This Row],[Patient Called]],tbl_Case_mins[[#This Row],[Surgery End Date]]&gt;tbl_Case_mins[[#This Row],[Surgery Start Date]]),ROUND((#REF!-TIME(0,0,0))*1440,0)+1440,ROUND((#REF!-TIME(0,0,0))*1440,0))</f>
        <v>#REF!</v>
      </c>
      <c r="P240" s="9" t="e">
        <f>IF(AND(ROUND((#REF!-TIME(0,0,0))*1440,0)&gt;0,ROUND((#REF!-TIME(0,0,0))*1440,0)&lt;tbl_Case_mins[[#This Row],[Arrival]],tbl_Case_mins[[#This Row],[Surgery End Date]]&gt;tbl_Case_mins[[#This Row],[Surgery Start Date]]),ROUND((#REF!-TIME(0,0,0))*1440,0)+1440,ROUND((#REF!-TIME(0,0,0))*1440,0))</f>
        <v>#REF!</v>
      </c>
      <c r="Q240" s="9" t="e">
        <f>IF(AND(ROUND((#REF!-TIME(0,0,0))*1440,0)&gt;0,ROUND((#REF!-TIME(0,0,0))*1440,0)&lt;tbl_Case_mins[[#This Row],[Into Th or AR]],tbl_Case_mins[[#This Row],[Surgery End Date]]&gt;tbl_Case_mins[[#This Row],[Surgery Start Date]]),ROUND((#REF!-TIME(0,0,0))*1440,0)+1440,ROUND((#REF!-TIME(0,0,0))*1440,0))</f>
        <v>#REF!</v>
      </c>
      <c r="R240" s="9" t="e">
        <f>IF(AND(ROUND((#REF!-TIME(0,0,0))*1440,0)&gt;0,ROUND((#REF!-TIME(0,0,0))*1440,0)&lt;tbl_Case_mins[[#This Row],[AnaesthStart]],tbl_Case_mins[[#This Row],[Surgery End Date]]&gt;tbl_Case_mins[[#This Row],[Surgery Start Date]]),ROUND((#REF!-TIME(0,0,0))*1440,0)+1440,ROUND((#REF!-TIME(0,0,0))*1440,0))</f>
        <v>#REF!</v>
      </c>
      <c r="S240" s="9" t="e">
        <f>IF(AND(ROUND((#REF!-TIME(0,0,0))*1440,0),ROUND((#REF!-TIME(0,0,0))*1440,0)&lt;tbl_Case_mins[[#This Row],[Surgery Start]],tbl_Case_mins[[#This Row],[Surgery End Date]]&gt;tbl_Case_mins[[#This Row],[Surgery Start Date]]),ROUND((#REF!-TIME(0,0,0))*1440,0)+1440,ROUND((#REF!-TIME(0,0,0))*1440,0))</f>
        <v>#REF!</v>
      </c>
      <c r="T240" s="9" t="e">
        <f>IF(AND(ROUND((#REF!-TIME(0,0,0))*1440,0)&gt;0,ROUND((#REF!-TIME(0,0,0))*1440,0)&lt;tbl_Case_mins[[#This Row],[Surgery Finish]],tbl_Case_mins[[#This Row],[Surgery End Date]]&gt;tbl_Case_mins[[#This Row],[Surgery Start Date]]),ROUND((#REF!-TIME(0,0,0))*1440,0)+1440,ROUND((#REF!-TIME(0,0,0))*1440,0))</f>
        <v>#REF!</v>
      </c>
      <c r="U240" s="9" t="e">
        <f>IF(AND(ROUND((#REF!-TIME(0,0,0))*1440,0)&gt;0,ROUND((#REF!-TIME(0,0,0))*1440,0)&lt;tbl_Case_mins[[#This Row],[Anaesth End]],tbl_Case_mins[[#This Row],[Surgery End Date]]&gt;tbl_Case_mins[[#This Row],[Surgery Start Date]]),ROUND((#REF!-TIME(0,0,0))*1440,0)+1440,ROUND((#REF!-TIME(0,0,0))*1440,0))</f>
        <v>#REF!</v>
      </c>
      <c r="V240" s="9" t="e">
        <f>IF(AND(ROUND((#REF!-TIME(0,0,0))*1440,0)&gt;0,ROUND((#REF!-TIME(0,0,0))*1440,0)&lt;tbl_Case_mins[[#This Row],[Into Recov]],tbl_Case_mins[[#This Row],[Surgery End Date]]&gt;tbl_Case_mins[[#This Row],[Surgery Start Date]]),ROUND((#REF!-TIME(0,0,0))*1440,0)+1440,ROUND((#REF!-TIME(0,0,0))*1440,0))</f>
        <v>#REF!</v>
      </c>
      <c r="W240" s="9" t="e">
        <f>IF(AND(ROUND((#REF!-TIME(0,0,0))*1440,0)&gt;0,ROUND((#REF!-TIME(0,0,0))*1440,0)&lt;tbl_Case_mins[[#This Row],[Ward Called]],tbl_Case_mins[[#This Row],[Surgery End Date]]&gt;tbl_Case_mins[[#This Row],[Surgery Start Date]]),ROUND((#REF!-TIME(0,0,0))*1440,0)+1440,ROUND((#REF!-TIME(0,0,0))*1440,0))</f>
        <v>#REF!</v>
      </c>
      <c r="X240" s="4" t="e">
        <f>IF(ISBLANK(#REF!),tbl_Case_mins[[#This Row],[Surgery Start Date]],#REF!)</f>
        <v>#REF!</v>
      </c>
      <c r="Y240">
        <f>IFERROR(IF(VLOOKUP(tbl_Case_mins[[#This Row],[Theatre]],'Mng Theatres'!$C$7:$G$12,3,FALSE)="Yes","Yes","No"),0)</f>
        <v>0</v>
      </c>
      <c r="Z240" s="9" t="e" cm="1">
        <f t="array" ref="Z24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0" s="9" t="e" cm="1">
        <f t="array" ref="AA24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0" s="9" t="e">
        <f>IF(tbl_Case_mins[[#This Row],[Case Type]]="Unsch",1,0)</f>
        <v>#REF!</v>
      </c>
      <c r="AD240" s="9" t="e">
        <f>IF(tbl_Case_mins[[#This Row],[Case Type]]="Sch",1,0)</f>
        <v>#REF!</v>
      </c>
      <c r="AE24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0" s="9">
        <f>IFERROR(IF(ISBLANK(INDEX(Am_Close,MATCH(1,INDEX((tbl_Case_mins[[#This Row],[Theatre]]=Theatre_No)*(tbl_Case_mins[[#This Row],[Surgery Start Date]]=Date),0,1),0))*1440),0,INDEX(Am_Close,MATCH(1,INDEX((tbl_Case_mins[[#This Row],[Theatre]]=Theatre_No)*(tbl_Case_mins[[#This Row],[Surgery Start Date]]=Date),0,1),0))*1440),0)</f>
        <v>0</v>
      </c>
      <c r="AG240" s="9">
        <f>IFERROR(IF(ISBLANK(INDEX(PM_Open,MATCH(1,INDEX((tbl_Case_mins[[#This Row],[Theatre]]=Theatre_No)*(tbl_Case_mins[[#This Row],[Surgery Start Date]]=Date),0,1),0))*1440),0,INDEX(PM_Open,MATCH(1,INDEX((tbl_Case_mins[[#This Row],[Theatre]]=Theatre_No)*(tbl_Case_mins[[#This Row],[Surgery Start Date]]=Date),0,1),0))*1440),0)</f>
        <v>0</v>
      </c>
      <c r="AH24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0" s="9" t="e">
        <f>IF(tbl_Case_mins[[#This Row],[ThOpenAm]]=0,tbl_Case_mins[[#This Row],[ThOpenPM]],tbl_Case_mins[[#This Row],[ThOpenAm]])</f>
        <v>#REF!</v>
      </c>
      <c r="AJ240" s="9" t="e">
        <f>IF(tbl_Case_mins[[#This Row],[ThCloseAm]]&gt;0,IF(tbl_Case_mins[[#This Row],[ThOpenPM]]&gt;0,tbl_Case_mins[[#This Row],[ThClosePm]],tbl_Case_mins[[#This Row],[ThCloseAm]]),tbl_Case_mins[[#This Row],[ThClosePm]])</f>
        <v>#REF!</v>
      </c>
      <c r="AK240" s="9" t="e">
        <f>IF(tbl_Case_mins[[#This Row],[TOT]]&gt;0,1,0)</f>
        <v>#REF!</v>
      </c>
      <c r="AL24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0" s="9" t="e">
        <f>IF(AND(tbl_Case_mins[[#This Row],[Surgery Status]]&lt;&gt;2,tbl_Case_mins[[#This Row],[InCoreCase]]=0,tbl_Case_mins[[#This Row],[CancelledCase]]=0),1,0)</f>
        <v>#REF!</v>
      </c>
      <c r="AN240" s="9" t="e">
        <f>IF(tbl_Case_mins[[#This Row],[Surgery Status]]=1,1,0)</f>
        <v>#REF!</v>
      </c>
      <c r="AO24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0" s="9" t="e">
        <f>IF(AND(tbl_Case_mins[[#This Row],[NonCoreCase]]=1,tbl_Case_mins[[#This Row],[NoInCoreTime]]=0),1,0)</f>
        <v>#REF!</v>
      </c>
      <c r="AQ240" s="9" t="e">
        <f>IF(tbl_Case_mins[[#This Row],[Rank_AnaEnd]]&lt;tbl_Case_mins[[#This Row],[Rank_AnaSt]],1,0)</f>
        <v>#REF!</v>
      </c>
      <c r="AR240" s="9" t="e">
        <f>IF(AND(tbl_Case_mins[[#This Row],[InCoreCase]]=1,tbl_Case_mins[[#This Row],[Sch]]=1),1,0)</f>
        <v>#REF!</v>
      </c>
      <c r="AS240" s="9" t="e">
        <f>IF(AND(tbl_Case_mins[[#This Row],[InCoreCase]]=1,tbl_Case_mins[[#This Row],[Unsch]]=1),1,0)</f>
        <v>#REF!</v>
      </c>
      <c r="AT24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0" s="9" t="e">
        <f>IF(tbl_Case_mins[[#This Row],[Surgery Status]]=0,(tbl_Case_mins[[#This Row],[Anaesth End]]-tbl_Case_mins[[#This Row],[AnaesthStart]]),0)</f>
        <v>#REF!</v>
      </c>
      <c r="AX240" s="9" t="e">
        <f>IF(tbl_Case_mins[[#This Row],[Surgery Status]]=0,(tbl_Case_mins[[#This Row],[Surgery Finish]]-tbl_Case_mins[[#This Row],[Surgery Start]]),0)</f>
        <v>#REF!</v>
      </c>
      <c r="AY240" s="9" t="e">
        <f>tbl_Case_mins[[#This Row],[Surgery Start]]-tbl_Case_mins[[#This Row],[AnaesthStart]]</f>
        <v>#REF!</v>
      </c>
      <c r="AZ240" s="9" t="e">
        <f>tbl_Case_mins[[#This Row],[Anaesth End]]-tbl_Case_mins[[#This Row],[Surgery Finish]]</f>
        <v>#REF!</v>
      </c>
      <c r="BA24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0" s="16" cm="1">
        <f t="array" ref="BC24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0" s="16" t="e">
        <f>IF(AND(tbl_Case_mins[[#This Row],[FirstAMCase]]=1,tbl_Case_mins[[#This Row],[CancelledCase]]=0,OR(tbl_Case_mins[[#This Row],[EarlyStartAM]]&gt;0,tbl_Case_mins[[#This Row],[AnaesthStart]]=tbl_Case_mins[[#This Row],[ThOpenAm]])),1,0)</f>
        <v>#REF!</v>
      </c>
      <c r="BE240" s="16" t="e">
        <f>IF(AND(tbl_Case_mins[[#This Row],[Rank_AnaSt]]=tbl_Case_mins[[#This Row],[Min_RankAnaSt]],tbl_Case_mins[[#This Row],[Anaesth End]]&gt;=tbl_Case_mins[[#This Row],[ThOpenAm]],tbl_Case_mins[[#This Row],[PmCase]]=0),1,0)</f>
        <v>#REF!</v>
      </c>
      <c r="BF24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0" s="9" t="e" cm="1">
        <f t="array" ref="BH24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0" s="9" t="e">
        <f>IF(AND(tbl_Case_mins[[#This Row],[ThOpenPM]]&gt;0,tbl_Case_mins[[#This Row],[AnaesthStart]]&gt;tbl_Case_mins[[#This Row],[ThOpenPM]],tbl_Case_mins[[#This Row],[First PM Case]]=1),tbl_Case_mins[[#This Row],[AnaesthStart]]-tbl_Case_mins[[#This Row],[ThOpenPM]],0)</f>
        <v>#REF!</v>
      </c>
      <c r="BL24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0" s="9" t="e" cm="1">
        <f t="array" ref="BN24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0" s="9" t="e">
        <f>IF(AND(tbl_Case_mins[[#This Row],[ThClosePm]]&gt;0,tbl_Case_mins[[#This Row],[Anaesth End]]&gt;tbl_Case_mins[[#This Row],[ThClosePm]],tbl_Case_mins[[#This Row],[AnaesthStart]]&gt;tbl_Case_mins[[#This Row],[ThClosePm]]),tbl_Case_mins[[#This Row],[Into Recov]]-tbl_Case_mins[[#This Row],[AnaesthStart]],0)</f>
        <v>#REF!</v>
      </c>
      <c r="BP240" s="9" t="e">
        <f>IF(AND(tbl_Case_mins[[#This Row],[AnaesthStart]]&lt;tbl_Case_mins[[#This Row],[ThClosePm]],tbl_Case_mins[[#This Row],[Anaesth End]]&gt;tbl_Case_mins[[#This Row],[ThClosePm]]),tbl_Case_mins[[#This Row],[Anaesth End]]-tbl_Case_mins[[#This Row],[ThClosePm]],0)</f>
        <v>#REF!</v>
      </c>
      <c r="BQ240" s="9" t="e" cm="1">
        <f t="array" ref="BQ24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0" s="9" t="e" cm="1">
        <f t="array" ref="BR240">IF(tbl_Case_mins[[#This Row],[Rank_Adjust]]=SUMPRODUCT(-(tbl_Case_mins[Surgery Start Date]=tbl_Case_mins[[#This Row],[Surgery Start Date]]),-(tbl_Case_mins[Theatre]=tbl_Case_mins[[#This Row],[Theatre]])),INDEX(Poss_Time,MATCH(TEXT(tbl_Case_mins[[#This Row],[Surgery Start Date]],"ddd"),Day,0)),0)</f>
        <v>#REF!</v>
      </c>
      <c r="BS240" s="9" t="e">
        <f>tbl_Case_mins[[#This Row],[Core_Time]]*Util_Goal</f>
        <v>#REF!</v>
      </c>
      <c r="BT240" s="9" t="e" cm="1">
        <f t="array" ref="BT2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0" s="9" t="e" cm="1">
        <f t="array" ref="BU2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0" s="9" t="e">
        <f>IF(tbl_Case_mins[[#This Row],[Surgery End Date]]&gt;tbl_Case_mins[[#This Row],[Surgery Start Date]],tbl_Case_mins[[#This Row],[Anaesth End]]-1440,0)</f>
        <v>#REF!</v>
      </c>
      <c r="BY240" s="9" t="e">
        <f>tbl_Case_mins[[#This Row],[Total_NonCore]]-tbl_Case_mins[[#This Row],[NextDay_NonCore]]</f>
        <v>#REF!</v>
      </c>
      <c r="BZ240" s="10" t="e">
        <f>tbl_Case_mins[[#This Row],[InCoreUse]]/60</f>
        <v>#REF!</v>
      </c>
      <c r="CA240" s="10" t="e">
        <f>tbl_Case_mins[[#This Row],[Total_NonCore]]/60</f>
        <v>#REF!</v>
      </c>
      <c r="CB240" t="e" cm="1">
        <f t="array" ref="CB2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0" s="9" t="e" cm="1">
        <f t="array" ref="CC24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0" s="9" t="e" cm="1">
        <f t="array" ref="CD2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0" s="9" t="e" cm="1">
        <f t="array" ref="CE24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0" s="9" cm="1">
        <f t="array" ref="CF240">IFERROR(_xlfn.AGGREGATE(14,6,(tbl_Case_mins[Rank_AnaEnd])/((tbl_Case_mins[Surgery Start Date]=tbl_Case_mins[[#This Row],[Surgery Start Date]])*(tbl_Case_mins[Theatre]=tbl_Case_mins[[#This Row],[Theatre]])*(tbl_Case_mins[NoInCoreTime]=0)),1),-1)</f>
        <v>-1</v>
      </c>
      <c r="CG240" s="9" cm="1">
        <f t="array" ref="CG240">IFERROR(_xlfn.AGGREGATE(15,6,(tbl_Case_mins[Rank_AnaSt])/((tbl_Case_mins[Surgery Start Date]=tbl_Case_mins[[#This Row],[Surgery Start Date]])*(tbl_Case_mins[Theatre]=tbl_Case_mins[[#This Row],[Theatre]])*(tbl_Case_mins[NoInCoreTime]=0)),1),-1)</f>
        <v>-1</v>
      </c>
      <c r="CH24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0" t="e" cm="1">
        <f t="array" ref="CJ24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0" s="9" cm="1">
        <f t="array" ref="CO2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0" s="9" cm="1">
        <f t="array" ref="CP2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0" s="9" cm="1">
        <f t="array" ref="CQ240">IFERROR(IF(AND(tbl_Case_mins[[#This Row],[FirstAMCase]]=0,tbl_Case_mins[[#This Row],[Rank]]=_xlfn.AGGREGATE(14,6,(tbl_Case_mins[Rank])/((tbl_Case_mins[Surgery Start Date]=tbl_Case_mins[[#This Row],[Surgery Start Date]])*(tbl_Case_mins[Theatre]=tbl_Case_mins[[#This Row],[Theatre]])*(tbl_Case_mins[AmCase]=1)),1)),1,0),0)</f>
        <v>0</v>
      </c>
      <c r="CR240" s="9" cm="1">
        <f t="array" ref="CR24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0" s="9" t="e" cm="1">
        <f t="array" ref="CS24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0" s="9" cm="1">
        <f t="array" ref="CT240">IFERROR(IF(tbl_Case_mins[[#This Row],[Rank]]=_xlfn.AGGREGATE(15,6,(tbl_Case_mins[Rank])/((tbl_Case_mins[Surgery Start Date]=tbl_Case_mins[[#This Row],[Surgery Start Date]])*(tbl_Case_mins[Theatre]=tbl_Case_mins[[#This Row],[Theatre]])*(tbl_Case_mins[PmCase]=1)),1),1,0),0)</f>
        <v>0</v>
      </c>
      <c r="CU240">
        <f>IFERROR(#REF!,0)</f>
        <v>0</v>
      </c>
      <c r="CV240" s="9" t="e" cm="1">
        <f t="array" ref="CV24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0" s="9">
        <f>IFERROR(IF(ISBLANK(INDEX(Bay_AmClose,MATCH(1,INDEX((tbl_Case_mins[[#This Row],[Bay]]=BayNo)*(tbl_Case_mins[[#This Row],[Surgery Start Date]]=BDate),0,1),0))*1440),0,INDEX(Bay_AmClose,MATCH(1,INDEX((tbl_Case_mins[[#This Row],[Bay]]=BayNo)*(tbl_Case_mins[[#This Row],[Surgery Start Date]]=BDate),0,1),0))*1440),0)</f>
        <v>0</v>
      </c>
      <c r="CX240" s="9" cm="1">
        <f t="array" ref="CX240">IFERROR(IF(ISBLANK(INDEX(Bay_PmOpen,MATCH(1,INDEX((tbl_Case_mins[[#This Row],[Bay]]=BayNo)*(tbl_Case_mins[[#This Row],[Surgery Start Date]]=BDate),0,1),0))*1440),0,INDEX(Bay_PmOpen,MATCH(1,INDEX((tbl_Case_mins[[#This Row],[Bay]]=BayNo)*(tbl_Case_mins[[#This Row],[Surgery Start Date]]=BDate),0,1),0))*1440),0)</f>
        <v>0</v>
      </c>
      <c r="CY24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0" s="9"/>
    </row>
    <row r="241" spans="1:104" x14ac:dyDescent="0.2">
      <c r="A241">
        <v>240</v>
      </c>
      <c r="B241" t="e">
        <f>#REF!</f>
        <v>#REF!</v>
      </c>
      <c r="C241" t="e">
        <f>#REF!</f>
        <v>#REF!</v>
      </c>
      <c r="D241" t="e">
        <f>#REF!</f>
        <v>#REF!</v>
      </c>
      <c r="E241" t="e">
        <f>#REF!</f>
        <v>#REF!</v>
      </c>
      <c r="F241" t="e">
        <f>#REF!</f>
        <v>#REF!</v>
      </c>
      <c r="G241" t="e">
        <f>#REF!</f>
        <v>#REF!</v>
      </c>
      <c r="H241" t="e">
        <f>#REF!</f>
        <v>#REF!</v>
      </c>
      <c r="I241" t="e">
        <f>IF(#REF!="Case Cancelled",1,IF(#REF!="No Cases",2,0))</f>
        <v>#REF!</v>
      </c>
      <c r="J241" t="e">
        <f>#REF!</f>
        <v>#REF!</v>
      </c>
      <c r="K241" s="4" t="e">
        <f>#REF!</f>
        <v>#REF!</v>
      </c>
      <c r="L241" t="e">
        <f>"Wk "&amp;WEEKNUM(tbl_Case_mins[[#This Row],[Surgery Start Date]],21)</f>
        <v>#REF!</v>
      </c>
      <c r="M241" t="e">
        <f>TEXT(tbl_Case_mins[[#This Row],[Surgery Start Date]],"ddd")</f>
        <v>#REF!</v>
      </c>
      <c r="N241" s="9" t="e">
        <f>(#REF!-TIME(0,0,0))*1440</f>
        <v>#REF!</v>
      </c>
      <c r="O241" t="e">
        <f>IF(AND(ROUND((#REF!-TIME(0,0,0))*1440,0)&gt;0,ROUND((#REF!-TIME(0,0,0))*1440,0)&lt;tbl_Case_mins[[#This Row],[Patient Called]],tbl_Case_mins[[#This Row],[Surgery End Date]]&gt;tbl_Case_mins[[#This Row],[Surgery Start Date]]),ROUND((#REF!-TIME(0,0,0))*1440,0)+1440,ROUND((#REF!-TIME(0,0,0))*1440,0))</f>
        <v>#REF!</v>
      </c>
      <c r="P241" s="9" t="e">
        <f>IF(AND(ROUND((#REF!-TIME(0,0,0))*1440,0)&gt;0,ROUND((#REF!-TIME(0,0,0))*1440,0)&lt;tbl_Case_mins[[#This Row],[Arrival]],tbl_Case_mins[[#This Row],[Surgery End Date]]&gt;tbl_Case_mins[[#This Row],[Surgery Start Date]]),ROUND((#REF!-TIME(0,0,0))*1440,0)+1440,ROUND((#REF!-TIME(0,0,0))*1440,0))</f>
        <v>#REF!</v>
      </c>
      <c r="Q241" s="9" t="e">
        <f>IF(AND(ROUND((#REF!-TIME(0,0,0))*1440,0)&gt;0,ROUND((#REF!-TIME(0,0,0))*1440,0)&lt;tbl_Case_mins[[#This Row],[Into Th or AR]],tbl_Case_mins[[#This Row],[Surgery End Date]]&gt;tbl_Case_mins[[#This Row],[Surgery Start Date]]),ROUND((#REF!-TIME(0,0,0))*1440,0)+1440,ROUND((#REF!-TIME(0,0,0))*1440,0))</f>
        <v>#REF!</v>
      </c>
      <c r="R241" s="9" t="e">
        <f>IF(AND(ROUND((#REF!-TIME(0,0,0))*1440,0)&gt;0,ROUND((#REF!-TIME(0,0,0))*1440,0)&lt;tbl_Case_mins[[#This Row],[AnaesthStart]],tbl_Case_mins[[#This Row],[Surgery End Date]]&gt;tbl_Case_mins[[#This Row],[Surgery Start Date]]),ROUND((#REF!-TIME(0,0,0))*1440,0)+1440,ROUND((#REF!-TIME(0,0,0))*1440,0))</f>
        <v>#REF!</v>
      </c>
      <c r="S241" s="9" t="e">
        <f>IF(AND(ROUND((#REF!-TIME(0,0,0))*1440,0),ROUND((#REF!-TIME(0,0,0))*1440,0)&lt;tbl_Case_mins[[#This Row],[Surgery Start]],tbl_Case_mins[[#This Row],[Surgery End Date]]&gt;tbl_Case_mins[[#This Row],[Surgery Start Date]]),ROUND((#REF!-TIME(0,0,0))*1440,0)+1440,ROUND((#REF!-TIME(0,0,0))*1440,0))</f>
        <v>#REF!</v>
      </c>
      <c r="T241" s="9" t="e">
        <f>IF(AND(ROUND((#REF!-TIME(0,0,0))*1440,0)&gt;0,ROUND((#REF!-TIME(0,0,0))*1440,0)&lt;tbl_Case_mins[[#This Row],[Surgery Finish]],tbl_Case_mins[[#This Row],[Surgery End Date]]&gt;tbl_Case_mins[[#This Row],[Surgery Start Date]]),ROUND((#REF!-TIME(0,0,0))*1440,0)+1440,ROUND((#REF!-TIME(0,0,0))*1440,0))</f>
        <v>#REF!</v>
      </c>
      <c r="U241" s="9" t="e">
        <f>IF(AND(ROUND((#REF!-TIME(0,0,0))*1440,0)&gt;0,ROUND((#REF!-TIME(0,0,0))*1440,0)&lt;tbl_Case_mins[[#This Row],[Anaesth End]],tbl_Case_mins[[#This Row],[Surgery End Date]]&gt;tbl_Case_mins[[#This Row],[Surgery Start Date]]),ROUND((#REF!-TIME(0,0,0))*1440,0)+1440,ROUND((#REF!-TIME(0,0,0))*1440,0))</f>
        <v>#REF!</v>
      </c>
      <c r="V241" s="9" t="e">
        <f>IF(AND(ROUND((#REF!-TIME(0,0,0))*1440,0)&gt;0,ROUND((#REF!-TIME(0,0,0))*1440,0)&lt;tbl_Case_mins[[#This Row],[Into Recov]],tbl_Case_mins[[#This Row],[Surgery End Date]]&gt;tbl_Case_mins[[#This Row],[Surgery Start Date]]),ROUND((#REF!-TIME(0,0,0))*1440,0)+1440,ROUND((#REF!-TIME(0,0,0))*1440,0))</f>
        <v>#REF!</v>
      </c>
      <c r="W241" s="9" t="e">
        <f>IF(AND(ROUND((#REF!-TIME(0,0,0))*1440,0)&gt;0,ROUND((#REF!-TIME(0,0,0))*1440,0)&lt;tbl_Case_mins[[#This Row],[Ward Called]],tbl_Case_mins[[#This Row],[Surgery End Date]]&gt;tbl_Case_mins[[#This Row],[Surgery Start Date]]),ROUND((#REF!-TIME(0,0,0))*1440,0)+1440,ROUND((#REF!-TIME(0,0,0))*1440,0))</f>
        <v>#REF!</v>
      </c>
      <c r="X241" s="4" t="e">
        <f>IF(ISBLANK(#REF!),tbl_Case_mins[[#This Row],[Surgery Start Date]],#REF!)</f>
        <v>#REF!</v>
      </c>
      <c r="Y241">
        <f>IFERROR(IF(VLOOKUP(tbl_Case_mins[[#This Row],[Theatre]],'Mng Theatres'!$C$7:$G$12,3,FALSE)="Yes","Yes","No"),0)</f>
        <v>0</v>
      </c>
      <c r="Z241" s="9" t="e" cm="1">
        <f t="array" ref="Z24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1" s="9" t="e" cm="1">
        <f t="array" ref="AA24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1" s="9" t="e">
        <f>IF(tbl_Case_mins[[#This Row],[Case Type]]="Unsch",1,0)</f>
        <v>#REF!</v>
      </c>
      <c r="AD241" s="9" t="e">
        <f>IF(tbl_Case_mins[[#This Row],[Case Type]]="Sch",1,0)</f>
        <v>#REF!</v>
      </c>
      <c r="AE24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1" s="9">
        <f>IFERROR(IF(ISBLANK(INDEX(Am_Close,MATCH(1,INDEX((tbl_Case_mins[[#This Row],[Theatre]]=Theatre_No)*(tbl_Case_mins[[#This Row],[Surgery Start Date]]=Date),0,1),0))*1440),0,INDEX(Am_Close,MATCH(1,INDEX((tbl_Case_mins[[#This Row],[Theatre]]=Theatre_No)*(tbl_Case_mins[[#This Row],[Surgery Start Date]]=Date),0,1),0))*1440),0)</f>
        <v>0</v>
      </c>
      <c r="AG241" s="9">
        <f>IFERROR(IF(ISBLANK(INDEX(PM_Open,MATCH(1,INDEX((tbl_Case_mins[[#This Row],[Theatre]]=Theatre_No)*(tbl_Case_mins[[#This Row],[Surgery Start Date]]=Date),0,1),0))*1440),0,INDEX(PM_Open,MATCH(1,INDEX((tbl_Case_mins[[#This Row],[Theatre]]=Theatre_No)*(tbl_Case_mins[[#This Row],[Surgery Start Date]]=Date),0,1),0))*1440),0)</f>
        <v>0</v>
      </c>
      <c r="AH24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1" s="9" t="e">
        <f>IF(tbl_Case_mins[[#This Row],[ThOpenAm]]=0,tbl_Case_mins[[#This Row],[ThOpenPM]],tbl_Case_mins[[#This Row],[ThOpenAm]])</f>
        <v>#REF!</v>
      </c>
      <c r="AJ241" s="9" t="e">
        <f>IF(tbl_Case_mins[[#This Row],[ThCloseAm]]&gt;0,IF(tbl_Case_mins[[#This Row],[ThOpenPM]]&gt;0,tbl_Case_mins[[#This Row],[ThClosePm]],tbl_Case_mins[[#This Row],[ThCloseAm]]),tbl_Case_mins[[#This Row],[ThClosePm]])</f>
        <v>#REF!</v>
      </c>
      <c r="AK241" s="9" t="e">
        <f>IF(tbl_Case_mins[[#This Row],[TOT]]&gt;0,1,0)</f>
        <v>#REF!</v>
      </c>
      <c r="AL24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1" s="9" t="e">
        <f>IF(AND(tbl_Case_mins[[#This Row],[Surgery Status]]&lt;&gt;2,tbl_Case_mins[[#This Row],[InCoreCase]]=0,tbl_Case_mins[[#This Row],[CancelledCase]]=0),1,0)</f>
        <v>#REF!</v>
      </c>
      <c r="AN241" s="9" t="e">
        <f>IF(tbl_Case_mins[[#This Row],[Surgery Status]]=1,1,0)</f>
        <v>#REF!</v>
      </c>
      <c r="AO24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1" s="9" t="e">
        <f>IF(AND(tbl_Case_mins[[#This Row],[NonCoreCase]]=1,tbl_Case_mins[[#This Row],[NoInCoreTime]]=0),1,0)</f>
        <v>#REF!</v>
      </c>
      <c r="AQ241" s="9" t="e">
        <f>IF(tbl_Case_mins[[#This Row],[Rank_AnaEnd]]&lt;tbl_Case_mins[[#This Row],[Rank_AnaSt]],1,0)</f>
        <v>#REF!</v>
      </c>
      <c r="AR241" s="9" t="e">
        <f>IF(AND(tbl_Case_mins[[#This Row],[InCoreCase]]=1,tbl_Case_mins[[#This Row],[Sch]]=1),1,0)</f>
        <v>#REF!</v>
      </c>
      <c r="AS241" s="9" t="e">
        <f>IF(AND(tbl_Case_mins[[#This Row],[InCoreCase]]=1,tbl_Case_mins[[#This Row],[Unsch]]=1),1,0)</f>
        <v>#REF!</v>
      </c>
      <c r="AT24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1" s="9" t="e">
        <f>IF(tbl_Case_mins[[#This Row],[Surgery Status]]=0,(tbl_Case_mins[[#This Row],[Anaesth End]]-tbl_Case_mins[[#This Row],[AnaesthStart]]),0)</f>
        <v>#REF!</v>
      </c>
      <c r="AX241" s="9" t="e">
        <f>IF(tbl_Case_mins[[#This Row],[Surgery Status]]=0,(tbl_Case_mins[[#This Row],[Surgery Finish]]-tbl_Case_mins[[#This Row],[Surgery Start]]),0)</f>
        <v>#REF!</v>
      </c>
      <c r="AY241" s="9" t="e">
        <f>tbl_Case_mins[[#This Row],[Surgery Start]]-tbl_Case_mins[[#This Row],[AnaesthStart]]</f>
        <v>#REF!</v>
      </c>
      <c r="AZ241" s="9" t="e">
        <f>tbl_Case_mins[[#This Row],[Anaesth End]]-tbl_Case_mins[[#This Row],[Surgery Finish]]</f>
        <v>#REF!</v>
      </c>
      <c r="BA24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1" s="16" cm="1">
        <f t="array" ref="BC24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1" s="16" t="e">
        <f>IF(AND(tbl_Case_mins[[#This Row],[FirstAMCase]]=1,tbl_Case_mins[[#This Row],[CancelledCase]]=0,OR(tbl_Case_mins[[#This Row],[EarlyStartAM]]&gt;0,tbl_Case_mins[[#This Row],[AnaesthStart]]=tbl_Case_mins[[#This Row],[ThOpenAm]])),1,0)</f>
        <v>#REF!</v>
      </c>
      <c r="BE241" s="16" t="e">
        <f>IF(AND(tbl_Case_mins[[#This Row],[Rank_AnaSt]]=tbl_Case_mins[[#This Row],[Min_RankAnaSt]],tbl_Case_mins[[#This Row],[Anaesth End]]&gt;=tbl_Case_mins[[#This Row],[ThOpenAm]],tbl_Case_mins[[#This Row],[PmCase]]=0),1,0)</f>
        <v>#REF!</v>
      </c>
      <c r="BF24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1" s="9" t="e" cm="1">
        <f t="array" ref="BH24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1" s="9" t="e">
        <f>IF(AND(tbl_Case_mins[[#This Row],[ThOpenPM]]&gt;0,tbl_Case_mins[[#This Row],[AnaesthStart]]&gt;tbl_Case_mins[[#This Row],[ThOpenPM]],tbl_Case_mins[[#This Row],[First PM Case]]=1),tbl_Case_mins[[#This Row],[AnaesthStart]]-tbl_Case_mins[[#This Row],[ThOpenPM]],0)</f>
        <v>#REF!</v>
      </c>
      <c r="BL24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1" s="9" t="e" cm="1">
        <f t="array" ref="BN24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1" s="9" t="e">
        <f>IF(AND(tbl_Case_mins[[#This Row],[ThClosePm]]&gt;0,tbl_Case_mins[[#This Row],[Anaesth End]]&gt;tbl_Case_mins[[#This Row],[ThClosePm]],tbl_Case_mins[[#This Row],[AnaesthStart]]&gt;tbl_Case_mins[[#This Row],[ThClosePm]]),tbl_Case_mins[[#This Row],[Into Recov]]-tbl_Case_mins[[#This Row],[AnaesthStart]],0)</f>
        <v>#REF!</v>
      </c>
      <c r="BP241" s="9" t="e">
        <f>IF(AND(tbl_Case_mins[[#This Row],[AnaesthStart]]&lt;tbl_Case_mins[[#This Row],[ThClosePm]],tbl_Case_mins[[#This Row],[Anaesth End]]&gt;tbl_Case_mins[[#This Row],[ThClosePm]]),tbl_Case_mins[[#This Row],[Anaesth End]]-tbl_Case_mins[[#This Row],[ThClosePm]],0)</f>
        <v>#REF!</v>
      </c>
      <c r="BQ241" s="9" t="e" cm="1">
        <f t="array" ref="BQ24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1" s="9" t="e" cm="1">
        <f t="array" ref="BR241">IF(tbl_Case_mins[[#This Row],[Rank_Adjust]]=SUMPRODUCT(-(tbl_Case_mins[Surgery Start Date]=tbl_Case_mins[[#This Row],[Surgery Start Date]]),-(tbl_Case_mins[Theatre]=tbl_Case_mins[[#This Row],[Theatre]])),INDEX(Poss_Time,MATCH(TEXT(tbl_Case_mins[[#This Row],[Surgery Start Date]],"ddd"),Day,0)),0)</f>
        <v>#REF!</v>
      </c>
      <c r="BS241" s="9" t="e">
        <f>tbl_Case_mins[[#This Row],[Core_Time]]*Util_Goal</f>
        <v>#REF!</v>
      </c>
      <c r="BT241" s="9" t="e" cm="1">
        <f t="array" ref="BT2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1" s="9" t="e" cm="1">
        <f t="array" ref="BU2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1" s="9" t="e">
        <f>IF(tbl_Case_mins[[#This Row],[Surgery End Date]]&gt;tbl_Case_mins[[#This Row],[Surgery Start Date]],tbl_Case_mins[[#This Row],[Anaesth End]]-1440,0)</f>
        <v>#REF!</v>
      </c>
      <c r="BY241" s="9" t="e">
        <f>tbl_Case_mins[[#This Row],[Total_NonCore]]-tbl_Case_mins[[#This Row],[NextDay_NonCore]]</f>
        <v>#REF!</v>
      </c>
      <c r="BZ241" s="10" t="e">
        <f>tbl_Case_mins[[#This Row],[InCoreUse]]/60</f>
        <v>#REF!</v>
      </c>
      <c r="CA241" s="10" t="e">
        <f>tbl_Case_mins[[#This Row],[Total_NonCore]]/60</f>
        <v>#REF!</v>
      </c>
      <c r="CB241" t="e" cm="1">
        <f t="array" ref="CB2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1" s="9" t="e" cm="1">
        <f t="array" ref="CC24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1" s="9" t="e" cm="1">
        <f t="array" ref="CD2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1" s="9" t="e" cm="1">
        <f t="array" ref="CE24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1" s="9" cm="1">
        <f t="array" ref="CF241">IFERROR(_xlfn.AGGREGATE(14,6,(tbl_Case_mins[Rank_AnaEnd])/((tbl_Case_mins[Surgery Start Date]=tbl_Case_mins[[#This Row],[Surgery Start Date]])*(tbl_Case_mins[Theatre]=tbl_Case_mins[[#This Row],[Theatre]])*(tbl_Case_mins[NoInCoreTime]=0)),1),-1)</f>
        <v>-1</v>
      </c>
      <c r="CG241" s="9" cm="1">
        <f t="array" ref="CG241">IFERROR(_xlfn.AGGREGATE(15,6,(tbl_Case_mins[Rank_AnaSt])/((tbl_Case_mins[Surgery Start Date]=tbl_Case_mins[[#This Row],[Surgery Start Date]])*(tbl_Case_mins[Theatre]=tbl_Case_mins[[#This Row],[Theatre]])*(tbl_Case_mins[NoInCoreTime]=0)),1),-1)</f>
        <v>-1</v>
      </c>
      <c r="CH24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1" t="e" cm="1">
        <f t="array" ref="CJ24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1" s="9" cm="1">
        <f t="array" ref="CO2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1" s="9" cm="1">
        <f t="array" ref="CP2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1" s="9" cm="1">
        <f t="array" ref="CQ241">IFERROR(IF(AND(tbl_Case_mins[[#This Row],[FirstAMCase]]=0,tbl_Case_mins[[#This Row],[Rank]]=_xlfn.AGGREGATE(14,6,(tbl_Case_mins[Rank])/((tbl_Case_mins[Surgery Start Date]=tbl_Case_mins[[#This Row],[Surgery Start Date]])*(tbl_Case_mins[Theatre]=tbl_Case_mins[[#This Row],[Theatre]])*(tbl_Case_mins[AmCase]=1)),1)),1,0),0)</f>
        <v>0</v>
      </c>
      <c r="CR241" s="9" cm="1">
        <f t="array" ref="CR24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1" s="9" t="e" cm="1">
        <f t="array" ref="CS24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1" s="9" cm="1">
        <f t="array" ref="CT241">IFERROR(IF(tbl_Case_mins[[#This Row],[Rank]]=_xlfn.AGGREGATE(15,6,(tbl_Case_mins[Rank])/((tbl_Case_mins[Surgery Start Date]=tbl_Case_mins[[#This Row],[Surgery Start Date]])*(tbl_Case_mins[Theatre]=tbl_Case_mins[[#This Row],[Theatre]])*(tbl_Case_mins[PmCase]=1)),1),1,0),0)</f>
        <v>0</v>
      </c>
      <c r="CU241">
        <f>IFERROR(#REF!,0)</f>
        <v>0</v>
      </c>
      <c r="CV241" s="9" t="e" cm="1">
        <f t="array" ref="CV24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1" s="9">
        <f>IFERROR(IF(ISBLANK(INDEX(Bay_AmClose,MATCH(1,INDEX((tbl_Case_mins[[#This Row],[Bay]]=BayNo)*(tbl_Case_mins[[#This Row],[Surgery Start Date]]=BDate),0,1),0))*1440),0,INDEX(Bay_AmClose,MATCH(1,INDEX((tbl_Case_mins[[#This Row],[Bay]]=BayNo)*(tbl_Case_mins[[#This Row],[Surgery Start Date]]=BDate),0,1),0))*1440),0)</f>
        <v>0</v>
      </c>
      <c r="CX241" s="9" cm="1">
        <f t="array" ref="CX241">IFERROR(IF(ISBLANK(INDEX(Bay_PmOpen,MATCH(1,INDEX((tbl_Case_mins[[#This Row],[Bay]]=BayNo)*(tbl_Case_mins[[#This Row],[Surgery Start Date]]=BDate),0,1),0))*1440),0,INDEX(Bay_PmOpen,MATCH(1,INDEX((tbl_Case_mins[[#This Row],[Bay]]=BayNo)*(tbl_Case_mins[[#This Row],[Surgery Start Date]]=BDate),0,1),0))*1440),0)</f>
        <v>0</v>
      </c>
      <c r="CY24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1" s="9"/>
    </row>
    <row r="242" spans="1:104" x14ac:dyDescent="0.2">
      <c r="A242">
        <v>241</v>
      </c>
      <c r="B242" t="e">
        <f>#REF!</f>
        <v>#REF!</v>
      </c>
      <c r="C242" t="e">
        <f>#REF!</f>
        <v>#REF!</v>
      </c>
      <c r="D242" t="e">
        <f>#REF!</f>
        <v>#REF!</v>
      </c>
      <c r="E242" t="e">
        <f>#REF!</f>
        <v>#REF!</v>
      </c>
      <c r="F242" t="e">
        <f>#REF!</f>
        <v>#REF!</v>
      </c>
      <c r="G242" t="e">
        <f>#REF!</f>
        <v>#REF!</v>
      </c>
      <c r="H242" t="e">
        <f>#REF!</f>
        <v>#REF!</v>
      </c>
      <c r="I242" t="e">
        <f>IF(#REF!="Case Cancelled",1,IF(#REF!="No Cases",2,0))</f>
        <v>#REF!</v>
      </c>
      <c r="J242" t="e">
        <f>#REF!</f>
        <v>#REF!</v>
      </c>
      <c r="K242" s="4" t="e">
        <f>#REF!</f>
        <v>#REF!</v>
      </c>
      <c r="L242" t="e">
        <f>"Wk "&amp;WEEKNUM(tbl_Case_mins[[#This Row],[Surgery Start Date]],21)</f>
        <v>#REF!</v>
      </c>
      <c r="M242" t="e">
        <f>TEXT(tbl_Case_mins[[#This Row],[Surgery Start Date]],"ddd")</f>
        <v>#REF!</v>
      </c>
      <c r="N242" s="9" t="e">
        <f>(#REF!-TIME(0,0,0))*1440</f>
        <v>#REF!</v>
      </c>
      <c r="O242" t="e">
        <f>IF(AND(ROUND((#REF!-TIME(0,0,0))*1440,0)&gt;0,ROUND((#REF!-TIME(0,0,0))*1440,0)&lt;tbl_Case_mins[[#This Row],[Patient Called]],tbl_Case_mins[[#This Row],[Surgery End Date]]&gt;tbl_Case_mins[[#This Row],[Surgery Start Date]]),ROUND((#REF!-TIME(0,0,0))*1440,0)+1440,ROUND((#REF!-TIME(0,0,0))*1440,0))</f>
        <v>#REF!</v>
      </c>
      <c r="P242" s="9" t="e">
        <f>IF(AND(ROUND((#REF!-TIME(0,0,0))*1440,0)&gt;0,ROUND((#REF!-TIME(0,0,0))*1440,0)&lt;tbl_Case_mins[[#This Row],[Arrival]],tbl_Case_mins[[#This Row],[Surgery End Date]]&gt;tbl_Case_mins[[#This Row],[Surgery Start Date]]),ROUND((#REF!-TIME(0,0,0))*1440,0)+1440,ROUND((#REF!-TIME(0,0,0))*1440,0))</f>
        <v>#REF!</v>
      </c>
      <c r="Q242" s="9" t="e">
        <f>IF(AND(ROUND((#REF!-TIME(0,0,0))*1440,0)&gt;0,ROUND((#REF!-TIME(0,0,0))*1440,0)&lt;tbl_Case_mins[[#This Row],[Into Th or AR]],tbl_Case_mins[[#This Row],[Surgery End Date]]&gt;tbl_Case_mins[[#This Row],[Surgery Start Date]]),ROUND((#REF!-TIME(0,0,0))*1440,0)+1440,ROUND((#REF!-TIME(0,0,0))*1440,0))</f>
        <v>#REF!</v>
      </c>
      <c r="R242" s="9" t="e">
        <f>IF(AND(ROUND((#REF!-TIME(0,0,0))*1440,0)&gt;0,ROUND((#REF!-TIME(0,0,0))*1440,0)&lt;tbl_Case_mins[[#This Row],[AnaesthStart]],tbl_Case_mins[[#This Row],[Surgery End Date]]&gt;tbl_Case_mins[[#This Row],[Surgery Start Date]]),ROUND((#REF!-TIME(0,0,0))*1440,0)+1440,ROUND((#REF!-TIME(0,0,0))*1440,0))</f>
        <v>#REF!</v>
      </c>
      <c r="S242" s="9" t="e">
        <f>IF(AND(ROUND((#REF!-TIME(0,0,0))*1440,0),ROUND((#REF!-TIME(0,0,0))*1440,0)&lt;tbl_Case_mins[[#This Row],[Surgery Start]],tbl_Case_mins[[#This Row],[Surgery End Date]]&gt;tbl_Case_mins[[#This Row],[Surgery Start Date]]),ROUND((#REF!-TIME(0,0,0))*1440,0)+1440,ROUND((#REF!-TIME(0,0,0))*1440,0))</f>
        <v>#REF!</v>
      </c>
      <c r="T242" s="9" t="e">
        <f>IF(AND(ROUND((#REF!-TIME(0,0,0))*1440,0)&gt;0,ROUND((#REF!-TIME(0,0,0))*1440,0)&lt;tbl_Case_mins[[#This Row],[Surgery Finish]],tbl_Case_mins[[#This Row],[Surgery End Date]]&gt;tbl_Case_mins[[#This Row],[Surgery Start Date]]),ROUND((#REF!-TIME(0,0,0))*1440,0)+1440,ROUND((#REF!-TIME(0,0,0))*1440,0))</f>
        <v>#REF!</v>
      </c>
      <c r="U242" s="9" t="e">
        <f>IF(AND(ROUND((#REF!-TIME(0,0,0))*1440,0)&gt;0,ROUND((#REF!-TIME(0,0,0))*1440,0)&lt;tbl_Case_mins[[#This Row],[Anaesth End]],tbl_Case_mins[[#This Row],[Surgery End Date]]&gt;tbl_Case_mins[[#This Row],[Surgery Start Date]]),ROUND((#REF!-TIME(0,0,0))*1440,0)+1440,ROUND((#REF!-TIME(0,0,0))*1440,0))</f>
        <v>#REF!</v>
      </c>
      <c r="V242" s="9" t="e">
        <f>IF(AND(ROUND((#REF!-TIME(0,0,0))*1440,0)&gt;0,ROUND((#REF!-TIME(0,0,0))*1440,0)&lt;tbl_Case_mins[[#This Row],[Into Recov]],tbl_Case_mins[[#This Row],[Surgery End Date]]&gt;tbl_Case_mins[[#This Row],[Surgery Start Date]]),ROUND((#REF!-TIME(0,0,0))*1440,0)+1440,ROUND((#REF!-TIME(0,0,0))*1440,0))</f>
        <v>#REF!</v>
      </c>
      <c r="W242" s="9" t="e">
        <f>IF(AND(ROUND((#REF!-TIME(0,0,0))*1440,0)&gt;0,ROUND((#REF!-TIME(0,0,0))*1440,0)&lt;tbl_Case_mins[[#This Row],[Ward Called]],tbl_Case_mins[[#This Row],[Surgery End Date]]&gt;tbl_Case_mins[[#This Row],[Surgery Start Date]]),ROUND((#REF!-TIME(0,0,0))*1440,0)+1440,ROUND((#REF!-TIME(0,0,0))*1440,0))</f>
        <v>#REF!</v>
      </c>
      <c r="X242" s="4" t="e">
        <f>IF(ISBLANK(#REF!),tbl_Case_mins[[#This Row],[Surgery Start Date]],#REF!)</f>
        <v>#REF!</v>
      </c>
      <c r="Y242">
        <f>IFERROR(IF(VLOOKUP(tbl_Case_mins[[#This Row],[Theatre]],'Mng Theatres'!$C$7:$G$12,3,FALSE)="Yes","Yes","No"),0)</f>
        <v>0</v>
      </c>
      <c r="Z242" s="9" t="e" cm="1">
        <f t="array" ref="Z24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2" s="9" t="e" cm="1">
        <f t="array" ref="AA24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2" s="9" t="e">
        <f>IF(tbl_Case_mins[[#This Row],[Case Type]]="Unsch",1,0)</f>
        <v>#REF!</v>
      </c>
      <c r="AD242" s="9" t="e">
        <f>IF(tbl_Case_mins[[#This Row],[Case Type]]="Sch",1,0)</f>
        <v>#REF!</v>
      </c>
      <c r="AE24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2" s="9">
        <f>IFERROR(IF(ISBLANK(INDEX(Am_Close,MATCH(1,INDEX((tbl_Case_mins[[#This Row],[Theatre]]=Theatre_No)*(tbl_Case_mins[[#This Row],[Surgery Start Date]]=Date),0,1),0))*1440),0,INDEX(Am_Close,MATCH(1,INDEX((tbl_Case_mins[[#This Row],[Theatre]]=Theatre_No)*(tbl_Case_mins[[#This Row],[Surgery Start Date]]=Date),0,1),0))*1440),0)</f>
        <v>0</v>
      </c>
      <c r="AG242" s="9">
        <f>IFERROR(IF(ISBLANK(INDEX(PM_Open,MATCH(1,INDEX((tbl_Case_mins[[#This Row],[Theatre]]=Theatre_No)*(tbl_Case_mins[[#This Row],[Surgery Start Date]]=Date),0,1),0))*1440),0,INDEX(PM_Open,MATCH(1,INDEX((tbl_Case_mins[[#This Row],[Theatre]]=Theatre_No)*(tbl_Case_mins[[#This Row],[Surgery Start Date]]=Date),0,1),0))*1440),0)</f>
        <v>0</v>
      </c>
      <c r="AH24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2" s="9" t="e">
        <f>IF(tbl_Case_mins[[#This Row],[ThOpenAm]]=0,tbl_Case_mins[[#This Row],[ThOpenPM]],tbl_Case_mins[[#This Row],[ThOpenAm]])</f>
        <v>#REF!</v>
      </c>
      <c r="AJ242" s="9" t="e">
        <f>IF(tbl_Case_mins[[#This Row],[ThCloseAm]]&gt;0,IF(tbl_Case_mins[[#This Row],[ThOpenPM]]&gt;0,tbl_Case_mins[[#This Row],[ThClosePm]],tbl_Case_mins[[#This Row],[ThCloseAm]]),tbl_Case_mins[[#This Row],[ThClosePm]])</f>
        <v>#REF!</v>
      </c>
      <c r="AK242" s="9" t="e">
        <f>IF(tbl_Case_mins[[#This Row],[TOT]]&gt;0,1,0)</f>
        <v>#REF!</v>
      </c>
      <c r="AL24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2" s="9" t="e">
        <f>IF(AND(tbl_Case_mins[[#This Row],[Surgery Status]]&lt;&gt;2,tbl_Case_mins[[#This Row],[InCoreCase]]=0,tbl_Case_mins[[#This Row],[CancelledCase]]=0),1,0)</f>
        <v>#REF!</v>
      </c>
      <c r="AN242" s="9" t="e">
        <f>IF(tbl_Case_mins[[#This Row],[Surgery Status]]=1,1,0)</f>
        <v>#REF!</v>
      </c>
      <c r="AO24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2" s="9" t="e">
        <f>IF(AND(tbl_Case_mins[[#This Row],[NonCoreCase]]=1,tbl_Case_mins[[#This Row],[NoInCoreTime]]=0),1,0)</f>
        <v>#REF!</v>
      </c>
      <c r="AQ242" s="9" t="e">
        <f>IF(tbl_Case_mins[[#This Row],[Rank_AnaEnd]]&lt;tbl_Case_mins[[#This Row],[Rank_AnaSt]],1,0)</f>
        <v>#REF!</v>
      </c>
      <c r="AR242" s="9" t="e">
        <f>IF(AND(tbl_Case_mins[[#This Row],[InCoreCase]]=1,tbl_Case_mins[[#This Row],[Sch]]=1),1,0)</f>
        <v>#REF!</v>
      </c>
      <c r="AS242" s="9" t="e">
        <f>IF(AND(tbl_Case_mins[[#This Row],[InCoreCase]]=1,tbl_Case_mins[[#This Row],[Unsch]]=1),1,0)</f>
        <v>#REF!</v>
      </c>
      <c r="AT24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2" s="9" t="e">
        <f>IF(tbl_Case_mins[[#This Row],[Surgery Status]]=0,(tbl_Case_mins[[#This Row],[Anaesth End]]-tbl_Case_mins[[#This Row],[AnaesthStart]]),0)</f>
        <v>#REF!</v>
      </c>
      <c r="AX242" s="9" t="e">
        <f>IF(tbl_Case_mins[[#This Row],[Surgery Status]]=0,(tbl_Case_mins[[#This Row],[Surgery Finish]]-tbl_Case_mins[[#This Row],[Surgery Start]]),0)</f>
        <v>#REF!</v>
      </c>
      <c r="AY242" s="9" t="e">
        <f>tbl_Case_mins[[#This Row],[Surgery Start]]-tbl_Case_mins[[#This Row],[AnaesthStart]]</f>
        <v>#REF!</v>
      </c>
      <c r="AZ242" s="9" t="e">
        <f>tbl_Case_mins[[#This Row],[Anaesth End]]-tbl_Case_mins[[#This Row],[Surgery Finish]]</f>
        <v>#REF!</v>
      </c>
      <c r="BA24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2" s="16" cm="1">
        <f t="array" ref="BC24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2" s="16" t="e">
        <f>IF(AND(tbl_Case_mins[[#This Row],[FirstAMCase]]=1,tbl_Case_mins[[#This Row],[CancelledCase]]=0,OR(tbl_Case_mins[[#This Row],[EarlyStartAM]]&gt;0,tbl_Case_mins[[#This Row],[AnaesthStart]]=tbl_Case_mins[[#This Row],[ThOpenAm]])),1,0)</f>
        <v>#REF!</v>
      </c>
      <c r="BE242" s="16" t="e">
        <f>IF(AND(tbl_Case_mins[[#This Row],[Rank_AnaSt]]=tbl_Case_mins[[#This Row],[Min_RankAnaSt]],tbl_Case_mins[[#This Row],[Anaesth End]]&gt;=tbl_Case_mins[[#This Row],[ThOpenAm]],tbl_Case_mins[[#This Row],[PmCase]]=0),1,0)</f>
        <v>#REF!</v>
      </c>
      <c r="BF24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2" s="9" t="e" cm="1">
        <f t="array" ref="BH24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2" s="9" t="e">
        <f>IF(AND(tbl_Case_mins[[#This Row],[ThOpenPM]]&gt;0,tbl_Case_mins[[#This Row],[AnaesthStart]]&gt;tbl_Case_mins[[#This Row],[ThOpenPM]],tbl_Case_mins[[#This Row],[First PM Case]]=1),tbl_Case_mins[[#This Row],[AnaesthStart]]-tbl_Case_mins[[#This Row],[ThOpenPM]],0)</f>
        <v>#REF!</v>
      </c>
      <c r="BL24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2" s="9" t="e" cm="1">
        <f t="array" ref="BN24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2" s="9" t="e">
        <f>IF(AND(tbl_Case_mins[[#This Row],[ThClosePm]]&gt;0,tbl_Case_mins[[#This Row],[Anaesth End]]&gt;tbl_Case_mins[[#This Row],[ThClosePm]],tbl_Case_mins[[#This Row],[AnaesthStart]]&gt;tbl_Case_mins[[#This Row],[ThClosePm]]),tbl_Case_mins[[#This Row],[Into Recov]]-tbl_Case_mins[[#This Row],[AnaesthStart]],0)</f>
        <v>#REF!</v>
      </c>
      <c r="BP242" s="9" t="e">
        <f>IF(AND(tbl_Case_mins[[#This Row],[AnaesthStart]]&lt;tbl_Case_mins[[#This Row],[ThClosePm]],tbl_Case_mins[[#This Row],[Anaesth End]]&gt;tbl_Case_mins[[#This Row],[ThClosePm]]),tbl_Case_mins[[#This Row],[Anaesth End]]-tbl_Case_mins[[#This Row],[ThClosePm]],0)</f>
        <v>#REF!</v>
      </c>
      <c r="BQ242" s="9" t="e" cm="1">
        <f t="array" ref="BQ24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2" s="9" t="e" cm="1">
        <f t="array" ref="BR242">IF(tbl_Case_mins[[#This Row],[Rank_Adjust]]=SUMPRODUCT(-(tbl_Case_mins[Surgery Start Date]=tbl_Case_mins[[#This Row],[Surgery Start Date]]),-(tbl_Case_mins[Theatre]=tbl_Case_mins[[#This Row],[Theatre]])),INDEX(Poss_Time,MATCH(TEXT(tbl_Case_mins[[#This Row],[Surgery Start Date]],"ddd"),Day,0)),0)</f>
        <v>#REF!</v>
      </c>
      <c r="BS242" s="9" t="e">
        <f>tbl_Case_mins[[#This Row],[Core_Time]]*Util_Goal</f>
        <v>#REF!</v>
      </c>
      <c r="BT242" s="9" t="e" cm="1">
        <f t="array" ref="BT2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2" s="9" t="e" cm="1">
        <f t="array" ref="BU2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2" s="9" t="e">
        <f>IF(tbl_Case_mins[[#This Row],[Surgery End Date]]&gt;tbl_Case_mins[[#This Row],[Surgery Start Date]],tbl_Case_mins[[#This Row],[Anaesth End]]-1440,0)</f>
        <v>#REF!</v>
      </c>
      <c r="BY242" s="9" t="e">
        <f>tbl_Case_mins[[#This Row],[Total_NonCore]]-tbl_Case_mins[[#This Row],[NextDay_NonCore]]</f>
        <v>#REF!</v>
      </c>
      <c r="BZ242" s="10" t="e">
        <f>tbl_Case_mins[[#This Row],[InCoreUse]]/60</f>
        <v>#REF!</v>
      </c>
      <c r="CA242" s="10" t="e">
        <f>tbl_Case_mins[[#This Row],[Total_NonCore]]/60</f>
        <v>#REF!</v>
      </c>
      <c r="CB242" t="e" cm="1">
        <f t="array" ref="CB2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2" s="9" t="e" cm="1">
        <f t="array" ref="CC24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2" s="9" t="e" cm="1">
        <f t="array" ref="CD2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2" s="9" t="e" cm="1">
        <f t="array" ref="CE24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2" s="9" cm="1">
        <f t="array" ref="CF242">IFERROR(_xlfn.AGGREGATE(14,6,(tbl_Case_mins[Rank_AnaEnd])/((tbl_Case_mins[Surgery Start Date]=tbl_Case_mins[[#This Row],[Surgery Start Date]])*(tbl_Case_mins[Theatre]=tbl_Case_mins[[#This Row],[Theatre]])*(tbl_Case_mins[NoInCoreTime]=0)),1),-1)</f>
        <v>-1</v>
      </c>
      <c r="CG242" s="9" cm="1">
        <f t="array" ref="CG242">IFERROR(_xlfn.AGGREGATE(15,6,(tbl_Case_mins[Rank_AnaSt])/((tbl_Case_mins[Surgery Start Date]=tbl_Case_mins[[#This Row],[Surgery Start Date]])*(tbl_Case_mins[Theatre]=tbl_Case_mins[[#This Row],[Theatre]])*(tbl_Case_mins[NoInCoreTime]=0)),1),-1)</f>
        <v>-1</v>
      </c>
      <c r="CH24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2" t="e" cm="1">
        <f t="array" ref="CJ24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2" s="9" cm="1">
        <f t="array" ref="CO2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2" s="9" cm="1">
        <f t="array" ref="CP2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2" s="9" cm="1">
        <f t="array" ref="CQ242">IFERROR(IF(AND(tbl_Case_mins[[#This Row],[FirstAMCase]]=0,tbl_Case_mins[[#This Row],[Rank]]=_xlfn.AGGREGATE(14,6,(tbl_Case_mins[Rank])/((tbl_Case_mins[Surgery Start Date]=tbl_Case_mins[[#This Row],[Surgery Start Date]])*(tbl_Case_mins[Theatre]=tbl_Case_mins[[#This Row],[Theatre]])*(tbl_Case_mins[AmCase]=1)),1)),1,0),0)</f>
        <v>0</v>
      </c>
      <c r="CR242" s="9" cm="1">
        <f t="array" ref="CR24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2" s="9" t="e" cm="1">
        <f t="array" ref="CS24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2" s="9" cm="1">
        <f t="array" ref="CT242">IFERROR(IF(tbl_Case_mins[[#This Row],[Rank]]=_xlfn.AGGREGATE(15,6,(tbl_Case_mins[Rank])/((tbl_Case_mins[Surgery Start Date]=tbl_Case_mins[[#This Row],[Surgery Start Date]])*(tbl_Case_mins[Theatre]=tbl_Case_mins[[#This Row],[Theatre]])*(tbl_Case_mins[PmCase]=1)),1),1,0),0)</f>
        <v>0</v>
      </c>
      <c r="CU242">
        <f>IFERROR(#REF!,0)</f>
        <v>0</v>
      </c>
      <c r="CV242" s="9" t="e" cm="1">
        <f t="array" ref="CV24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2" s="9">
        <f>IFERROR(IF(ISBLANK(INDEX(Bay_AmClose,MATCH(1,INDEX((tbl_Case_mins[[#This Row],[Bay]]=BayNo)*(tbl_Case_mins[[#This Row],[Surgery Start Date]]=BDate),0,1),0))*1440),0,INDEX(Bay_AmClose,MATCH(1,INDEX((tbl_Case_mins[[#This Row],[Bay]]=BayNo)*(tbl_Case_mins[[#This Row],[Surgery Start Date]]=BDate),0,1),0))*1440),0)</f>
        <v>0</v>
      </c>
      <c r="CX242" s="9" cm="1">
        <f t="array" ref="CX242">IFERROR(IF(ISBLANK(INDEX(Bay_PmOpen,MATCH(1,INDEX((tbl_Case_mins[[#This Row],[Bay]]=BayNo)*(tbl_Case_mins[[#This Row],[Surgery Start Date]]=BDate),0,1),0))*1440),0,INDEX(Bay_PmOpen,MATCH(1,INDEX((tbl_Case_mins[[#This Row],[Bay]]=BayNo)*(tbl_Case_mins[[#This Row],[Surgery Start Date]]=BDate),0,1),0))*1440),0)</f>
        <v>0</v>
      </c>
      <c r="CY24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2" s="9"/>
    </row>
    <row r="243" spans="1:104" x14ac:dyDescent="0.2">
      <c r="A243">
        <v>242</v>
      </c>
      <c r="B243" t="e">
        <f>#REF!</f>
        <v>#REF!</v>
      </c>
      <c r="C243" t="e">
        <f>#REF!</f>
        <v>#REF!</v>
      </c>
      <c r="D243" t="e">
        <f>#REF!</f>
        <v>#REF!</v>
      </c>
      <c r="E243" t="e">
        <f>#REF!</f>
        <v>#REF!</v>
      </c>
      <c r="F243" t="e">
        <f>#REF!</f>
        <v>#REF!</v>
      </c>
      <c r="G243" t="e">
        <f>#REF!</f>
        <v>#REF!</v>
      </c>
      <c r="H243" t="e">
        <f>#REF!</f>
        <v>#REF!</v>
      </c>
      <c r="I243" t="e">
        <f>IF(#REF!="Case Cancelled",1,IF(#REF!="No Cases",2,0))</f>
        <v>#REF!</v>
      </c>
      <c r="J243" t="e">
        <f>#REF!</f>
        <v>#REF!</v>
      </c>
      <c r="K243" s="4" t="e">
        <f>#REF!</f>
        <v>#REF!</v>
      </c>
      <c r="L243" t="e">
        <f>"Wk "&amp;WEEKNUM(tbl_Case_mins[[#This Row],[Surgery Start Date]],21)</f>
        <v>#REF!</v>
      </c>
      <c r="M243" t="e">
        <f>TEXT(tbl_Case_mins[[#This Row],[Surgery Start Date]],"ddd")</f>
        <v>#REF!</v>
      </c>
      <c r="N243" s="9" t="e">
        <f>(#REF!-TIME(0,0,0))*1440</f>
        <v>#REF!</v>
      </c>
      <c r="O243" t="e">
        <f>IF(AND(ROUND((#REF!-TIME(0,0,0))*1440,0)&gt;0,ROUND((#REF!-TIME(0,0,0))*1440,0)&lt;tbl_Case_mins[[#This Row],[Patient Called]],tbl_Case_mins[[#This Row],[Surgery End Date]]&gt;tbl_Case_mins[[#This Row],[Surgery Start Date]]),ROUND((#REF!-TIME(0,0,0))*1440,0)+1440,ROUND((#REF!-TIME(0,0,0))*1440,0))</f>
        <v>#REF!</v>
      </c>
      <c r="P243" s="9" t="e">
        <f>IF(AND(ROUND((#REF!-TIME(0,0,0))*1440,0)&gt;0,ROUND((#REF!-TIME(0,0,0))*1440,0)&lt;tbl_Case_mins[[#This Row],[Arrival]],tbl_Case_mins[[#This Row],[Surgery End Date]]&gt;tbl_Case_mins[[#This Row],[Surgery Start Date]]),ROUND((#REF!-TIME(0,0,0))*1440,0)+1440,ROUND((#REF!-TIME(0,0,0))*1440,0))</f>
        <v>#REF!</v>
      </c>
      <c r="Q243" s="9" t="e">
        <f>IF(AND(ROUND((#REF!-TIME(0,0,0))*1440,0)&gt;0,ROUND((#REF!-TIME(0,0,0))*1440,0)&lt;tbl_Case_mins[[#This Row],[Into Th or AR]],tbl_Case_mins[[#This Row],[Surgery End Date]]&gt;tbl_Case_mins[[#This Row],[Surgery Start Date]]),ROUND((#REF!-TIME(0,0,0))*1440,0)+1440,ROUND((#REF!-TIME(0,0,0))*1440,0))</f>
        <v>#REF!</v>
      </c>
      <c r="R243" s="9" t="e">
        <f>IF(AND(ROUND((#REF!-TIME(0,0,0))*1440,0)&gt;0,ROUND((#REF!-TIME(0,0,0))*1440,0)&lt;tbl_Case_mins[[#This Row],[AnaesthStart]],tbl_Case_mins[[#This Row],[Surgery End Date]]&gt;tbl_Case_mins[[#This Row],[Surgery Start Date]]),ROUND((#REF!-TIME(0,0,0))*1440,0)+1440,ROUND((#REF!-TIME(0,0,0))*1440,0))</f>
        <v>#REF!</v>
      </c>
      <c r="S243" s="9" t="e">
        <f>IF(AND(ROUND((#REF!-TIME(0,0,0))*1440,0),ROUND((#REF!-TIME(0,0,0))*1440,0)&lt;tbl_Case_mins[[#This Row],[Surgery Start]],tbl_Case_mins[[#This Row],[Surgery End Date]]&gt;tbl_Case_mins[[#This Row],[Surgery Start Date]]),ROUND((#REF!-TIME(0,0,0))*1440,0)+1440,ROUND((#REF!-TIME(0,0,0))*1440,0))</f>
        <v>#REF!</v>
      </c>
      <c r="T243" s="9" t="e">
        <f>IF(AND(ROUND((#REF!-TIME(0,0,0))*1440,0)&gt;0,ROUND((#REF!-TIME(0,0,0))*1440,0)&lt;tbl_Case_mins[[#This Row],[Surgery Finish]],tbl_Case_mins[[#This Row],[Surgery End Date]]&gt;tbl_Case_mins[[#This Row],[Surgery Start Date]]),ROUND((#REF!-TIME(0,0,0))*1440,0)+1440,ROUND((#REF!-TIME(0,0,0))*1440,0))</f>
        <v>#REF!</v>
      </c>
      <c r="U243" s="9" t="e">
        <f>IF(AND(ROUND((#REF!-TIME(0,0,0))*1440,0)&gt;0,ROUND((#REF!-TIME(0,0,0))*1440,0)&lt;tbl_Case_mins[[#This Row],[Anaesth End]],tbl_Case_mins[[#This Row],[Surgery End Date]]&gt;tbl_Case_mins[[#This Row],[Surgery Start Date]]),ROUND((#REF!-TIME(0,0,0))*1440,0)+1440,ROUND((#REF!-TIME(0,0,0))*1440,0))</f>
        <v>#REF!</v>
      </c>
      <c r="V243" s="9" t="e">
        <f>IF(AND(ROUND((#REF!-TIME(0,0,0))*1440,0)&gt;0,ROUND((#REF!-TIME(0,0,0))*1440,0)&lt;tbl_Case_mins[[#This Row],[Into Recov]],tbl_Case_mins[[#This Row],[Surgery End Date]]&gt;tbl_Case_mins[[#This Row],[Surgery Start Date]]),ROUND((#REF!-TIME(0,0,0))*1440,0)+1440,ROUND((#REF!-TIME(0,0,0))*1440,0))</f>
        <v>#REF!</v>
      </c>
      <c r="W243" s="9" t="e">
        <f>IF(AND(ROUND((#REF!-TIME(0,0,0))*1440,0)&gt;0,ROUND((#REF!-TIME(0,0,0))*1440,0)&lt;tbl_Case_mins[[#This Row],[Ward Called]],tbl_Case_mins[[#This Row],[Surgery End Date]]&gt;tbl_Case_mins[[#This Row],[Surgery Start Date]]),ROUND((#REF!-TIME(0,0,0))*1440,0)+1440,ROUND((#REF!-TIME(0,0,0))*1440,0))</f>
        <v>#REF!</v>
      </c>
      <c r="X243" s="4" t="e">
        <f>IF(ISBLANK(#REF!),tbl_Case_mins[[#This Row],[Surgery Start Date]],#REF!)</f>
        <v>#REF!</v>
      </c>
      <c r="Y243">
        <f>IFERROR(IF(VLOOKUP(tbl_Case_mins[[#This Row],[Theatre]],'Mng Theatres'!$C$7:$G$12,3,FALSE)="Yes","Yes","No"),0)</f>
        <v>0</v>
      </c>
      <c r="Z243" s="9" t="e" cm="1">
        <f t="array" ref="Z24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3" s="9" t="e" cm="1">
        <f t="array" ref="AA24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3" s="9" t="e">
        <f>IF(tbl_Case_mins[[#This Row],[Case Type]]="Unsch",1,0)</f>
        <v>#REF!</v>
      </c>
      <c r="AD243" s="9" t="e">
        <f>IF(tbl_Case_mins[[#This Row],[Case Type]]="Sch",1,0)</f>
        <v>#REF!</v>
      </c>
      <c r="AE24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3" s="9">
        <f>IFERROR(IF(ISBLANK(INDEX(Am_Close,MATCH(1,INDEX((tbl_Case_mins[[#This Row],[Theatre]]=Theatre_No)*(tbl_Case_mins[[#This Row],[Surgery Start Date]]=Date),0,1),0))*1440),0,INDEX(Am_Close,MATCH(1,INDEX((tbl_Case_mins[[#This Row],[Theatre]]=Theatre_No)*(tbl_Case_mins[[#This Row],[Surgery Start Date]]=Date),0,1),0))*1440),0)</f>
        <v>0</v>
      </c>
      <c r="AG243" s="9">
        <f>IFERROR(IF(ISBLANK(INDEX(PM_Open,MATCH(1,INDEX((tbl_Case_mins[[#This Row],[Theatre]]=Theatre_No)*(tbl_Case_mins[[#This Row],[Surgery Start Date]]=Date),0,1),0))*1440),0,INDEX(PM_Open,MATCH(1,INDEX((tbl_Case_mins[[#This Row],[Theatre]]=Theatre_No)*(tbl_Case_mins[[#This Row],[Surgery Start Date]]=Date),0,1),0))*1440),0)</f>
        <v>0</v>
      </c>
      <c r="AH24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3" s="9" t="e">
        <f>IF(tbl_Case_mins[[#This Row],[ThOpenAm]]=0,tbl_Case_mins[[#This Row],[ThOpenPM]],tbl_Case_mins[[#This Row],[ThOpenAm]])</f>
        <v>#REF!</v>
      </c>
      <c r="AJ243" s="9" t="e">
        <f>IF(tbl_Case_mins[[#This Row],[ThCloseAm]]&gt;0,IF(tbl_Case_mins[[#This Row],[ThOpenPM]]&gt;0,tbl_Case_mins[[#This Row],[ThClosePm]],tbl_Case_mins[[#This Row],[ThCloseAm]]),tbl_Case_mins[[#This Row],[ThClosePm]])</f>
        <v>#REF!</v>
      </c>
      <c r="AK243" s="9" t="e">
        <f>IF(tbl_Case_mins[[#This Row],[TOT]]&gt;0,1,0)</f>
        <v>#REF!</v>
      </c>
      <c r="AL24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3" s="9" t="e">
        <f>IF(AND(tbl_Case_mins[[#This Row],[Surgery Status]]&lt;&gt;2,tbl_Case_mins[[#This Row],[InCoreCase]]=0,tbl_Case_mins[[#This Row],[CancelledCase]]=0),1,0)</f>
        <v>#REF!</v>
      </c>
      <c r="AN243" s="9" t="e">
        <f>IF(tbl_Case_mins[[#This Row],[Surgery Status]]=1,1,0)</f>
        <v>#REF!</v>
      </c>
      <c r="AO24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3" s="9" t="e">
        <f>IF(AND(tbl_Case_mins[[#This Row],[NonCoreCase]]=1,tbl_Case_mins[[#This Row],[NoInCoreTime]]=0),1,0)</f>
        <v>#REF!</v>
      </c>
      <c r="AQ243" s="9" t="e">
        <f>IF(tbl_Case_mins[[#This Row],[Rank_AnaEnd]]&lt;tbl_Case_mins[[#This Row],[Rank_AnaSt]],1,0)</f>
        <v>#REF!</v>
      </c>
      <c r="AR243" s="9" t="e">
        <f>IF(AND(tbl_Case_mins[[#This Row],[InCoreCase]]=1,tbl_Case_mins[[#This Row],[Sch]]=1),1,0)</f>
        <v>#REF!</v>
      </c>
      <c r="AS243" s="9" t="e">
        <f>IF(AND(tbl_Case_mins[[#This Row],[InCoreCase]]=1,tbl_Case_mins[[#This Row],[Unsch]]=1),1,0)</f>
        <v>#REF!</v>
      </c>
      <c r="AT24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3" s="9" t="e">
        <f>IF(tbl_Case_mins[[#This Row],[Surgery Status]]=0,(tbl_Case_mins[[#This Row],[Anaesth End]]-tbl_Case_mins[[#This Row],[AnaesthStart]]),0)</f>
        <v>#REF!</v>
      </c>
      <c r="AX243" s="9" t="e">
        <f>IF(tbl_Case_mins[[#This Row],[Surgery Status]]=0,(tbl_Case_mins[[#This Row],[Surgery Finish]]-tbl_Case_mins[[#This Row],[Surgery Start]]),0)</f>
        <v>#REF!</v>
      </c>
      <c r="AY243" s="9" t="e">
        <f>tbl_Case_mins[[#This Row],[Surgery Start]]-tbl_Case_mins[[#This Row],[AnaesthStart]]</f>
        <v>#REF!</v>
      </c>
      <c r="AZ243" s="9" t="e">
        <f>tbl_Case_mins[[#This Row],[Anaesth End]]-tbl_Case_mins[[#This Row],[Surgery Finish]]</f>
        <v>#REF!</v>
      </c>
      <c r="BA24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3" s="16" cm="1">
        <f t="array" ref="BC24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3" s="16" t="e">
        <f>IF(AND(tbl_Case_mins[[#This Row],[FirstAMCase]]=1,tbl_Case_mins[[#This Row],[CancelledCase]]=0,OR(tbl_Case_mins[[#This Row],[EarlyStartAM]]&gt;0,tbl_Case_mins[[#This Row],[AnaesthStart]]=tbl_Case_mins[[#This Row],[ThOpenAm]])),1,0)</f>
        <v>#REF!</v>
      </c>
      <c r="BE243" s="16" t="e">
        <f>IF(AND(tbl_Case_mins[[#This Row],[Rank_AnaSt]]=tbl_Case_mins[[#This Row],[Min_RankAnaSt]],tbl_Case_mins[[#This Row],[Anaesth End]]&gt;=tbl_Case_mins[[#This Row],[ThOpenAm]],tbl_Case_mins[[#This Row],[PmCase]]=0),1,0)</f>
        <v>#REF!</v>
      </c>
      <c r="BF24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3" s="9" t="e" cm="1">
        <f t="array" ref="BH24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3" s="9" t="e">
        <f>IF(AND(tbl_Case_mins[[#This Row],[ThOpenPM]]&gt;0,tbl_Case_mins[[#This Row],[AnaesthStart]]&gt;tbl_Case_mins[[#This Row],[ThOpenPM]],tbl_Case_mins[[#This Row],[First PM Case]]=1),tbl_Case_mins[[#This Row],[AnaesthStart]]-tbl_Case_mins[[#This Row],[ThOpenPM]],0)</f>
        <v>#REF!</v>
      </c>
      <c r="BL24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3" s="9" t="e" cm="1">
        <f t="array" ref="BN24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3" s="9" t="e">
        <f>IF(AND(tbl_Case_mins[[#This Row],[ThClosePm]]&gt;0,tbl_Case_mins[[#This Row],[Anaesth End]]&gt;tbl_Case_mins[[#This Row],[ThClosePm]],tbl_Case_mins[[#This Row],[AnaesthStart]]&gt;tbl_Case_mins[[#This Row],[ThClosePm]]),tbl_Case_mins[[#This Row],[Into Recov]]-tbl_Case_mins[[#This Row],[AnaesthStart]],0)</f>
        <v>#REF!</v>
      </c>
      <c r="BP243" s="9" t="e">
        <f>IF(AND(tbl_Case_mins[[#This Row],[AnaesthStart]]&lt;tbl_Case_mins[[#This Row],[ThClosePm]],tbl_Case_mins[[#This Row],[Anaesth End]]&gt;tbl_Case_mins[[#This Row],[ThClosePm]]),tbl_Case_mins[[#This Row],[Anaesth End]]-tbl_Case_mins[[#This Row],[ThClosePm]],0)</f>
        <v>#REF!</v>
      </c>
      <c r="BQ243" s="9" t="e" cm="1">
        <f t="array" ref="BQ24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3" s="9" t="e" cm="1">
        <f t="array" ref="BR243">IF(tbl_Case_mins[[#This Row],[Rank_Adjust]]=SUMPRODUCT(-(tbl_Case_mins[Surgery Start Date]=tbl_Case_mins[[#This Row],[Surgery Start Date]]),-(tbl_Case_mins[Theatre]=tbl_Case_mins[[#This Row],[Theatre]])),INDEX(Poss_Time,MATCH(TEXT(tbl_Case_mins[[#This Row],[Surgery Start Date]],"ddd"),Day,0)),0)</f>
        <v>#REF!</v>
      </c>
      <c r="BS243" s="9" t="e">
        <f>tbl_Case_mins[[#This Row],[Core_Time]]*Util_Goal</f>
        <v>#REF!</v>
      </c>
      <c r="BT243" s="9" t="e" cm="1">
        <f t="array" ref="BT2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3" s="9" t="e" cm="1">
        <f t="array" ref="BU2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3" s="9" t="e">
        <f>IF(tbl_Case_mins[[#This Row],[Surgery End Date]]&gt;tbl_Case_mins[[#This Row],[Surgery Start Date]],tbl_Case_mins[[#This Row],[Anaesth End]]-1440,0)</f>
        <v>#REF!</v>
      </c>
      <c r="BY243" s="9" t="e">
        <f>tbl_Case_mins[[#This Row],[Total_NonCore]]-tbl_Case_mins[[#This Row],[NextDay_NonCore]]</f>
        <v>#REF!</v>
      </c>
      <c r="BZ243" s="10" t="e">
        <f>tbl_Case_mins[[#This Row],[InCoreUse]]/60</f>
        <v>#REF!</v>
      </c>
      <c r="CA243" s="10" t="e">
        <f>tbl_Case_mins[[#This Row],[Total_NonCore]]/60</f>
        <v>#REF!</v>
      </c>
      <c r="CB243" t="e" cm="1">
        <f t="array" ref="CB2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3" s="9" t="e" cm="1">
        <f t="array" ref="CC24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3" s="9" t="e" cm="1">
        <f t="array" ref="CD2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3" s="9" t="e" cm="1">
        <f t="array" ref="CE24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3" s="9" cm="1">
        <f t="array" ref="CF243">IFERROR(_xlfn.AGGREGATE(14,6,(tbl_Case_mins[Rank_AnaEnd])/((tbl_Case_mins[Surgery Start Date]=tbl_Case_mins[[#This Row],[Surgery Start Date]])*(tbl_Case_mins[Theatre]=tbl_Case_mins[[#This Row],[Theatre]])*(tbl_Case_mins[NoInCoreTime]=0)),1),-1)</f>
        <v>-1</v>
      </c>
      <c r="CG243" s="9" cm="1">
        <f t="array" ref="CG243">IFERROR(_xlfn.AGGREGATE(15,6,(tbl_Case_mins[Rank_AnaSt])/((tbl_Case_mins[Surgery Start Date]=tbl_Case_mins[[#This Row],[Surgery Start Date]])*(tbl_Case_mins[Theatre]=tbl_Case_mins[[#This Row],[Theatre]])*(tbl_Case_mins[NoInCoreTime]=0)),1),-1)</f>
        <v>-1</v>
      </c>
      <c r="CH24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3" t="e" cm="1">
        <f t="array" ref="CJ24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3" s="9" cm="1">
        <f t="array" ref="CO2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3" s="9" cm="1">
        <f t="array" ref="CP2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3" s="9" cm="1">
        <f t="array" ref="CQ243">IFERROR(IF(AND(tbl_Case_mins[[#This Row],[FirstAMCase]]=0,tbl_Case_mins[[#This Row],[Rank]]=_xlfn.AGGREGATE(14,6,(tbl_Case_mins[Rank])/((tbl_Case_mins[Surgery Start Date]=tbl_Case_mins[[#This Row],[Surgery Start Date]])*(tbl_Case_mins[Theatre]=tbl_Case_mins[[#This Row],[Theatre]])*(tbl_Case_mins[AmCase]=1)),1)),1,0),0)</f>
        <v>0</v>
      </c>
      <c r="CR243" s="9" cm="1">
        <f t="array" ref="CR24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3" s="9" t="e" cm="1">
        <f t="array" ref="CS24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3" s="9" cm="1">
        <f t="array" ref="CT243">IFERROR(IF(tbl_Case_mins[[#This Row],[Rank]]=_xlfn.AGGREGATE(15,6,(tbl_Case_mins[Rank])/((tbl_Case_mins[Surgery Start Date]=tbl_Case_mins[[#This Row],[Surgery Start Date]])*(tbl_Case_mins[Theatre]=tbl_Case_mins[[#This Row],[Theatre]])*(tbl_Case_mins[PmCase]=1)),1),1,0),0)</f>
        <v>0</v>
      </c>
      <c r="CU243">
        <f>IFERROR(#REF!,0)</f>
        <v>0</v>
      </c>
      <c r="CV243" s="9" t="e" cm="1">
        <f t="array" ref="CV24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3" s="9">
        <f>IFERROR(IF(ISBLANK(INDEX(Bay_AmClose,MATCH(1,INDEX((tbl_Case_mins[[#This Row],[Bay]]=BayNo)*(tbl_Case_mins[[#This Row],[Surgery Start Date]]=BDate),0,1),0))*1440),0,INDEX(Bay_AmClose,MATCH(1,INDEX((tbl_Case_mins[[#This Row],[Bay]]=BayNo)*(tbl_Case_mins[[#This Row],[Surgery Start Date]]=BDate),0,1),0))*1440),0)</f>
        <v>0</v>
      </c>
      <c r="CX243" s="9" cm="1">
        <f t="array" ref="CX243">IFERROR(IF(ISBLANK(INDEX(Bay_PmOpen,MATCH(1,INDEX((tbl_Case_mins[[#This Row],[Bay]]=BayNo)*(tbl_Case_mins[[#This Row],[Surgery Start Date]]=BDate),0,1),0))*1440),0,INDEX(Bay_PmOpen,MATCH(1,INDEX((tbl_Case_mins[[#This Row],[Bay]]=BayNo)*(tbl_Case_mins[[#This Row],[Surgery Start Date]]=BDate),0,1),0))*1440),0)</f>
        <v>0</v>
      </c>
      <c r="CY24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3" s="9"/>
    </row>
    <row r="244" spans="1:104" x14ac:dyDescent="0.2">
      <c r="A244">
        <v>243</v>
      </c>
      <c r="B244" t="e">
        <f>#REF!</f>
        <v>#REF!</v>
      </c>
      <c r="C244" t="e">
        <f>#REF!</f>
        <v>#REF!</v>
      </c>
      <c r="D244" t="e">
        <f>#REF!</f>
        <v>#REF!</v>
      </c>
      <c r="E244" t="e">
        <f>#REF!</f>
        <v>#REF!</v>
      </c>
      <c r="F244" t="e">
        <f>#REF!</f>
        <v>#REF!</v>
      </c>
      <c r="G244" t="e">
        <f>#REF!</f>
        <v>#REF!</v>
      </c>
      <c r="H244" t="e">
        <f>#REF!</f>
        <v>#REF!</v>
      </c>
      <c r="I244" t="e">
        <f>IF(#REF!="Case Cancelled",1,IF(#REF!="No Cases",2,0))</f>
        <v>#REF!</v>
      </c>
      <c r="J244" t="e">
        <f>#REF!</f>
        <v>#REF!</v>
      </c>
      <c r="K244" s="4" t="e">
        <f>#REF!</f>
        <v>#REF!</v>
      </c>
      <c r="L244" t="e">
        <f>"Wk "&amp;WEEKNUM(tbl_Case_mins[[#This Row],[Surgery Start Date]],21)</f>
        <v>#REF!</v>
      </c>
      <c r="M244" t="e">
        <f>TEXT(tbl_Case_mins[[#This Row],[Surgery Start Date]],"ddd")</f>
        <v>#REF!</v>
      </c>
      <c r="N244" s="9" t="e">
        <f>(#REF!-TIME(0,0,0))*1440</f>
        <v>#REF!</v>
      </c>
      <c r="O244" t="e">
        <f>IF(AND(ROUND((#REF!-TIME(0,0,0))*1440,0)&gt;0,ROUND((#REF!-TIME(0,0,0))*1440,0)&lt;tbl_Case_mins[[#This Row],[Patient Called]],tbl_Case_mins[[#This Row],[Surgery End Date]]&gt;tbl_Case_mins[[#This Row],[Surgery Start Date]]),ROUND((#REF!-TIME(0,0,0))*1440,0)+1440,ROUND((#REF!-TIME(0,0,0))*1440,0))</f>
        <v>#REF!</v>
      </c>
      <c r="P244" s="9" t="e">
        <f>IF(AND(ROUND((#REF!-TIME(0,0,0))*1440,0)&gt;0,ROUND((#REF!-TIME(0,0,0))*1440,0)&lt;tbl_Case_mins[[#This Row],[Arrival]],tbl_Case_mins[[#This Row],[Surgery End Date]]&gt;tbl_Case_mins[[#This Row],[Surgery Start Date]]),ROUND((#REF!-TIME(0,0,0))*1440,0)+1440,ROUND((#REF!-TIME(0,0,0))*1440,0))</f>
        <v>#REF!</v>
      </c>
      <c r="Q244" s="9" t="e">
        <f>IF(AND(ROUND((#REF!-TIME(0,0,0))*1440,0)&gt;0,ROUND((#REF!-TIME(0,0,0))*1440,0)&lt;tbl_Case_mins[[#This Row],[Into Th or AR]],tbl_Case_mins[[#This Row],[Surgery End Date]]&gt;tbl_Case_mins[[#This Row],[Surgery Start Date]]),ROUND((#REF!-TIME(0,0,0))*1440,0)+1440,ROUND((#REF!-TIME(0,0,0))*1440,0))</f>
        <v>#REF!</v>
      </c>
      <c r="R244" s="9" t="e">
        <f>IF(AND(ROUND((#REF!-TIME(0,0,0))*1440,0)&gt;0,ROUND((#REF!-TIME(0,0,0))*1440,0)&lt;tbl_Case_mins[[#This Row],[AnaesthStart]],tbl_Case_mins[[#This Row],[Surgery End Date]]&gt;tbl_Case_mins[[#This Row],[Surgery Start Date]]),ROUND((#REF!-TIME(0,0,0))*1440,0)+1440,ROUND((#REF!-TIME(0,0,0))*1440,0))</f>
        <v>#REF!</v>
      </c>
      <c r="S244" s="9" t="e">
        <f>IF(AND(ROUND((#REF!-TIME(0,0,0))*1440,0),ROUND((#REF!-TIME(0,0,0))*1440,0)&lt;tbl_Case_mins[[#This Row],[Surgery Start]],tbl_Case_mins[[#This Row],[Surgery End Date]]&gt;tbl_Case_mins[[#This Row],[Surgery Start Date]]),ROUND((#REF!-TIME(0,0,0))*1440,0)+1440,ROUND((#REF!-TIME(0,0,0))*1440,0))</f>
        <v>#REF!</v>
      </c>
      <c r="T244" s="9" t="e">
        <f>IF(AND(ROUND((#REF!-TIME(0,0,0))*1440,0)&gt;0,ROUND((#REF!-TIME(0,0,0))*1440,0)&lt;tbl_Case_mins[[#This Row],[Surgery Finish]],tbl_Case_mins[[#This Row],[Surgery End Date]]&gt;tbl_Case_mins[[#This Row],[Surgery Start Date]]),ROUND((#REF!-TIME(0,0,0))*1440,0)+1440,ROUND((#REF!-TIME(0,0,0))*1440,0))</f>
        <v>#REF!</v>
      </c>
      <c r="U244" s="9" t="e">
        <f>IF(AND(ROUND((#REF!-TIME(0,0,0))*1440,0)&gt;0,ROUND((#REF!-TIME(0,0,0))*1440,0)&lt;tbl_Case_mins[[#This Row],[Anaesth End]],tbl_Case_mins[[#This Row],[Surgery End Date]]&gt;tbl_Case_mins[[#This Row],[Surgery Start Date]]),ROUND((#REF!-TIME(0,0,0))*1440,0)+1440,ROUND((#REF!-TIME(0,0,0))*1440,0))</f>
        <v>#REF!</v>
      </c>
      <c r="V244" s="9" t="e">
        <f>IF(AND(ROUND((#REF!-TIME(0,0,0))*1440,0)&gt;0,ROUND((#REF!-TIME(0,0,0))*1440,0)&lt;tbl_Case_mins[[#This Row],[Into Recov]],tbl_Case_mins[[#This Row],[Surgery End Date]]&gt;tbl_Case_mins[[#This Row],[Surgery Start Date]]),ROUND((#REF!-TIME(0,0,0))*1440,0)+1440,ROUND((#REF!-TIME(0,0,0))*1440,0))</f>
        <v>#REF!</v>
      </c>
      <c r="W244" s="9" t="e">
        <f>IF(AND(ROUND((#REF!-TIME(0,0,0))*1440,0)&gt;0,ROUND((#REF!-TIME(0,0,0))*1440,0)&lt;tbl_Case_mins[[#This Row],[Ward Called]],tbl_Case_mins[[#This Row],[Surgery End Date]]&gt;tbl_Case_mins[[#This Row],[Surgery Start Date]]),ROUND((#REF!-TIME(0,0,0))*1440,0)+1440,ROUND((#REF!-TIME(0,0,0))*1440,0))</f>
        <v>#REF!</v>
      </c>
      <c r="X244" s="4" t="e">
        <f>IF(ISBLANK(#REF!),tbl_Case_mins[[#This Row],[Surgery Start Date]],#REF!)</f>
        <v>#REF!</v>
      </c>
      <c r="Y244">
        <f>IFERROR(IF(VLOOKUP(tbl_Case_mins[[#This Row],[Theatre]],'Mng Theatres'!$C$7:$G$12,3,FALSE)="Yes","Yes","No"),0)</f>
        <v>0</v>
      </c>
      <c r="Z244" s="9" t="e" cm="1">
        <f t="array" ref="Z24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4" s="9" t="e" cm="1">
        <f t="array" ref="AA24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4" s="9" t="e">
        <f>IF(tbl_Case_mins[[#This Row],[Case Type]]="Unsch",1,0)</f>
        <v>#REF!</v>
      </c>
      <c r="AD244" s="9" t="e">
        <f>IF(tbl_Case_mins[[#This Row],[Case Type]]="Sch",1,0)</f>
        <v>#REF!</v>
      </c>
      <c r="AE24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4" s="9">
        <f>IFERROR(IF(ISBLANK(INDEX(Am_Close,MATCH(1,INDEX((tbl_Case_mins[[#This Row],[Theatre]]=Theatre_No)*(tbl_Case_mins[[#This Row],[Surgery Start Date]]=Date),0,1),0))*1440),0,INDEX(Am_Close,MATCH(1,INDEX((tbl_Case_mins[[#This Row],[Theatre]]=Theatre_No)*(tbl_Case_mins[[#This Row],[Surgery Start Date]]=Date),0,1),0))*1440),0)</f>
        <v>0</v>
      </c>
      <c r="AG244" s="9">
        <f>IFERROR(IF(ISBLANK(INDEX(PM_Open,MATCH(1,INDEX((tbl_Case_mins[[#This Row],[Theatre]]=Theatre_No)*(tbl_Case_mins[[#This Row],[Surgery Start Date]]=Date),0,1),0))*1440),0,INDEX(PM_Open,MATCH(1,INDEX((tbl_Case_mins[[#This Row],[Theatre]]=Theatre_No)*(tbl_Case_mins[[#This Row],[Surgery Start Date]]=Date),0,1),0))*1440),0)</f>
        <v>0</v>
      </c>
      <c r="AH24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4" s="9" t="e">
        <f>IF(tbl_Case_mins[[#This Row],[ThOpenAm]]=0,tbl_Case_mins[[#This Row],[ThOpenPM]],tbl_Case_mins[[#This Row],[ThOpenAm]])</f>
        <v>#REF!</v>
      </c>
      <c r="AJ244" s="9" t="e">
        <f>IF(tbl_Case_mins[[#This Row],[ThCloseAm]]&gt;0,IF(tbl_Case_mins[[#This Row],[ThOpenPM]]&gt;0,tbl_Case_mins[[#This Row],[ThClosePm]],tbl_Case_mins[[#This Row],[ThCloseAm]]),tbl_Case_mins[[#This Row],[ThClosePm]])</f>
        <v>#REF!</v>
      </c>
      <c r="AK244" s="9" t="e">
        <f>IF(tbl_Case_mins[[#This Row],[TOT]]&gt;0,1,0)</f>
        <v>#REF!</v>
      </c>
      <c r="AL24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4" s="9" t="e">
        <f>IF(AND(tbl_Case_mins[[#This Row],[Surgery Status]]&lt;&gt;2,tbl_Case_mins[[#This Row],[InCoreCase]]=0,tbl_Case_mins[[#This Row],[CancelledCase]]=0),1,0)</f>
        <v>#REF!</v>
      </c>
      <c r="AN244" s="9" t="e">
        <f>IF(tbl_Case_mins[[#This Row],[Surgery Status]]=1,1,0)</f>
        <v>#REF!</v>
      </c>
      <c r="AO24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4" s="9" t="e">
        <f>IF(AND(tbl_Case_mins[[#This Row],[NonCoreCase]]=1,tbl_Case_mins[[#This Row],[NoInCoreTime]]=0),1,0)</f>
        <v>#REF!</v>
      </c>
      <c r="AQ244" s="9" t="e">
        <f>IF(tbl_Case_mins[[#This Row],[Rank_AnaEnd]]&lt;tbl_Case_mins[[#This Row],[Rank_AnaSt]],1,0)</f>
        <v>#REF!</v>
      </c>
      <c r="AR244" s="9" t="e">
        <f>IF(AND(tbl_Case_mins[[#This Row],[InCoreCase]]=1,tbl_Case_mins[[#This Row],[Sch]]=1),1,0)</f>
        <v>#REF!</v>
      </c>
      <c r="AS244" s="9" t="e">
        <f>IF(AND(tbl_Case_mins[[#This Row],[InCoreCase]]=1,tbl_Case_mins[[#This Row],[Unsch]]=1),1,0)</f>
        <v>#REF!</v>
      </c>
      <c r="AT24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4" s="9" t="e">
        <f>IF(tbl_Case_mins[[#This Row],[Surgery Status]]=0,(tbl_Case_mins[[#This Row],[Anaesth End]]-tbl_Case_mins[[#This Row],[AnaesthStart]]),0)</f>
        <v>#REF!</v>
      </c>
      <c r="AX244" s="9" t="e">
        <f>IF(tbl_Case_mins[[#This Row],[Surgery Status]]=0,(tbl_Case_mins[[#This Row],[Surgery Finish]]-tbl_Case_mins[[#This Row],[Surgery Start]]),0)</f>
        <v>#REF!</v>
      </c>
      <c r="AY244" s="9" t="e">
        <f>tbl_Case_mins[[#This Row],[Surgery Start]]-tbl_Case_mins[[#This Row],[AnaesthStart]]</f>
        <v>#REF!</v>
      </c>
      <c r="AZ244" s="9" t="e">
        <f>tbl_Case_mins[[#This Row],[Anaesth End]]-tbl_Case_mins[[#This Row],[Surgery Finish]]</f>
        <v>#REF!</v>
      </c>
      <c r="BA24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4" s="16" cm="1">
        <f t="array" ref="BC24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4" s="16" t="e">
        <f>IF(AND(tbl_Case_mins[[#This Row],[FirstAMCase]]=1,tbl_Case_mins[[#This Row],[CancelledCase]]=0,OR(tbl_Case_mins[[#This Row],[EarlyStartAM]]&gt;0,tbl_Case_mins[[#This Row],[AnaesthStart]]=tbl_Case_mins[[#This Row],[ThOpenAm]])),1,0)</f>
        <v>#REF!</v>
      </c>
      <c r="BE244" s="16" t="e">
        <f>IF(AND(tbl_Case_mins[[#This Row],[Rank_AnaSt]]=tbl_Case_mins[[#This Row],[Min_RankAnaSt]],tbl_Case_mins[[#This Row],[Anaesth End]]&gt;=tbl_Case_mins[[#This Row],[ThOpenAm]],tbl_Case_mins[[#This Row],[PmCase]]=0),1,0)</f>
        <v>#REF!</v>
      </c>
      <c r="BF24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4" s="9" t="e" cm="1">
        <f t="array" ref="BH24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4" s="9" t="e">
        <f>IF(AND(tbl_Case_mins[[#This Row],[ThOpenPM]]&gt;0,tbl_Case_mins[[#This Row],[AnaesthStart]]&gt;tbl_Case_mins[[#This Row],[ThOpenPM]],tbl_Case_mins[[#This Row],[First PM Case]]=1),tbl_Case_mins[[#This Row],[AnaesthStart]]-tbl_Case_mins[[#This Row],[ThOpenPM]],0)</f>
        <v>#REF!</v>
      </c>
      <c r="BL24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4" s="9" t="e" cm="1">
        <f t="array" ref="BN24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4" s="9" t="e">
        <f>IF(AND(tbl_Case_mins[[#This Row],[ThClosePm]]&gt;0,tbl_Case_mins[[#This Row],[Anaesth End]]&gt;tbl_Case_mins[[#This Row],[ThClosePm]],tbl_Case_mins[[#This Row],[AnaesthStart]]&gt;tbl_Case_mins[[#This Row],[ThClosePm]]),tbl_Case_mins[[#This Row],[Into Recov]]-tbl_Case_mins[[#This Row],[AnaesthStart]],0)</f>
        <v>#REF!</v>
      </c>
      <c r="BP244" s="9" t="e">
        <f>IF(AND(tbl_Case_mins[[#This Row],[AnaesthStart]]&lt;tbl_Case_mins[[#This Row],[ThClosePm]],tbl_Case_mins[[#This Row],[Anaesth End]]&gt;tbl_Case_mins[[#This Row],[ThClosePm]]),tbl_Case_mins[[#This Row],[Anaesth End]]-tbl_Case_mins[[#This Row],[ThClosePm]],0)</f>
        <v>#REF!</v>
      </c>
      <c r="BQ244" s="9" t="e" cm="1">
        <f t="array" ref="BQ24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4" s="9" t="e" cm="1">
        <f t="array" ref="BR244">IF(tbl_Case_mins[[#This Row],[Rank_Adjust]]=SUMPRODUCT(-(tbl_Case_mins[Surgery Start Date]=tbl_Case_mins[[#This Row],[Surgery Start Date]]),-(tbl_Case_mins[Theatre]=tbl_Case_mins[[#This Row],[Theatre]])),INDEX(Poss_Time,MATCH(TEXT(tbl_Case_mins[[#This Row],[Surgery Start Date]],"ddd"),Day,0)),0)</f>
        <v>#REF!</v>
      </c>
      <c r="BS244" s="9" t="e">
        <f>tbl_Case_mins[[#This Row],[Core_Time]]*Util_Goal</f>
        <v>#REF!</v>
      </c>
      <c r="BT244" s="9" t="e" cm="1">
        <f t="array" ref="BT2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4" s="9" t="e" cm="1">
        <f t="array" ref="BU2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4" s="9" t="e">
        <f>IF(tbl_Case_mins[[#This Row],[Surgery End Date]]&gt;tbl_Case_mins[[#This Row],[Surgery Start Date]],tbl_Case_mins[[#This Row],[Anaesth End]]-1440,0)</f>
        <v>#REF!</v>
      </c>
      <c r="BY244" s="9" t="e">
        <f>tbl_Case_mins[[#This Row],[Total_NonCore]]-tbl_Case_mins[[#This Row],[NextDay_NonCore]]</f>
        <v>#REF!</v>
      </c>
      <c r="BZ244" s="10" t="e">
        <f>tbl_Case_mins[[#This Row],[InCoreUse]]/60</f>
        <v>#REF!</v>
      </c>
      <c r="CA244" s="10" t="e">
        <f>tbl_Case_mins[[#This Row],[Total_NonCore]]/60</f>
        <v>#REF!</v>
      </c>
      <c r="CB244" t="e" cm="1">
        <f t="array" ref="CB2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4" s="9" t="e" cm="1">
        <f t="array" ref="CC24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4" s="9" t="e" cm="1">
        <f t="array" ref="CD2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4" s="9" t="e" cm="1">
        <f t="array" ref="CE24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4" s="9" cm="1">
        <f t="array" ref="CF244">IFERROR(_xlfn.AGGREGATE(14,6,(tbl_Case_mins[Rank_AnaEnd])/((tbl_Case_mins[Surgery Start Date]=tbl_Case_mins[[#This Row],[Surgery Start Date]])*(tbl_Case_mins[Theatre]=tbl_Case_mins[[#This Row],[Theatre]])*(tbl_Case_mins[NoInCoreTime]=0)),1),-1)</f>
        <v>-1</v>
      </c>
      <c r="CG244" s="9" cm="1">
        <f t="array" ref="CG244">IFERROR(_xlfn.AGGREGATE(15,6,(tbl_Case_mins[Rank_AnaSt])/((tbl_Case_mins[Surgery Start Date]=tbl_Case_mins[[#This Row],[Surgery Start Date]])*(tbl_Case_mins[Theatre]=tbl_Case_mins[[#This Row],[Theatre]])*(tbl_Case_mins[NoInCoreTime]=0)),1),-1)</f>
        <v>-1</v>
      </c>
      <c r="CH24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4" t="e" cm="1">
        <f t="array" ref="CJ24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4" s="9" cm="1">
        <f t="array" ref="CO2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4" s="9" cm="1">
        <f t="array" ref="CP2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4" s="9" cm="1">
        <f t="array" ref="CQ244">IFERROR(IF(AND(tbl_Case_mins[[#This Row],[FirstAMCase]]=0,tbl_Case_mins[[#This Row],[Rank]]=_xlfn.AGGREGATE(14,6,(tbl_Case_mins[Rank])/((tbl_Case_mins[Surgery Start Date]=tbl_Case_mins[[#This Row],[Surgery Start Date]])*(tbl_Case_mins[Theatre]=tbl_Case_mins[[#This Row],[Theatre]])*(tbl_Case_mins[AmCase]=1)),1)),1,0),0)</f>
        <v>0</v>
      </c>
      <c r="CR244" s="9" cm="1">
        <f t="array" ref="CR24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4" s="9" t="e" cm="1">
        <f t="array" ref="CS24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4" s="9" cm="1">
        <f t="array" ref="CT244">IFERROR(IF(tbl_Case_mins[[#This Row],[Rank]]=_xlfn.AGGREGATE(15,6,(tbl_Case_mins[Rank])/((tbl_Case_mins[Surgery Start Date]=tbl_Case_mins[[#This Row],[Surgery Start Date]])*(tbl_Case_mins[Theatre]=tbl_Case_mins[[#This Row],[Theatre]])*(tbl_Case_mins[PmCase]=1)),1),1,0),0)</f>
        <v>0</v>
      </c>
      <c r="CU244">
        <f>IFERROR(#REF!,0)</f>
        <v>0</v>
      </c>
      <c r="CV244" s="9" t="e" cm="1">
        <f t="array" ref="CV24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4" s="9">
        <f>IFERROR(IF(ISBLANK(INDEX(Bay_AmClose,MATCH(1,INDEX((tbl_Case_mins[[#This Row],[Bay]]=BayNo)*(tbl_Case_mins[[#This Row],[Surgery Start Date]]=BDate),0,1),0))*1440),0,INDEX(Bay_AmClose,MATCH(1,INDEX((tbl_Case_mins[[#This Row],[Bay]]=BayNo)*(tbl_Case_mins[[#This Row],[Surgery Start Date]]=BDate),0,1),0))*1440),0)</f>
        <v>0</v>
      </c>
      <c r="CX244" s="9" cm="1">
        <f t="array" ref="CX244">IFERROR(IF(ISBLANK(INDEX(Bay_PmOpen,MATCH(1,INDEX((tbl_Case_mins[[#This Row],[Bay]]=BayNo)*(tbl_Case_mins[[#This Row],[Surgery Start Date]]=BDate),0,1),0))*1440),0,INDEX(Bay_PmOpen,MATCH(1,INDEX((tbl_Case_mins[[#This Row],[Bay]]=BayNo)*(tbl_Case_mins[[#This Row],[Surgery Start Date]]=BDate),0,1),0))*1440),0)</f>
        <v>0</v>
      </c>
      <c r="CY24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4" s="9"/>
    </row>
    <row r="245" spans="1:104" x14ac:dyDescent="0.2">
      <c r="A245">
        <v>244</v>
      </c>
      <c r="B245" t="e">
        <f>#REF!</f>
        <v>#REF!</v>
      </c>
      <c r="C245" t="e">
        <f>#REF!</f>
        <v>#REF!</v>
      </c>
      <c r="D245" t="e">
        <f>#REF!</f>
        <v>#REF!</v>
      </c>
      <c r="E245" t="e">
        <f>#REF!</f>
        <v>#REF!</v>
      </c>
      <c r="F245" t="e">
        <f>#REF!</f>
        <v>#REF!</v>
      </c>
      <c r="G245" t="e">
        <f>#REF!</f>
        <v>#REF!</v>
      </c>
      <c r="H245" t="e">
        <f>#REF!</f>
        <v>#REF!</v>
      </c>
      <c r="I245" t="e">
        <f>IF(#REF!="Case Cancelled",1,IF(#REF!="No Cases",2,0))</f>
        <v>#REF!</v>
      </c>
      <c r="J245" t="e">
        <f>#REF!</f>
        <v>#REF!</v>
      </c>
      <c r="K245" s="4" t="e">
        <f>#REF!</f>
        <v>#REF!</v>
      </c>
      <c r="L245" t="e">
        <f>"Wk "&amp;WEEKNUM(tbl_Case_mins[[#This Row],[Surgery Start Date]],21)</f>
        <v>#REF!</v>
      </c>
      <c r="M245" t="e">
        <f>TEXT(tbl_Case_mins[[#This Row],[Surgery Start Date]],"ddd")</f>
        <v>#REF!</v>
      </c>
      <c r="N245" s="9" t="e">
        <f>(#REF!-TIME(0,0,0))*1440</f>
        <v>#REF!</v>
      </c>
      <c r="O245" t="e">
        <f>IF(AND(ROUND((#REF!-TIME(0,0,0))*1440,0)&gt;0,ROUND((#REF!-TIME(0,0,0))*1440,0)&lt;tbl_Case_mins[[#This Row],[Patient Called]],tbl_Case_mins[[#This Row],[Surgery End Date]]&gt;tbl_Case_mins[[#This Row],[Surgery Start Date]]),ROUND((#REF!-TIME(0,0,0))*1440,0)+1440,ROUND((#REF!-TIME(0,0,0))*1440,0))</f>
        <v>#REF!</v>
      </c>
      <c r="P245" s="9" t="e">
        <f>IF(AND(ROUND((#REF!-TIME(0,0,0))*1440,0)&gt;0,ROUND((#REF!-TIME(0,0,0))*1440,0)&lt;tbl_Case_mins[[#This Row],[Arrival]],tbl_Case_mins[[#This Row],[Surgery End Date]]&gt;tbl_Case_mins[[#This Row],[Surgery Start Date]]),ROUND((#REF!-TIME(0,0,0))*1440,0)+1440,ROUND((#REF!-TIME(0,0,0))*1440,0))</f>
        <v>#REF!</v>
      </c>
      <c r="Q245" s="9" t="e">
        <f>IF(AND(ROUND((#REF!-TIME(0,0,0))*1440,0)&gt;0,ROUND((#REF!-TIME(0,0,0))*1440,0)&lt;tbl_Case_mins[[#This Row],[Into Th or AR]],tbl_Case_mins[[#This Row],[Surgery End Date]]&gt;tbl_Case_mins[[#This Row],[Surgery Start Date]]),ROUND((#REF!-TIME(0,0,0))*1440,0)+1440,ROUND((#REF!-TIME(0,0,0))*1440,0))</f>
        <v>#REF!</v>
      </c>
      <c r="R245" s="9" t="e">
        <f>IF(AND(ROUND((#REF!-TIME(0,0,0))*1440,0)&gt;0,ROUND((#REF!-TIME(0,0,0))*1440,0)&lt;tbl_Case_mins[[#This Row],[AnaesthStart]],tbl_Case_mins[[#This Row],[Surgery End Date]]&gt;tbl_Case_mins[[#This Row],[Surgery Start Date]]),ROUND((#REF!-TIME(0,0,0))*1440,0)+1440,ROUND((#REF!-TIME(0,0,0))*1440,0))</f>
        <v>#REF!</v>
      </c>
      <c r="S245" s="9" t="e">
        <f>IF(AND(ROUND((#REF!-TIME(0,0,0))*1440,0),ROUND((#REF!-TIME(0,0,0))*1440,0)&lt;tbl_Case_mins[[#This Row],[Surgery Start]],tbl_Case_mins[[#This Row],[Surgery End Date]]&gt;tbl_Case_mins[[#This Row],[Surgery Start Date]]),ROUND((#REF!-TIME(0,0,0))*1440,0)+1440,ROUND((#REF!-TIME(0,0,0))*1440,0))</f>
        <v>#REF!</v>
      </c>
      <c r="T245" s="9" t="e">
        <f>IF(AND(ROUND((#REF!-TIME(0,0,0))*1440,0)&gt;0,ROUND((#REF!-TIME(0,0,0))*1440,0)&lt;tbl_Case_mins[[#This Row],[Surgery Finish]],tbl_Case_mins[[#This Row],[Surgery End Date]]&gt;tbl_Case_mins[[#This Row],[Surgery Start Date]]),ROUND((#REF!-TIME(0,0,0))*1440,0)+1440,ROUND((#REF!-TIME(0,0,0))*1440,0))</f>
        <v>#REF!</v>
      </c>
      <c r="U245" s="9" t="e">
        <f>IF(AND(ROUND((#REF!-TIME(0,0,0))*1440,0)&gt;0,ROUND((#REF!-TIME(0,0,0))*1440,0)&lt;tbl_Case_mins[[#This Row],[Anaesth End]],tbl_Case_mins[[#This Row],[Surgery End Date]]&gt;tbl_Case_mins[[#This Row],[Surgery Start Date]]),ROUND((#REF!-TIME(0,0,0))*1440,0)+1440,ROUND((#REF!-TIME(0,0,0))*1440,0))</f>
        <v>#REF!</v>
      </c>
      <c r="V245" s="9" t="e">
        <f>IF(AND(ROUND((#REF!-TIME(0,0,0))*1440,0)&gt;0,ROUND((#REF!-TIME(0,0,0))*1440,0)&lt;tbl_Case_mins[[#This Row],[Into Recov]],tbl_Case_mins[[#This Row],[Surgery End Date]]&gt;tbl_Case_mins[[#This Row],[Surgery Start Date]]),ROUND((#REF!-TIME(0,0,0))*1440,0)+1440,ROUND((#REF!-TIME(0,0,0))*1440,0))</f>
        <v>#REF!</v>
      </c>
      <c r="W245" s="9" t="e">
        <f>IF(AND(ROUND((#REF!-TIME(0,0,0))*1440,0)&gt;0,ROUND((#REF!-TIME(0,0,0))*1440,0)&lt;tbl_Case_mins[[#This Row],[Ward Called]],tbl_Case_mins[[#This Row],[Surgery End Date]]&gt;tbl_Case_mins[[#This Row],[Surgery Start Date]]),ROUND((#REF!-TIME(0,0,0))*1440,0)+1440,ROUND((#REF!-TIME(0,0,0))*1440,0))</f>
        <v>#REF!</v>
      </c>
      <c r="X245" s="4" t="e">
        <f>IF(ISBLANK(#REF!),tbl_Case_mins[[#This Row],[Surgery Start Date]],#REF!)</f>
        <v>#REF!</v>
      </c>
      <c r="Y245">
        <f>IFERROR(IF(VLOOKUP(tbl_Case_mins[[#This Row],[Theatre]],'Mng Theatres'!$C$7:$G$12,3,FALSE)="Yes","Yes","No"),0)</f>
        <v>0</v>
      </c>
      <c r="Z245" s="9" t="e" cm="1">
        <f t="array" ref="Z24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5" s="9" t="e" cm="1">
        <f t="array" ref="AA24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5" s="9" t="e">
        <f>IF(tbl_Case_mins[[#This Row],[Case Type]]="Unsch",1,0)</f>
        <v>#REF!</v>
      </c>
      <c r="AD245" s="9" t="e">
        <f>IF(tbl_Case_mins[[#This Row],[Case Type]]="Sch",1,0)</f>
        <v>#REF!</v>
      </c>
      <c r="AE24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5" s="9">
        <f>IFERROR(IF(ISBLANK(INDEX(Am_Close,MATCH(1,INDEX((tbl_Case_mins[[#This Row],[Theatre]]=Theatre_No)*(tbl_Case_mins[[#This Row],[Surgery Start Date]]=Date),0,1),0))*1440),0,INDEX(Am_Close,MATCH(1,INDEX((tbl_Case_mins[[#This Row],[Theatre]]=Theatre_No)*(tbl_Case_mins[[#This Row],[Surgery Start Date]]=Date),0,1),0))*1440),0)</f>
        <v>0</v>
      </c>
      <c r="AG245" s="9">
        <f>IFERROR(IF(ISBLANK(INDEX(PM_Open,MATCH(1,INDEX((tbl_Case_mins[[#This Row],[Theatre]]=Theatre_No)*(tbl_Case_mins[[#This Row],[Surgery Start Date]]=Date),0,1),0))*1440),0,INDEX(PM_Open,MATCH(1,INDEX((tbl_Case_mins[[#This Row],[Theatre]]=Theatre_No)*(tbl_Case_mins[[#This Row],[Surgery Start Date]]=Date),0,1),0))*1440),0)</f>
        <v>0</v>
      </c>
      <c r="AH24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5" s="9" t="e">
        <f>IF(tbl_Case_mins[[#This Row],[ThOpenAm]]=0,tbl_Case_mins[[#This Row],[ThOpenPM]],tbl_Case_mins[[#This Row],[ThOpenAm]])</f>
        <v>#REF!</v>
      </c>
      <c r="AJ245" s="9" t="e">
        <f>IF(tbl_Case_mins[[#This Row],[ThCloseAm]]&gt;0,IF(tbl_Case_mins[[#This Row],[ThOpenPM]]&gt;0,tbl_Case_mins[[#This Row],[ThClosePm]],tbl_Case_mins[[#This Row],[ThCloseAm]]),tbl_Case_mins[[#This Row],[ThClosePm]])</f>
        <v>#REF!</v>
      </c>
      <c r="AK245" s="9" t="e">
        <f>IF(tbl_Case_mins[[#This Row],[TOT]]&gt;0,1,0)</f>
        <v>#REF!</v>
      </c>
      <c r="AL24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5" s="9" t="e">
        <f>IF(AND(tbl_Case_mins[[#This Row],[Surgery Status]]&lt;&gt;2,tbl_Case_mins[[#This Row],[InCoreCase]]=0,tbl_Case_mins[[#This Row],[CancelledCase]]=0),1,0)</f>
        <v>#REF!</v>
      </c>
      <c r="AN245" s="9" t="e">
        <f>IF(tbl_Case_mins[[#This Row],[Surgery Status]]=1,1,0)</f>
        <v>#REF!</v>
      </c>
      <c r="AO24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5" s="9" t="e">
        <f>IF(AND(tbl_Case_mins[[#This Row],[NonCoreCase]]=1,tbl_Case_mins[[#This Row],[NoInCoreTime]]=0),1,0)</f>
        <v>#REF!</v>
      </c>
      <c r="AQ245" s="9" t="e">
        <f>IF(tbl_Case_mins[[#This Row],[Rank_AnaEnd]]&lt;tbl_Case_mins[[#This Row],[Rank_AnaSt]],1,0)</f>
        <v>#REF!</v>
      </c>
      <c r="AR245" s="9" t="e">
        <f>IF(AND(tbl_Case_mins[[#This Row],[InCoreCase]]=1,tbl_Case_mins[[#This Row],[Sch]]=1),1,0)</f>
        <v>#REF!</v>
      </c>
      <c r="AS245" s="9" t="e">
        <f>IF(AND(tbl_Case_mins[[#This Row],[InCoreCase]]=1,tbl_Case_mins[[#This Row],[Unsch]]=1),1,0)</f>
        <v>#REF!</v>
      </c>
      <c r="AT24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5" s="9" t="e">
        <f>IF(tbl_Case_mins[[#This Row],[Surgery Status]]=0,(tbl_Case_mins[[#This Row],[Anaesth End]]-tbl_Case_mins[[#This Row],[AnaesthStart]]),0)</f>
        <v>#REF!</v>
      </c>
      <c r="AX245" s="9" t="e">
        <f>IF(tbl_Case_mins[[#This Row],[Surgery Status]]=0,(tbl_Case_mins[[#This Row],[Surgery Finish]]-tbl_Case_mins[[#This Row],[Surgery Start]]),0)</f>
        <v>#REF!</v>
      </c>
      <c r="AY245" s="9" t="e">
        <f>tbl_Case_mins[[#This Row],[Surgery Start]]-tbl_Case_mins[[#This Row],[AnaesthStart]]</f>
        <v>#REF!</v>
      </c>
      <c r="AZ245" s="9" t="e">
        <f>tbl_Case_mins[[#This Row],[Anaesth End]]-tbl_Case_mins[[#This Row],[Surgery Finish]]</f>
        <v>#REF!</v>
      </c>
      <c r="BA24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5" s="16" cm="1">
        <f t="array" ref="BC24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5" s="16" t="e">
        <f>IF(AND(tbl_Case_mins[[#This Row],[FirstAMCase]]=1,tbl_Case_mins[[#This Row],[CancelledCase]]=0,OR(tbl_Case_mins[[#This Row],[EarlyStartAM]]&gt;0,tbl_Case_mins[[#This Row],[AnaesthStart]]=tbl_Case_mins[[#This Row],[ThOpenAm]])),1,0)</f>
        <v>#REF!</v>
      </c>
      <c r="BE245" s="16" t="e">
        <f>IF(AND(tbl_Case_mins[[#This Row],[Rank_AnaSt]]=tbl_Case_mins[[#This Row],[Min_RankAnaSt]],tbl_Case_mins[[#This Row],[Anaesth End]]&gt;=tbl_Case_mins[[#This Row],[ThOpenAm]],tbl_Case_mins[[#This Row],[PmCase]]=0),1,0)</f>
        <v>#REF!</v>
      </c>
      <c r="BF24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5" s="9" t="e" cm="1">
        <f t="array" ref="BH24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5" s="9" t="e">
        <f>IF(AND(tbl_Case_mins[[#This Row],[ThOpenPM]]&gt;0,tbl_Case_mins[[#This Row],[AnaesthStart]]&gt;tbl_Case_mins[[#This Row],[ThOpenPM]],tbl_Case_mins[[#This Row],[First PM Case]]=1),tbl_Case_mins[[#This Row],[AnaesthStart]]-tbl_Case_mins[[#This Row],[ThOpenPM]],0)</f>
        <v>#REF!</v>
      </c>
      <c r="BL24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5" s="9" t="e" cm="1">
        <f t="array" ref="BN24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5" s="9" t="e">
        <f>IF(AND(tbl_Case_mins[[#This Row],[ThClosePm]]&gt;0,tbl_Case_mins[[#This Row],[Anaesth End]]&gt;tbl_Case_mins[[#This Row],[ThClosePm]],tbl_Case_mins[[#This Row],[AnaesthStart]]&gt;tbl_Case_mins[[#This Row],[ThClosePm]]),tbl_Case_mins[[#This Row],[Into Recov]]-tbl_Case_mins[[#This Row],[AnaesthStart]],0)</f>
        <v>#REF!</v>
      </c>
      <c r="BP245" s="9" t="e">
        <f>IF(AND(tbl_Case_mins[[#This Row],[AnaesthStart]]&lt;tbl_Case_mins[[#This Row],[ThClosePm]],tbl_Case_mins[[#This Row],[Anaesth End]]&gt;tbl_Case_mins[[#This Row],[ThClosePm]]),tbl_Case_mins[[#This Row],[Anaesth End]]-tbl_Case_mins[[#This Row],[ThClosePm]],0)</f>
        <v>#REF!</v>
      </c>
      <c r="BQ245" s="9" t="e" cm="1">
        <f t="array" ref="BQ24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5" s="9" t="e" cm="1">
        <f t="array" ref="BR245">IF(tbl_Case_mins[[#This Row],[Rank_Adjust]]=SUMPRODUCT(-(tbl_Case_mins[Surgery Start Date]=tbl_Case_mins[[#This Row],[Surgery Start Date]]),-(tbl_Case_mins[Theatre]=tbl_Case_mins[[#This Row],[Theatre]])),INDEX(Poss_Time,MATCH(TEXT(tbl_Case_mins[[#This Row],[Surgery Start Date]],"ddd"),Day,0)),0)</f>
        <v>#REF!</v>
      </c>
      <c r="BS245" s="9" t="e">
        <f>tbl_Case_mins[[#This Row],[Core_Time]]*Util_Goal</f>
        <v>#REF!</v>
      </c>
      <c r="BT245" s="9" t="e" cm="1">
        <f t="array" ref="BT2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5" s="9" t="e" cm="1">
        <f t="array" ref="BU2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5" s="9" t="e">
        <f>IF(tbl_Case_mins[[#This Row],[Surgery End Date]]&gt;tbl_Case_mins[[#This Row],[Surgery Start Date]],tbl_Case_mins[[#This Row],[Anaesth End]]-1440,0)</f>
        <v>#REF!</v>
      </c>
      <c r="BY245" s="9" t="e">
        <f>tbl_Case_mins[[#This Row],[Total_NonCore]]-tbl_Case_mins[[#This Row],[NextDay_NonCore]]</f>
        <v>#REF!</v>
      </c>
      <c r="BZ245" s="10" t="e">
        <f>tbl_Case_mins[[#This Row],[InCoreUse]]/60</f>
        <v>#REF!</v>
      </c>
      <c r="CA245" s="10" t="e">
        <f>tbl_Case_mins[[#This Row],[Total_NonCore]]/60</f>
        <v>#REF!</v>
      </c>
      <c r="CB245" t="e" cm="1">
        <f t="array" ref="CB2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5" s="9" t="e" cm="1">
        <f t="array" ref="CC24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5" s="9" t="e" cm="1">
        <f t="array" ref="CD2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5" s="9" t="e" cm="1">
        <f t="array" ref="CE24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5" s="9" cm="1">
        <f t="array" ref="CF245">IFERROR(_xlfn.AGGREGATE(14,6,(tbl_Case_mins[Rank_AnaEnd])/((tbl_Case_mins[Surgery Start Date]=tbl_Case_mins[[#This Row],[Surgery Start Date]])*(tbl_Case_mins[Theatre]=tbl_Case_mins[[#This Row],[Theatre]])*(tbl_Case_mins[NoInCoreTime]=0)),1),-1)</f>
        <v>-1</v>
      </c>
      <c r="CG245" s="9" cm="1">
        <f t="array" ref="CG245">IFERROR(_xlfn.AGGREGATE(15,6,(tbl_Case_mins[Rank_AnaSt])/((tbl_Case_mins[Surgery Start Date]=tbl_Case_mins[[#This Row],[Surgery Start Date]])*(tbl_Case_mins[Theatre]=tbl_Case_mins[[#This Row],[Theatre]])*(tbl_Case_mins[NoInCoreTime]=0)),1),-1)</f>
        <v>-1</v>
      </c>
      <c r="CH24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5" t="e" cm="1">
        <f t="array" ref="CJ24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5" s="9" cm="1">
        <f t="array" ref="CO2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5" s="9" cm="1">
        <f t="array" ref="CP2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5" s="9" cm="1">
        <f t="array" ref="CQ245">IFERROR(IF(AND(tbl_Case_mins[[#This Row],[FirstAMCase]]=0,tbl_Case_mins[[#This Row],[Rank]]=_xlfn.AGGREGATE(14,6,(tbl_Case_mins[Rank])/((tbl_Case_mins[Surgery Start Date]=tbl_Case_mins[[#This Row],[Surgery Start Date]])*(tbl_Case_mins[Theatre]=tbl_Case_mins[[#This Row],[Theatre]])*(tbl_Case_mins[AmCase]=1)),1)),1,0),0)</f>
        <v>0</v>
      </c>
      <c r="CR245" s="9" cm="1">
        <f t="array" ref="CR24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5" s="9" t="e" cm="1">
        <f t="array" ref="CS24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5" s="9" cm="1">
        <f t="array" ref="CT245">IFERROR(IF(tbl_Case_mins[[#This Row],[Rank]]=_xlfn.AGGREGATE(15,6,(tbl_Case_mins[Rank])/((tbl_Case_mins[Surgery Start Date]=tbl_Case_mins[[#This Row],[Surgery Start Date]])*(tbl_Case_mins[Theatre]=tbl_Case_mins[[#This Row],[Theatre]])*(tbl_Case_mins[PmCase]=1)),1),1,0),0)</f>
        <v>0</v>
      </c>
      <c r="CU245">
        <f>IFERROR(#REF!,0)</f>
        <v>0</v>
      </c>
      <c r="CV245" s="9" t="e" cm="1">
        <f t="array" ref="CV24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5" s="9">
        <f>IFERROR(IF(ISBLANK(INDEX(Bay_AmClose,MATCH(1,INDEX((tbl_Case_mins[[#This Row],[Bay]]=BayNo)*(tbl_Case_mins[[#This Row],[Surgery Start Date]]=BDate),0,1),0))*1440),0,INDEX(Bay_AmClose,MATCH(1,INDEX((tbl_Case_mins[[#This Row],[Bay]]=BayNo)*(tbl_Case_mins[[#This Row],[Surgery Start Date]]=BDate),0,1),0))*1440),0)</f>
        <v>0</v>
      </c>
      <c r="CX245" s="9" cm="1">
        <f t="array" ref="CX245">IFERROR(IF(ISBLANK(INDEX(Bay_PmOpen,MATCH(1,INDEX((tbl_Case_mins[[#This Row],[Bay]]=BayNo)*(tbl_Case_mins[[#This Row],[Surgery Start Date]]=BDate),0,1),0))*1440),0,INDEX(Bay_PmOpen,MATCH(1,INDEX((tbl_Case_mins[[#This Row],[Bay]]=BayNo)*(tbl_Case_mins[[#This Row],[Surgery Start Date]]=BDate),0,1),0))*1440),0)</f>
        <v>0</v>
      </c>
      <c r="CY24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5" s="9"/>
    </row>
    <row r="246" spans="1:104" x14ac:dyDescent="0.2">
      <c r="A246">
        <v>245</v>
      </c>
      <c r="B246" t="e">
        <f>#REF!</f>
        <v>#REF!</v>
      </c>
      <c r="C246" t="e">
        <f>#REF!</f>
        <v>#REF!</v>
      </c>
      <c r="D246" t="e">
        <f>#REF!</f>
        <v>#REF!</v>
      </c>
      <c r="E246" t="e">
        <f>#REF!</f>
        <v>#REF!</v>
      </c>
      <c r="F246" t="e">
        <f>#REF!</f>
        <v>#REF!</v>
      </c>
      <c r="G246" t="e">
        <f>#REF!</f>
        <v>#REF!</v>
      </c>
      <c r="H246" t="e">
        <f>#REF!</f>
        <v>#REF!</v>
      </c>
      <c r="I246" t="e">
        <f>IF(#REF!="Case Cancelled",1,IF(#REF!="No Cases",2,0))</f>
        <v>#REF!</v>
      </c>
      <c r="J246" t="e">
        <f>#REF!</f>
        <v>#REF!</v>
      </c>
      <c r="K246" s="4" t="e">
        <f>#REF!</f>
        <v>#REF!</v>
      </c>
      <c r="L246" t="e">
        <f>"Wk "&amp;WEEKNUM(tbl_Case_mins[[#This Row],[Surgery Start Date]],21)</f>
        <v>#REF!</v>
      </c>
      <c r="M246" t="e">
        <f>TEXT(tbl_Case_mins[[#This Row],[Surgery Start Date]],"ddd")</f>
        <v>#REF!</v>
      </c>
      <c r="N246" s="9" t="e">
        <f>(#REF!-TIME(0,0,0))*1440</f>
        <v>#REF!</v>
      </c>
      <c r="O246" t="e">
        <f>IF(AND(ROUND((#REF!-TIME(0,0,0))*1440,0)&gt;0,ROUND((#REF!-TIME(0,0,0))*1440,0)&lt;tbl_Case_mins[[#This Row],[Patient Called]],tbl_Case_mins[[#This Row],[Surgery End Date]]&gt;tbl_Case_mins[[#This Row],[Surgery Start Date]]),ROUND((#REF!-TIME(0,0,0))*1440,0)+1440,ROUND((#REF!-TIME(0,0,0))*1440,0))</f>
        <v>#REF!</v>
      </c>
      <c r="P246" s="9" t="e">
        <f>IF(AND(ROUND((#REF!-TIME(0,0,0))*1440,0)&gt;0,ROUND((#REF!-TIME(0,0,0))*1440,0)&lt;tbl_Case_mins[[#This Row],[Arrival]],tbl_Case_mins[[#This Row],[Surgery End Date]]&gt;tbl_Case_mins[[#This Row],[Surgery Start Date]]),ROUND((#REF!-TIME(0,0,0))*1440,0)+1440,ROUND((#REF!-TIME(0,0,0))*1440,0))</f>
        <v>#REF!</v>
      </c>
      <c r="Q246" s="9" t="e">
        <f>IF(AND(ROUND((#REF!-TIME(0,0,0))*1440,0)&gt;0,ROUND((#REF!-TIME(0,0,0))*1440,0)&lt;tbl_Case_mins[[#This Row],[Into Th or AR]],tbl_Case_mins[[#This Row],[Surgery End Date]]&gt;tbl_Case_mins[[#This Row],[Surgery Start Date]]),ROUND((#REF!-TIME(0,0,0))*1440,0)+1440,ROUND((#REF!-TIME(0,0,0))*1440,0))</f>
        <v>#REF!</v>
      </c>
      <c r="R246" s="9" t="e">
        <f>IF(AND(ROUND((#REF!-TIME(0,0,0))*1440,0)&gt;0,ROUND((#REF!-TIME(0,0,0))*1440,0)&lt;tbl_Case_mins[[#This Row],[AnaesthStart]],tbl_Case_mins[[#This Row],[Surgery End Date]]&gt;tbl_Case_mins[[#This Row],[Surgery Start Date]]),ROUND((#REF!-TIME(0,0,0))*1440,0)+1440,ROUND((#REF!-TIME(0,0,0))*1440,0))</f>
        <v>#REF!</v>
      </c>
      <c r="S246" s="9" t="e">
        <f>IF(AND(ROUND((#REF!-TIME(0,0,0))*1440,0),ROUND((#REF!-TIME(0,0,0))*1440,0)&lt;tbl_Case_mins[[#This Row],[Surgery Start]],tbl_Case_mins[[#This Row],[Surgery End Date]]&gt;tbl_Case_mins[[#This Row],[Surgery Start Date]]),ROUND((#REF!-TIME(0,0,0))*1440,0)+1440,ROUND((#REF!-TIME(0,0,0))*1440,0))</f>
        <v>#REF!</v>
      </c>
      <c r="T246" s="9" t="e">
        <f>IF(AND(ROUND((#REF!-TIME(0,0,0))*1440,0)&gt;0,ROUND((#REF!-TIME(0,0,0))*1440,0)&lt;tbl_Case_mins[[#This Row],[Surgery Finish]],tbl_Case_mins[[#This Row],[Surgery End Date]]&gt;tbl_Case_mins[[#This Row],[Surgery Start Date]]),ROUND((#REF!-TIME(0,0,0))*1440,0)+1440,ROUND((#REF!-TIME(0,0,0))*1440,0))</f>
        <v>#REF!</v>
      </c>
      <c r="U246" s="9" t="e">
        <f>IF(AND(ROUND((#REF!-TIME(0,0,0))*1440,0)&gt;0,ROUND((#REF!-TIME(0,0,0))*1440,0)&lt;tbl_Case_mins[[#This Row],[Anaesth End]],tbl_Case_mins[[#This Row],[Surgery End Date]]&gt;tbl_Case_mins[[#This Row],[Surgery Start Date]]),ROUND((#REF!-TIME(0,0,0))*1440,0)+1440,ROUND((#REF!-TIME(0,0,0))*1440,0))</f>
        <v>#REF!</v>
      </c>
      <c r="V246" s="9" t="e">
        <f>IF(AND(ROUND((#REF!-TIME(0,0,0))*1440,0)&gt;0,ROUND((#REF!-TIME(0,0,0))*1440,0)&lt;tbl_Case_mins[[#This Row],[Into Recov]],tbl_Case_mins[[#This Row],[Surgery End Date]]&gt;tbl_Case_mins[[#This Row],[Surgery Start Date]]),ROUND((#REF!-TIME(0,0,0))*1440,0)+1440,ROUND((#REF!-TIME(0,0,0))*1440,0))</f>
        <v>#REF!</v>
      </c>
      <c r="W246" s="9" t="e">
        <f>IF(AND(ROUND((#REF!-TIME(0,0,0))*1440,0)&gt;0,ROUND((#REF!-TIME(0,0,0))*1440,0)&lt;tbl_Case_mins[[#This Row],[Ward Called]],tbl_Case_mins[[#This Row],[Surgery End Date]]&gt;tbl_Case_mins[[#This Row],[Surgery Start Date]]),ROUND((#REF!-TIME(0,0,0))*1440,0)+1440,ROUND((#REF!-TIME(0,0,0))*1440,0))</f>
        <v>#REF!</v>
      </c>
      <c r="X246" s="4" t="e">
        <f>IF(ISBLANK(#REF!),tbl_Case_mins[[#This Row],[Surgery Start Date]],#REF!)</f>
        <v>#REF!</v>
      </c>
      <c r="Y246">
        <f>IFERROR(IF(VLOOKUP(tbl_Case_mins[[#This Row],[Theatre]],'Mng Theatres'!$C$7:$G$12,3,FALSE)="Yes","Yes","No"),0)</f>
        <v>0</v>
      </c>
      <c r="Z246" s="9" t="e" cm="1">
        <f t="array" ref="Z24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6" s="9" t="e" cm="1">
        <f t="array" ref="AA24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6" s="9" t="e">
        <f>IF(tbl_Case_mins[[#This Row],[Case Type]]="Unsch",1,0)</f>
        <v>#REF!</v>
      </c>
      <c r="AD246" s="9" t="e">
        <f>IF(tbl_Case_mins[[#This Row],[Case Type]]="Sch",1,0)</f>
        <v>#REF!</v>
      </c>
      <c r="AE24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6" s="9">
        <f>IFERROR(IF(ISBLANK(INDEX(Am_Close,MATCH(1,INDEX((tbl_Case_mins[[#This Row],[Theatre]]=Theatre_No)*(tbl_Case_mins[[#This Row],[Surgery Start Date]]=Date),0,1),0))*1440),0,INDEX(Am_Close,MATCH(1,INDEX((tbl_Case_mins[[#This Row],[Theatre]]=Theatre_No)*(tbl_Case_mins[[#This Row],[Surgery Start Date]]=Date),0,1),0))*1440),0)</f>
        <v>0</v>
      </c>
      <c r="AG246" s="9">
        <f>IFERROR(IF(ISBLANK(INDEX(PM_Open,MATCH(1,INDEX((tbl_Case_mins[[#This Row],[Theatre]]=Theatre_No)*(tbl_Case_mins[[#This Row],[Surgery Start Date]]=Date),0,1),0))*1440),0,INDEX(PM_Open,MATCH(1,INDEX((tbl_Case_mins[[#This Row],[Theatre]]=Theatre_No)*(tbl_Case_mins[[#This Row],[Surgery Start Date]]=Date),0,1),0))*1440),0)</f>
        <v>0</v>
      </c>
      <c r="AH24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6" s="9" t="e">
        <f>IF(tbl_Case_mins[[#This Row],[ThOpenAm]]=0,tbl_Case_mins[[#This Row],[ThOpenPM]],tbl_Case_mins[[#This Row],[ThOpenAm]])</f>
        <v>#REF!</v>
      </c>
      <c r="AJ246" s="9" t="e">
        <f>IF(tbl_Case_mins[[#This Row],[ThCloseAm]]&gt;0,IF(tbl_Case_mins[[#This Row],[ThOpenPM]]&gt;0,tbl_Case_mins[[#This Row],[ThClosePm]],tbl_Case_mins[[#This Row],[ThCloseAm]]),tbl_Case_mins[[#This Row],[ThClosePm]])</f>
        <v>#REF!</v>
      </c>
      <c r="AK246" s="9" t="e">
        <f>IF(tbl_Case_mins[[#This Row],[TOT]]&gt;0,1,0)</f>
        <v>#REF!</v>
      </c>
      <c r="AL24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6" s="9" t="e">
        <f>IF(AND(tbl_Case_mins[[#This Row],[Surgery Status]]&lt;&gt;2,tbl_Case_mins[[#This Row],[InCoreCase]]=0,tbl_Case_mins[[#This Row],[CancelledCase]]=0),1,0)</f>
        <v>#REF!</v>
      </c>
      <c r="AN246" s="9" t="e">
        <f>IF(tbl_Case_mins[[#This Row],[Surgery Status]]=1,1,0)</f>
        <v>#REF!</v>
      </c>
      <c r="AO24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6" s="9" t="e">
        <f>IF(AND(tbl_Case_mins[[#This Row],[NonCoreCase]]=1,tbl_Case_mins[[#This Row],[NoInCoreTime]]=0),1,0)</f>
        <v>#REF!</v>
      </c>
      <c r="AQ246" s="9" t="e">
        <f>IF(tbl_Case_mins[[#This Row],[Rank_AnaEnd]]&lt;tbl_Case_mins[[#This Row],[Rank_AnaSt]],1,0)</f>
        <v>#REF!</v>
      </c>
      <c r="AR246" s="9" t="e">
        <f>IF(AND(tbl_Case_mins[[#This Row],[InCoreCase]]=1,tbl_Case_mins[[#This Row],[Sch]]=1),1,0)</f>
        <v>#REF!</v>
      </c>
      <c r="AS246" s="9" t="e">
        <f>IF(AND(tbl_Case_mins[[#This Row],[InCoreCase]]=1,tbl_Case_mins[[#This Row],[Unsch]]=1),1,0)</f>
        <v>#REF!</v>
      </c>
      <c r="AT24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6" s="9" t="e">
        <f>IF(tbl_Case_mins[[#This Row],[Surgery Status]]=0,(tbl_Case_mins[[#This Row],[Anaesth End]]-tbl_Case_mins[[#This Row],[AnaesthStart]]),0)</f>
        <v>#REF!</v>
      </c>
      <c r="AX246" s="9" t="e">
        <f>IF(tbl_Case_mins[[#This Row],[Surgery Status]]=0,(tbl_Case_mins[[#This Row],[Surgery Finish]]-tbl_Case_mins[[#This Row],[Surgery Start]]),0)</f>
        <v>#REF!</v>
      </c>
      <c r="AY246" s="9" t="e">
        <f>tbl_Case_mins[[#This Row],[Surgery Start]]-tbl_Case_mins[[#This Row],[AnaesthStart]]</f>
        <v>#REF!</v>
      </c>
      <c r="AZ246" s="9" t="e">
        <f>tbl_Case_mins[[#This Row],[Anaesth End]]-tbl_Case_mins[[#This Row],[Surgery Finish]]</f>
        <v>#REF!</v>
      </c>
      <c r="BA24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6" s="16" cm="1">
        <f t="array" ref="BC24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6" s="16" t="e">
        <f>IF(AND(tbl_Case_mins[[#This Row],[FirstAMCase]]=1,tbl_Case_mins[[#This Row],[CancelledCase]]=0,OR(tbl_Case_mins[[#This Row],[EarlyStartAM]]&gt;0,tbl_Case_mins[[#This Row],[AnaesthStart]]=tbl_Case_mins[[#This Row],[ThOpenAm]])),1,0)</f>
        <v>#REF!</v>
      </c>
      <c r="BE246" s="16" t="e">
        <f>IF(AND(tbl_Case_mins[[#This Row],[Rank_AnaSt]]=tbl_Case_mins[[#This Row],[Min_RankAnaSt]],tbl_Case_mins[[#This Row],[Anaesth End]]&gt;=tbl_Case_mins[[#This Row],[ThOpenAm]],tbl_Case_mins[[#This Row],[PmCase]]=0),1,0)</f>
        <v>#REF!</v>
      </c>
      <c r="BF24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6" s="9" t="e" cm="1">
        <f t="array" ref="BH24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6" s="9" t="e">
        <f>IF(AND(tbl_Case_mins[[#This Row],[ThOpenPM]]&gt;0,tbl_Case_mins[[#This Row],[AnaesthStart]]&gt;tbl_Case_mins[[#This Row],[ThOpenPM]],tbl_Case_mins[[#This Row],[First PM Case]]=1),tbl_Case_mins[[#This Row],[AnaesthStart]]-tbl_Case_mins[[#This Row],[ThOpenPM]],0)</f>
        <v>#REF!</v>
      </c>
      <c r="BL24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6" s="9" t="e" cm="1">
        <f t="array" ref="BN24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6" s="9" t="e">
        <f>IF(AND(tbl_Case_mins[[#This Row],[ThClosePm]]&gt;0,tbl_Case_mins[[#This Row],[Anaesth End]]&gt;tbl_Case_mins[[#This Row],[ThClosePm]],tbl_Case_mins[[#This Row],[AnaesthStart]]&gt;tbl_Case_mins[[#This Row],[ThClosePm]]),tbl_Case_mins[[#This Row],[Into Recov]]-tbl_Case_mins[[#This Row],[AnaesthStart]],0)</f>
        <v>#REF!</v>
      </c>
      <c r="BP246" s="9" t="e">
        <f>IF(AND(tbl_Case_mins[[#This Row],[AnaesthStart]]&lt;tbl_Case_mins[[#This Row],[ThClosePm]],tbl_Case_mins[[#This Row],[Anaesth End]]&gt;tbl_Case_mins[[#This Row],[ThClosePm]]),tbl_Case_mins[[#This Row],[Anaesth End]]-tbl_Case_mins[[#This Row],[ThClosePm]],0)</f>
        <v>#REF!</v>
      </c>
      <c r="BQ246" s="9" t="e" cm="1">
        <f t="array" ref="BQ24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6" s="9" t="e" cm="1">
        <f t="array" ref="BR246">IF(tbl_Case_mins[[#This Row],[Rank_Adjust]]=SUMPRODUCT(-(tbl_Case_mins[Surgery Start Date]=tbl_Case_mins[[#This Row],[Surgery Start Date]]),-(tbl_Case_mins[Theatre]=tbl_Case_mins[[#This Row],[Theatre]])),INDEX(Poss_Time,MATCH(TEXT(tbl_Case_mins[[#This Row],[Surgery Start Date]],"ddd"),Day,0)),0)</f>
        <v>#REF!</v>
      </c>
      <c r="BS246" s="9" t="e">
        <f>tbl_Case_mins[[#This Row],[Core_Time]]*Util_Goal</f>
        <v>#REF!</v>
      </c>
      <c r="BT246" s="9" t="e" cm="1">
        <f t="array" ref="BT2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6" s="9" t="e" cm="1">
        <f t="array" ref="BU2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6" s="9" t="e">
        <f>IF(tbl_Case_mins[[#This Row],[Surgery End Date]]&gt;tbl_Case_mins[[#This Row],[Surgery Start Date]],tbl_Case_mins[[#This Row],[Anaesth End]]-1440,0)</f>
        <v>#REF!</v>
      </c>
      <c r="BY246" s="9" t="e">
        <f>tbl_Case_mins[[#This Row],[Total_NonCore]]-tbl_Case_mins[[#This Row],[NextDay_NonCore]]</f>
        <v>#REF!</v>
      </c>
      <c r="BZ246" s="10" t="e">
        <f>tbl_Case_mins[[#This Row],[InCoreUse]]/60</f>
        <v>#REF!</v>
      </c>
      <c r="CA246" s="10" t="e">
        <f>tbl_Case_mins[[#This Row],[Total_NonCore]]/60</f>
        <v>#REF!</v>
      </c>
      <c r="CB246" t="e" cm="1">
        <f t="array" ref="CB2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6" s="9" t="e" cm="1">
        <f t="array" ref="CC24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6" s="9" t="e" cm="1">
        <f t="array" ref="CD2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6" s="9" t="e" cm="1">
        <f t="array" ref="CE24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6" s="9" cm="1">
        <f t="array" ref="CF246">IFERROR(_xlfn.AGGREGATE(14,6,(tbl_Case_mins[Rank_AnaEnd])/((tbl_Case_mins[Surgery Start Date]=tbl_Case_mins[[#This Row],[Surgery Start Date]])*(tbl_Case_mins[Theatre]=tbl_Case_mins[[#This Row],[Theatre]])*(tbl_Case_mins[NoInCoreTime]=0)),1),-1)</f>
        <v>-1</v>
      </c>
      <c r="CG246" s="9" cm="1">
        <f t="array" ref="CG246">IFERROR(_xlfn.AGGREGATE(15,6,(tbl_Case_mins[Rank_AnaSt])/((tbl_Case_mins[Surgery Start Date]=tbl_Case_mins[[#This Row],[Surgery Start Date]])*(tbl_Case_mins[Theatre]=tbl_Case_mins[[#This Row],[Theatre]])*(tbl_Case_mins[NoInCoreTime]=0)),1),-1)</f>
        <v>-1</v>
      </c>
      <c r="CH24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6" t="e" cm="1">
        <f t="array" ref="CJ24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6" s="9" cm="1">
        <f t="array" ref="CO2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6" s="9" cm="1">
        <f t="array" ref="CP2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6" s="9" cm="1">
        <f t="array" ref="CQ246">IFERROR(IF(AND(tbl_Case_mins[[#This Row],[FirstAMCase]]=0,tbl_Case_mins[[#This Row],[Rank]]=_xlfn.AGGREGATE(14,6,(tbl_Case_mins[Rank])/((tbl_Case_mins[Surgery Start Date]=tbl_Case_mins[[#This Row],[Surgery Start Date]])*(tbl_Case_mins[Theatre]=tbl_Case_mins[[#This Row],[Theatre]])*(tbl_Case_mins[AmCase]=1)),1)),1,0),0)</f>
        <v>0</v>
      </c>
      <c r="CR246" s="9" cm="1">
        <f t="array" ref="CR24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6" s="9" t="e" cm="1">
        <f t="array" ref="CS24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6" s="9" cm="1">
        <f t="array" ref="CT246">IFERROR(IF(tbl_Case_mins[[#This Row],[Rank]]=_xlfn.AGGREGATE(15,6,(tbl_Case_mins[Rank])/((tbl_Case_mins[Surgery Start Date]=tbl_Case_mins[[#This Row],[Surgery Start Date]])*(tbl_Case_mins[Theatre]=tbl_Case_mins[[#This Row],[Theatre]])*(tbl_Case_mins[PmCase]=1)),1),1,0),0)</f>
        <v>0</v>
      </c>
      <c r="CU246">
        <f>IFERROR(#REF!,0)</f>
        <v>0</v>
      </c>
      <c r="CV246" s="9" t="e" cm="1">
        <f t="array" ref="CV24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6" s="9">
        <f>IFERROR(IF(ISBLANK(INDEX(Bay_AmClose,MATCH(1,INDEX((tbl_Case_mins[[#This Row],[Bay]]=BayNo)*(tbl_Case_mins[[#This Row],[Surgery Start Date]]=BDate),0,1),0))*1440),0,INDEX(Bay_AmClose,MATCH(1,INDEX((tbl_Case_mins[[#This Row],[Bay]]=BayNo)*(tbl_Case_mins[[#This Row],[Surgery Start Date]]=BDate),0,1),0))*1440),0)</f>
        <v>0</v>
      </c>
      <c r="CX246" s="9" cm="1">
        <f t="array" ref="CX246">IFERROR(IF(ISBLANK(INDEX(Bay_PmOpen,MATCH(1,INDEX((tbl_Case_mins[[#This Row],[Bay]]=BayNo)*(tbl_Case_mins[[#This Row],[Surgery Start Date]]=BDate),0,1),0))*1440),0,INDEX(Bay_PmOpen,MATCH(1,INDEX((tbl_Case_mins[[#This Row],[Bay]]=BayNo)*(tbl_Case_mins[[#This Row],[Surgery Start Date]]=BDate),0,1),0))*1440),0)</f>
        <v>0</v>
      </c>
      <c r="CY24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6" s="9"/>
    </row>
    <row r="247" spans="1:104" x14ac:dyDescent="0.2">
      <c r="A247">
        <v>246</v>
      </c>
      <c r="B247" t="e">
        <f>#REF!</f>
        <v>#REF!</v>
      </c>
      <c r="C247" t="e">
        <f>#REF!</f>
        <v>#REF!</v>
      </c>
      <c r="D247" t="e">
        <f>#REF!</f>
        <v>#REF!</v>
      </c>
      <c r="E247" t="e">
        <f>#REF!</f>
        <v>#REF!</v>
      </c>
      <c r="F247" t="e">
        <f>#REF!</f>
        <v>#REF!</v>
      </c>
      <c r="G247" t="e">
        <f>#REF!</f>
        <v>#REF!</v>
      </c>
      <c r="H247" t="e">
        <f>#REF!</f>
        <v>#REF!</v>
      </c>
      <c r="I247" t="e">
        <f>IF(#REF!="Case Cancelled",1,IF(#REF!="No Cases",2,0))</f>
        <v>#REF!</v>
      </c>
      <c r="J247" t="e">
        <f>#REF!</f>
        <v>#REF!</v>
      </c>
      <c r="K247" s="4" t="e">
        <f>#REF!</f>
        <v>#REF!</v>
      </c>
      <c r="L247" t="e">
        <f>"Wk "&amp;WEEKNUM(tbl_Case_mins[[#This Row],[Surgery Start Date]],21)</f>
        <v>#REF!</v>
      </c>
      <c r="M247" t="e">
        <f>TEXT(tbl_Case_mins[[#This Row],[Surgery Start Date]],"ddd")</f>
        <v>#REF!</v>
      </c>
      <c r="N247" s="9" t="e">
        <f>(#REF!-TIME(0,0,0))*1440</f>
        <v>#REF!</v>
      </c>
      <c r="O247" t="e">
        <f>IF(AND(ROUND((#REF!-TIME(0,0,0))*1440,0)&gt;0,ROUND((#REF!-TIME(0,0,0))*1440,0)&lt;tbl_Case_mins[[#This Row],[Patient Called]],tbl_Case_mins[[#This Row],[Surgery End Date]]&gt;tbl_Case_mins[[#This Row],[Surgery Start Date]]),ROUND((#REF!-TIME(0,0,0))*1440,0)+1440,ROUND((#REF!-TIME(0,0,0))*1440,0))</f>
        <v>#REF!</v>
      </c>
      <c r="P247" s="9" t="e">
        <f>IF(AND(ROUND((#REF!-TIME(0,0,0))*1440,0)&gt;0,ROUND((#REF!-TIME(0,0,0))*1440,0)&lt;tbl_Case_mins[[#This Row],[Arrival]],tbl_Case_mins[[#This Row],[Surgery End Date]]&gt;tbl_Case_mins[[#This Row],[Surgery Start Date]]),ROUND((#REF!-TIME(0,0,0))*1440,0)+1440,ROUND((#REF!-TIME(0,0,0))*1440,0))</f>
        <v>#REF!</v>
      </c>
      <c r="Q247" s="9" t="e">
        <f>IF(AND(ROUND((#REF!-TIME(0,0,0))*1440,0)&gt;0,ROUND((#REF!-TIME(0,0,0))*1440,0)&lt;tbl_Case_mins[[#This Row],[Into Th or AR]],tbl_Case_mins[[#This Row],[Surgery End Date]]&gt;tbl_Case_mins[[#This Row],[Surgery Start Date]]),ROUND((#REF!-TIME(0,0,0))*1440,0)+1440,ROUND((#REF!-TIME(0,0,0))*1440,0))</f>
        <v>#REF!</v>
      </c>
      <c r="R247" s="9" t="e">
        <f>IF(AND(ROUND((#REF!-TIME(0,0,0))*1440,0)&gt;0,ROUND((#REF!-TIME(0,0,0))*1440,0)&lt;tbl_Case_mins[[#This Row],[AnaesthStart]],tbl_Case_mins[[#This Row],[Surgery End Date]]&gt;tbl_Case_mins[[#This Row],[Surgery Start Date]]),ROUND((#REF!-TIME(0,0,0))*1440,0)+1440,ROUND((#REF!-TIME(0,0,0))*1440,0))</f>
        <v>#REF!</v>
      </c>
      <c r="S247" s="9" t="e">
        <f>IF(AND(ROUND((#REF!-TIME(0,0,0))*1440,0),ROUND((#REF!-TIME(0,0,0))*1440,0)&lt;tbl_Case_mins[[#This Row],[Surgery Start]],tbl_Case_mins[[#This Row],[Surgery End Date]]&gt;tbl_Case_mins[[#This Row],[Surgery Start Date]]),ROUND((#REF!-TIME(0,0,0))*1440,0)+1440,ROUND((#REF!-TIME(0,0,0))*1440,0))</f>
        <v>#REF!</v>
      </c>
      <c r="T247" s="9" t="e">
        <f>IF(AND(ROUND((#REF!-TIME(0,0,0))*1440,0)&gt;0,ROUND((#REF!-TIME(0,0,0))*1440,0)&lt;tbl_Case_mins[[#This Row],[Surgery Finish]],tbl_Case_mins[[#This Row],[Surgery End Date]]&gt;tbl_Case_mins[[#This Row],[Surgery Start Date]]),ROUND((#REF!-TIME(0,0,0))*1440,0)+1440,ROUND((#REF!-TIME(0,0,0))*1440,0))</f>
        <v>#REF!</v>
      </c>
      <c r="U247" s="9" t="e">
        <f>IF(AND(ROUND((#REF!-TIME(0,0,0))*1440,0)&gt;0,ROUND((#REF!-TIME(0,0,0))*1440,0)&lt;tbl_Case_mins[[#This Row],[Anaesth End]],tbl_Case_mins[[#This Row],[Surgery End Date]]&gt;tbl_Case_mins[[#This Row],[Surgery Start Date]]),ROUND((#REF!-TIME(0,0,0))*1440,0)+1440,ROUND((#REF!-TIME(0,0,0))*1440,0))</f>
        <v>#REF!</v>
      </c>
      <c r="V247" s="9" t="e">
        <f>IF(AND(ROUND((#REF!-TIME(0,0,0))*1440,0)&gt;0,ROUND((#REF!-TIME(0,0,0))*1440,0)&lt;tbl_Case_mins[[#This Row],[Into Recov]],tbl_Case_mins[[#This Row],[Surgery End Date]]&gt;tbl_Case_mins[[#This Row],[Surgery Start Date]]),ROUND((#REF!-TIME(0,0,0))*1440,0)+1440,ROUND((#REF!-TIME(0,0,0))*1440,0))</f>
        <v>#REF!</v>
      </c>
      <c r="W247" s="9" t="e">
        <f>IF(AND(ROUND((#REF!-TIME(0,0,0))*1440,0)&gt;0,ROUND((#REF!-TIME(0,0,0))*1440,0)&lt;tbl_Case_mins[[#This Row],[Ward Called]],tbl_Case_mins[[#This Row],[Surgery End Date]]&gt;tbl_Case_mins[[#This Row],[Surgery Start Date]]),ROUND((#REF!-TIME(0,0,0))*1440,0)+1440,ROUND((#REF!-TIME(0,0,0))*1440,0))</f>
        <v>#REF!</v>
      </c>
      <c r="X247" s="4" t="e">
        <f>IF(ISBLANK(#REF!),tbl_Case_mins[[#This Row],[Surgery Start Date]],#REF!)</f>
        <v>#REF!</v>
      </c>
      <c r="Y247">
        <f>IFERROR(IF(VLOOKUP(tbl_Case_mins[[#This Row],[Theatre]],'Mng Theatres'!$C$7:$G$12,3,FALSE)="Yes","Yes","No"),0)</f>
        <v>0</v>
      </c>
      <c r="Z247" s="9" t="e" cm="1">
        <f t="array" ref="Z24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7" s="9" t="e" cm="1">
        <f t="array" ref="AA24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7" s="9" t="e">
        <f>IF(tbl_Case_mins[[#This Row],[Case Type]]="Unsch",1,0)</f>
        <v>#REF!</v>
      </c>
      <c r="AD247" s="9" t="e">
        <f>IF(tbl_Case_mins[[#This Row],[Case Type]]="Sch",1,0)</f>
        <v>#REF!</v>
      </c>
      <c r="AE24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7" s="9">
        <f>IFERROR(IF(ISBLANK(INDEX(Am_Close,MATCH(1,INDEX((tbl_Case_mins[[#This Row],[Theatre]]=Theatre_No)*(tbl_Case_mins[[#This Row],[Surgery Start Date]]=Date),0,1),0))*1440),0,INDEX(Am_Close,MATCH(1,INDEX((tbl_Case_mins[[#This Row],[Theatre]]=Theatre_No)*(tbl_Case_mins[[#This Row],[Surgery Start Date]]=Date),0,1),0))*1440),0)</f>
        <v>0</v>
      </c>
      <c r="AG247" s="9">
        <f>IFERROR(IF(ISBLANK(INDEX(PM_Open,MATCH(1,INDEX((tbl_Case_mins[[#This Row],[Theatre]]=Theatre_No)*(tbl_Case_mins[[#This Row],[Surgery Start Date]]=Date),0,1),0))*1440),0,INDEX(PM_Open,MATCH(1,INDEX((tbl_Case_mins[[#This Row],[Theatre]]=Theatre_No)*(tbl_Case_mins[[#This Row],[Surgery Start Date]]=Date),0,1),0))*1440),0)</f>
        <v>0</v>
      </c>
      <c r="AH24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7" s="9" t="e">
        <f>IF(tbl_Case_mins[[#This Row],[ThOpenAm]]=0,tbl_Case_mins[[#This Row],[ThOpenPM]],tbl_Case_mins[[#This Row],[ThOpenAm]])</f>
        <v>#REF!</v>
      </c>
      <c r="AJ247" s="9" t="e">
        <f>IF(tbl_Case_mins[[#This Row],[ThCloseAm]]&gt;0,IF(tbl_Case_mins[[#This Row],[ThOpenPM]]&gt;0,tbl_Case_mins[[#This Row],[ThClosePm]],tbl_Case_mins[[#This Row],[ThCloseAm]]),tbl_Case_mins[[#This Row],[ThClosePm]])</f>
        <v>#REF!</v>
      </c>
      <c r="AK247" s="9" t="e">
        <f>IF(tbl_Case_mins[[#This Row],[TOT]]&gt;0,1,0)</f>
        <v>#REF!</v>
      </c>
      <c r="AL24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7" s="9" t="e">
        <f>IF(AND(tbl_Case_mins[[#This Row],[Surgery Status]]&lt;&gt;2,tbl_Case_mins[[#This Row],[InCoreCase]]=0,tbl_Case_mins[[#This Row],[CancelledCase]]=0),1,0)</f>
        <v>#REF!</v>
      </c>
      <c r="AN247" s="9" t="e">
        <f>IF(tbl_Case_mins[[#This Row],[Surgery Status]]=1,1,0)</f>
        <v>#REF!</v>
      </c>
      <c r="AO24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7" s="9" t="e">
        <f>IF(AND(tbl_Case_mins[[#This Row],[NonCoreCase]]=1,tbl_Case_mins[[#This Row],[NoInCoreTime]]=0),1,0)</f>
        <v>#REF!</v>
      </c>
      <c r="AQ247" s="9" t="e">
        <f>IF(tbl_Case_mins[[#This Row],[Rank_AnaEnd]]&lt;tbl_Case_mins[[#This Row],[Rank_AnaSt]],1,0)</f>
        <v>#REF!</v>
      </c>
      <c r="AR247" s="9" t="e">
        <f>IF(AND(tbl_Case_mins[[#This Row],[InCoreCase]]=1,tbl_Case_mins[[#This Row],[Sch]]=1),1,0)</f>
        <v>#REF!</v>
      </c>
      <c r="AS247" s="9" t="e">
        <f>IF(AND(tbl_Case_mins[[#This Row],[InCoreCase]]=1,tbl_Case_mins[[#This Row],[Unsch]]=1),1,0)</f>
        <v>#REF!</v>
      </c>
      <c r="AT24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7" s="9" t="e">
        <f>IF(tbl_Case_mins[[#This Row],[Surgery Status]]=0,(tbl_Case_mins[[#This Row],[Anaesth End]]-tbl_Case_mins[[#This Row],[AnaesthStart]]),0)</f>
        <v>#REF!</v>
      </c>
      <c r="AX247" s="9" t="e">
        <f>IF(tbl_Case_mins[[#This Row],[Surgery Status]]=0,(tbl_Case_mins[[#This Row],[Surgery Finish]]-tbl_Case_mins[[#This Row],[Surgery Start]]),0)</f>
        <v>#REF!</v>
      </c>
      <c r="AY247" s="9" t="e">
        <f>tbl_Case_mins[[#This Row],[Surgery Start]]-tbl_Case_mins[[#This Row],[AnaesthStart]]</f>
        <v>#REF!</v>
      </c>
      <c r="AZ247" s="9" t="e">
        <f>tbl_Case_mins[[#This Row],[Anaesth End]]-tbl_Case_mins[[#This Row],[Surgery Finish]]</f>
        <v>#REF!</v>
      </c>
      <c r="BA24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7" s="16" cm="1">
        <f t="array" ref="BC24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7" s="16" t="e">
        <f>IF(AND(tbl_Case_mins[[#This Row],[FirstAMCase]]=1,tbl_Case_mins[[#This Row],[CancelledCase]]=0,OR(tbl_Case_mins[[#This Row],[EarlyStartAM]]&gt;0,tbl_Case_mins[[#This Row],[AnaesthStart]]=tbl_Case_mins[[#This Row],[ThOpenAm]])),1,0)</f>
        <v>#REF!</v>
      </c>
      <c r="BE247" s="16" t="e">
        <f>IF(AND(tbl_Case_mins[[#This Row],[Rank_AnaSt]]=tbl_Case_mins[[#This Row],[Min_RankAnaSt]],tbl_Case_mins[[#This Row],[Anaesth End]]&gt;=tbl_Case_mins[[#This Row],[ThOpenAm]],tbl_Case_mins[[#This Row],[PmCase]]=0),1,0)</f>
        <v>#REF!</v>
      </c>
      <c r="BF24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7" s="9" t="e" cm="1">
        <f t="array" ref="BH24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7" s="9" t="e">
        <f>IF(AND(tbl_Case_mins[[#This Row],[ThOpenPM]]&gt;0,tbl_Case_mins[[#This Row],[AnaesthStart]]&gt;tbl_Case_mins[[#This Row],[ThOpenPM]],tbl_Case_mins[[#This Row],[First PM Case]]=1),tbl_Case_mins[[#This Row],[AnaesthStart]]-tbl_Case_mins[[#This Row],[ThOpenPM]],0)</f>
        <v>#REF!</v>
      </c>
      <c r="BL24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7" s="9" t="e" cm="1">
        <f t="array" ref="BN24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7" s="9" t="e">
        <f>IF(AND(tbl_Case_mins[[#This Row],[ThClosePm]]&gt;0,tbl_Case_mins[[#This Row],[Anaesth End]]&gt;tbl_Case_mins[[#This Row],[ThClosePm]],tbl_Case_mins[[#This Row],[AnaesthStart]]&gt;tbl_Case_mins[[#This Row],[ThClosePm]]),tbl_Case_mins[[#This Row],[Into Recov]]-tbl_Case_mins[[#This Row],[AnaesthStart]],0)</f>
        <v>#REF!</v>
      </c>
      <c r="BP247" s="9" t="e">
        <f>IF(AND(tbl_Case_mins[[#This Row],[AnaesthStart]]&lt;tbl_Case_mins[[#This Row],[ThClosePm]],tbl_Case_mins[[#This Row],[Anaesth End]]&gt;tbl_Case_mins[[#This Row],[ThClosePm]]),tbl_Case_mins[[#This Row],[Anaesth End]]-tbl_Case_mins[[#This Row],[ThClosePm]],0)</f>
        <v>#REF!</v>
      </c>
      <c r="BQ247" s="9" t="e" cm="1">
        <f t="array" ref="BQ24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7" s="9" t="e" cm="1">
        <f t="array" ref="BR247">IF(tbl_Case_mins[[#This Row],[Rank_Adjust]]=SUMPRODUCT(-(tbl_Case_mins[Surgery Start Date]=tbl_Case_mins[[#This Row],[Surgery Start Date]]),-(tbl_Case_mins[Theatre]=tbl_Case_mins[[#This Row],[Theatre]])),INDEX(Poss_Time,MATCH(TEXT(tbl_Case_mins[[#This Row],[Surgery Start Date]],"ddd"),Day,0)),0)</f>
        <v>#REF!</v>
      </c>
      <c r="BS247" s="9" t="e">
        <f>tbl_Case_mins[[#This Row],[Core_Time]]*Util_Goal</f>
        <v>#REF!</v>
      </c>
      <c r="BT247" s="9" t="e" cm="1">
        <f t="array" ref="BT2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7" s="9" t="e" cm="1">
        <f t="array" ref="BU2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7" s="9" t="e">
        <f>IF(tbl_Case_mins[[#This Row],[Surgery End Date]]&gt;tbl_Case_mins[[#This Row],[Surgery Start Date]],tbl_Case_mins[[#This Row],[Anaesth End]]-1440,0)</f>
        <v>#REF!</v>
      </c>
      <c r="BY247" s="9" t="e">
        <f>tbl_Case_mins[[#This Row],[Total_NonCore]]-tbl_Case_mins[[#This Row],[NextDay_NonCore]]</f>
        <v>#REF!</v>
      </c>
      <c r="BZ247" s="10" t="e">
        <f>tbl_Case_mins[[#This Row],[InCoreUse]]/60</f>
        <v>#REF!</v>
      </c>
      <c r="CA247" s="10" t="e">
        <f>tbl_Case_mins[[#This Row],[Total_NonCore]]/60</f>
        <v>#REF!</v>
      </c>
      <c r="CB247" t="e" cm="1">
        <f t="array" ref="CB2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7" s="9" t="e" cm="1">
        <f t="array" ref="CC24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7" s="9" t="e" cm="1">
        <f t="array" ref="CD2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7" s="9" t="e" cm="1">
        <f t="array" ref="CE24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7" s="9" cm="1">
        <f t="array" ref="CF247">IFERROR(_xlfn.AGGREGATE(14,6,(tbl_Case_mins[Rank_AnaEnd])/((tbl_Case_mins[Surgery Start Date]=tbl_Case_mins[[#This Row],[Surgery Start Date]])*(tbl_Case_mins[Theatre]=tbl_Case_mins[[#This Row],[Theatre]])*(tbl_Case_mins[NoInCoreTime]=0)),1),-1)</f>
        <v>-1</v>
      </c>
      <c r="CG247" s="9" cm="1">
        <f t="array" ref="CG247">IFERROR(_xlfn.AGGREGATE(15,6,(tbl_Case_mins[Rank_AnaSt])/((tbl_Case_mins[Surgery Start Date]=tbl_Case_mins[[#This Row],[Surgery Start Date]])*(tbl_Case_mins[Theatre]=tbl_Case_mins[[#This Row],[Theatre]])*(tbl_Case_mins[NoInCoreTime]=0)),1),-1)</f>
        <v>-1</v>
      </c>
      <c r="CH24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7" t="e" cm="1">
        <f t="array" ref="CJ24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7" s="9" cm="1">
        <f t="array" ref="CO2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7" s="9" cm="1">
        <f t="array" ref="CP2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7" s="9" cm="1">
        <f t="array" ref="CQ247">IFERROR(IF(AND(tbl_Case_mins[[#This Row],[FirstAMCase]]=0,tbl_Case_mins[[#This Row],[Rank]]=_xlfn.AGGREGATE(14,6,(tbl_Case_mins[Rank])/((tbl_Case_mins[Surgery Start Date]=tbl_Case_mins[[#This Row],[Surgery Start Date]])*(tbl_Case_mins[Theatre]=tbl_Case_mins[[#This Row],[Theatre]])*(tbl_Case_mins[AmCase]=1)),1)),1,0),0)</f>
        <v>0</v>
      </c>
      <c r="CR247" s="9" cm="1">
        <f t="array" ref="CR24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7" s="9" t="e" cm="1">
        <f t="array" ref="CS24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7" s="9" cm="1">
        <f t="array" ref="CT247">IFERROR(IF(tbl_Case_mins[[#This Row],[Rank]]=_xlfn.AGGREGATE(15,6,(tbl_Case_mins[Rank])/((tbl_Case_mins[Surgery Start Date]=tbl_Case_mins[[#This Row],[Surgery Start Date]])*(tbl_Case_mins[Theatre]=tbl_Case_mins[[#This Row],[Theatre]])*(tbl_Case_mins[PmCase]=1)),1),1,0),0)</f>
        <v>0</v>
      </c>
      <c r="CU247">
        <f>IFERROR(#REF!,0)</f>
        <v>0</v>
      </c>
      <c r="CV247" s="9" t="e" cm="1">
        <f t="array" ref="CV24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7" s="9">
        <f>IFERROR(IF(ISBLANK(INDEX(Bay_AmClose,MATCH(1,INDEX((tbl_Case_mins[[#This Row],[Bay]]=BayNo)*(tbl_Case_mins[[#This Row],[Surgery Start Date]]=BDate),0,1),0))*1440),0,INDEX(Bay_AmClose,MATCH(1,INDEX((tbl_Case_mins[[#This Row],[Bay]]=BayNo)*(tbl_Case_mins[[#This Row],[Surgery Start Date]]=BDate),0,1),0))*1440),0)</f>
        <v>0</v>
      </c>
      <c r="CX247" s="9" cm="1">
        <f t="array" ref="CX247">IFERROR(IF(ISBLANK(INDEX(Bay_PmOpen,MATCH(1,INDEX((tbl_Case_mins[[#This Row],[Bay]]=BayNo)*(tbl_Case_mins[[#This Row],[Surgery Start Date]]=BDate),0,1),0))*1440),0,INDEX(Bay_PmOpen,MATCH(1,INDEX((tbl_Case_mins[[#This Row],[Bay]]=BayNo)*(tbl_Case_mins[[#This Row],[Surgery Start Date]]=BDate),0,1),0))*1440),0)</f>
        <v>0</v>
      </c>
      <c r="CY24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7" s="9"/>
    </row>
    <row r="248" spans="1:104" x14ac:dyDescent="0.2">
      <c r="A248">
        <v>247</v>
      </c>
      <c r="B248" t="e">
        <f>#REF!</f>
        <v>#REF!</v>
      </c>
      <c r="C248" t="e">
        <f>#REF!</f>
        <v>#REF!</v>
      </c>
      <c r="D248" t="e">
        <f>#REF!</f>
        <v>#REF!</v>
      </c>
      <c r="E248" t="e">
        <f>#REF!</f>
        <v>#REF!</v>
      </c>
      <c r="F248" t="e">
        <f>#REF!</f>
        <v>#REF!</v>
      </c>
      <c r="G248" t="e">
        <f>#REF!</f>
        <v>#REF!</v>
      </c>
      <c r="H248" t="e">
        <f>#REF!</f>
        <v>#REF!</v>
      </c>
      <c r="I248" t="e">
        <f>IF(#REF!="Case Cancelled",1,IF(#REF!="No Cases",2,0))</f>
        <v>#REF!</v>
      </c>
      <c r="J248" t="e">
        <f>#REF!</f>
        <v>#REF!</v>
      </c>
      <c r="K248" s="4" t="e">
        <f>#REF!</f>
        <v>#REF!</v>
      </c>
      <c r="L248" t="e">
        <f>"Wk "&amp;WEEKNUM(tbl_Case_mins[[#This Row],[Surgery Start Date]],21)</f>
        <v>#REF!</v>
      </c>
      <c r="M248" t="e">
        <f>TEXT(tbl_Case_mins[[#This Row],[Surgery Start Date]],"ddd")</f>
        <v>#REF!</v>
      </c>
      <c r="N248" s="9" t="e">
        <f>(#REF!-TIME(0,0,0))*1440</f>
        <v>#REF!</v>
      </c>
      <c r="O248" t="e">
        <f>IF(AND(ROUND((#REF!-TIME(0,0,0))*1440,0)&gt;0,ROUND((#REF!-TIME(0,0,0))*1440,0)&lt;tbl_Case_mins[[#This Row],[Patient Called]],tbl_Case_mins[[#This Row],[Surgery End Date]]&gt;tbl_Case_mins[[#This Row],[Surgery Start Date]]),ROUND((#REF!-TIME(0,0,0))*1440,0)+1440,ROUND((#REF!-TIME(0,0,0))*1440,0))</f>
        <v>#REF!</v>
      </c>
      <c r="P248" s="9" t="e">
        <f>IF(AND(ROUND((#REF!-TIME(0,0,0))*1440,0)&gt;0,ROUND((#REF!-TIME(0,0,0))*1440,0)&lt;tbl_Case_mins[[#This Row],[Arrival]],tbl_Case_mins[[#This Row],[Surgery End Date]]&gt;tbl_Case_mins[[#This Row],[Surgery Start Date]]),ROUND((#REF!-TIME(0,0,0))*1440,0)+1440,ROUND((#REF!-TIME(0,0,0))*1440,0))</f>
        <v>#REF!</v>
      </c>
      <c r="Q248" s="9" t="e">
        <f>IF(AND(ROUND((#REF!-TIME(0,0,0))*1440,0)&gt;0,ROUND((#REF!-TIME(0,0,0))*1440,0)&lt;tbl_Case_mins[[#This Row],[Into Th or AR]],tbl_Case_mins[[#This Row],[Surgery End Date]]&gt;tbl_Case_mins[[#This Row],[Surgery Start Date]]),ROUND((#REF!-TIME(0,0,0))*1440,0)+1440,ROUND((#REF!-TIME(0,0,0))*1440,0))</f>
        <v>#REF!</v>
      </c>
      <c r="R248" s="9" t="e">
        <f>IF(AND(ROUND((#REF!-TIME(0,0,0))*1440,0)&gt;0,ROUND((#REF!-TIME(0,0,0))*1440,0)&lt;tbl_Case_mins[[#This Row],[AnaesthStart]],tbl_Case_mins[[#This Row],[Surgery End Date]]&gt;tbl_Case_mins[[#This Row],[Surgery Start Date]]),ROUND((#REF!-TIME(0,0,0))*1440,0)+1440,ROUND((#REF!-TIME(0,0,0))*1440,0))</f>
        <v>#REF!</v>
      </c>
      <c r="S248" s="9" t="e">
        <f>IF(AND(ROUND((#REF!-TIME(0,0,0))*1440,0),ROUND((#REF!-TIME(0,0,0))*1440,0)&lt;tbl_Case_mins[[#This Row],[Surgery Start]],tbl_Case_mins[[#This Row],[Surgery End Date]]&gt;tbl_Case_mins[[#This Row],[Surgery Start Date]]),ROUND((#REF!-TIME(0,0,0))*1440,0)+1440,ROUND((#REF!-TIME(0,0,0))*1440,0))</f>
        <v>#REF!</v>
      </c>
      <c r="T248" s="9" t="e">
        <f>IF(AND(ROUND((#REF!-TIME(0,0,0))*1440,0)&gt;0,ROUND((#REF!-TIME(0,0,0))*1440,0)&lt;tbl_Case_mins[[#This Row],[Surgery Finish]],tbl_Case_mins[[#This Row],[Surgery End Date]]&gt;tbl_Case_mins[[#This Row],[Surgery Start Date]]),ROUND((#REF!-TIME(0,0,0))*1440,0)+1440,ROUND((#REF!-TIME(0,0,0))*1440,0))</f>
        <v>#REF!</v>
      </c>
      <c r="U248" s="9" t="e">
        <f>IF(AND(ROUND((#REF!-TIME(0,0,0))*1440,0)&gt;0,ROUND((#REF!-TIME(0,0,0))*1440,0)&lt;tbl_Case_mins[[#This Row],[Anaesth End]],tbl_Case_mins[[#This Row],[Surgery End Date]]&gt;tbl_Case_mins[[#This Row],[Surgery Start Date]]),ROUND((#REF!-TIME(0,0,0))*1440,0)+1440,ROUND((#REF!-TIME(0,0,0))*1440,0))</f>
        <v>#REF!</v>
      </c>
      <c r="V248" s="9" t="e">
        <f>IF(AND(ROUND((#REF!-TIME(0,0,0))*1440,0)&gt;0,ROUND((#REF!-TIME(0,0,0))*1440,0)&lt;tbl_Case_mins[[#This Row],[Into Recov]],tbl_Case_mins[[#This Row],[Surgery End Date]]&gt;tbl_Case_mins[[#This Row],[Surgery Start Date]]),ROUND((#REF!-TIME(0,0,0))*1440,0)+1440,ROUND((#REF!-TIME(0,0,0))*1440,0))</f>
        <v>#REF!</v>
      </c>
      <c r="W248" s="9" t="e">
        <f>IF(AND(ROUND((#REF!-TIME(0,0,0))*1440,0)&gt;0,ROUND((#REF!-TIME(0,0,0))*1440,0)&lt;tbl_Case_mins[[#This Row],[Ward Called]],tbl_Case_mins[[#This Row],[Surgery End Date]]&gt;tbl_Case_mins[[#This Row],[Surgery Start Date]]),ROUND((#REF!-TIME(0,0,0))*1440,0)+1440,ROUND((#REF!-TIME(0,0,0))*1440,0))</f>
        <v>#REF!</v>
      </c>
      <c r="X248" s="4" t="e">
        <f>IF(ISBLANK(#REF!),tbl_Case_mins[[#This Row],[Surgery Start Date]],#REF!)</f>
        <v>#REF!</v>
      </c>
      <c r="Y248">
        <f>IFERROR(IF(VLOOKUP(tbl_Case_mins[[#This Row],[Theatre]],'Mng Theatres'!$C$7:$G$12,3,FALSE)="Yes","Yes","No"),0)</f>
        <v>0</v>
      </c>
      <c r="Z248" s="9" t="e" cm="1">
        <f t="array" ref="Z24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8" s="9" t="e" cm="1">
        <f t="array" ref="AA24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8" s="9" t="e">
        <f>IF(tbl_Case_mins[[#This Row],[Case Type]]="Unsch",1,0)</f>
        <v>#REF!</v>
      </c>
      <c r="AD248" s="9" t="e">
        <f>IF(tbl_Case_mins[[#This Row],[Case Type]]="Sch",1,0)</f>
        <v>#REF!</v>
      </c>
      <c r="AE24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8" s="9">
        <f>IFERROR(IF(ISBLANK(INDEX(Am_Close,MATCH(1,INDEX((tbl_Case_mins[[#This Row],[Theatre]]=Theatre_No)*(tbl_Case_mins[[#This Row],[Surgery Start Date]]=Date),0,1),0))*1440),0,INDEX(Am_Close,MATCH(1,INDEX((tbl_Case_mins[[#This Row],[Theatre]]=Theatre_No)*(tbl_Case_mins[[#This Row],[Surgery Start Date]]=Date),0,1),0))*1440),0)</f>
        <v>0</v>
      </c>
      <c r="AG248" s="9">
        <f>IFERROR(IF(ISBLANK(INDEX(PM_Open,MATCH(1,INDEX((tbl_Case_mins[[#This Row],[Theatre]]=Theatre_No)*(tbl_Case_mins[[#This Row],[Surgery Start Date]]=Date),0,1),0))*1440),0,INDEX(PM_Open,MATCH(1,INDEX((tbl_Case_mins[[#This Row],[Theatre]]=Theatre_No)*(tbl_Case_mins[[#This Row],[Surgery Start Date]]=Date),0,1),0))*1440),0)</f>
        <v>0</v>
      </c>
      <c r="AH24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8" s="9" t="e">
        <f>IF(tbl_Case_mins[[#This Row],[ThOpenAm]]=0,tbl_Case_mins[[#This Row],[ThOpenPM]],tbl_Case_mins[[#This Row],[ThOpenAm]])</f>
        <v>#REF!</v>
      </c>
      <c r="AJ248" s="9" t="e">
        <f>IF(tbl_Case_mins[[#This Row],[ThCloseAm]]&gt;0,IF(tbl_Case_mins[[#This Row],[ThOpenPM]]&gt;0,tbl_Case_mins[[#This Row],[ThClosePm]],tbl_Case_mins[[#This Row],[ThCloseAm]]),tbl_Case_mins[[#This Row],[ThClosePm]])</f>
        <v>#REF!</v>
      </c>
      <c r="AK248" s="9" t="e">
        <f>IF(tbl_Case_mins[[#This Row],[TOT]]&gt;0,1,0)</f>
        <v>#REF!</v>
      </c>
      <c r="AL24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8" s="9" t="e">
        <f>IF(AND(tbl_Case_mins[[#This Row],[Surgery Status]]&lt;&gt;2,tbl_Case_mins[[#This Row],[InCoreCase]]=0,tbl_Case_mins[[#This Row],[CancelledCase]]=0),1,0)</f>
        <v>#REF!</v>
      </c>
      <c r="AN248" s="9" t="e">
        <f>IF(tbl_Case_mins[[#This Row],[Surgery Status]]=1,1,0)</f>
        <v>#REF!</v>
      </c>
      <c r="AO24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8" s="9" t="e">
        <f>IF(AND(tbl_Case_mins[[#This Row],[NonCoreCase]]=1,tbl_Case_mins[[#This Row],[NoInCoreTime]]=0),1,0)</f>
        <v>#REF!</v>
      </c>
      <c r="AQ248" s="9" t="e">
        <f>IF(tbl_Case_mins[[#This Row],[Rank_AnaEnd]]&lt;tbl_Case_mins[[#This Row],[Rank_AnaSt]],1,0)</f>
        <v>#REF!</v>
      </c>
      <c r="AR248" s="9" t="e">
        <f>IF(AND(tbl_Case_mins[[#This Row],[InCoreCase]]=1,tbl_Case_mins[[#This Row],[Sch]]=1),1,0)</f>
        <v>#REF!</v>
      </c>
      <c r="AS248" s="9" t="e">
        <f>IF(AND(tbl_Case_mins[[#This Row],[InCoreCase]]=1,tbl_Case_mins[[#This Row],[Unsch]]=1),1,0)</f>
        <v>#REF!</v>
      </c>
      <c r="AT24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8" s="9" t="e">
        <f>IF(tbl_Case_mins[[#This Row],[Surgery Status]]=0,(tbl_Case_mins[[#This Row],[Anaesth End]]-tbl_Case_mins[[#This Row],[AnaesthStart]]),0)</f>
        <v>#REF!</v>
      </c>
      <c r="AX248" s="9" t="e">
        <f>IF(tbl_Case_mins[[#This Row],[Surgery Status]]=0,(tbl_Case_mins[[#This Row],[Surgery Finish]]-tbl_Case_mins[[#This Row],[Surgery Start]]),0)</f>
        <v>#REF!</v>
      </c>
      <c r="AY248" s="9" t="e">
        <f>tbl_Case_mins[[#This Row],[Surgery Start]]-tbl_Case_mins[[#This Row],[AnaesthStart]]</f>
        <v>#REF!</v>
      </c>
      <c r="AZ248" s="9" t="e">
        <f>tbl_Case_mins[[#This Row],[Anaesth End]]-tbl_Case_mins[[#This Row],[Surgery Finish]]</f>
        <v>#REF!</v>
      </c>
      <c r="BA24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8" s="16" cm="1">
        <f t="array" ref="BC24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8" s="16" t="e">
        <f>IF(AND(tbl_Case_mins[[#This Row],[FirstAMCase]]=1,tbl_Case_mins[[#This Row],[CancelledCase]]=0,OR(tbl_Case_mins[[#This Row],[EarlyStartAM]]&gt;0,tbl_Case_mins[[#This Row],[AnaesthStart]]=tbl_Case_mins[[#This Row],[ThOpenAm]])),1,0)</f>
        <v>#REF!</v>
      </c>
      <c r="BE248" s="16" t="e">
        <f>IF(AND(tbl_Case_mins[[#This Row],[Rank_AnaSt]]=tbl_Case_mins[[#This Row],[Min_RankAnaSt]],tbl_Case_mins[[#This Row],[Anaesth End]]&gt;=tbl_Case_mins[[#This Row],[ThOpenAm]],tbl_Case_mins[[#This Row],[PmCase]]=0),1,0)</f>
        <v>#REF!</v>
      </c>
      <c r="BF24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8" s="9" t="e" cm="1">
        <f t="array" ref="BH24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8" s="9" t="e">
        <f>IF(AND(tbl_Case_mins[[#This Row],[ThOpenPM]]&gt;0,tbl_Case_mins[[#This Row],[AnaesthStart]]&gt;tbl_Case_mins[[#This Row],[ThOpenPM]],tbl_Case_mins[[#This Row],[First PM Case]]=1),tbl_Case_mins[[#This Row],[AnaesthStart]]-tbl_Case_mins[[#This Row],[ThOpenPM]],0)</f>
        <v>#REF!</v>
      </c>
      <c r="BL24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8" s="9" t="e" cm="1">
        <f t="array" ref="BN24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8" s="9" t="e">
        <f>IF(AND(tbl_Case_mins[[#This Row],[ThClosePm]]&gt;0,tbl_Case_mins[[#This Row],[Anaesth End]]&gt;tbl_Case_mins[[#This Row],[ThClosePm]],tbl_Case_mins[[#This Row],[AnaesthStart]]&gt;tbl_Case_mins[[#This Row],[ThClosePm]]),tbl_Case_mins[[#This Row],[Into Recov]]-tbl_Case_mins[[#This Row],[AnaesthStart]],0)</f>
        <v>#REF!</v>
      </c>
      <c r="BP248" s="9" t="e">
        <f>IF(AND(tbl_Case_mins[[#This Row],[AnaesthStart]]&lt;tbl_Case_mins[[#This Row],[ThClosePm]],tbl_Case_mins[[#This Row],[Anaesth End]]&gt;tbl_Case_mins[[#This Row],[ThClosePm]]),tbl_Case_mins[[#This Row],[Anaesth End]]-tbl_Case_mins[[#This Row],[ThClosePm]],0)</f>
        <v>#REF!</v>
      </c>
      <c r="BQ248" s="9" t="e" cm="1">
        <f t="array" ref="BQ24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8" s="9" t="e" cm="1">
        <f t="array" ref="BR248">IF(tbl_Case_mins[[#This Row],[Rank_Adjust]]=SUMPRODUCT(-(tbl_Case_mins[Surgery Start Date]=tbl_Case_mins[[#This Row],[Surgery Start Date]]),-(tbl_Case_mins[Theatre]=tbl_Case_mins[[#This Row],[Theatre]])),INDEX(Poss_Time,MATCH(TEXT(tbl_Case_mins[[#This Row],[Surgery Start Date]],"ddd"),Day,0)),0)</f>
        <v>#REF!</v>
      </c>
      <c r="BS248" s="9" t="e">
        <f>tbl_Case_mins[[#This Row],[Core_Time]]*Util_Goal</f>
        <v>#REF!</v>
      </c>
      <c r="BT248" s="9" t="e" cm="1">
        <f t="array" ref="BT2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8" s="9" t="e" cm="1">
        <f t="array" ref="BU2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8" s="9" t="e">
        <f>IF(tbl_Case_mins[[#This Row],[Surgery End Date]]&gt;tbl_Case_mins[[#This Row],[Surgery Start Date]],tbl_Case_mins[[#This Row],[Anaesth End]]-1440,0)</f>
        <v>#REF!</v>
      </c>
      <c r="BY248" s="9" t="e">
        <f>tbl_Case_mins[[#This Row],[Total_NonCore]]-tbl_Case_mins[[#This Row],[NextDay_NonCore]]</f>
        <v>#REF!</v>
      </c>
      <c r="BZ248" s="10" t="e">
        <f>tbl_Case_mins[[#This Row],[InCoreUse]]/60</f>
        <v>#REF!</v>
      </c>
      <c r="CA248" s="10" t="e">
        <f>tbl_Case_mins[[#This Row],[Total_NonCore]]/60</f>
        <v>#REF!</v>
      </c>
      <c r="CB248" t="e" cm="1">
        <f t="array" ref="CB2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8" s="9" t="e" cm="1">
        <f t="array" ref="CC24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8" s="9" t="e" cm="1">
        <f t="array" ref="CD2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8" s="9" t="e" cm="1">
        <f t="array" ref="CE24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8" s="9" cm="1">
        <f t="array" ref="CF248">IFERROR(_xlfn.AGGREGATE(14,6,(tbl_Case_mins[Rank_AnaEnd])/((tbl_Case_mins[Surgery Start Date]=tbl_Case_mins[[#This Row],[Surgery Start Date]])*(tbl_Case_mins[Theatre]=tbl_Case_mins[[#This Row],[Theatre]])*(tbl_Case_mins[NoInCoreTime]=0)),1),-1)</f>
        <v>-1</v>
      </c>
      <c r="CG248" s="9" cm="1">
        <f t="array" ref="CG248">IFERROR(_xlfn.AGGREGATE(15,6,(tbl_Case_mins[Rank_AnaSt])/((tbl_Case_mins[Surgery Start Date]=tbl_Case_mins[[#This Row],[Surgery Start Date]])*(tbl_Case_mins[Theatre]=tbl_Case_mins[[#This Row],[Theatre]])*(tbl_Case_mins[NoInCoreTime]=0)),1),-1)</f>
        <v>-1</v>
      </c>
      <c r="CH24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8" t="e" cm="1">
        <f t="array" ref="CJ24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8" s="9" cm="1">
        <f t="array" ref="CO2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8" s="9" cm="1">
        <f t="array" ref="CP2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8" s="9" cm="1">
        <f t="array" ref="CQ248">IFERROR(IF(AND(tbl_Case_mins[[#This Row],[FirstAMCase]]=0,tbl_Case_mins[[#This Row],[Rank]]=_xlfn.AGGREGATE(14,6,(tbl_Case_mins[Rank])/((tbl_Case_mins[Surgery Start Date]=tbl_Case_mins[[#This Row],[Surgery Start Date]])*(tbl_Case_mins[Theatre]=tbl_Case_mins[[#This Row],[Theatre]])*(tbl_Case_mins[AmCase]=1)),1)),1,0),0)</f>
        <v>0</v>
      </c>
      <c r="CR248" s="9" cm="1">
        <f t="array" ref="CR24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8" s="9" t="e" cm="1">
        <f t="array" ref="CS24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8" s="9" cm="1">
        <f t="array" ref="CT248">IFERROR(IF(tbl_Case_mins[[#This Row],[Rank]]=_xlfn.AGGREGATE(15,6,(tbl_Case_mins[Rank])/((tbl_Case_mins[Surgery Start Date]=tbl_Case_mins[[#This Row],[Surgery Start Date]])*(tbl_Case_mins[Theatre]=tbl_Case_mins[[#This Row],[Theatre]])*(tbl_Case_mins[PmCase]=1)),1),1,0),0)</f>
        <v>0</v>
      </c>
      <c r="CU248">
        <f>IFERROR(#REF!,0)</f>
        <v>0</v>
      </c>
      <c r="CV248" s="9" t="e" cm="1">
        <f t="array" ref="CV24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8" s="9">
        <f>IFERROR(IF(ISBLANK(INDEX(Bay_AmClose,MATCH(1,INDEX((tbl_Case_mins[[#This Row],[Bay]]=BayNo)*(tbl_Case_mins[[#This Row],[Surgery Start Date]]=BDate),0,1),0))*1440),0,INDEX(Bay_AmClose,MATCH(1,INDEX((tbl_Case_mins[[#This Row],[Bay]]=BayNo)*(tbl_Case_mins[[#This Row],[Surgery Start Date]]=BDate),0,1),0))*1440),0)</f>
        <v>0</v>
      </c>
      <c r="CX248" s="9" cm="1">
        <f t="array" ref="CX248">IFERROR(IF(ISBLANK(INDEX(Bay_PmOpen,MATCH(1,INDEX((tbl_Case_mins[[#This Row],[Bay]]=BayNo)*(tbl_Case_mins[[#This Row],[Surgery Start Date]]=BDate),0,1),0))*1440),0,INDEX(Bay_PmOpen,MATCH(1,INDEX((tbl_Case_mins[[#This Row],[Bay]]=BayNo)*(tbl_Case_mins[[#This Row],[Surgery Start Date]]=BDate),0,1),0))*1440),0)</f>
        <v>0</v>
      </c>
      <c r="CY24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8" s="9"/>
    </row>
    <row r="249" spans="1:104" x14ac:dyDescent="0.2">
      <c r="A249">
        <v>248</v>
      </c>
      <c r="B249" t="e">
        <f>#REF!</f>
        <v>#REF!</v>
      </c>
      <c r="C249" t="e">
        <f>#REF!</f>
        <v>#REF!</v>
      </c>
      <c r="D249" t="e">
        <f>#REF!</f>
        <v>#REF!</v>
      </c>
      <c r="E249" t="e">
        <f>#REF!</f>
        <v>#REF!</v>
      </c>
      <c r="F249" t="e">
        <f>#REF!</f>
        <v>#REF!</v>
      </c>
      <c r="G249" t="e">
        <f>#REF!</f>
        <v>#REF!</v>
      </c>
      <c r="H249" t="e">
        <f>#REF!</f>
        <v>#REF!</v>
      </c>
      <c r="I249" t="e">
        <f>IF(#REF!="Case Cancelled",1,IF(#REF!="No Cases",2,0))</f>
        <v>#REF!</v>
      </c>
      <c r="J249" t="e">
        <f>#REF!</f>
        <v>#REF!</v>
      </c>
      <c r="K249" s="4" t="e">
        <f>#REF!</f>
        <v>#REF!</v>
      </c>
      <c r="L249" t="e">
        <f>"Wk "&amp;WEEKNUM(tbl_Case_mins[[#This Row],[Surgery Start Date]],21)</f>
        <v>#REF!</v>
      </c>
      <c r="M249" t="e">
        <f>TEXT(tbl_Case_mins[[#This Row],[Surgery Start Date]],"ddd")</f>
        <v>#REF!</v>
      </c>
      <c r="N249" s="9" t="e">
        <f>(#REF!-TIME(0,0,0))*1440</f>
        <v>#REF!</v>
      </c>
      <c r="O249" t="e">
        <f>IF(AND(ROUND((#REF!-TIME(0,0,0))*1440,0)&gt;0,ROUND((#REF!-TIME(0,0,0))*1440,0)&lt;tbl_Case_mins[[#This Row],[Patient Called]],tbl_Case_mins[[#This Row],[Surgery End Date]]&gt;tbl_Case_mins[[#This Row],[Surgery Start Date]]),ROUND((#REF!-TIME(0,0,0))*1440,0)+1440,ROUND((#REF!-TIME(0,0,0))*1440,0))</f>
        <v>#REF!</v>
      </c>
      <c r="P249" s="9" t="e">
        <f>IF(AND(ROUND((#REF!-TIME(0,0,0))*1440,0)&gt;0,ROUND((#REF!-TIME(0,0,0))*1440,0)&lt;tbl_Case_mins[[#This Row],[Arrival]],tbl_Case_mins[[#This Row],[Surgery End Date]]&gt;tbl_Case_mins[[#This Row],[Surgery Start Date]]),ROUND((#REF!-TIME(0,0,0))*1440,0)+1440,ROUND((#REF!-TIME(0,0,0))*1440,0))</f>
        <v>#REF!</v>
      </c>
      <c r="Q249" s="9" t="e">
        <f>IF(AND(ROUND((#REF!-TIME(0,0,0))*1440,0)&gt;0,ROUND((#REF!-TIME(0,0,0))*1440,0)&lt;tbl_Case_mins[[#This Row],[Into Th or AR]],tbl_Case_mins[[#This Row],[Surgery End Date]]&gt;tbl_Case_mins[[#This Row],[Surgery Start Date]]),ROUND((#REF!-TIME(0,0,0))*1440,0)+1440,ROUND((#REF!-TIME(0,0,0))*1440,0))</f>
        <v>#REF!</v>
      </c>
      <c r="R249" s="9" t="e">
        <f>IF(AND(ROUND((#REF!-TIME(0,0,0))*1440,0)&gt;0,ROUND((#REF!-TIME(0,0,0))*1440,0)&lt;tbl_Case_mins[[#This Row],[AnaesthStart]],tbl_Case_mins[[#This Row],[Surgery End Date]]&gt;tbl_Case_mins[[#This Row],[Surgery Start Date]]),ROUND((#REF!-TIME(0,0,0))*1440,0)+1440,ROUND((#REF!-TIME(0,0,0))*1440,0))</f>
        <v>#REF!</v>
      </c>
      <c r="S249" s="9" t="e">
        <f>IF(AND(ROUND((#REF!-TIME(0,0,0))*1440,0),ROUND((#REF!-TIME(0,0,0))*1440,0)&lt;tbl_Case_mins[[#This Row],[Surgery Start]],tbl_Case_mins[[#This Row],[Surgery End Date]]&gt;tbl_Case_mins[[#This Row],[Surgery Start Date]]),ROUND((#REF!-TIME(0,0,0))*1440,0)+1440,ROUND((#REF!-TIME(0,0,0))*1440,0))</f>
        <v>#REF!</v>
      </c>
      <c r="T249" s="9" t="e">
        <f>IF(AND(ROUND((#REF!-TIME(0,0,0))*1440,0)&gt;0,ROUND((#REF!-TIME(0,0,0))*1440,0)&lt;tbl_Case_mins[[#This Row],[Surgery Finish]],tbl_Case_mins[[#This Row],[Surgery End Date]]&gt;tbl_Case_mins[[#This Row],[Surgery Start Date]]),ROUND((#REF!-TIME(0,0,0))*1440,0)+1440,ROUND((#REF!-TIME(0,0,0))*1440,0))</f>
        <v>#REF!</v>
      </c>
      <c r="U249" s="9" t="e">
        <f>IF(AND(ROUND((#REF!-TIME(0,0,0))*1440,0)&gt;0,ROUND((#REF!-TIME(0,0,0))*1440,0)&lt;tbl_Case_mins[[#This Row],[Anaesth End]],tbl_Case_mins[[#This Row],[Surgery End Date]]&gt;tbl_Case_mins[[#This Row],[Surgery Start Date]]),ROUND((#REF!-TIME(0,0,0))*1440,0)+1440,ROUND((#REF!-TIME(0,0,0))*1440,0))</f>
        <v>#REF!</v>
      </c>
      <c r="V249" s="9" t="e">
        <f>IF(AND(ROUND((#REF!-TIME(0,0,0))*1440,0)&gt;0,ROUND((#REF!-TIME(0,0,0))*1440,0)&lt;tbl_Case_mins[[#This Row],[Into Recov]],tbl_Case_mins[[#This Row],[Surgery End Date]]&gt;tbl_Case_mins[[#This Row],[Surgery Start Date]]),ROUND((#REF!-TIME(0,0,0))*1440,0)+1440,ROUND((#REF!-TIME(0,0,0))*1440,0))</f>
        <v>#REF!</v>
      </c>
      <c r="W249" s="9" t="e">
        <f>IF(AND(ROUND((#REF!-TIME(0,0,0))*1440,0)&gt;0,ROUND((#REF!-TIME(0,0,0))*1440,0)&lt;tbl_Case_mins[[#This Row],[Ward Called]],tbl_Case_mins[[#This Row],[Surgery End Date]]&gt;tbl_Case_mins[[#This Row],[Surgery Start Date]]),ROUND((#REF!-TIME(0,0,0))*1440,0)+1440,ROUND((#REF!-TIME(0,0,0))*1440,0))</f>
        <v>#REF!</v>
      </c>
      <c r="X249" s="4" t="e">
        <f>IF(ISBLANK(#REF!),tbl_Case_mins[[#This Row],[Surgery Start Date]],#REF!)</f>
        <v>#REF!</v>
      </c>
      <c r="Y249">
        <f>IFERROR(IF(VLOOKUP(tbl_Case_mins[[#This Row],[Theatre]],'Mng Theatres'!$C$7:$G$12,3,FALSE)="Yes","Yes","No"),0)</f>
        <v>0</v>
      </c>
      <c r="Z249" s="9" t="e" cm="1">
        <f t="array" ref="Z24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49" s="9" t="e" cm="1">
        <f t="array" ref="AA24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4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49" s="9" t="e">
        <f>IF(tbl_Case_mins[[#This Row],[Case Type]]="Unsch",1,0)</f>
        <v>#REF!</v>
      </c>
      <c r="AD249" s="9" t="e">
        <f>IF(tbl_Case_mins[[#This Row],[Case Type]]="Sch",1,0)</f>
        <v>#REF!</v>
      </c>
      <c r="AE24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49" s="9">
        <f>IFERROR(IF(ISBLANK(INDEX(Am_Close,MATCH(1,INDEX((tbl_Case_mins[[#This Row],[Theatre]]=Theatre_No)*(tbl_Case_mins[[#This Row],[Surgery Start Date]]=Date),0,1),0))*1440),0,INDEX(Am_Close,MATCH(1,INDEX((tbl_Case_mins[[#This Row],[Theatre]]=Theatre_No)*(tbl_Case_mins[[#This Row],[Surgery Start Date]]=Date),0,1),0))*1440),0)</f>
        <v>0</v>
      </c>
      <c r="AG249" s="9">
        <f>IFERROR(IF(ISBLANK(INDEX(PM_Open,MATCH(1,INDEX((tbl_Case_mins[[#This Row],[Theatre]]=Theatre_No)*(tbl_Case_mins[[#This Row],[Surgery Start Date]]=Date),0,1),0))*1440),0,INDEX(PM_Open,MATCH(1,INDEX((tbl_Case_mins[[#This Row],[Theatre]]=Theatre_No)*(tbl_Case_mins[[#This Row],[Surgery Start Date]]=Date),0,1),0))*1440),0)</f>
        <v>0</v>
      </c>
      <c r="AH24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49" s="9" t="e">
        <f>IF(tbl_Case_mins[[#This Row],[ThOpenAm]]=0,tbl_Case_mins[[#This Row],[ThOpenPM]],tbl_Case_mins[[#This Row],[ThOpenAm]])</f>
        <v>#REF!</v>
      </c>
      <c r="AJ249" s="9" t="e">
        <f>IF(tbl_Case_mins[[#This Row],[ThCloseAm]]&gt;0,IF(tbl_Case_mins[[#This Row],[ThOpenPM]]&gt;0,tbl_Case_mins[[#This Row],[ThClosePm]],tbl_Case_mins[[#This Row],[ThCloseAm]]),tbl_Case_mins[[#This Row],[ThClosePm]])</f>
        <v>#REF!</v>
      </c>
      <c r="AK249" s="9" t="e">
        <f>IF(tbl_Case_mins[[#This Row],[TOT]]&gt;0,1,0)</f>
        <v>#REF!</v>
      </c>
      <c r="AL24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49" s="9" t="e">
        <f>IF(AND(tbl_Case_mins[[#This Row],[Surgery Status]]&lt;&gt;2,tbl_Case_mins[[#This Row],[InCoreCase]]=0,tbl_Case_mins[[#This Row],[CancelledCase]]=0),1,0)</f>
        <v>#REF!</v>
      </c>
      <c r="AN249" s="9" t="e">
        <f>IF(tbl_Case_mins[[#This Row],[Surgery Status]]=1,1,0)</f>
        <v>#REF!</v>
      </c>
      <c r="AO24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49" s="9" t="e">
        <f>IF(AND(tbl_Case_mins[[#This Row],[NonCoreCase]]=1,tbl_Case_mins[[#This Row],[NoInCoreTime]]=0),1,0)</f>
        <v>#REF!</v>
      </c>
      <c r="AQ249" s="9" t="e">
        <f>IF(tbl_Case_mins[[#This Row],[Rank_AnaEnd]]&lt;tbl_Case_mins[[#This Row],[Rank_AnaSt]],1,0)</f>
        <v>#REF!</v>
      </c>
      <c r="AR249" s="9" t="e">
        <f>IF(AND(tbl_Case_mins[[#This Row],[InCoreCase]]=1,tbl_Case_mins[[#This Row],[Sch]]=1),1,0)</f>
        <v>#REF!</v>
      </c>
      <c r="AS249" s="9" t="e">
        <f>IF(AND(tbl_Case_mins[[#This Row],[InCoreCase]]=1,tbl_Case_mins[[#This Row],[Unsch]]=1),1,0)</f>
        <v>#REF!</v>
      </c>
      <c r="AT24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4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4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49" s="9" t="e">
        <f>IF(tbl_Case_mins[[#This Row],[Surgery Status]]=0,(tbl_Case_mins[[#This Row],[Anaesth End]]-tbl_Case_mins[[#This Row],[AnaesthStart]]),0)</f>
        <v>#REF!</v>
      </c>
      <c r="AX249" s="9" t="e">
        <f>IF(tbl_Case_mins[[#This Row],[Surgery Status]]=0,(tbl_Case_mins[[#This Row],[Surgery Finish]]-tbl_Case_mins[[#This Row],[Surgery Start]]),0)</f>
        <v>#REF!</v>
      </c>
      <c r="AY249" s="9" t="e">
        <f>tbl_Case_mins[[#This Row],[Surgery Start]]-tbl_Case_mins[[#This Row],[AnaesthStart]]</f>
        <v>#REF!</v>
      </c>
      <c r="AZ249" s="9" t="e">
        <f>tbl_Case_mins[[#This Row],[Anaesth End]]-tbl_Case_mins[[#This Row],[Surgery Finish]]</f>
        <v>#REF!</v>
      </c>
      <c r="BA24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4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49" s="16" cm="1">
        <f t="array" ref="BC24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49" s="16" t="e">
        <f>IF(AND(tbl_Case_mins[[#This Row],[FirstAMCase]]=1,tbl_Case_mins[[#This Row],[CancelledCase]]=0,OR(tbl_Case_mins[[#This Row],[EarlyStartAM]]&gt;0,tbl_Case_mins[[#This Row],[AnaesthStart]]=tbl_Case_mins[[#This Row],[ThOpenAm]])),1,0)</f>
        <v>#REF!</v>
      </c>
      <c r="BE249" s="16" t="e">
        <f>IF(AND(tbl_Case_mins[[#This Row],[Rank_AnaSt]]=tbl_Case_mins[[#This Row],[Min_RankAnaSt]],tbl_Case_mins[[#This Row],[Anaesth End]]&gt;=tbl_Case_mins[[#This Row],[ThOpenAm]],tbl_Case_mins[[#This Row],[PmCase]]=0),1,0)</f>
        <v>#REF!</v>
      </c>
      <c r="BF24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4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49" s="9" t="e" cm="1">
        <f t="array" ref="BH24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4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4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49" s="9" t="e">
        <f>IF(AND(tbl_Case_mins[[#This Row],[ThOpenPM]]&gt;0,tbl_Case_mins[[#This Row],[AnaesthStart]]&gt;tbl_Case_mins[[#This Row],[ThOpenPM]],tbl_Case_mins[[#This Row],[First PM Case]]=1),tbl_Case_mins[[#This Row],[AnaesthStart]]-tbl_Case_mins[[#This Row],[ThOpenPM]],0)</f>
        <v>#REF!</v>
      </c>
      <c r="BL24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4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49" s="9" t="e" cm="1">
        <f t="array" ref="BN24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49" s="9" t="e">
        <f>IF(AND(tbl_Case_mins[[#This Row],[ThClosePm]]&gt;0,tbl_Case_mins[[#This Row],[Anaesth End]]&gt;tbl_Case_mins[[#This Row],[ThClosePm]],tbl_Case_mins[[#This Row],[AnaesthStart]]&gt;tbl_Case_mins[[#This Row],[ThClosePm]]),tbl_Case_mins[[#This Row],[Into Recov]]-tbl_Case_mins[[#This Row],[AnaesthStart]],0)</f>
        <v>#REF!</v>
      </c>
      <c r="BP249" s="9" t="e">
        <f>IF(AND(tbl_Case_mins[[#This Row],[AnaesthStart]]&lt;tbl_Case_mins[[#This Row],[ThClosePm]],tbl_Case_mins[[#This Row],[Anaesth End]]&gt;tbl_Case_mins[[#This Row],[ThClosePm]]),tbl_Case_mins[[#This Row],[Anaesth End]]-tbl_Case_mins[[#This Row],[ThClosePm]],0)</f>
        <v>#REF!</v>
      </c>
      <c r="BQ249" s="9" t="e" cm="1">
        <f t="array" ref="BQ24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49" s="9" t="e" cm="1">
        <f t="array" ref="BR249">IF(tbl_Case_mins[[#This Row],[Rank_Adjust]]=SUMPRODUCT(-(tbl_Case_mins[Surgery Start Date]=tbl_Case_mins[[#This Row],[Surgery Start Date]]),-(tbl_Case_mins[Theatre]=tbl_Case_mins[[#This Row],[Theatre]])),INDEX(Poss_Time,MATCH(TEXT(tbl_Case_mins[[#This Row],[Surgery Start Date]],"ddd"),Day,0)),0)</f>
        <v>#REF!</v>
      </c>
      <c r="BS249" s="9" t="e">
        <f>tbl_Case_mins[[#This Row],[Core_Time]]*Util_Goal</f>
        <v>#REF!</v>
      </c>
      <c r="BT249" s="9" t="e" cm="1">
        <f t="array" ref="BT2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49" s="9" t="e" cm="1">
        <f t="array" ref="BU2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4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4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49" s="9" t="e">
        <f>IF(tbl_Case_mins[[#This Row],[Surgery End Date]]&gt;tbl_Case_mins[[#This Row],[Surgery Start Date]],tbl_Case_mins[[#This Row],[Anaesth End]]-1440,0)</f>
        <v>#REF!</v>
      </c>
      <c r="BY249" s="9" t="e">
        <f>tbl_Case_mins[[#This Row],[Total_NonCore]]-tbl_Case_mins[[#This Row],[NextDay_NonCore]]</f>
        <v>#REF!</v>
      </c>
      <c r="BZ249" s="10" t="e">
        <f>tbl_Case_mins[[#This Row],[InCoreUse]]/60</f>
        <v>#REF!</v>
      </c>
      <c r="CA249" s="10" t="e">
        <f>tbl_Case_mins[[#This Row],[Total_NonCore]]/60</f>
        <v>#REF!</v>
      </c>
      <c r="CB249" t="e" cm="1">
        <f t="array" ref="CB2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49" s="9" t="e" cm="1">
        <f t="array" ref="CC24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49" s="9" t="e" cm="1">
        <f t="array" ref="CD2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49" s="9" t="e" cm="1">
        <f t="array" ref="CE24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49" s="9" cm="1">
        <f t="array" ref="CF249">IFERROR(_xlfn.AGGREGATE(14,6,(tbl_Case_mins[Rank_AnaEnd])/((tbl_Case_mins[Surgery Start Date]=tbl_Case_mins[[#This Row],[Surgery Start Date]])*(tbl_Case_mins[Theatre]=tbl_Case_mins[[#This Row],[Theatre]])*(tbl_Case_mins[NoInCoreTime]=0)),1),-1)</f>
        <v>-1</v>
      </c>
      <c r="CG249" s="9" cm="1">
        <f t="array" ref="CG249">IFERROR(_xlfn.AGGREGATE(15,6,(tbl_Case_mins[Rank_AnaSt])/((tbl_Case_mins[Surgery Start Date]=tbl_Case_mins[[#This Row],[Surgery Start Date]])*(tbl_Case_mins[Theatre]=tbl_Case_mins[[#This Row],[Theatre]])*(tbl_Case_mins[NoInCoreTime]=0)),1),-1)</f>
        <v>-1</v>
      </c>
      <c r="CH24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4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49" t="e" cm="1">
        <f t="array" ref="CJ24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4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4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49" s="9" cm="1">
        <f t="array" ref="CO2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49" s="9" cm="1">
        <f t="array" ref="CP2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49" s="9" cm="1">
        <f t="array" ref="CQ249">IFERROR(IF(AND(tbl_Case_mins[[#This Row],[FirstAMCase]]=0,tbl_Case_mins[[#This Row],[Rank]]=_xlfn.AGGREGATE(14,6,(tbl_Case_mins[Rank])/((tbl_Case_mins[Surgery Start Date]=tbl_Case_mins[[#This Row],[Surgery Start Date]])*(tbl_Case_mins[Theatre]=tbl_Case_mins[[#This Row],[Theatre]])*(tbl_Case_mins[AmCase]=1)),1)),1,0),0)</f>
        <v>0</v>
      </c>
      <c r="CR249" s="9" cm="1">
        <f t="array" ref="CR24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49" s="9" t="e" cm="1">
        <f t="array" ref="CS24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49" s="9" cm="1">
        <f t="array" ref="CT249">IFERROR(IF(tbl_Case_mins[[#This Row],[Rank]]=_xlfn.AGGREGATE(15,6,(tbl_Case_mins[Rank])/((tbl_Case_mins[Surgery Start Date]=tbl_Case_mins[[#This Row],[Surgery Start Date]])*(tbl_Case_mins[Theatre]=tbl_Case_mins[[#This Row],[Theatre]])*(tbl_Case_mins[PmCase]=1)),1),1,0),0)</f>
        <v>0</v>
      </c>
      <c r="CU249">
        <f>IFERROR(#REF!,0)</f>
        <v>0</v>
      </c>
      <c r="CV249" s="9" t="e" cm="1">
        <f t="array" ref="CV24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49" s="9">
        <f>IFERROR(IF(ISBLANK(INDEX(Bay_AmClose,MATCH(1,INDEX((tbl_Case_mins[[#This Row],[Bay]]=BayNo)*(tbl_Case_mins[[#This Row],[Surgery Start Date]]=BDate),0,1),0))*1440),0,INDEX(Bay_AmClose,MATCH(1,INDEX((tbl_Case_mins[[#This Row],[Bay]]=BayNo)*(tbl_Case_mins[[#This Row],[Surgery Start Date]]=BDate),0,1),0))*1440),0)</f>
        <v>0</v>
      </c>
      <c r="CX249" s="9" cm="1">
        <f t="array" ref="CX249">IFERROR(IF(ISBLANK(INDEX(Bay_PmOpen,MATCH(1,INDEX((tbl_Case_mins[[#This Row],[Bay]]=BayNo)*(tbl_Case_mins[[#This Row],[Surgery Start Date]]=BDate),0,1),0))*1440),0,INDEX(Bay_PmOpen,MATCH(1,INDEX((tbl_Case_mins[[#This Row],[Bay]]=BayNo)*(tbl_Case_mins[[#This Row],[Surgery Start Date]]=BDate),0,1),0))*1440),0)</f>
        <v>0</v>
      </c>
      <c r="CY24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49" s="9"/>
    </row>
    <row r="250" spans="1:104" x14ac:dyDescent="0.2">
      <c r="A250">
        <v>249</v>
      </c>
      <c r="B250" t="e">
        <f>#REF!</f>
        <v>#REF!</v>
      </c>
      <c r="C250" t="e">
        <f>#REF!</f>
        <v>#REF!</v>
      </c>
      <c r="D250" t="e">
        <f>#REF!</f>
        <v>#REF!</v>
      </c>
      <c r="E250" t="e">
        <f>#REF!</f>
        <v>#REF!</v>
      </c>
      <c r="F250" t="e">
        <f>#REF!</f>
        <v>#REF!</v>
      </c>
      <c r="G250" t="e">
        <f>#REF!</f>
        <v>#REF!</v>
      </c>
      <c r="H250" t="e">
        <f>#REF!</f>
        <v>#REF!</v>
      </c>
      <c r="I250" t="e">
        <f>IF(#REF!="Case Cancelled",1,IF(#REF!="No Cases",2,0))</f>
        <v>#REF!</v>
      </c>
      <c r="J250" t="e">
        <f>#REF!</f>
        <v>#REF!</v>
      </c>
      <c r="K250" s="4" t="e">
        <f>#REF!</f>
        <v>#REF!</v>
      </c>
      <c r="L250" t="e">
        <f>"Wk "&amp;WEEKNUM(tbl_Case_mins[[#This Row],[Surgery Start Date]],21)</f>
        <v>#REF!</v>
      </c>
      <c r="M250" t="e">
        <f>TEXT(tbl_Case_mins[[#This Row],[Surgery Start Date]],"ddd")</f>
        <v>#REF!</v>
      </c>
      <c r="N250" s="9" t="e">
        <f>(#REF!-TIME(0,0,0))*1440</f>
        <v>#REF!</v>
      </c>
      <c r="O250" t="e">
        <f>IF(AND(ROUND((#REF!-TIME(0,0,0))*1440,0)&gt;0,ROUND((#REF!-TIME(0,0,0))*1440,0)&lt;tbl_Case_mins[[#This Row],[Patient Called]],tbl_Case_mins[[#This Row],[Surgery End Date]]&gt;tbl_Case_mins[[#This Row],[Surgery Start Date]]),ROUND((#REF!-TIME(0,0,0))*1440,0)+1440,ROUND((#REF!-TIME(0,0,0))*1440,0))</f>
        <v>#REF!</v>
      </c>
      <c r="P250" s="9" t="e">
        <f>IF(AND(ROUND((#REF!-TIME(0,0,0))*1440,0)&gt;0,ROUND((#REF!-TIME(0,0,0))*1440,0)&lt;tbl_Case_mins[[#This Row],[Arrival]],tbl_Case_mins[[#This Row],[Surgery End Date]]&gt;tbl_Case_mins[[#This Row],[Surgery Start Date]]),ROUND((#REF!-TIME(0,0,0))*1440,0)+1440,ROUND((#REF!-TIME(0,0,0))*1440,0))</f>
        <v>#REF!</v>
      </c>
      <c r="Q250" s="9" t="e">
        <f>IF(AND(ROUND((#REF!-TIME(0,0,0))*1440,0)&gt;0,ROUND((#REF!-TIME(0,0,0))*1440,0)&lt;tbl_Case_mins[[#This Row],[Into Th or AR]],tbl_Case_mins[[#This Row],[Surgery End Date]]&gt;tbl_Case_mins[[#This Row],[Surgery Start Date]]),ROUND((#REF!-TIME(0,0,0))*1440,0)+1440,ROUND((#REF!-TIME(0,0,0))*1440,0))</f>
        <v>#REF!</v>
      </c>
      <c r="R250" s="9" t="e">
        <f>IF(AND(ROUND((#REF!-TIME(0,0,0))*1440,0)&gt;0,ROUND((#REF!-TIME(0,0,0))*1440,0)&lt;tbl_Case_mins[[#This Row],[AnaesthStart]],tbl_Case_mins[[#This Row],[Surgery End Date]]&gt;tbl_Case_mins[[#This Row],[Surgery Start Date]]),ROUND((#REF!-TIME(0,0,0))*1440,0)+1440,ROUND((#REF!-TIME(0,0,0))*1440,0))</f>
        <v>#REF!</v>
      </c>
      <c r="S250" s="9" t="e">
        <f>IF(AND(ROUND((#REF!-TIME(0,0,0))*1440,0),ROUND((#REF!-TIME(0,0,0))*1440,0)&lt;tbl_Case_mins[[#This Row],[Surgery Start]],tbl_Case_mins[[#This Row],[Surgery End Date]]&gt;tbl_Case_mins[[#This Row],[Surgery Start Date]]),ROUND((#REF!-TIME(0,0,0))*1440,0)+1440,ROUND((#REF!-TIME(0,0,0))*1440,0))</f>
        <v>#REF!</v>
      </c>
      <c r="T250" s="9" t="e">
        <f>IF(AND(ROUND((#REF!-TIME(0,0,0))*1440,0)&gt;0,ROUND((#REF!-TIME(0,0,0))*1440,0)&lt;tbl_Case_mins[[#This Row],[Surgery Finish]],tbl_Case_mins[[#This Row],[Surgery End Date]]&gt;tbl_Case_mins[[#This Row],[Surgery Start Date]]),ROUND((#REF!-TIME(0,0,0))*1440,0)+1440,ROUND((#REF!-TIME(0,0,0))*1440,0))</f>
        <v>#REF!</v>
      </c>
      <c r="U250" s="9" t="e">
        <f>IF(AND(ROUND((#REF!-TIME(0,0,0))*1440,0)&gt;0,ROUND((#REF!-TIME(0,0,0))*1440,0)&lt;tbl_Case_mins[[#This Row],[Anaesth End]],tbl_Case_mins[[#This Row],[Surgery End Date]]&gt;tbl_Case_mins[[#This Row],[Surgery Start Date]]),ROUND((#REF!-TIME(0,0,0))*1440,0)+1440,ROUND((#REF!-TIME(0,0,0))*1440,0))</f>
        <v>#REF!</v>
      </c>
      <c r="V250" s="9" t="e">
        <f>IF(AND(ROUND((#REF!-TIME(0,0,0))*1440,0)&gt;0,ROUND((#REF!-TIME(0,0,0))*1440,0)&lt;tbl_Case_mins[[#This Row],[Into Recov]],tbl_Case_mins[[#This Row],[Surgery End Date]]&gt;tbl_Case_mins[[#This Row],[Surgery Start Date]]),ROUND((#REF!-TIME(0,0,0))*1440,0)+1440,ROUND((#REF!-TIME(0,0,0))*1440,0))</f>
        <v>#REF!</v>
      </c>
      <c r="W250" s="9" t="e">
        <f>IF(AND(ROUND((#REF!-TIME(0,0,0))*1440,0)&gt;0,ROUND((#REF!-TIME(0,0,0))*1440,0)&lt;tbl_Case_mins[[#This Row],[Ward Called]],tbl_Case_mins[[#This Row],[Surgery End Date]]&gt;tbl_Case_mins[[#This Row],[Surgery Start Date]]),ROUND((#REF!-TIME(0,0,0))*1440,0)+1440,ROUND((#REF!-TIME(0,0,0))*1440,0))</f>
        <v>#REF!</v>
      </c>
      <c r="X250" s="4" t="e">
        <f>IF(ISBLANK(#REF!),tbl_Case_mins[[#This Row],[Surgery Start Date]],#REF!)</f>
        <v>#REF!</v>
      </c>
      <c r="Y250">
        <f>IFERROR(IF(VLOOKUP(tbl_Case_mins[[#This Row],[Theatre]],'Mng Theatres'!$C$7:$G$12,3,FALSE)="Yes","Yes","No"),0)</f>
        <v>0</v>
      </c>
      <c r="Z250" s="9" t="e" cm="1">
        <f t="array" ref="Z25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0" s="9" t="e" cm="1">
        <f t="array" ref="AA25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0" s="9" t="e">
        <f>IF(tbl_Case_mins[[#This Row],[Case Type]]="Unsch",1,0)</f>
        <v>#REF!</v>
      </c>
      <c r="AD250" s="9" t="e">
        <f>IF(tbl_Case_mins[[#This Row],[Case Type]]="Sch",1,0)</f>
        <v>#REF!</v>
      </c>
      <c r="AE25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0" s="9">
        <f>IFERROR(IF(ISBLANK(INDEX(Am_Close,MATCH(1,INDEX((tbl_Case_mins[[#This Row],[Theatre]]=Theatre_No)*(tbl_Case_mins[[#This Row],[Surgery Start Date]]=Date),0,1),0))*1440),0,INDEX(Am_Close,MATCH(1,INDEX((tbl_Case_mins[[#This Row],[Theatre]]=Theatre_No)*(tbl_Case_mins[[#This Row],[Surgery Start Date]]=Date),0,1),0))*1440),0)</f>
        <v>0</v>
      </c>
      <c r="AG250" s="9">
        <f>IFERROR(IF(ISBLANK(INDEX(PM_Open,MATCH(1,INDEX((tbl_Case_mins[[#This Row],[Theatre]]=Theatre_No)*(tbl_Case_mins[[#This Row],[Surgery Start Date]]=Date),0,1),0))*1440),0,INDEX(PM_Open,MATCH(1,INDEX((tbl_Case_mins[[#This Row],[Theatre]]=Theatre_No)*(tbl_Case_mins[[#This Row],[Surgery Start Date]]=Date),0,1),0))*1440),0)</f>
        <v>0</v>
      </c>
      <c r="AH25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0" s="9" t="e">
        <f>IF(tbl_Case_mins[[#This Row],[ThOpenAm]]=0,tbl_Case_mins[[#This Row],[ThOpenPM]],tbl_Case_mins[[#This Row],[ThOpenAm]])</f>
        <v>#REF!</v>
      </c>
      <c r="AJ250" s="9" t="e">
        <f>IF(tbl_Case_mins[[#This Row],[ThCloseAm]]&gt;0,IF(tbl_Case_mins[[#This Row],[ThOpenPM]]&gt;0,tbl_Case_mins[[#This Row],[ThClosePm]],tbl_Case_mins[[#This Row],[ThCloseAm]]),tbl_Case_mins[[#This Row],[ThClosePm]])</f>
        <v>#REF!</v>
      </c>
      <c r="AK250" s="9" t="e">
        <f>IF(tbl_Case_mins[[#This Row],[TOT]]&gt;0,1,0)</f>
        <v>#REF!</v>
      </c>
      <c r="AL25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0" s="9" t="e">
        <f>IF(AND(tbl_Case_mins[[#This Row],[Surgery Status]]&lt;&gt;2,tbl_Case_mins[[#This Row],[InCoreCase]]=0,tbl_Case_mins[[#This Row],[CancelledCase]]=0),1,0)</f>
        <v>#REF!</v>
      </c>
      <c r="AN250" s="9" t="e">
        <f>IF(tbl_Case_mins[[#This Row],[Surgery Status]]=1,1,0)</f>
        <v>#REF!</v>
      </c>
      <c r="AO25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0" s="9" t="e">
        <f>IF(AND(tbl_Case_mins[[#This Row],[NonCoreCase]]=1,tbl_Case_mins[[#This Row],[NoInCoreTime]]=0),1,0)</f>
        <v>#REF!</v>
      </c>
      <c r="AQ250" s="9" t="e">
        <f>IF(tbl_Case_mins[[#This Row],[Rank_AnaEnd]]&lt;tbl_Case_mins[[#This Row],[Rank_AnaSt]],1,0)</f>
        <v>#REF!</v>
      </c>
      <c r="AR250" s="9" t="e">
        <f>IF(AND(tbl_Case_mins[[#This Row],[InCoreCase]]=1,tbl_Case_mins[[#This Row],[Sch]]=1),1,0)</f>
        <v>#REF!</v>
      </c>
      <c r="AS250" s="9" t="e">
        <f>IF(AND(tbl_Case_mins[[#This Row],[InCoreCase]]=1,tbl_Case_mins[[#This Row],[Unsch]]=1),1,0)</f>
        <v>#REF!</v>
      </c>
      <c r="AT25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0" s="9" t="e">
        <f>IF(tbl_Case_mins[[#This Row],[Surgery Status]]=0,(tbl_Case_mins[[#This Row],[Anaesth End]]-tbl_Case_mins[[#This Row],[AnaesthStart]]),0)</f>
        <v>#REF!</v>
      </c>
      <c r="AX250" s="9" t="e">
        <f>IF(tbl_Case_mins[[#This Row],[Surgery Status]]=0,(tbl_Case_mins[[#This Row],[Surgery Finish]]-tbl_Case_mins[[#This Row],[Surgery Start]]),0)</f>
        <v>#REF!</v>
      </c>
      <c r="AY250" s="9" t="e">
        <f>tbl_Case_mins[[#This Row],[Surgery Start]]-tbl_Case_mins[[#This Row],[AnaesthStart]]</f>
        <v>#REF!</v>
      </c>
      <c r="AZ250" s="9" t="e">
        <f>tbl_Case_mins[[#This Row],[Anaesth End]]-tbl_Case_mins[[#This Row],[Surgery Finish]]</f>
        <v>#REF!</v>
      </c>
      <c r="BA25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0" s="16" cm="1">
        <f t="array" ref="BC25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0" s="16" t="e">
        <f>IF(AND(tbl_Case_mins[[#This Row],[FirstAMCase]]=1,tbl_Case_mins[[#This Row],[CancelledCase]]=0,OR(tbl_Case_mins[[#This Row],[EarlyStartAM]]&gt;0,tbl_Case_mins[[#This Row],[AnaesthStart]]=tbl_Case_mins[[#This Row],[ThOpenAm]])),1,0)</f>
        <v>#REF!</v>
      </c>
      <c r="BE250" s="16" t="e">
        <f>IF(AND(tbl_Case_mins[[#This Row],[Rank_AnaSt]]=tbl_Case_mins[[#This Row],[Min_RankAnaSt]],tbl_Case_mins[[#This Row],[Anaesth End]]&gt;=tbl_Case_mins[[#This Row],[ThOpenAm]],tbl_Case_mins[[#This Row],[PmCase]]=0),1,0)</f>
        <v>#REF!</v>
      </c>
      <c r="BF25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0" s="9" t="e" cm="1">
        <f t="array" ref="BH25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0" s="9" t="e">
        <f>IF(AND(tbl_Case_mins[[#This Row],[ThOpenPM]]&gt;0,tbl_Case_mins[[#This Row],[AnaesthStart]]&gt;tbl_Case_mins[[#This Row],[ThOpenPM]],tbl_Case_mins[[#This Row],[First PM Case]]=1),tbl_Case_mins[[#This Row],[AnaesthStart]]-tbl_Case_mins[[#This Row],[ThOpenPM]],0)</f>
        <v>#REF!</v>
      </c>
      <c r="BL25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0" s="9" t="e" cm="1">
        <f t="array" ref="BN25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0" s="9" t="e">
        <f>IF(AND(tbl_Case_mins[[#This Row],[ThClosePm]]&gt;0,tbl_Case_mins[[#This Row],[Anaesth End]]&gt;tbl_Case_mins[[#This Row],[ThClosePm]],tbl_Case_mins[[#This Row],[AnaesthStart]]&gt;tbl_Case_mins[[#This Row],[ThClosePm]]),tbl_Case_mins[[#This Row],[Into Recov]]-tbl_Case_mins[[#This Row],[AnaesthStart]],0)</f>
        <v>#REF!</v>
      </c>
      <c r="BP250" s="9" t="e">
        <f>IF(AND(tbl_Case_mins[[#This Row],[AnaesthStart]]&lt;tbl_Case_mins[[#This Row],[ThClosePm]],tbl_Case_mins[[#This Row],[Anaesth End]]&gt;tbl_Case_mins[[#This Row],[ThClosePm]]),tbl_Case_mins[[#This Row],[Anaesth End]]-tbl_Case_mins[[#This Row],[ThClosePm]],0)</f>
        <v>#REF!</v>
      </c>
      <c r="BQ250" s="9" t="e" cm="1">
        <f t="array" ref="BQ25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0" s="9" t="e" cm="1">
        <f t="array" ref="BR250">IF(tbl_Case_mins[[#This Row],[Rank_Adjust]]=SUMPRODUCT(-(tbl_Case_mins[Surgery Start Date]=tbl_Case_mins[[#This Row],[Surgery Start Date]]),-(tbl_Case_mins[Theatre]=tbl_Case_mins[[#This Row],[Theatre]])),INDEX(Poss_Time,MATCH(TEXT(tbl_Case_mins[[#This Row],[Surgery Start Date]],"ddd"),Day,0)),0)</f>
        <v>#REF!</v>
      </c>
      <c r="BS250" s="9" t="e">
        <f>tbl_Case_mins[[#This Row],[Core_Time]]*Util_Goal</f>
        <v>#REF!</v>
      </c>
      <c r="BT250" s="9" t="e" cm="1">
        <f t="array" ref="BT2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0" s="9" t="e" cm="1">
        <f t="array" ref="BU2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0" s="9" t="e">
        <f>IF(tbl_Case_mins[[#This Row],[Surgery End Date]]&gt;tbl_Case_mins[[#This Row],[Surgery Start Date]],tbl_Case_mins[[#This Row],[Anaesth End]]-1440,0)</f>
        <v>#REF!</v>
      </c>
      <c r="BY250" s="9" t="e">
        <f>tbl_Case_mins[[#This Row],[Total_NonCore]]-tbl_Case_mins[[#This Row],[NextDay_NonCore]]</f>
        <v>#REF!</v>
      </c>
      <c r="BZ250" s="10" t="e">
        <f>tbl_Case_mins[[#This Row],[InCoreUse]]/60</f>
        <v>#REF!</v>
      </c>
      <c r="CA250" s="10" t="e">
        <f>tbl_Case_mins[[#This Row],[Total_NonCore]]/60</f>
        <v>#REF!</v>
      </c>
      <c r="CB250" t="e" cm="1">
        <f t="array" ref="CB2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0" s="9" t="e" cm="1">
        <f t="array" ref="CC25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0" s="9" t="e" cm="1">
        <f t="array" ref="CD2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0" s="9" t="e" cm="1">
        <f t="array" ref="CE25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0" s="9" cm="1">
        <f t="array" ref="CF250">IFERROR(_xlfn.AGGREGATE(14,6,(tbl_Case_mins[Rank_AnaEnd])/((tbl_Case_mins[Surgery Start Date]=tbl_Case_mins[[#This Row],[Surgery Start Date]])*(tbl_Case_mins[Theatre]=tbl_Case_mins[[#This Row],[Theatre]])*(tbl_Case_mins[NoInCoreTime]=0)),1),-1)</f>
        <v>-1</v>
      </c>
      <c r="CG250" s="9" cm="1">
        <f t="array" ref="CG250">IFERROR(_xlfn.AGGREGATE(15,6,(tbl_Case_mins[Rank_AnaSt])/((tbl_Case_mins[Surgery Start Date]=tbl_Case_mins[[#This Row],[Surgery Start Date]])*(tbl_Case_mins[Theatre]=tbl_Case_mins[[#This Row],[Theatre]])*(tbl_Case_mins[NoInCoreTime]=0)),1),-1)</f>
        <v>-1</v>
      </c>
      <c r="CH25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0" t="e" cm="1">
        <f t="array" ref="CJ25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0" s="9" cm="1">
        <f t="array" ref="CO2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0" s="9" cm="1">
        <f t="array" ref="CP2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0" s="9" cm="1">
        <f t="array" ref="CQ250">IFERROR(IF(AND(tbl_Case_mins[[#This Row],[FirstAMCase]]=0,tbl_Case_mins[[#This Row],[Rank]]=_xlfn.AGGREGATE(14,6,(tbl_Case_mins[Rank])/((tbl_Case_mins[Surgery Start Date]=tbl_Case_mins[[#This Row],[Surgery Start Date]])*(tbl_Case_mins[Theatre]=tbl_Case_mins[[#This Row],[Theatre]])*(tbl_Case_mins[AmCase]=1)),1)),1,0),0)</f>
        <v>0</v>
      </c>
      <c r="CR250" s="9" cm="1">
        <f t="array" ref="CR25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0" s="9" t="e" cm="1">
        <f t="array" ref="CS25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0" s="9" cm="1">
        <f t="array" ref="CT250">IFERROR(IF(tbl_Case_mins[[#This Row],[Rank]]=_xlfn.AGGREGATE(15,6,(tbl_Case_mins[Rank])/((tbl_Case_mins[Surgery Start Date]=tbl_Case_mins[[#This Row],[Surgery Start Date]])*(tbl_Case_mins[Theatre]=tbl_Case_mins[[#This Row],[Theatre]])*(tbl_Case_mins[PmCase]=1)),1),1,0),0)</f>
        <v>0</v>
      </c>
      <c r="CU250">
        <f>IFERROR(#REF!,0)</f>
        <v>0</v>
      </c>
      <c r="CV250" s="9" t="e" cm="1">
        <f t="array" ref="CV25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0" s="9">
        <f>IFERROR(IF(ISBLANK(INDEX(Bay_AmClose,MATCH(1,INDEX((tbl_Case_mins[[#This Row],[Bay]]=BayNo)*(tbl_Case_mins[[#This Row],[Surgery Start Date]]=BDate),0,1),0))*1440),0,INDEX(Bay_AmClose,MATCH(1,INDEX((tbl_Case_mins[[#This Row],[Bay]]=BayNo)*(tbl_Case_mins[[#This Row],[Surgery Start Date]]=BDate),0,1),0))*1440),0)</f>
        <v>0</v>
      </c>
      <c r="CX250" s="9" cm="1">
        <f t="array" ref="CX250">IFERROR(IF(ISBLANK(INDEX(Bay_PmOpen,MATCH(1,INDEX((tbl_Case_mins[[#This Row],[Bay]]=BayNo)*(tbl_Case_mins[[#This Row],[Surgery Start Date]]=BDate),0,1),0))*1440),0,INDEX(Bay_PmOpen,MATCH(1,INDEX((tbl_Case_mins[[#This Row],[Bay]]=BayNo)*(tbl_Case_mins[[#This Row],[Surgery Start Date]]=BDate),0,1),0))*1440),0)</f>
        <v>0</v>
      </c>
      <c r="CY25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0" s="9"/>
    </row>
    <row r="251" spans="1:104" x14ac:dyDescent="0.2">
      <c r="A251">
        <v>250</v>
      </c>
      <c r="B251" t="e">
        <f>#REF!</f>
        <v>#REF!</v>
      </c>
      <c r="C251" t="e">
        <f>#REF!</f>
        <v>#REF!</v>
      </c>
      <c r="D251" t="e">
        <f>#REF!</f>
        <v>#REF!</v>
      </c>
      <c r="E251" t="e">
        <f>#REF!</f>
        <v>#REF!</v>
      </c>
      <c r="F251" t="e">
        <f>#REF!</f>
        <v>#REF!</v>
      </c>
      <c r="G251" t="e">
        <f>#REF!</f>
        <v>#REF!</v>
      </c>
      <c r="H251" t="e">
        <f>#REF!</f>
        <v>#REF!</v>
      </c>
      <c r="I251" t="e">
        <f>IF(#REF!="Case Cancelled",1,IF(#REF!="No Cases",2,0))</f>
        <v>#REF!</v>
      </c>
      <c r="J251" t="e">
        <f>#REF!</f>
        <v>#REF!</v>
      </c>
      <c r="K251" s="4" t="e">
        <f>#REF!</f>
        <v>#REF!</v>
      </c>
      <c r="L251" t="e">
        <f>"Wk "&amp;WEEKNUM(tbl_Case_mins[[#This Row],[Surgery Start Date]],21)</f>
        <v>#REF!</v>
      </c>
      <c r="M251" t="e">
        <f>TEXT(tbl_Case_mins[[#This Row],[Surgery Start Date]],"ddd")</f>
        <v>#REF!</v>
      </c>
      <c r="N251" s="9" t="e">
        <f>(#REF!-TIME(0,0,0))*1440</f>
        <v>#REF!</v>
      </c>
      <c r="O251" t="e">
        <f>IF(AND(ROUND((#REF!-TIME(0,0,0))*1440,0)&gt;0,ROUND((#REF!-TIME(0,0,0))*1440,0)&lt;tbl_Case_mins[[#This Row],[Patient Called]],tbl_Case_mins[[#This Row],[Surgery End Date]]&gt;tbl_Case_mins[[#This Row],[Surgery Start Date]]),ROUND((#REF!-TIME(0,0,0))*1440,0)+1440,ROUND((#REF!-TIME(0,0,0))*1440,0))</f>
        <v>#REF!</v>
      </c>
      <c r="P251" s="9" t="e">
        <f>IF(AND(ROUND((#REF!-TIME(0,0,0))*1440,0)&gt;0,ROUND((#REF!-TIME(0,0,0))*1440,0)&lt;tbl_Case_mins[[#This Row],[Arrival]],tbl_Case_mins[[#This Row],[Surgery End Date]]&gt;tbl_Case_mins[[#This Row],[Surgery Start Date]]),ROUND((#REF!-TIME(0,0,0))*1440,0)+1440,ROUND((#REF!-TIME(0,0,0))*1440,0))</f>
        <v>#REF!</v>
      </c>
      <c r="Q251" s="9" t="e">
        <f>IF(AND(ROUND((#REF!-TIME(0,0,0))*1440,0)&gt;0,ROUND((#REF!-TIME(0,0,0))*1440,0)&lt;tbl_Case_mins[[#This Row],[Into Th or AR]],tbl_Case_mins[[#This Row],[Surgery End Date]]&gt;tbl_Case_mins[[#This Row],[Surgery Start Date]]),ROUND((#REF!-TIME(0,0,0))*1440,0)+1440,ROUND((#REF!-TIME(0,0,0))*1440,0))</f>
        <v>#REF!</v>
      </c>
      <c r="R251" s="9" t="e">
        <f>IF(AND(ROUND((#REF!-TIME(0,0,0))*1440,0)&gt;0,ROUND((#REF!-TIME(0,0,0))*1440,0)&lt;tbl_Case_mins[[#This Row],[AnaesthStart]],tbl_Case_mins[[#This Row],[Surgery End Date]]&gt;tbl_Case_mins[[#This Row],[Surgery Start Date]]),ROUND((#REF!-TIME(0,0,0))*1440,0)+1440,ROUND((#REF!-TIME(0,0,0))*1440,0))</f>
        <v>#REF!</v>
      </c>
      <c r="S251" s="9" t="e">
        <f>IF(AND(ROUND((#REF!-TIME(0,0,0))*1440,0),ROUND((#REF!-TIME(0,0,0))*1440,0)&lt;tbl_Case_mins[[#This Row],[Surgery Start]],tbl_Case_mins[[#This Row],[Surgery End Date]]&gt;tbl_Case_mins[[#This Row],[Surgery Start Date]]),ROUND((#REF!-TIME(0,0,0))*1440,0)+1440,ROUND((#REF!-TIME(0,0,0))*1440,0))</f>
        <v>#REF!</v>
      </c>
      <c r="T251" s="9" t="e">
        <f>IF(AND(ROUND((#REF!-TIME(0,0,0))*1440,0)&gt;0,ROUND((#REF!-TIME(0,0,0))*1440,0)&lt;tbl_Case_mins[[#This Row],[Surgery Finish]],tbl_Case_mins[[#This Row],[Surgery End Date]]&gt;tbl_Case_mins[[#This Row],[Surgery Start Date]]),ROUND((#REF!-TIME(0,0,0))*1440,0)+1440,ROUND((#REF!-TIME(0,0,0))*1440,0))</f>
        <v>#REF!</v>
      </c>
      <c r="U251" s="9" t="e">
        <f>IF(AND(ROUND((#REF!-TIME(0,0,0))*1440,0)&gt;0,ROUND((#REF!-TIME(0,0,0))*1440,0)&lt;tbl_Case_mins[[#This Row],[Anaesth End]],tbl_Case_mins[[#This Row],[Surgery End Date]]&gt;tbl_Case_mins[[#This Row],[Surgery Start Date]]),ROUND((#REF!-TIME(0,0,0))*1440,0)+1440,ROUND((#REF!-TIME(0,0,0))*1440,0))</f>
        <v>#REF!</v>
      </c>
      <c r="V251" s="9" t="e">
        <f>IF(AND(ROUND((#REF!-TIME(0,0,0))*1440,0)&gt;0,ROUND((#REF!-TIME(0,0,0))*1440,0)&lt;tbl_Case_mins[[#This Row],[Into Recov]],tbl_Case_mins[[#This Row],[Surgery End Date]]&gt;tbl_Case_mins[[#This Row],[Surgery Start Date]]),ROUND((#REF!-TIME(0,0,0))*1440,0)+1440,ROUND((#REF!-TIME(0,0,0))*1440,0))</f>
        <v>#REF!</v>
      </c>
      <c r="W251" s="9" t="e">
        <f>IF(AND(ROUND((#REF!-TIME(0,0,0))*1440,0)&gt;0,ROUND((#REF!-TIME(0,0,0))*1440,0)&lt;tbl_Case_mins[[#This Row],[Ward Called]],tbl_Case_mins[[#This Row],[Surgery End Date]]&gt;tbl_Case_mins[[#This Row],[Surgery Start Date]]),ROUND((#REF!-TIME(0,0,0))*1440,0)+1440,ROUND((#REF!-TIME(0,0,0))*1440,0))</f>
        <v>#REF!</v>
      </c>
      <c r="X251" s="4" t="e">
        <f>IF(ISBLANK(#REF!),tbl_Case_mins[[#This Row],[Surgery Start Date]],#REF!)</f>
        <v>#REF!</v>
      </c>
      <c r="Y251">
        <f>IFERROR(IF(VLOOKUP(tbl_Case_mins[[#This Row],[Theatre]],'Mng Theatres'!$C$7:$G$12,3,FALSE)="Yes","Yes","No"),0)</f>
        <v>0</v>
      </c>
      <c r="Z251" s="9" t="e" cm="1">
        <f t="array" ref="Z25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1" s="9" t="e" cm="1">
        <f t="array" ref="AA25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1" s="9" t="e">
        <f>IF(tbl_Case_mins[[#This Row],[Case Type]]="Unsch",1,0)</f>
        <v>#REF!</v>
      </c>
      <c r="AD251" s="9" t="e">
        <f>IF(tbl_Case_mins[[#This Row],[Case Type]]="Sch",1,0)</f>
        <v>#REF!</v>
      </c>
      <c r="AE25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1" s="9">
        <f>IFERROR(IF(ISBLANK(INDEX(Am_Close,MATCH(1,INDEX((tbl_Case_mins[[#This Row],[Theatre]]=Theatre_No)*(tbl_Case_mins[[#This Row],[Surgery Start Date]]=Date),0,1),0))*1440),0,INDEX(Am_Close,MATCH(1,INDEX((tbl_Case_mins[[#This Row],[Theatre]]=Theatre_No)*(tbl_Case_mins[[#This Row],[Surgery Start Date]]=Date),0,1),0))*1440),0)</f>
        <v>0</v>
      </c>
      <c r="AG251" s="9">
        <f>IFERROR(IF(ISBLANK(INDEX(PM_Open,MATCH(1,INDEX((tbl_Case_mins[[#This Row],[Theatre]]=Theatre_No)*(tbl_Case_mins[[#This Row],[Surgery Start Date]]=Date),0,1),0))*1440),0,INDEX(PM_Open,MATCH(1,INDEX((tbl_Case_mins[[#This Row],[Theatre]]=Theatre_No)*(tbl_Case_mins[[#This Row],[Surgery Start Date]]=Date),0,1),0))*1440),0)</f>
        <v>0</v>
      </c>
      <c r="AH25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1" s="9" t="e">
        <f>IF(tbl_Case_mins[[#This Row],[ThOpenAm]]=0,tbl_Case_mins[[#This Row],[ThOpenPM]],tbl_Case_mins[[#This Row],[ThOpenAm]])</f>
        <v>#REF!</v>
      </c>
      <c r="AJ251" s="9" t="e">
        <f>IF(tbl_Case_mins[[#This Row],[ThCloseAm]]&gt;0,IF(tbl_Case_mins[[#This Row],[ThOpenPM]]&gt;0,tbl_Case_mins[[#This Row],[ThClosePm]],tbl_Case_mins[[#This Row],[ThCloseAm]]),tbl_Case_mins[[#This Row],[ThClosePm]])</f>
        <v>#REF!</v>
      </c>
      <c r="AK251" s="9" t="e">
        <f>IF(tbl_Case_mins[[#This Row],[TOT]]&gt;0,1,0)</f>
        <v>#REF!</v>
      </c>
      <c r="AL25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1" s="9" t="e">
        <f>IF(AND(tbl_Case_mins[[#This Row],[Surgery Status]]&lt;&gt;2,tbl_Case_mins[[#This Row],[InCoreCase]]=0,tbl_Case_mins[[#This Row],[CancelledCase]]=0),1,0)</f>
        <v>#REF!</v>
      </c>
      <c r="AN251" s="9" t="e">
        <f>IF(tbl_Case_mins[[#This Row],[Surgery Status]]=1,1,0)</f>
        <v>#REF!</v>
      </c>
      <c r="AO25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1" s="9" t="e">
        <f>IF(AND(tbl_Case_mins[[#This Row],[NonCoreCase]]=1,tbl_Case_mins[[#This Row],[NoInCoreTime]]=0),1,0)</f>
        <v>#REF!</v>
      </c>
      <c r="AQ251" s="9" t="e">
        <f>IF(tbl_Case_mins[[#This Row],[Rank_AnaEnd]]&lt;tbl_Case_mins[[#This Row],[Rank_AnaSt]],1,0)</f>
        <v>#REF!</v>
      </c>
      <c r="AR251" s="9" t="e">
        <f>IF(AND(tbl_Case_mins[[#This Row],[InCoreCase]]=1,tbl_Case_mins[[#This Row],[Sch]]=1),1,0)</f>
        <v>#REF!</v>
      </c>
      <c r="AS251" s="9" t="e">
        <f>IF(AND(tbl_Case_mins[[#This Row],[InCoreCase]]=1,tbl_Case_mins[[#This Row],[Unsch]]=1),1,0)</f>
        <v>#REF!</v>
      </c>
      <c r="AT25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1" s="9" t="e">
        <f>IF(tbl_Case_mins[[#This Row],[Surgery Status]]=0,(tbl_Case_mins[[#This Row],[Anaesth End]]-tbl_Case_mins[[#This Row],[AnaesthStart]]),0)</f>
        <v>#REF!</v>
      </c>
      <c r="AX251" s="9" t="e">
        <f>IF(tbl_Case_mins[[#This Row],[Surgery Status]]=0,(tbl_Case_mins[[#This Row],[Surgery Finish]]-tbl_Case_mins[[#This Row],[Surgery Start]]),0)</f>
        <v>#REF!</v>
      </c>
      <c r="AY251" s="9" t="e">
        <f>tbl_Case_mins[[#This Row],[Surgery Start]]-tbl_Case_mins[[#This Row],[AnaesthStart]]</f>
        <v>#REF!</v>
      </c>
      <c r="AZ251" s="9" t="e">
        <f>tbl_Case_mins[[#This Row],[Anaesth End]]-tbl_Case_mins[[#This Row],[Surgery Finish]]</f>
        <v>#REF!</v>
      </c>
      <c r="BA25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1" s="16" cm="1">
        <f t="array" ref="BC25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1" s="16" t="e">
        <f>IF(AND(tbl_Case_mins[[#This Row],[FirstAMCase]]=1,tbl_Case_mins[[#This Row],[CancelledCase]]=0,OR(tbl_Case_mins[[#This Row],[EarlyStartAM]]&gt;0,tbl_Case_mins[[#This Row],[AnaesthStart]]=tbl_Case_mins[[#This Row],[ThOpenAm]])),1,0)</f>
        <v>#REF!</v>
      </c>
      <c r="BE251" s="16" t="e">
        <f>IF(AND(tbl_Case_mins[[#This Row],[Rank_AnaSt]]=tbl_Case_mins[[#This Row],[Min_RankAnaSt]],tbl_Case_mins[[#This Row],[Anaesth End]]&gt;=tbl_Case_mins[[#This Row],[ThOpenAm]],tbl_Case_mins[[#This Row],[PmCase]]=0),1,0)</f>
        <v>#REF!</v>
      </c>
      <c r="BF25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1" s="9" t="e" cm="1">
        <f t="array" ref="BH25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1" s="9" t="e">
        <f>IF(AND(tbl_Case_mins[[#This Row],[ThOpenPM]]&gt;0,tbl_Case_mins[[#This Row],[AnaesthStart]]&gt;tbl_Case_mins[[#This Row],[ThOpenPM]],tbl_Case_mins[[#This Row],[First PM Case]]=1),tbl_Case_mins[[#This Row],[AnaesthStart]]-tbl_Case_mins[[#This Row],[ThOpenPM]],0)</f>
        <v>#REF!</v>
      </c>
      <c r="BL25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1" s="9" t="e" cm="1">
        <f t="array" ref="BN25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1" s="9" t="e">
        <f>IF(AND(tbl_Case_mins[[#This Row],[ThClosePm]]&gt;0,tbl_Case_mins[[#This Row],[Anaesth End]]&gt;tbl_Case_mins[[#This Row],[ThClosePm]],tbl_Case_mins[[#This Row],[AnaesthStart]]&gt;tbl_Case_mins[[#This Row],[ThClosePm]]),tbl_Case_mins[[#This Row],[Into Recov]]-tbl_Case_mins[[#This Row],[AnaesthStart]],0)</f>
        <v>#REF!</v>
      </c>
      <c r="BP251" s="9" t="e">
        <f>IF(AND(tbl_Case_mins[[#This Row],[AnaesthStart]]&lt;tbl_Case_mins[[#This Row],[ThClosePm]],tbl_Case_mins[[#This Row],[Anaesth End]]&gt;tbl_Case_mins[[#This Row],[ThClosePm]]),tbl_Case_mins[[#This Row],[Anaesth End]]-tbl_Case_mins[[#This Row],[ThClosePm]],0)</f>
        <v>#REF!</v>
      </c>
      <c r="BQ251" s="9" t="e" cm="1">
        <f t="array" ref="BQ25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1" s="9" t="e" cm="1">
        <f t="array" ref="BR251">IF(tbl_Case_mins[[#This Row],[Rank_Adjust]]=SUMPRODUCT(-(tbl_Case_mins[Surgery Start Date]=tbl_Case_mins[[#This Row],[Surgery Start Date]]),-(tbl_Case_mins[Theatre]=tbl_Case_mins[[#This Row],[Theatre]])),INDEX(Poss_Time,MATCH(TEXT(tbl_Case_mins[[#This Row],[Surgery Start Date]],"ddd"),Day,0)),0)</f>
        <v>#REF!</v>
      </c>
      <c r="BS251" s="9" t="e">
        <f>tbl_Case_mins[[#This Row],[Core_Time]]*Util_Goal</f>
        <v>#REF!</v>
      </c>
      <c r="BT251" s="9" t="e" cm="1">
        <f t="array" ref="BT2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1" s="9" t="e" cm="1">
        <f t="array" ref="BU2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1" s="9" t="e">
        <f>IF(tbl_Case_mins[[#This Row],[Surgery End Date]]&gt;tbl_Case_mins[[#This Row],[Surgery Start Date]],tbl_Case_mins[[#This Row],[Anaesth End]]-1440,0)</f>
        <v>#REF!</v>
      </c>
      <c r="BY251" s="9" t="e">
        <f>tbl_Case_mins[[#This Row],[Total_NonCore]]-tbl_Case_mins[[#This Row],[NextDay_NonCore]]</f>
        <v>#REF!</v>
      </c>
      <c r="BZ251" s="10" t="e">
        <f>tbl_Case_mins[[#This Row],[InCoreUse]]/60</f>
        <v>#REF!</v>
      </c>
      <c r="CA251" s="10" t="e">
        <f>tbl_Case_mins[[#This Row],[Total_NonCore]]/60</f>
        <v>#REF!</v>
      </c>
      <c r="CB251" t="e" cm="1">
        <f t="array" ref="CB2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1" s="9" t="e" cm="1">
        <f t="array" ref="CC25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1" s="9" t="e" cm="1">
        <f t="array" ref="CD2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1" s="9" t="e" cm="1">
        <f t="array" ref="CE25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1" s="9" cm="1">
        <f t="array" ref="CF251">IFERROR(_xlfn.AGGREGATE(14,6,(tbl_Case_mins[Rank_AnaEnd])/((tbl_Case_mins[Surgery Start Date]=tbl_Case_mins[[#This Row],[Surgery Start Date]])*(tbl_Case_mins[Theatre]=tbl_Case_mins[[#This Row],[Theatre]])*(tbl_Case_mins[NoInCoreTime]=0)),1),-1)</f>
        <v>-1</v>
      </c>
      <c r="CG251" s="9" cm="1">
        <f t="array" ref="CG251">IFERROR(_xlfn.AGGREGATE(15,6,(tbl_Case_mins[Rank_AnaSt])/((tbl_Case_mins[Surgery Start Date]=tbl_Case_mins[[#This Row],[Surgery Start Date]])*(tbl_Case_mins[Theatre]=tbl_Case_mins[[#This Row],[Theatre]])*(tbl_Case_mins[NoInCoreTime]=0)),1),-1)</f>
        <v>-1</v>
      </c>
      <c r="CH25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1" t="e" cm="1">
        <f t="array" ref="CJ25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1" s="9" cm="1">
        <f t="array" ref="CO2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1" s="9" cm="1">
        <f t="array" ref="CP2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1" s="9" cm="1">
        <f t="array" ref="CQ251">IFERROR(IF(AND(tbl_Case_mins[[#This Row],[FirstAMCase]]=0,tbl_Case_mins[[#This Row],[Rank]]=_xlfn.AGGREGATE(14,6,(tbl_Case_mins[Rank])/((tbl_Case_mins[Surgery Start Date]=tbl_Case_mins[[#This Row],[Surgery Start Date]])*(tbl_Case_mins[Theatre]=tbl_Case_mins[[#This Row],[Theatre]])*(tbl_Case_mins[AmCase]=1)),1)),1,0),0)</f>
        <v>0</v>
      </c>
      <c r="CR251" s="9" cm="1">
        <f t="array" ref="CR25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1" s="9" t="e" cm="1">
        <f t="array" ref="CS25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1" s="9" cm="1">
        <f t="array" ref="CT251">IFERROR(IF(tbl_Case_mins[[#This Row],[Rank]]=_xlfn.AGGREGATE(15,6,(tbl_Case_mins[Rank])/((tbl_Case_mins[Surgery Start Date]=tbl_Case_mins[[#This Row],[Surgery Start Date]])*(tbl_Case_mins[Theatre]=tbl_Case_mins[[#This Row],[Theatre]])*(tbl_Case_mins[PmCase]=1)),1),1,0),0)</f>
        <v>0</v>
      </c>
      <c r="CU251">
        <f>IFERROR(#REF!,0)</f>
        <v>0</v>
      </c>
      <c r="CV251" s="9" t="e" cm="1">
        <f t="array" ref="CV25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1" s="9">
        <f>IFERROR(IF(ISBLANK(INDEX(Bay_AmClose,MATCH(1,INDEX((tbl_Case_mins[[#This Row],[Bay]]=BayNo)*(tbl_Case_mins[[#This Row],[Surgery Start Date]]=BDate),0,1),0))*1440),0,INDEX(Bay_AmClose,MATCH(1,INDEX((tbl_Case_mins[[#This Row],[Bay]]=BayNo)*(tbl_Case_mins[[#This Row],[Surgery Start Date]]=BDate),0,1),0))*1440),0)</f>
        <v>0</v>
      </c>
      <c r="CX251" s="9" cm="1">
        <f t="array" ref="CX251">IFERROR(IF(ISBLANK(INDEX(Bay_PmOpen,MATCH(1,INDEX((tbl_Case_mins[[#This Row],[Bay]]=BayNo)*(tbl_Case_mins[[#This Row],[Surgery Start Date]]=BDate),0,1),0))*1440),0,INDEX(Bay_PmOpen,MATCH(1,INDEX((tbl_Case_mins[[#This Row],[Bay]]=BayNo)*(tbl_Case_mins[[#This Row],[Surgery Start Date]]=BDate),0,1),0))*1440),0)</f>
        <v>0</v>
      </c>
      <c r="CY25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1" s="9"/>
    </row>
    <row r="252" spans="1:104" x14ac:dyDescent="0.2">
      <c r="A252">
        <v>251</v>
      </c>
      <c r="B252" t="e">
        <f>#REF!</f>
        <v>#REF!</v>
      </c>
      <c r="C252" t="e">
        <f>#REF!</f>
        <v>#REF!</v>
      </c>
      <c r="D252" t="e">
        <f>#REF!</f>
        <v>#REF!</v>
      </c>
      <c r="E252" t="e">
        <f>#REF!</f>
        <v>#REF!</v>
      </c>
      <c r="F252" t="e">
        <f>#REF!</f>
        <v>#REF!</v>
      </c>
      <c r="G252" t="e">
        <f>#REF!</f>
        <v>#REF!</v>
      </c>
      <c r="H252" t="e">
        <f>#REF!</f>
        <v>#REF!</v>
      </c>
      <c r="I252" t="e">
        <f>IF(#REF!="Case Cancelled",1,IF(#REF!="No Cases",2,0))</f>
        <v>#REF!</v>
      </c>
      <c r="J252" t="e">
        <f>#REF!</f>
        <v>#REF!</v>
      </c>
      <c r="K252" s="4" t="e">
        <f>#REF!</f>
        <v>#REF!</v>
      </c>
      <c r="L252" t="e">
        <f>"Wk "&amp;WEEKNUM(tbl_Case_mins[[#This Row],[Surgery Start Date]],21)</f>
        <v>#REF!</v>
      </c>
      <c r="M252" t="e">
        <f>TEXT(tbl_Case_mins[[#This Row],[Surgery Start Date]],"ddd")</f>
        <v>#REF!</v>
      </c>
      <c r="N252" s="9" t="e">
        <f>(#REF!-TIME(0,0,0))*1440</f>
        <v>#REF!</v>
      </c>
      <c r="O252" t="e">
        <f>IF(AND(ROUND((#REF!-TIME(0,0,0))*1440,0)&gt;0,ROUND((#REF!-TIME(0,0,0))*1440,0)&lt;tbl_Case_mins[[#This Row],[Patient Called]],tbl_Case_mins[[#This Row],[Surgery End Date]]&gt;tbl_Case_mins[[#This Row],[Surgery Start Date]]),ROUND((#REF!-TIME(0,0,0))*1440,0)+1440,ROUND((#REF!-TIME(0,0,0))*1440,0))</f>
        <v>#REF!</v>
      </c>
      <c r="P252" s="9" t="e">
        <f>IF(AND(ROUND((#REF!-TIME(0,0,0))*1440,0)&gt;0,ROUND((#REF!-TIME(0,0,0))*1440,0)&lt;tbl_Case_mins[[#This Row],[Arrival]],tbl_Case_mins[[#This Row],[Surgery End Date]]&gt;tbl_Case_mins[[#This Row],[Surgery Start Date]]),ROUND((#REF!-TIME(0,0,0))*1440,0)+1440,ROUND((#REF!-TIME(0,0,0))*1440,0))</f>
        <v>#REF!</v>
      </c>
      <c r="Q252" s="9" t="e">
        <f>IF(AND(ROUND((#REF!-TIME(0,0,0))*1440,0)&gt;0,ROUND((#REF!-TIME(0,0,0))*1440,0)&lt;tbl_Case_mins[[#This Row],[Into Th or AR]],tbl_Case_mins[[#This Row],[Surgery End Date]]&gt;tbl_Case_mins[[#This Row],[Surgery Start Date]]),ROUND((#REF!-TIME(0,0,0))*1440,0)+1440,ROUND((#REF!-TIME(0,0,0))*1440,0))</f>
        <v>#REF!</v>
      </c>
      <c r="R252" s="9" t="e">
        <f>IF(AND(ROUND((#REF!-TIME(0,0,0))*1440,0)&gt;0,ROUND((#REF!-TIME(0,0,0))*1440,0)&lt;tbl_Case_mins[[#This Row],[AnaesthStart]],tbl_Case_mins[[#This Row],[Surgery End Date]]&gt;tbl_Case_mins[[#This Row],[Surgery Start Date]]),ROUND((#REF!-TIME(0,0,0))*1440,0)+1440,ROUND((#REF!-TIME(0,0,0))*1440,0))</f>
        <v>#REF!</v>
      </c>
      <c r="S252" s="9" t="e">
        <f>IF(AND(ROUND((#REF!-TIME(0,0,0))*1440,0),ROUND((#REF!-TIME(0,0,0))*1440,0)&lt;tbl_Case_mins[[#This Row],[Surgery Start]],tbl_Case_mins[[#This Row],[Surgery End Date]]&gt;tbl_Case_mins[[#This Row],[Surgery Start Date]]),ROUND((#REF!-TIME(0,0,0))*1440,0)+1440,ROUND((#REF!-TIME(0,0,0))*1440,0))</f>
        <v>#REF!</v>
      </c>
      <c r="T252" s="9" t="e">
        <f>IF(AND(ROUND((#REF!-TIME(0,0,0))*1440,0)&gt;0,ROUND((#REF!-TIME(0,0,0))*1440,0)&lt;tbl_Case_mins[[#This Row],[Surgery Finish]],tbl_Case_mins[[#This Row],[Surgery End Date]]&gt;tbl_Case_mins[[#This Row],[Surgery Start Date]]),ROUND((#REF!-TIME(0,0,0))*1440,0)+1440,ROUND((#REF!-TIME(0,0,0))*1440,0))</f>
        <v>#REF!</v>
      </c>
      <c r="U252" s="9" t="e">
        <f>IF(AND(ROUND((#REF!-TIME(0,0,0))*1440,0)&gt;0,ROUND((#REF!-TIME(0,0,0))*1440,0)&lt;tbl_Case_mins[[#This Row],[Anaesth End]],tbl_Case_mins[[#This Row],[Surgery End Date]]&gt;tbl_Case_mins[[#This Row],[Surgery Start Date]]),ROUND((#REF!-TIME(0,0,0))*1440,0)+1440,ROUND((#REF!-TIME(0,0,0))*1440,0))</f>
        <v>#REF!</v>
      </c>
      <c r="V252" s="9" t="e">
        <f>IF(AND(ROUND((#REF!-TIME(0,0,0))*1440,0)&gt;0,ROUND((#REF!-TIME(0,0,0))*1440,0)&lt;tbl_Case_mins[[#This Row],[Into Recov]],tbl_Case_mins[[#This Row],[Surgery End Date]]&gt;tbl_Case_mins[[#This Row],[Surgery Start Date]]),ROUND((#REF!-TIME(0,0,0))*1440,0)+1440,ROUND((#REF!-TIME(0,0,0))*1440,0))</f>
        <v>#REF!</v>
      </c>
      <c r="W252" s="9" t="e">
        <f>IF(AND(ROUND((#REF!-TIME(0,0,0))*1440,0)&gt;0,ROUND((#REF!-TIME(0,0,0))*1440,0)&lt;tbl_Case_mins[[#This Row],[Ward Called]],tbl_Case_mins[[#This Row],[Surgery End Date]]&gt;tbl_Case_mins[[#This Row],[Surgery Start Date]]),ROUND((#REF!-TIME(0,0,0))*1440,0)+1440,ROUND((#REF!-TIME(0,0,0))*1440,0))</f>
        <v>#REF!</v>
      </c>
      <c r="X252" s="4" t="e">
        <f>IF(ISBLANK(#REF!),tbl_Case_mins[[#This Row],[Surgery Start Date]],#REF!)</f>
        <v>#REF!</v>
      </c>
      <c r="Y252">
        <f>IFERROR(IF(VLOOKUP(tbl_Case_mins[[#This Row],[Theatre]],'Mng Theatres'!$C$7:$G$12,3,FALSE)="Yes","Yes","No"),0)</f>
        <v>0</v>
      </c>
      <c r="Z252" s="9" t="e" cm="1">
        <f t="array" ref="Z25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2" s="9" t="e" cm="1">
        <f t="array" ref="AA25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2" s="9" t="e">
        <f>IF(tbl_Case_mins[[#This Row],[Case Type]]="Unsch",1,0)</f>
        <v>#REF!</v>
      </c>
      <c r="AD252" s="9" t="e">
        <f>IF(tbl_Case_mins[[#This Row],[Case Type]]="Sch",1,0)</f>
        <v>#REF!</v>
      </c>
      <c r="AE25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2" s="9">
        <f>IFERROR(IF(ISBLANK(INDEX(Am_Close,MATCH(1,INDEX((tbl_Case_mins[[#This Row],[Theatre]]=Theatre_No)*(tbl_Case_mins[[#This Row],[Surgery Start Date]]=Date),0,1),0))*1440),0,INDEX(Am_Close,MATCH(1,INDEX((tbl_Case_mins[[#This Row],[Theatre]]=Theatre_No)*(tbl_Case_mins[[#This Row],[Surgery Start Date]]=Date),0,1),0))*1440),0)</f>
        <v>0</v>
      </c>
      <c r="AG252" s="9">
        <f>IFERROR(IF(ISBLANK(INDEX(PM_Open,MATCH(1,INDEX((tbl_Case_mins[[#This Row],[Theatre]]=Theatre_No)*(tbl_Case_mins[[#This Row],[Surgery Start Date]]=Date),0,1),0))*1440),0,INDEX(PM_Open,MATCH(1,INDEX((tbl_Case_mins[[#This Row],[Theatre]]=Theatre_No)*(tbl_Case_mins[[#This Row],[Surgery Start Date]]=Date),0,1),0))*1440),0)</f>
        <v>0</v>
      </c>
      <c r="AH25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2" s="9" t="e">
        <f>IF(tbl_Case_mins[[#This Row],[ThOpenAm]]=0,tbl_Case_mins[[#This Row],[ThOpenPM]],tbl_Case_mins[[#This Row],[ThOpenAm]])</f>
        <v>#REF!</v>
      </c>
      <c r="AJ252" s="9" t="e">
        <f>IF(tbl_Case_mins[[#This Row],[ThCloseAm]]&gt;0,IF(tbl_Case_mins[[#This Row],[ThOpenPM]]&gt;0,tbl_Case_mins[[#This Row],[ThClosePm]],tbl_Case_mins[[#This Row],[ThCloseAm]]),tbl_Case_mins[[#This Row],[ThClosePm]])</f>
        <v>#REF!</v>
      </c>
      <c r="AK252" s="9" t="e">
        <f>IF(tbl_Case_mins[[#This Row],[TOT]]&gt;0,1,0)</f>
        <v>#REF!</v>
      </c>
      <c r="AL25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2" s="9" t="e">
        <f>IF(AND(tbl_Case_mins[[#This Row],[Surgery Status]]&lt;&gt;2,tbl_Case_mins[[#This Row],[InCoreCase]]=0,tbl_Case_mins[[#This Row],[CancelledCase]]=0),1,0)</f>
        <v>#REF!</v>
      </c>
      <c r="AN252" s="9" t="e">
        <f>IF(tbl_Case_mins[[#This Row],[Surgery Status]]=1,1,0)</f>
        <v>#REF!</v>
      </c>
      <c r="AO25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2" s="9" t="e">
        <f>IF(AND(tbl_Case_mins[[#This Row],[NonCoreCase]]=1,tbl_Case_mins[[#This Row],[NoInCoreTime]]=0),1,0)</f>
        <v>#REF!</v>
      </c>
      <c r="AQ252" s="9" t="e">
        <f>IF(tbl_Case_mins[[#This Row],[Rank_AnaEnd]]&lt;tbl_Case_mins[[#This Row],[Rank_AnaSt]],1,0)</f>
        <v>#REF!</v>
      </c>
      <c r="AR252" s="9" t="e">
        <f>IF(AND(tbl_Case_mins[[#This Row],[InCoreCase]]=1,tbl_Case_mins[[#This Row],[Sch]]=1),1,0)</f>
        <v>#REF!</v>
      </c>
      <c r="AS252" s="9" t="e">
        <f>IF(AND(tbl_Case_mins[[#This Row],[InCoreCase]]=1,tbl_Case_mins[[#This Row],[Unsch]]=1),1,0)</f>
        <v>#REF!</v>
      </c>
      <c r="AT25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2" s="9" t="e">
        <f>IF(tbl_Case_mins[[#This Row],[Surgery Status]]=0,(tbl_Case_mins[[#This Row],[Anaesth End]]-tbl_Case_mins[[#This Row],[AnaesthStart]]),0)</f>
        <v>#REF!</v>
      </c>
      <c r="AX252" s="9" t="e">
        <f>IF(tbl_Case_mins[[#This Row],[Surgery Status]]=0,(tbl_Case_mins[[#This Row],[Surgery Finish]]-tbl_Case_mins[[#This Row],[Surgery Start]]),0)</f>
        <v>#REF!</v>
      </c>
      <c r="AY252" s="9" t="e">
        <f>tbl_Case_mins[[#This Row],[Surgery Start]]-tbl_Case_mins[[#This Row],[AnaesthStart]]</f>
        <v>#REF!</v>
      </c>
      <c r="AZ252" s="9" t="e">
        <f>tbl_Case_mins[[#This Row],[Anaesth End]]-tbl_Case_mins[[#This Row],[Surgery Finish]]</f>
        <v>#REF!</v>
      </c>
      <c r="BA25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2" s="16" cm="1">
        <f t="array" ref="BC25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2" s="16" t="e">
        <f>IF(AND(tbl_Case_mins[[#This Row],[FirstAMCase]]=1,tbl_Case_mins[[#This Row],[CancelledCase]]=0,OR(tbl_Case_mins[[#This Row],[EarlyStartAM]]&gt;0,tbl_Case_mins[[#This Row],[AnaesthStart]]=tbl_Case_mins[[#This Row],[ThOpenAm]])),1,0)</f>
        <v>#REF!</v>
      </c>
      <c r="BE252" s="16" t="e">
        <f>IF(AND(tbl_Case_mins[[#This Row],[Rank_AnaSt]]=tbl_Case_mins[[#This Row],[Min_RankAnaSt]],tbl_Case_mins[[#This Row],[Anaesth End]]&gt;=tbl_Case_mins[[#This Row],[ThOpenAm]],tbl_Case_mins[[#This Row],[PmCase]]=0),1,0)</f>
        <v>#REF!</v>
      </c>
      <c r="BF25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2" s="9" t="e" cm="1">
        <f t="array" ref="BH25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2" s="9" t="e">
        <f>IF(AND(tbl_Case_mins[[#This Row],[ThOpenPM]]&gt;0,tbl_Case_mins[[#This Row],[AnaesthStart]]&gt;tbl_Case_mins[[#This Row],[ThOpenPM]],tbl_Case_mins[[#This Row],[First PM Case]]=1),tbl_Case_mins[[#This Row],[AnaesthStart]]-tbl_Case_mins[[#This Row],[ThOpenPM]],0)</f>
        <v>#REF!</v>
      </c>
      <c r="BL25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2" s="9" t="e" cm="1">
        <f t="array" ref="BN25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2" s="9" t="e">
        <f>IF(AND(tbl_Case_mins[[#This Row],[ThClosePm]]&gt;0,tbl_Case_mins[[#This Row],[Anaesth End]]&gt;tbl_Case_mins[[#This Row],[ThClosePm]],tbl_Case_mins[[#This Row],[AnaesthStart]]&gt;tbl_Case_mins[[#This Row],[ThClosePm]]),tbl_Case_mins[[#This Row],[Into Recov]]-tbl_Case_mins[[#This Row],[AnaesthStart]],0)</f>
        <v>#REF!</v>
      </c>
      <c r="BP252" s="9" t="e">
        <f>IF(AND(tbl_Case_mins[[#This Row],[AnaesthStart]]&lt;tbl_Case_mins[[#This Row],[ThClosePm]],tbl_Case_mins[[#This Row],[Anaesth End]]&gt;tbl_Case_mins[[#This Row],[ThClosePm]]),tbl_Case_mins[[#This Row],[Anaesth End]]-tbl_Case_mins[[#This Row],[ThClosePm]],0)</f>
        <v>#REF!</v>
      </c>
      <c r="BQ252" s="9" t="e" cm="1">
        <f t="array" ref="BQ25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2" s="9" t="e" cm="1">
        <f t="array" ref="BR252">IF(tbl_Case_mins[[#This Row],[Rank_Adjust]]=SUMPRODUCT(-(tbl_Case_mins[Surgery Start Date]=tbl_Case_mins[[#This Row],[Surgery Start Date]]),-(tbl_Case_mins[Theatre]=tbl_Case_mins[[#This Row],[Theatre]])),INDEX(Poss_Time,MATCH(TEXT(tbl_Case_mins[[#This Row],[Surgery Start Date]],"ddd"),Day,0)),0)</f>
        <v>#REF!</v>
      </c>
      <c r="BS252" s="9" t="e">
        <f>tbl_Case_mins[[#This Row],[Core_Time]]*Util_Goal</f>
        <v>#REF!</v>
      </c>
      <c r="BT252" s="9" t="e" cm="1">
        <f t="array" ref="BT2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2" s="9" t="e" cm="1">
        <f t="array" ref="BU2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2" s="9" t="e">
        <f>IF(tbl_Case_mins[[#This Row],[Surgery End Date]]&gt;tbl_Case_mins[[#This Row],[Surgery Start Date]],tbl_Case_mins[[#This Row],[Anaesth End]]-1440,0)</f>
        <v>#REF!</v>
      </c>
      <c r="BY252" s="9" t="e">
        <f>tbl_Case_mins[[#This Row],[Total_NonCore]]-tbl_Case_mins[[#This Row],[NextDay_NonCore]]</f>
        <v>#REF!</v>
      </c>
      <c r="BZ252" s="10" t="e">
        <f>tbl_Case_mins[[#This Row],[InCoreUse]]/60</f>
        <v>#REF!</v>
      </c>
      <c r="CA252" s="10" t="e">
        <f>tbl_Case_mins[[#This Row],[Total_NonCore]]/60</f>
        <v>#REF!</v>
      </c>
      <c r="CB252" t="e" cm="1">
        <f t="array" ref="CB2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2" s="9" t="e" cm="1">
        <f t="array" ref="CC25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2" s="9" t="e" cm="1">
        <f t="array" ref="CD2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2" s="9" t="e" cm="1">
        <f t="array" ref="CE25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2" s="9" cm="1">
        <f t="array" ref="CF252">IFERROR(_xlfn.AGGREGATE(14,6,(tbl_Case_mins[Rank_AnaEnd])/((tbl_Case_mins[Surgery Start Date]=tbl_Case_mins[[#This Row],[Surgery Start Date]])*(tbl_Case_mins[Theatre]=tbl_Case_mins[[#This Row],[Theatre]])*(tbl_Case_mins[NoInCoreTime]=0)),1),-1)</f>
        <v>-1</v>
      </c>
      <c r="CG252" s="9" cm="1">
        <f t="array" ref="CG252">IFERROR(_xlfn.AGGREGATE(15,6,(tbl_Case_mins[Rank_AnaSt])/((tbl_Case_mins[Surgery Start Date]=tbl_Case_mins[[#This Row],[Surgery Start Date]])*(tbl_Case_mins[Theatre]=tbl_Case_mins[[#This Row],[Theatre]])*(tbl_Case_mins[NoInCoreTime]=0)),1),-1)</f>
        <v>-1</v>
      </c>
      <c r="CH25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2" t="e" cm="1">
        <f t="array" ref="CJ25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2" s="9" cm="1">
        <f t="array" ref="CO2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2" s="9" cm="1">
        <f t="array" ref="CP2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2" s="9" cm="1">
        <f t="array" ref="CQ252">IFERROR(IF(AND(tbl_Case_mins[[#This Row],[FirstAMCase]]=0,tbl_Case_mins[[#This Row],[Rank]]=_xlfn.AGGREGATE(14,6,(tbl_Case_mins[Rank])/((tbl_Case_mins[Surgery Start Date]=tbl_Case_mins[[#This Row],[Surgery Start Date]])*(tbl_Case_mins[Theatre]=tbl_Case_mins[[#This Row],[Theatre]])*(tbl_Case_mins[AmCase]=1)),1)),1,0),0)</f>
        <v>0</v>
      </c>
      <c r="CR252" s="9" cm="1">
        <f t="array" ref="CR25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2" s="9" t="e" cm="1">
        <f t="array" ref="CS25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2" s="9" cm="1">
        <f t="array" ref="CT252">IFERROR(IF(tbl_Case_mins[[#This Row],[Rank]]=_xlfn.AGGREGATE(15,6,(tbl_Case_mins[Rank])/((tbl_Case_mins[Surgery Start Date]=tbl_Case_mins[[#This Row],[Surgery Start Date]])*(tbl_Case_mins[Theatre]=tbl_Case_mins[[#This Row],[Theatre]])*(tbl_Case_mins[PmCase]=1)),1),1,0),0)</f>
        <v>0</v>
      </c>
      <c r="CU252">
        <f>IFERROR(#REF!,0)</f>
        <v>0</v>
      </c>
      <c r="CV252" s="9" t="e" cm="1">
        <f t="array" ref="CV25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2" s="9">
        <f>IFERROR(IF(ISBLANK(INDEX(Bay_AmClose,MATCH(1,INDEX((tbl_Case_mins[[#This Row],[Bay]]=BayNo)*(tbl_Case_mins[[#This Row],[Surgery Start Date]]=BDate),0,1),0))*1440),0,INDEX(Bay_AmClose,MATCH(1,INDEX((tbl_Case_mins[[#This Row],[Bay]]=BayNo)*(tbl_Case_mins[[#This Row],[Surgery Start Date]]=BDate),0,1),0))*1440),0)</f>
        <v>0</v>
      </c>
      <c r="CX252" s="9" cm="1">
        <f t="array" ref="CX252">IFERROR(IF(ISBLANK(INDEX(Bay_PmOpen,MATCH(1,INDEX((tbl_Case_mins[[#This Row],[Bay]]=BayNo)*(tbl_Case_mins[[#This Row],[Surgery Start Date]]=BDate),0,1),0))*1440),0,INDEX(Bay_PmOpen,MATCH(1,INDEX((tbl_Case_mins[[#This Row],[Bay]]=BayNo)*(tbl_Case_mins[[#This Row],[Surgery Start Date]]=BDate),0,1),0))*1440),0)</f>
        <v>0</v>
      </c>
      <c r="CY25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2" s="9"/>
    </row>
    <row r="253" spans="1:104" x14ac:dyDescent="0.2">
      <c r="A253">
        <v>252</v>
      </c>
      <c r="B253" t="e">
        <f>#REF!</f>
        <v>#REF!</v>
      </c>
      <c r="C253" t="e">
        <f>#REF!</f>
        <v>#REF!</v>
      </c>
      <c r="D253" t="e">
        <f>#REF!</f>
        <v>#REF!</v>
      </c>
      <c r="E253" t="e">
        <f>#REF!</f>
        <v>#REF!</v>
      </c>
      <c r="F253" t="e">
        <f>#REF!</f>
        <v>#REF!</v>
      </c>
      <c r="G253" t="e">
        <f>#REF!</f>
        <v>#REF!</v>
      </c>
      <c r="H253" t="e">
        <f>#REF!</f>
        <v>#REF!</v>
      </c>
      <c r="I253" t="e">
        <f>IF(#REF!="Case Cancelled",1,IF(#REF!="No Cases",2,0))</f>
        <v>#REF!</v>
      </c>
      <c r="J253" t="e">
        <f>#REF!</f>
        <v>#REF!</v>
      </c>
      <c r="K253" s="4" t="e">
        <f>#REF!</f>
        <v>#REF!</v>
      </c>
      <c r="L253" t="e">
        <f>"Wk "&amp;WEEKNUM(tbl_Case_mins[[#This Row],[Surgery Start Date]],21)</f>
        <v>#REF!</v>
      </c>
      <c r="M253" t="e">
        <f>TEXT(tbl_Case_mins[[#This Row],[Surgery Start Date]],"ddd")</f>
        <v>#REF!</v>
      </c>
      <c r="N253" s="9" t="e">
        <f>(#REF!-TIME(0,0,0))*1440</f>
        <v>#REF!</v>
      </c>
      <c r="O253" t="e">
        <f>IF(AND(ROUND((#REF!-TIME(0,0,0))*1440,0)&gt;0,ROUND((#REF!-TIME(0,0,0))*1440,0)&lt;tbl_Case_mins[[#This Row],[Patient Called]],tbl_Case_mins[[#This Row],[Surgery End Date]]&gt;tbl_Case_mins[[#This Row],[Surgery Start Date]]),ROUND((#REF!-TIME(0,0,0))*1440,0)+1440,ROUND((#REF!-TIME(0,0,0))*1440,0))</f>
        <v>#REF!</v>
      </c>
      <c r="P253" s="9" t="e">
        <f>IF(AND(ROUND((#REF!-TIME(0,0,0))*1440,0)&gt;0,ROUND((#REF!-TIME(0,0,0))*1440,0)&lt;tbl_Case_mins[[#This Row],[Arrival]],tbl_Case_mins[[#This Row],[Surgery End Date]]&gt;tbl_Case_mins[[#This Row],[Surgery Start Date]]),ROUND((#REF!-TIME(0,0,0))*1440,0)+1440,ROUND((#REF!-TIME(0,0,0))*1440,0))</f>
        <v>#REF!</v>
      </c>
      <c r="Q253" s="9" t="e">
        <f>IF(AND(ROUND((#REF!-TIME(0,0,0))*1440,0)&gt;0,ROUND((#REF!-TIME(0,0,0))*1440,0)&lt;tbl_Case_mins[[#This Row],[Into Th or AR]],tbl_Case_mins[[#This Row],[Surgery End Date]]&gt;tbl_Case_mins[[#This Row],[Surgery Start Date]]),ROUND((#REF!-TIME(0,0,0))*1440,0)+1440,ROUND((#REF!-TIME(0,0,0))*1440,0))</f>
        <v>#REF!</v>
      </c>
      <c r="R253" s="9" t="e">
        <f>IF(AND(ROUND((#REF!-TIME(0,0,0))*1440,0)&gt;0,ROUND((#REF!-TIME(0,0,0))*1440,0)&lt;tbl_Case_mins[[#This Row],[AnaesthStart]],tbl_Case_mins[[#This Row],[Surgery End Date]]&gt;tbl_Case_mins[[#This Row],[Surgery Start Date]]),ROUND((#REF!-TIME(0,0,0))*1440,0)+1440,ROUND((#REF!-TIME(0,0,0))*1440,0))</f>
        <v>#REF!</v>
      </c>
      <c r="S253" s="9" t="e">
        <f>IF(AND(ROUND((#REF!-TIME(0,0,0))*1440,0),ROUND((#REF!-TIME(0,0,0))*1440,0)&lt;tbl_Case_mins[[#This Row],[Surgery Start]],tbl_Case_mins[[#This Row],[Surgery End Date]]&gt;tbl_Case_mins[[#This Row],[Surgery Start Date]]),ROUND((#REF!-TIME(0,0,0))*1440,0)+1440,ROUND((#REF!-TIME(0,0,0))*1440,0))</f>
        <v>#REF!</v>
      </c>
      <c r="T253" s="9" t="e">
        <f>IF(AND(ROUND((#REF!-TIME(0,0,0))*1440,0)&gt;0,ROUND((#REF!-TIME(0,0,0))*1440,0)&lt;tbl_Case_mins[[#This Row],[Surgery Finish]],tbl_Case_mins[[#This Row],[Surgery End Date]]&gt;tbl_Case_mins[[#This Row],[Surgery Start Date]]),ROUND((#REF!-TIME(0,0,0))*1440,0)+1440,ROUND((#REF!-TIME(0,0,0))*1440,0))</f>
        <v>#REF!</v>
      </c>
      <c r="U253" s="9" t="e">
        <f>IF(AND(ROUND((#REF!-TIME(0,0,0))*1440,0)&gt;0,ROUND((#REF!-TIME(0,0,0))*1440,0)&lt;tbl_Case_mins[[#This Row],[Anaesth End]],tbl_Case_mins[[#This Row],[Surgery End Date]]&gt;tbl_Case_mins[[#This Row],[Surgery Start Date]]),ROUND((#REF!-TIME(0,0,0))*1440,0)+1440,ROUND((#REF!-TIME(0,0,0))*1440,0))</f>
        <v>#REF!</v>
      </c>
      <c r="V253" s="9" t="e">
        <f>IF(AND(ROUND((#REF!-TIME(0,0,0))*1440,0)&gt;0,ROUND((#REF!-TIME(0,0,0))*1440,0)&lt;tbl_Case_mins[[#This Row],[Into Recov]],tbl_Case_mins[[#This Row],[Surgery End Date]]&gt;tbl_Case_mins[[#This Row],[Surgery Start Date]]),ROUND((#REF!-TIME(0,0,0))*1440,0)+1440,ROUND((#REF!-TIME(0,0,0))*1440,0))</f>
        <v>#REF!</v>
      </c>
      <c r="W253" s="9" t="e">
        <f>IF(AND(ROUND((#REF!-TIME(0,0,0))*1440,0)&gt;0,ROUND((#REF!-TIME(0,0,0))*1440,0)&lt;tbl_Case_mins[[#This Row],[Ward Called]],tbl_Case_mins[[#This Row],[Surgery End Date]]&gt;tbl_Case_mins[[#This Row],[Surgery Start Date]]),ROUND((#REF!-TIME(0,0,0))*1440,0)+1440,ROUND((#REF!-TIME(0,0,0))*1440,0))</f>
        <v>#REF!</v>
      </c>
      <c r="X253" s="4" t="e">
        <f>IF(ISBLANK(#REF!),tbl_Case_mins[[#This Row],[Surgery Start Date]],#REF!)</f>
        <v>#REF!</v>
      </c>
      <c r="Y253">
        <f>IFERROR(IF(VLOOKUP(tbl_Case_mins[[#This Row],[Theatre]],'Mng Theatres'!$C$7:$G$12,3,FALSE)="Yes","Yes","No"),0)</f>
        <v>0</v>
      </c>
      <c r="Z253" s="9" t="e" cm="1">
        <f t="array" ref="Z25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3" s="9" t="e" cm="1">
        <f t="array" ref="AA25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3" s="9" t="e">
        <f>IF(tbl_Case_mins[[#This Row],[Case Type]]="Unsch",1,0)</f>
        <v>#REF!</v>
      </c>
      <c r="AD253" s="9" t="e">
        <f>IF(tbl_Case_mins[[#This Row],[Case Type]]="Sch",1,0)</f>
        <v>#REF!</v>
      </c>
      <c r="AE25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3" s="9">
        <f>IFERROR(IF(ISBLANK(INDEX(Am_Close,MATCH(1,INDEX((tbl_Case_mins[[#This Row],[Theatre]]=Theatre_No)*(tbl_Case_mins[[#This Row],[Surgery Start Date]]=Date),0,1),0))*1440),0,INDEX(Am_Close,MATCH(1,INDEX((tbl_Case_mins[[#This Row],[Theatre]]=Theatre_No)*(tbl_Case_mins[[#This Row],[Surgery Start Date]]=Date),0,1),0))*1440),0)</f>
        <v>0</v>
      </c>
      <c r="AG253" s="9">
        <f>IFERROR(IF(ISBLANK(INDEX(PM_Open,MATCH(1,INDEX((tbl_Case_mins[[#This Row],[Theatre]]=Theatre_No)*(tbl_Case_mins[[#This Row],[Surgery Start Date]]=Date),0,1),0))*1440),0,INDEX(PM_Open,MATCH(1,INDEX((tbl_Case_mins[[#This Row],[Theatre]]=Theatre_No)*(tbl_Case_mins[[#This Row],[Surgery Start Date]]=Date),0,1),0))*1440),0)</f>
        <v>0</v>
      </c>
      <c r="AH25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3" s="9" t="e">
        <f>IF(tbl_Case_mins[[#This Row],[ThOpenAm]]=0,tbl_Case_mins[[#This Row],[ThOpenPM]],tbl_Case_mins[[#This Row],[ThOpenAm]])</f>
        <v>#REF!</v>
      </c>
      <c r="AJ253" s="9" t="e">
        <f>IF(tbl_Case_mins[[#This Row],[ThCloseAm]]&gt;0,IF(tbl_Case_mins[[#This Row],[ThOpenPM]]&gt;0,tbl_Case_mins[[#This Row],[ThClosePm]],tbl_Case_mins[[#This Row],[ThCloseAm]]),tbl_Case_mins[[#This Row],[ThClosePm]])</f>
        <v>#REF!</v>
      </c>
      <c r="AK253" s="9" t="e">
        <f>IF(tbl_Case_mins[[#This Row],[TOT]]&gt;0,1,0)</f>
        <v>#REF!</v>
      </c>
      <c r="AL25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3" s="9" t="e">
        <f>IF(AND(tbl_Case_mins[[#This Row],[Surgery Status]]&lt;&gt;2,tbl_Case_mins[[#This Row],[InCoreCase]]=0,tbl_Case_mins[[#This Row],[CancelledCase]]=0),1,0)</f>
        <v>#REF!</v>
      </c>
      <c r="AN253" s="9" t="e">
        <f>IF(tbl_Case_mins[[#This Row],[Surgery Status]]=1,1,0)</f>
        <v>#REF!</v>
      </c>
      <c r="AO25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3" s="9" t="e">
        <f>IF(AND(tbl_Case_mins[[#This Row],[NonCoreCase]]=1,tbl_Case_mins[[#This Row],[NoInCoreTime]]=0),1,0)</f>
        <v>#REF!</v>
      </c>
      <c r="AQ253" s="9" t="e">
        <f>IF(tbl_Case_mins[[#This Row],[Rank_AnaEnd]]&lt;tbl_Case_mins[[#This Row],[Rank_AnaSt]],1,0)</f>
        <v>#REF!</v>
      </c>
      <c r="AR253" s="9" t="e">
        <f>IF(AND(tbl_Case_mins[[#This Row],[InCoreCase]]=1,tbl_Case_mins[[#This Row],[Sch]]=1),1,0)</f>
        <v>#REF!</v>
      </c>
      <c r="AS253" s="9" t="e">
        <f>IF(AND(tbl_Case_mins[[#This Row],[InCoreCase]]=1,tbl_Case_mins[[#This Row],[Unsch]]=1),1,0)</f>
        <v>#REF!</v>
      </c>
      <c r="AT25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3" s="9" t="e">
        <f>IF(tbl_Case_mins[[#This Row],[Surgery Status]]=0,(tbl_Case_mins[[#This Row],[Anaesth End]]-tbl_Case_mins[[#This Row],[AnaesthStart]]),0)</f>
        <v>#REF!</v>
      </c>
      <c r="AX253" s="9" t="e">
        <f>IF(tbl_Case_mins[[#This Row],[Surgery Status]]=0,(tbl_Case_mins[[#This Row],[Surgery Finish]]-tbl_Case_mins[[#This Row],[Surgery Start]]),0)</f>
        <v>#REF!</v>
      </c>
      <c r="AY253" s="9" t="e">
        <f>tbl_Case_mins[[#This Row],[Surgery Start]]-tbl_Case_mins[[#This Row],[AnaesthStart]]</f>
        <v>#REF!</v>
      </c>
      <c r="AZ253" s="9" t="e">
        <f>tbl_Case_mins[[#This Row],[Anaesth End]]-tbl_Case_mins[[#This Row],[Surgery Finish]]</f>
        <v>#REF!</v>
      </c>
      <c r="BA25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3" s="16" cm="1">
        <f t="array" ref="BC25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3" s="16" t="e">
        <f>IF(AND(tbl_Case_mins[[#This Row],[FirstAMCase]]=1,tbl_Case_mins[[#This Row],[CancelledCase]]=0,OR(tbl_Case_mins[[#This Row],[EarlyStartAM]]&gt;0,tbl_Case_mins[[#This Row],[AnaesthStart]]=tbl_Case_mins[[#This Row],[ThOpenAm]])),1,0)</f>
        <v>#REF!</v>
      </c>
      <c r="BE253" s="16" t="e">
        <f>IF(AND(tbl_Case_mins[[#This Row],[Rank_AnaSt]]=tbl_Case_mins[[#This Row],[Min_RankAnaSt]],tbl_Case_mins[[#This Row],[Anaesth End]]&gt;=tbl_Case_mins[[#This Row],[ThOpenAm]],tbl_Case_mins[[#This Row],[PmCase]]=0),1,0)</f>
        <v>#REF!</v>
      </c>
      <c r="BF25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3" s="9" t="e" cm="1">
        <f t="array" ref="BH25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3" s="9" t="e">
        <f>IF(AND(tbl_Case_mins[[#This Row],[ThOpenPM]]&gt;0,tbl_Case_mins[[#This Row],[AnaesthStart]]&gt;tbl_Case_mins[[#This Row],[ThOpenPM]],tbl_Case_mins[[#This Row],[First PM Case]]=1),tbl_Case_mins[[#This Row],[AnaesthStart]]-tbl_Case_mins[[#This Row],[ThOpenPM]],0)</f>
        <v>#REF!</v>
      </c>
      <c r="BL25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3" s="9" t="e" cm="1">
        <f t="array" ref="BN25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3" s="9" t="e">
        <f>IF(AND(tbl_Case_mins[[#This Row],[ThClosePm]]&gt;0,tbl_Case_mins[[#This Row],[Anaesth End]]&gt;tbl_Case_mins[[#This Row],[ThClosePm]],tbl_Case_mins[[#This Row],[AnaesthStart]]&gt;tbl_Case_mins[[#This Row],[ThClosePm]]),tbl_Case_mins[[#This Row],[Into Recov]]-tbl_Case_mins[[#This Row],[AnaesthStart]],0)</f>
        <v>#REF!</v>
      </c>
      <c r="BP253" s="9" t="e">
        <f>IF(AND(tbl_Case_mins[[#This Row],[AnaesthStart]]&lt;tbl_Case_mins[[#This Row],[ThClosePm]],tbl_Case_mins[[#This Row],[Anaesth End]]&gt;tbl_Case_mins[[#This Row],[ThClosePm]]),tbl_Case_mins[[#This Row],[Anaesth End]]-tbl_Case_mins[[#This Row],[ThClosePm]],0)</f>
        <v>#REF!</v>
      </c>
      <c r="BQ253" s="9" t="e" cm="1">
        <f t="array" ref="BQ25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3" s="9" t="e" cm="1">
        <f t="array" ref="BR253">IF(tbl_Case_mins[[#This Row],[Rank_Adjust]]=SUMPRODUCT(-(tbl_Case_mins[Surgery Start Date]=tbl_Case_mins[[#This Row],[Surgery Start Date]]),-(tbl_Case_mins[Theatre]=tbl_Case_mins[[#This Row],[Theatre]])),INDEX(Poss_Time,MATCH(TEXT(tbl_Case_mins[[#This Row],[Surgery Start Date]],"ddd"),Day,0)),0)</f>
        <v>#REF!</v>
      </c>
      <c r="BS253" s="9" t="e">
        <f>tbl_Case_mins[[#This Row],[Core_Time]]*Util_Goal</f>
        <v>#REF!</v>
      </c>
      <c r="BT253" s="9" t="e" cm="1">
        <f t="array" ref="BT2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3" s="9" t="e" cm="1">
        <f t="array" ref="BU2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3" s="9" t="e">
        <f>IF(tbl_Case_mins[[#This Row],[Surgery End Date]]&gt;tbl_Case_mins[[#This Row],[Surgery Start Date]],tbl_Case_mins[[#This Row],[Anaesth End]]-1440,0)</f>
        <v>#REF!</v>
      </c>
      <c r="BY253" s="9" t="e">
        <f>tbl_Case_mins[[#This Row],[Total_NonCore]]-tbl_Case_mins[[#This Row],[NextDay_NonCore]]</f>
        <v>#REF!</v>
      </c>
      <c r="BZ253" s="10" t="e">
        <f>tbl_Case_mins[[#This Row],[InCoreUse]]/60</f>
        <v>#REF!</v>
      </c>
      <c r="CA253" s="10" t="e">
        <f>tbl_Case_mins[[#This Row],[Total_NonCore]]/60</f>
        <v>#REF!</v>
      </c>
      <c r="CB253" t="e" cm="1">
        <f t="array" ref="CB2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3" s="9" t="e" cm="1">
        <f t="array" ref="CC25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3" s="9" t="e" cm="1">
        <f t="array" ref="CD2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3" s="9" t="e" cm="1">
        <f t="array" ref="CE25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3" s="9" cm="1">
        <f t="array" ref="CF253">IFERROR(_xlfn.AGGREGATE(14,6,(tbl_Case_mins[Rank_AnaEnd])/((tbl_Case_mins[Surgery Start Date]=tbl_Case_mins[[#This Row],[Surgery Start Date]])*(tbl_Case_mins[Theatre]=tbl_Case_mins[[#This Row],[Theatre]])*(tbl_Case_mins[NoInCoreTime]=0)),1),-1)</f>
        <v>-1</v>
      </c>
      <c r="CG253" s="9" cm="1">
        <f t="array" ref="CG253">IFERROR(_xlfn.AGGREGATE(15,6,(tbl_Case_mins[Rank_AnaSt])/((tbl_Case_mins[Surgery Start Date]=tbl_Case_mins[[#This Row],[Surgery Start Date]])*(tbl_Case_mins[Theatre]=tbl_Case_mins[[#This Row],[Theatre]])*(tbl_Case_mins[NoInCoreTime]=0)),1),-1)</f>
        <v>-1</v>
      </c>
      <c r="CH25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3" t="e" cm="1">
        <f t="array" ref="CJ25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3" s="9" cm="1">
        <f t="array" ref="CO2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3" s="9" cm="1">
        <f t="array" ref="CP2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3" s="9" cm="1">
        <f t="array" ref="CQ253">IFERROR(IF(AND(tbl_Case_mins[[#This Row],[FirstAMCase]]=0,tbl_Case_mins[[#This Row],[Rank]]=_xlfn.AGGREGATE(14,6,(tbl_Case_mins[Rank])/((tbl_Case_mins[Surgery Start Date]=tbl_Case_mins[[#This Row],[Surgery Start Date]])*(tbl_Case_mins[Theatre]=tbl_Case_mins[[#This Row],[Theatre]])*(tbl_Case_mins[AmCase]=1)),1)),1,0),0)</f>
        <v>0</v>
      </c>
      <c r="CR253" s="9" cm="1">
        <f t="array" ref="CR25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3" s="9" t="e" cm="1">
        <f t="array" ref="CS25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3" s="9" cm="1">
        <f t="array" ref="CT253">IFERROR(IF(tbl_Case_mins[[#This Row],[Rank]]=_xlfn.AGGREGATE(15,6,(tbl_Case_mins[Rank])/((tbl_Case_mins[Surgery Start Date]=tbl_Case_mins[[#This Row],[Surgery Start Date]])*(tbl_Case_mins[Theatre]=tbl_Case_mins[[#This Row],[Theatre]])*(tbl_Case_mins[PmCase]=1)),1),1,0),0)</f>
        <v>0</v>
      </c>
      <c r="CU253">
        <f>IFERROR(#REF!,0)</f>
        <v>0</v>
      </c>
      <c r="CV253" s="9" t="e" cm="1">
        <f t="array" ref="CV25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3" s="9">
        <f>IFERROR(IF(ISBLANK(INDEX(Bay_AmClose,MATCH(1,INDEX((tbl_Case_mins[[#This Row],[Bay]]=BayNo)*(tbl_Case_mins[[#This Row],[Surgery Start Date]]=BDate),0,1),0))*1440),0,INDEX(Bay_AmClose,MATCH(1,INDEX((tbl_Case_mins[[#This Row],[Bay]]=BayNo)*(tbl_Case_mins[[#This Row],[Surgery Start Date]]=BDate),0,1),0))*1440),0)</f>
        <v>0</v>
      </c>
      <c r="CX253" s="9" cm="1">
        <f t="array" ref="CX253">IFERROR(IF(ISBLANK(INDEX(Bay_PmOpen,MATCH(1,INDEX((tbl_Case_mins[[#This Row],[Bay]]=BayNo)*(tbl_Case_mins[[#This Row],[Surgery Start Date]]=BDate),0,1),0))*1440),0,INDEX(Bay_PmOpen,MATCH(1,INDEX((tbl_Case_mins[[#This Row],[Bay]]=BayNo)*(tbl_Case_mins[[#This Row],[Surgery Start Date]]=BDate),0,1),0))*1440),0)</f>
        <v>0</v>
      </c>
      <c r="CY25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3" s="9"/>
    </row>
    <row r="254" spans="1:104" x14ac:dyDescent="0.2">
      <c r="A254">
        <v>253</v>
      </c>
      <c r="B254" t="e">
        <f>#REF!</f>
        <v>#REF!</v>
      </c>
      <c r="C254" t="e">
        <f>#REF!</f>
        <v>#REF!</v>
      </c>
      <c r="D254" t="e">
        <f>#REF!</f>
        <v>#REF!</v>
      </c>
      <c r="E254" t="e">
        <f>#REF!</f>
        <v>#REF!</v>
      </c>
      <c r="F254" t="e">
        <f>#REF!</f>
        <v>#REF!</v>
      </c>
      <c r="G254" t="e">
        <f>#REF!</f>
        <v>#REF!</v>
      </c>
      <c r="H254" t="e">
        <f>#REF!</f>
        <v>#REF!</v>
      </c>
      <c r="I254" t="e">
        <f>IF(#REF!="Case Cancelled",1,IF(#REF!="No Cases",2,0))</f>
        <v>#REF!</v>
      </c>
      <c r="J254" t="e">
        <f>#REF!</f>
        <v>#REF!</v>
      </c>
      <c r="K254" s="4" t="e">
        <f>#REF!</f>
        <v>#REF!</v>
      </c>
      <c r="L254" t="e">
        <f>"Wk "&amp;WEEKNUM(tbl_Case_mins[[#This Row],[Surgery Start Date]],21)</f>
        <v>#REF!</v>
      </c>
      <c r="M254" t="e">
        <f>TEXT(tbl_Case_mins[[#This Row],[Surgery Start Date]],"ddd")</f>
        <v>#REF!</v>
      </c>
      <c r="N254" s="9" t="e">
        <f>(#REF!-TIME(0,0,0))*1440</f>
        <v>#REF!</v>
      </c>
      <c r="O254" t="e">
        <f>IF(AND(ROUND((#REF!-TIME(0,0,0))*1440,0)&gt;0,ROUND((#REF!-TIME(0,0,0))*1440,0)&lt;tbl_Case_mins[[#This Row],[Patient Called]],tbl_Case_mins[[#This Row],[Surgery End Date]]&gt;tbl_Case_mins[[#This Row],[Surgery Start Date]]),ROUND((#REF!-TIME(0,0,0))*1440,0)+1440,ROUND((#REF!-TIME(0,0,0))*1440,0))</f>
        <v>#REF!</v>
      </c>
      <c r="P254" s="9" t="e">
        <f>IF(AND(ROUND((#REF!-TIME(0,0,0))*1440,0)&gt;0,ROUND((#REF!-TIME(0,0,0))*1440,0)&lt;tbl_Case_mins[[#This Row],[Arrival]],tbl_Case_mins[[#This Row],[Surgery End Date]]&gt;tbl_Case_mins[[#This Row],[Surgery Start Date]]),ROUND((#REF!-TIME(0,0,0))*1440,0)+1440,ROUND((#REF!-TIME(0,0,0))*1440,0))</f>
        <v>#REF!</v>
      </c>
      <c r="Q254" s="9" t="e">
        <f>IF(AND(ROUND((#REF!-TIME(0,0,0))*1440,0)&gt;0,ROUND((#REF!-TIME(0,0,0))*1440,0)&lt;tbl_Case_mins[[#This Row],[Into Th or AR]],tbl_Case_mins[[#This Row],[Surgery End Date]]&gt;tbl_Case_mins[[#This Row],[Surgery Start Date]]),ROUND((#REF!-TIME(0,0,0))*1440,0)+1440,ROUND((#REF!-TIME(0,0,0))*1440,0))</f>
        <v>#REF!</v>
      </c>
      <c r="R254" s="9" t="e">
        <f>IF(AND(ROUND((#REF!-TIME(0,0,0))*1440,0)&gt;0,ROUND((#REF!-TIME(0,0,0))*1440,0)&lt;tbl_Case_mins[[#This Row],[AnaesthStart]],tbl_Case_mins[[#This Row],[Surgery End Date]]&gt;tbl_Case_mins[[#This Row],[Surgery Start Date]]),ROUND((#REF!-TIME(0,0,0))*1440,0)+1440,ROUND((#REF!-TIME(0,0,0))*1440,0))</f>
        <v>#REF!</v>
      </c>
      <c r="S254" s="9" t="e">
        <f>IF(AND(ROUND((#REF!-TIME(0,0,0))*1440,0),ROUND((#REF!-TIME(0,0,0))*1440,0)&lt;tbl_Case_mins[[#This Row],[Surgery Start]],tbl_Case_mins[[#This Row],[Surgery End Date]]&gt;tbl_Case_mins[[#This Row],[Surgery Start Date]]),ROUND((#REF!-TIME(0,0,0))*1440,0)+1440,ROUND((#REF!-TIME(0,0,0))*1440,0))</f>
        <v>#REF!</v>
      </c>
      <c r="T254" s="9" t="e">
        <f>IF(AND(ROUND((#REF!-TIME(0,0,0))*1440,0)&gt;0,ROUND((#REF!-TIME(0,0,0))*1440,0)&lt;tbl_Case_mins[[#This Row],[Surgery Finish]],tbl_Case_mins[[#This Row],[Surgery End Date]]&gt;tbl_Case_mins[[#This Row],[Surgery Start Date]]),ROUND((#REF!-TIME(0,0,0))*1440,0)+1440,ROUND((#REF!-TIME(0,0,0))*1440,0))</f>
        <v>#REF!</v>
      </c>
      <c r="U254" s="9" t="e">
        <f>IF(AND(ROUND((#REF!-TIME(0,0,0))*1440,0)&gt;0,ROUND((#REF!-TIME(0,0,0))*1440,0)&lt;tbl_Case_mins[[#This Row],[Anaesth End]],tbl_Case_mins[[#This Row],[Surgery End Date]]&gt;tbl_Case_mins[[#This Row],[Surgery Start Date]]),ROUND((#REF!-TIME(0,0,0))*1440,0)+1440,ROUND((#REF!-TIME(0,0,0))*1440,0))</f>
        <v>#REF!</v>
      </c>
      <c r="V254" s="9" t="e">
        <f>IF(AND(ROUND((#REF!-TIME(0,0,0))*1440,0)&gt;0,ROUND((#REF!-TIME(0,0,0))*1440,0)&lt;tbl_Case_mins[[#This Row],[Into Recov]],tbl_Case_mins[[#This Row],[Surgery End Date]]&gt;tbl_Case_mins[[#This Row],[Surgery Start Date]]),ROUND((#REF!-TIME(0,0,0))*1440,0)+1440,ROUND((#REF!-TIME(0,0,0))*1440,0))</f>
        <v>#REF!</v>
      </c>
      <c r="W254" s="9" t="e">
        <f>IF(AND(ROUND((#REF!-TIME(0,0,0))*1440,0)&gt;0,ROUND((#REF!-TIME(0,0,0))*1440,0)&lt;tbl_Case_mins[[#This Row],[Ward Called]],tbl_Case_mins[[#This Row],[Surgery End Date]]&gt;tbl_Case_mins[[#This Row],[Surgery Start Date]]),ROUND((#REF!-TIME(0,0,0))*1440,0)+1440,ROUND((#REF!-TIME(0,0,0))*1440,0))</f>
        <v>#REF!</v>
      </c>
      <c r="X254" s="4" t="e">
        <f>IF(ISBLANK(#REF!),tbl_Case_mins[[#This Row],[Surgery Start Date]],#REF!)</f>
        <v>#REF!</v>
      </c>
      <c r="Y254">
        <f>IFERROR(IF(VLOOKUP(tbl_Case_mins[[#This Row],[Theatre]],'Mng Theatres'!$C$7:$G$12,3,FALSE)="Yes","Yes","No"),0)</f>
        <v>0</v>
      </c>
      <c r="Z254" s="9" t="e" cm="1">
        <f t="array" ref="Z25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4" s="9" t="e" cm="1">
        <f t="array" ref="AA25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4" s="9" t="e">
        <f>IF(tbl_Case_mins[[#This Row],[Case Type]]="Unsch",1,0)</f>
        <v>#REF!</v>
      </c>
      <c r="AD254" s="9" t="e">
        <f>IF(tbl_Case_mins[[#This Row],[Case Type]]="Sch",1,0)</f>
        <v>#REF!</v>
      </c>
      <c r="AE25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4" s="9">
        <f>IFERROR(IF(ISBLANK(INDEX(Am_Close,MATCH(1,INDEX((tbl_Case_mins[[#This Row],[Theatre]]=Theatre_No)*(tbl_Case_mins[[#This Row],[Surgery Start Date]]=Date),0,1),0))*1440),0,INDEX(Am_Close,MATCH(1,INDEX((tbl_Case_mins[[#This Row],[Theatre]]=Theatre_No)*(tbl_Case_mins[[#This Row],[Surgery Start Date]]=Date),0,1),0))*1440),0)</f>
        <v>0</v>
      </c>
      <c r="AG254" s="9">
        <f>IFERROR(IF(ISBLANK(INDEX(PM_Open,MATCH(1,INDEX((tbl_Case_mins[[#This Row],[Theatre]]=Theatre_No)*(tbl_Case_mins[[#This Row],[Surgery Start Date]]=Date),0,1),0))*1440),0,INDEX(PM_Open,MATCH(1,INDEX((tbl_Case_mins[[#This Row],[Theatre]]=Theatre_No)*(tbl_Case_mins[[#This Row],[Surgery Start Date]]=Date),0,1),0))*1440),0)</f>
        <v>0</v>
      </c>
      <c r="AH25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4" s="9" t="e">
        <f>IF(tbl_Case_mins[[#This Row],[ThOpenAm]]=0,tbl_Case_mins[[#This Row],[ThOpenPM]],tbl_Case_mins[[#This Row],[ThOpenAm]])</f>
        <v>#REF!</v>
      </c>
      <c r="AJ254" s="9" t="e">
        <f>IF(tbl_Case_mins[[#This Row],[ThCloseAm]]&gt;0,IF(tbl_Case_mins[[#This Row],[ThOpenPM]]&gt;0,tbl_Case_mins[[#This Row],[ThClosePm]],tbl_Case_mins[[#This Row],[ThCloseAm]]),tbl_Case_mins[[#This Row],[ThClosePm]])</f>
        <v>#REF!</v>
      </c>
      <c r="AK254" s="9" t="e">
        <f>IF(tbl_Case_mins[[#This Row],[TOT]]&gt;0,1,0)</f>
        <v>#REF!</v>
      </c>
      <c r="AL25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4" s="9" t="e">
        <f>IF(AND(tbl_Case_mins[[#This Row],[Surgery Status]]&lt;&gt;2,tbl_Case_mins[[#This Row],[InCoreCase]]=0,tbl_Case_mins[[#This Row],[CancelledCase]]=0),1,0)</f>
        <v>#REF!</v>
      </c>
      <c r="AN254" s="9" t="e">
        <f>IF(tbl_Case_mins[[#This Row],[Surgery Status]]=1,1,0)</f>
        <v>#REF!</v>
      </c>
      <c r="AO25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4" s="9" t="e">
        <f>IF(AND(tbl_Case_mins[[#This Row],[NonCoreCase]]=1,tbl_Case_mins[[#This Row],[NoInCoreTime]]=0),1,0)</f>
        <v>#REF!</v>
      </c>
      <c r="AQ254" s="9" t="e">
        <f>IF(tbl_Case_mins[[#This Row],[Rank_AnaEnd]]&lt;tbl_Case_mins[[#This Row],[Rank_AnaSt]],1,0)</f>
        <v>#REF!</v>
      </c>
      <c r="AR254" s="9" t="e">
        <f>IF(AND(tbl_Case_mins[[#This Row],[InCoreCase]]=1,tbl_Case_mins[[#This Row],[Sch]]=1),1,0)</f>
        <v>#REF!</v>
      </c>
      <c r="AS254" s="9" t="e">
        <f>IF(AND(tbl_Case_mins[[#This Row],[InCoreCase]]=1,tbl_Case_mins[[#This Row],[Unsch]]=1),1,0)</f>
        <v>#REF!</v>
      </c>
      <c r="AT25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4" s="9" t="e">
        <f>IF(tbl_Case_mins[[#This Row],[Surgery Status]]=0,(tbl_Case_mins[[#This Row],[Anaesth End]]-tbl_Case_mins[[#This Row],[AnaesthStart]]),0)</f>
        <v>#REF!</v>
      </c>
      <c r="AX254" s="9" t="e">
        <f>IF(tbl_Case_mins[[#This Row],[Surgery Status]]=0,(tbl_Case_mins[[#This Row],[Surgery Finish]]-tbl_Case_mins[[#This Row],[Surgery Start]]),0)</f>
        <v>#REF!</v>
      </c>
      <c r="AY254" s="9" t="e">
        <f>tbl_Case_mins[[#This Row],[Surgery Start]]-tbl_Case_mins[[#This Row],[AnaesthStart]]</f>
        <v>#REF!</v>
      </c>
      <c r="AZ254" s="9" t="e">
        <f>tbl_Case_mins[[#This Row],[Anaesth End]]-tbl_Case_mins[[#This Row],[Surgery Finish]]</f>
        <v>#REF!</v>
      </c>
      <c r="BA25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4" s="16" cm="1">
        <f t="array" ref="BC25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4" s="16" t="e">
        <f>IF(AND(tbl_Case_mins[[#This Row],[FirstAMCase]]=1,tbl_Case_mins[[#This Row],[CancelledCase]]=0,OR(tbl_Case_mins[[#This Row],[EarlyStartAM]]&gt;0,tbl_Case_mins[[#This Row],[AnaesthStart]]=tbl_Case_mins[[#This Row],[ThOpenAm]])),1,0)</f>
        <v>#REF!</v>
      </c>
      <c r="BE254" s="16" t="e">
        <f>IF(AND(tbl_Case_mins[[#This Row],[Rank_AnaSt]]=tbl_Case_mins[[#This Row],[Min_RankAnaSt]],tbl_Case_mins[[#This Row],[Anaesth End]]&gt;=tbl_Case_mins[[#This Row],[ThOpenAm]],tbl_Case_mins[[#This Row],[PmCase]]=0),1,0)</f>
        <v>#REF!</v>
      </c>
      <c r="BF25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4" s="9" t="e" cm="1">
        <f t="array" ref="BH25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4" s="9" t="e">
        <f>IF(AND(tbl_Case_mins[[#This Row],[ThOpenPM]]&gt;0,tbl_Case_mins[[#This Row],[AnaesthStart]]&gt;tbl_Case_mins[[#This Row],[ThOpenPM]],tbl_Case_mins[[#This Row],[First PM Case]]=1),tbl_Case_mins[[#This Row],[AnaesthStart]]-tbl_Case_mins[[#This Row],[ThOpenPM]],0)</f>
        <v>#REF!</v>
      </c>
      <c r="BL25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4" s="9" t="e" cm="1">
        <f t="array" ref="BN25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4" s="9" t="e">
        <f>IF(AND(tbl_Case_mins[[#This Row],[ThClosePm]]&gt;0,tbl_Case_mins[[#This Row],[Anaesth End]]&gt;tbl_Case_mins[[#This Row],[ThClosePm]],tbl_Case_mins[[#This Row],[AnaesthStart]]&gt;tbl_Case_mins[[#This Row],[ThClosePm]]),tbl_Case_mins[[#This Row],[Into Recov]]-tbl_Case_mins[[#This Row],[AnaesthStart]],0)</f>
        <v>#REF!</v>
      </c>
      <c r="BP254" s="9" t="e">
        <f>IF(AND(tbl_Case_mins[[#This Row],[AnaesthStart]]&lt;tbl_Case_mins[[#This Row],[ThClosePm]],tbl_Case_mins[[#This Row],[Anaesth End]]&gt;tbl_Case_mins[[#This Row],[ThClosePm]]),tbl_Case_mins[[#This Row],[Anaesth End]]-tbl_Case_mins[[#This Row],[ThClosePm]],0)</f>
        <v>#REF!</v>
      </c>
      <c r="BQ254" s="9" t="e" cm="1">
        <f t="array" ref="BQ25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4" s="9" t="e" cm="1">
        <f t="array" ref="BR254">IF(tbl_Case_mins[[#This Row],[Rank_Adjust]]=SUMPRODUCT(-(tbl_Case_mins[Surgery Start Date]=tbl_Case_mins[[#This Row],[Surgery Start Date]]),-(tbl_Case_mins[Theatre]=tbl_Case_mins[[#This Row],[Theatre]])),INDEX(Poss_Time,MATCH(TEXT(tbl_Case_mins[[#This Row],[Surgery Start Date]],"ddd"),Day,0)),0)</f>
        <v>#REF!</v>
      </c>
      <c r="BS254" s="9" t="e">
        <f>tbl_Case_mins[[#This Row],[Core_Time]]*Util_Goal</f>
        <v>#REF!</v>
      </c>
      <c r="BT254" s="9" t="e" cm="1">
        <f t="array" ref="BT2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4" s="9" t="e" cm="1">
        <f t="array" ref="BU2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4" s="9" t="e">
        <f>IF(tbl_Case_mins[[#This Row],[Surgery End Date]]&gt;tbl_Case_mins[[#This Row],[Surgery Start Date]],tbl_Case_mins[[#This Row],[Anaesth End]]-1440,0)</f>
        <v>#REF!</v>
      </c>
      <c r="BY254" s="9" t="e">
        <f>tbl_Case_mins[[#This Row],[Total_NonCore]]-tbl_Case_mins[[#This Row],[NextDay_NonCore]]</f>
        <v>#REF!</v>
      </c>
      <c r="BZ254" s="10" t="e">
        <f>tbl_Case_mins[[#This Row],[InCoreUse]]/60</f>
        <v>#REF!</v>
      </c>
      <c r="CA254" s="10" t="e">
        <f>tbl_Case_mins[[#This Row],[Total_NonCore]]/60</f>
        <v>#REF!</v>
      </c>
      <c r="CB254" t="e" cm="1">
        <f t="array" ref="CB2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4" s="9" t="e" cm="1">
        <f t="array" ref="CC25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4" s="9" t="e" cm="1">
        <f t="array" ref="CD2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4" s="9" t="e" cm="1">
        <f t="array" ref="CE25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4" s="9" cm="1">
        <f t="array" ref="CF254">IFERROR(_xlfn.AGGREGATE(14,6,(tbl_Case_mins[Rank_AnaEnd])/((tbl_Case_mins[Surgery Start Date]=tbl_Case_mins[[#This Row],[Surgery Start Date]])*(tbl_Case_mins[Theatre]=tbl_Case_mins[[#This Row],[Theatre]])*(tbl_Case_mins[NoInCoreTime]=0)),1),-1)</f>
        <v>-1</v>
      </c>
      <c r="CG254" s="9" cm="1">
        <f t="array" ref="CG254">IFERROR(_xlfn.AGGREGATE(15,6,(tbl_Case_mins[Rank_AnaSt])/((tbl_Case_mins[Surgery Start Date]=tbl_Case_mins[[#This Row],[Surgery Start Date]])*(tbl_Case_mins[Theatre]=tbl_Case_mins[[#This Row],[Theatre]])*(tbl_Case_mins[NoInCoreTime]=0)),1),-1)</f>
        <v>-1</v>
      </c>
      <c r="CH25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4" t="e" cm="1">
        <f t="array" ref="CJ25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4" s="9" cm="1">
        <f t="array" ref="CO2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4" s="9" cm="1">
        <f t="array" ref="CP2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4" s="9" cm="1">
        <f t="array" ref="CQ254">IFERROR(IF(AND(tbl_Case_mins[[#This Row],[FirstAMCase]]=0,tbl_Case_mins[[#This Row],[Rank]]=_xlfn.AGGREGATE(14,6,(tbl_Case_mins[Rank])/((tbl_Case_mins[Surgery Start Date]=tbl_Case_mins[[#This Row],[Surgery Start Date]])*(tbl_Case_mins[Theatre]=tbl_Case_mins[[#This Row],[Theatre]])*(tbl_Case_mins[AmCase]=1)),1)),1,0),0)</f>
        <v>0</v>
      </c>
      <c r="CR254" s="9" cm="1">
        <f t="array" ref="CR25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4" s="9" t="e" cm="1">
        <f t="array" ref="CS25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4" s="9" cm="1">
        <f t="array" ref="CT254">IFERROR(IF(tbl_Case_mins[[#This Row],[Rank]]=_xlfn.AGGREGATE(15,6,(tbl_Case_mins[Rank])/((tbl_Case_mins[Surgery Start Date]=tbl_Case_mins[[#This Row],[Surgery Start Date]])*(tbl_Case_mins[Theatre]=tbl_Case_mins[[#This Row],[Theatre]])*(tbl_Case_mins[PmCase]=1)),1),1,0),0)</f>
        <v>0</v>
      </c>
      <c r="CU254">
        <f>IFERROR(#REF!,0)</f>
        <v>0</v>
      </c>
      <c r="CV254" s="9" t="e" cm="1">
        <f t="array" ref="CV25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4" s="9">
        <f>IFERROR(IF(ISBLANK(INDEX(Bay_AmClose,MATCH(1,INDEX((tbl_Case_mins[[#This Row],[Bay]]=BayNo)*(tbl_Case_mins[[#This Row],[Surgery Start Date]]=BDate),0,1),0))*1440),0,INDEX(Bay_AmClose,MATCH(1,INDEX((tbl_Case_mins[[#This Row],[Bay]]=BayNo)*(tbl_Case_mins[[#This Row],[Surgery Start Date]]=BDate),0,1),0))*1440),0)</f>
        <v>0</v>
      </c>
      <c r="CX254" s="9" cm="1">
        <f t="array" ref="CX254">IFERROR(IF(ISBLANK(INDEX(Bay_PmOpen,MATCH(1,INDEX((tbl_Case_mins[[#This Row],[Bay]]=BayNo)*(tbl_Case_mins[[#This Row],[Surgery Start Date]]=BDate),0,1),0))*1440),0,INDEX(Bay_PmOpen,MATCH(1,INDEX((tbl_Case_mins[[#This Row],[Bay]]=BayNo)*(tbl_Case_mins[[#This Row],[Surgery Start Date]]=BDate),0,1),0))*1440),0)</f>
        <v>0</v>
      </c>
      <c r="CY25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4" s="9"/>
    </row>
    <row r="255" spans="1:104" x14ac:dyDescent="0.2">
      <c r="A255">
        <v>254</v>
      </c>
      <c r="B255" t="e">
        <f>#REF!</f>
        <v>#REF!</v>
      </c>
      <c r="C255" t="e">
        <f>#REF!</f>
        <v>#REF!</v>
      </c>
      <c r="D255" t="e">
        <f>#REF!</f>
        <v>#REF!</v>
      </c>
      <c r="E255" t="e">
        <f>#REF!</f>
        <v>#REF!</v>
      </c>
      <c r="F255" t="e">
        <f>#REF!</f>
        <v>#REF!</v>
      </c>
      <c r="G255" t="e">
        <f>#REF!</f>
        <v>#REF!</v>
      </c>
      <c r="H255" t="e">
        <f>#REF!</f>
        <v>#REF!</v>
      </c>
      <c r="I255" t="e">
        <f>IF(#REF!="Case Cancelled",1,IF(#REF!="No Cases",2,0))</f>
        <v>#REF!</v>
      </c>
      <c r="J255" t="e">
        <f>#REF!</f>
        <v>#REF!</v>
      </c>
      <c r="K255" s="4" t="e">
        <f>#REF!</f>
        <v>#REF!</v>
      </c>
      <c r="L255" t="e">
        <f>"Wk "&amp;WEEKNUM(tbl_Case_mins[[#This Row],[Surgery Start Date]],21)</f>
        <v>#REF!</v>
      </c>
      <c r="M255" t="e">
        <f>TEXT(tbl_Case_mins[[#This Row],[Surgery Start Date]],"ddd")</f>
        <v>#REF!</v>
      </c>
      <c r="N255" s="9" t="e">
        <f>(#REF!-TIME(0,0,0))*1440</f>
        <v>#REF!</v>
      </c>
      <c r="O255" t="e">
        <f>IF(AND(ROUND((#REF!-TIME(0,0,0))*1440,0)&gt;0,ROUND((#REF!-TIME(0,0,0))*1440,0)&lt;tbl_Case_mins[[#This Row],[Patient Called]],tbl_Case_mins[[#This Row],[Surgery End Date]]&gt;tbl_Case_mins[[#This Row],[Surgery Start Date]]),ROUND((#REF!-TIME(0,0,0))*1440,0)+1440,ROUND((#REF!-TIME(0,0,0))*1440,0))</f>
        <v>#REF!</v>
      </c>
      <c r="P255" s="9" t="e">
        <f>IF(AND(ROUND((#REF!-TIME(0,0,0))*1440,0)&gt;0,ROUND((#REF!-TIME(0,0,0))*1440,0)&lt;tbl_Case_mins[[#This Row],[Arrival]],tbl_Case_mins[[#This Row],[Surgery End Date]]&gt;tbl_Case_mins[[#This Row],[Surgery Start Date]]),ROUND((#REF!-TIME(0,0,0))*1440,0)+1440,ROUND((#REF!-TIME(0,0,0))*1440,0))</f>
        <v>#REF!</v>
      </c>
      <c r="Q255" s="9" t="e">
        <f>IF(AND(ROUND((#REF!-TIME(0,0,0))*1440,0)&gt;0,ROUND((#REF!-TIME(0,0,0))*1440,0)&lt;tbl_Case_mins[[#This Row],[Into Th or AR]],tbl_Case_mins[[#This Row],[Surgery End Date]]&gt;tbl_Case_mins[[#This Row],[Surgery Start Date]]),ROUND((#REF!-TIME(0,0,0))*1440,0)+1440,ROUND((#REF!-TIME(0,0,0))*1440,0))</f>
        <v>#REF!</v>
      </c>
      <c r="R255" s="9" t="e">
        <f>IF(AND(ROUND((#REF!-TIME(0,0,0))*1440,0)&gt;0,ROUND((#REF!-TIME(0,0,0))*1440,0)&lt;tbl_Case_mins[[#This Row],[AnaesthStart]],tbl_Case_mins[[#This Row],[Surgery End Date]]&gt;tbl_Case_mins[[#This Row],[Surgery Start Date]]),ROUND((#REF!-TIME(0,0,0))*1440,0)+1440,ROUND((#REF!-TIME(0,0,0))*1440,0))</f>
        <v>#REF!</v>
      </c>
      <c r="S255" s="9" t="e">
        <f>IF(AND(ROUND((#REF!-TIME(0,0,0))*1440,0),ROUND((#REF!-TIME(0,0,0))*1440,0)&lt;tbl_Case_mins[[#This Row],[Surgery Start]],tbl_Case_mins[[#This Row],[Surgery End Date]]&gt;tbl_Case_mins[[#This Row],[Surgery Start Date]]),ROUND((#REF!-TIME(0,0,0))*1440,0)+1440,ROUND((#REF!-TIME(0,0,0))*1440,0))</f>
        <v>#REF!</v>
      </c>
      <c r="T255" s="9" t="e">
        <f>IF(AND(ROUND((#REF!-TIME(0,0,0))*1440,0)&gt;0,ROUND((#REF!-TIME(0,0,0))*1440,0)&lt;tbl_Case_mins[[#This Row],[Surgery Finish]],tbl_Case_mins[[#This Row],[Surgery End Date]]&gt;tbl_Case_mins[[#This Row],[Surgery Start Date]]),ROUND((#REF!-TIME(0,0,0))*1440,0)+1440,ROUND((#REF!-TIME(0,0,0))*1440,0))</f>
        <v>#REF!</v>
      </c>
      <c r="U255" s="9" t="e">
        <f>IF(AND(ROUND((#REF!-TIME(0,0,0))*1440,0)&gt;0,ROUND((#REF!-TIME(0,0,0))*1440,0)&lt;tbl_Case_mins[[#This Row],[Anaesth End]],tbl_Case_mins[[#This Row],[Surgery End Date]]&gt;tbl_Case_mins[[#This Row],[Surgery Start Date]]),ROUND((#REF!-TIME(0,0,0))*1440,0)+1440,ROUND((#REF!-TIME(0,0,0))*1440,0))</f>
        <v>#REF!</v>
      </c>
      <c r="V255" s="9" t="e">
        <f>IF(AND(ROUND((#REF!-TIME(0,0,0))*1440,0)&gt;0,ROUND((#REF!-TIME(0,0,0))*1440,0)&lt;tbl_Case_mins[[#This Row],[Into Recov]],tbl_Case_mins[[#This Row],[Surgery End Date]]&gt;tbl_Case_mins[[#This Row],[Surgery Start Date]]),ROUND((#REF!-TIME(0,0,0))*1440,0)+1440,ROUND((#REF!-TIME(0,0,0))*1440,0))</f>
        <v>#REF!</v>
      </c>
      <c r="W255" s="9" t="e">
        <f>IF(AND(ROUND((#REF!-TIME(0,0,0))*1440,0)&gt;0,ROUND((#REF!-TIME(0,0,0))*1440,0)&lt;tbl_Case_mins[[#This Row],[Ward Called]],tbl_Case_mins[[#This Row],[Surgery End Date]]&gt;tbl_Case_mins[[#This Row],[Surgery Start Date]]),ROUND((#REF!-TIME(0,0,0))*1440,0)+1440,ROUND((#REF!-TIME(0,0,0))*1440,0))</f>
        <v>#REF!</v>
      </c>
      <c r="X255" s="4" t="e">
        <f>IF(ISBLANK(#REF!),tbl_Case_mins[[#This Row],[Surgery Start Date]],#REF!)</f>
        <v>#REF!</v>
      </c>
      <c r="Y255">
        <f>IFERROR(IF(VLOOKUP(tbl_Case_mins[[#This Row],[Theatre]],'Mng Theatres'!$C$7:$G$12,3,FALSE)="Yes","Yes","No"),0)</f>
        <v>0</v>
      </c>
      <c r="Z255" s="9" t="e" cm="1">
        <f t="array" ref="Z25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5" s="9" t="e" cm="1">
        <f t="array" ref="AA25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5" s="9" t="e">
        <f>IF(tbl_Case_mins[[#This Row],[Case Type]]="Unsch",1,0)</f>
        <v>#REF!</v>
      </c>
      <c r="AD255" s="9" t="e">
        <f>IF(tbl_Case_mins[[#This Row],[Case Type]]="Sch",1,0)</f>
        <v>#REF!</v>
      </c>
      <c r="AE25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5" s="9">
        <f>IFERROR(IF(ISBLANK(INDEX(Am_Close,MATCH(1,INDEX((tbl_Case_mins[[#This Row],[Theatre]]=Theatre_No)*(tbl_Case_mins[[#This Row],[Surgery Start Date]]=Date),0,1),0))*1440),0,INDEX(Am_Close,MATCH(1,INDEX((tbl_Case_mins[[#This Row],[Theatre]]=Theatre_No)*(tbl_Case_mins[[#This Row],[Surgery Start Date]]=Date),0,1),0))*1440),0)</f>
        <v>0</v>
      </c>
      <c r="AG255" s="9">
        <f>IFERROR(IF(ISBLANK(INDEX(PM_Open,MATCH(1,INDEX((tbl_Case_mins[[#This Row],[Theatre]]=Theatre_No)*(tbl_Case_mins[[#This Row],[Surgery Start Date]]=Date),0,1),0))*1440),0,INDEX(PM_Open,MATCH(1,INDEX((tbl_Case_mins[[#This Row],[Theatre]]=Theatre_No)*(tbl_Case_mins[[#This Row],[Surgery Start Date]]=Date),0,1),0))*1440),0)</f>
        <v>0</v>
      </c>
      <c r="AH25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5" s="9" t="e">
        <f>IF(tbl_Case_mins[[#This Row],[ThOpenAm]]=0,tbl_Case_mins[[#This Row],[ThOpenPM]],tbl_Case_mins[[#This Row],[ThOpenAm]])</f>
        <v>#REF!</v>
      </c>
      <c r="AJ255" s="9" t="e">
        <f>IF(tbl_Case_mins[[#This Row],[ThCloseAm]]&gt;0,IF(tbl_Case_mins[[#This Row],[ThOpenPM]]&gt;0,tbl_Case_mins[[#This Row],[ThClosePm]],tbl_Case_mins[[#This Row],[ThCloseAm]]),tbl_Case_mins[[#This Row],[ThClosePm]])</f>
        <v>#REF!</v>
      </c>
      <c r="AK255" s="9" t="e">
        <f>IF(tbl_Case_mins[[#This Row],[TOT]]&gt;0,1,0)</f>
        <v>#REF!</v>
      </c>
      <c r="AL25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5" s="9" t="e">
        <f>IF(AND(tbl_Case_mins[[#This Row],[Surgery Status]]&lt;&gt;2,tbl_Case_mins[[#This Row],[InCoreCase]]=0,tbl_Case_mins[[#This Row],[CancelledCase]]=0),1,0)</f>
        <v>#REF!</v>
      </c>
      <c r="AN255" s="9" t="e">
        <f>IF(tbl_Case_mins[[#This Row],[Surgery Status]]=1,1,0)</f>
        <v>#REF!</v>
      </c>
      <c r="AO25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5" s="9" t="e">
        <f>IF(AND(tbl_Case_mins[[#This Row],[NonCoreCase]]=1,tbl_Case_mins[[#This Row],[NoInCoreTime]]=0),1,0)</f>
        <v>#REF!</v>
      </c>
      <c r="AQ255" s="9" t="e">
        <f>IF(tbl_Case_mins[[#This Row],[Rank_AnaEnd]]&lt;tbl_Case_mins[[#This Row],[Rank_AnaSt]],1,0)</f>
        <v>#REF!</v>
      </c>
      <c r="AR255" s="9" t="e">
        <f>IF(AND(tbl_Case_mins[[#This Row],[InCoreCase]]=1,tbl_Case_mins[[#This Row],[Sch]]=1),1,0)</f>
        <v>#REF!</v>
      </c>
      <c r="AS255" s="9" t="e">
        <f>IF(AND(tbl_Case_mins[[#This Row],[InCoreCase]]=1,tbl_Case_mins[[#This Row],[Unsch]]=1),1,0)</f>
        <v>#REF!</v>
      </c>
      <c r="AT25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5" s="9" t="e">
        <f>IF(tbl_Case_mins[[#This Row],[Surgery Status]]=0,(tbl_Case_mins[[#This Row],[Anaesth End]]-tbl_Case_mins[[#This Row],[AnaesthStart]]),0)</f>
        <v>#REF!</v>
      </c>
      <c r="AX255" s="9" t="e">
        <f>IF(tbl_Case_mins[[#This Row],[Surgery Status]]=0,(tbl_Case_mins[[#This Row],[Surgery Finish]]-tbl_Case_mins[[#This Row],[Surgery Start]]),0)</f>
        <v>#REF!</v>
      </c>
      <c r="AY255" s="9" t="e">
        <f>tbl_Case_mins[[#This Row],[Surgery Start]]-tbl_Case_mins[[#This Row],[AnaesthStart]]</f>
        <v>#REF!</v>
      </c>
      <c r="AZ255" s="9" t="e">
        <f>tbl_Case_mins[[#This Row],[Anaesth End]]-tbl_Case_mins[[#This Row],[Surgery Finish]]</f>
        <v>#REF!</v>
      </c>
      <c r="BA25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5" s="16" cm="1">
        <f t="array" ref="BC25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5" s="16" t="e">
        <f>IF(AND(tbl_Case_mins[[#This Row],[FirstAMCase]]=1,tbl_Case_mins[[#This Row],[CancelledCase]]=0,OR(tbl_Case_mins[[#This Row],[EarlyStartAM]]&gt;0,tbl_Case_mins[[#This Row],[AnaesthStart]]=tbl_Case_mins[[#This Row],[ThOpenAm]])),1,0)</f>
        <v>#REF!</v>
      </c>
      <c r="BE255" s="16" t="e">
        <f>IF(AND(tbl_Case_mins[[#This Row],[Rank_AnaSt]]=tbl_Case_mins[[#This Row],[Min_RankAnaSt]],tbl_Case_mins[[#This Row],[Anaesth End]]&gt;=tbl_Case_mins[[#This Row],[ThOpenAm]],tbl_Case_mins[[#This Row],[PmCase]]=0),1,0)</f>
        <v>#REF!</v>
      </c>
      <c r="BF25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5" s="9" t="e" cm="1">
        <f t="array" ref="BH25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5" s="9" t="e">
        <f>IF(AND(tbl_Case_mins[[#This Row],[ThOpenPM]]&gt;0,tbl_Case_mins[[#This Row],[AnaesthStart]]&gt;tbl_Case_mins[[#This Row],[ThOpenPM]],tbl_Case_mins[[#This Row],[First PM Case]]=1),tbl_Case_mins[[#This Row],[AnaesthStart]]-tbl_Case_mins[[#This Row],[ThOpenPM]],0)</f>
        <v>#REF!</v>
      </c>
      <c r="BL25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5" s="9" t="e" cm="1">
        <f t="array" ref="BN25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5" s="9" t="e">
        <f>IF(AND(tbl_Case_mins[[#This Row],[ThClosePm]]&gt;0,tbl_Case_mins[[#This Row],[Anaesth End]]&gt;tbl_Case_mins[[#This Row],[ThClosePm]],tbl_Case_mins[[#This Row],[AnaesthStart]]&gt;tbl_Case_mins[[#This Row],[ThClosePm]]),tbl_Case_mins[[#This Row],[Into Recov]]-tbl_Case_mins[[#This Row],[AnaesthStart]],0)</f>
        <v>#REF!</v>
      </c>
      <c r="BP255" s="9" t="e">
        <f>IF(AND(tbl_Case_mins[[#This Row],[AnaesthStart]]&lt;tbl_Case_mins[[#This Row],[ThClosePm]],tbl_Case_mins[[#This Row],[Anaesth End]]&gt;tbl_Case_mins[[#This Row],[ThClosePm]]),tbl_Case_mins[[#This Row],[Anaesth End]]-tbl_Case_mins[[#This Row],[ThClosePm]],0)</f>
        <v>#REF!</v>
      </c>
      <c r="BQ255" s="9" t="e" cm="1">
        <f t="array" ref="BQ25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5" s="9" t="e" cm="1">
        <f t="array" ref="BR255">IF(tbl_Case_mins[[#This Row],[Rank_Adjust]]=SUMPRODUCT(-(tbl_Case_mins[Surgery Start Date]=tbl_Case_mins[[#This Row],[Surgery Start Date]]),-(tbl_Case_mins[Theatre]=tbl_Case_mins[[#This Row],[Theatre]])),INDEX(Poss_Time,MATCH(TEXT(tbl_Case_mins[[#This Row],[Surgery Start Date]],"ddd"),Day,0)),0)</f>
        <v>#REF!</v>
      </c>
      <c r="BS255" s="9" t="e">
        <f>tbl_Case_mins[[#This Row],[Core_Time]]*Util_Goal</f>
        <v>#REF!</v>
      </c>
      <c r="BT255" s="9" t="e" cm="1">
        <f t="array" ref="BT2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5" s="9" t="e" cm="1">
        <f t="array" ref="BU2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5" s="9" t="e">
        <f>IF(tbl_Case_mins[[#This Row],[Surgery End Date]]&gt;tbl_Case_mins[[#This Row],[Surgery Start Date]],tbl_Case_mins[[#This Row],[Anaesth End]]-1440,0)</f>
        <v>#REF!</v>
      </c>
      <c r="BY255" s="9" t="e">
        <f>tbl_Case_mins[[#This Row],[Total_NonCore]]-tbl_Case_mins[[#This Row],[NextDay_NonCore]]</f>
        <v>#REF!</v>
      </c>
      <c r="BZ255" s="10" t="e">
        <f>tbl_Case_mins[[#This Row],[InCoreUse]]/60</f>
        <v>#REF!</v>
      </c>
      <c r="CA255" s="10" t="e">
        <f>tbl_Case_mins[[#This Row],[Total_NonCore]]/60</f>
        <v>#REF!</v>
      </c>
      <c r="CB255" t="e" cm="1">
        <f t="array" ref="CB2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5" s="9" t="e" cm="1">
        <f t="array" ref="CC25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5" s="9" t="e" cm="1">
        <f t="array" ref="CD2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5" s="9" t="e" cm="1">
        <f t="array" ref="CE25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5" s="9" cm="1">
        <f t="array" ref="CF255">IFERROR(_xlfn.AGGREGATE(14,6,(tbl_Case_mins[Rank_AnaEnd])/((tbl_Case_mins[Surgery Start Date]=tbl_Case_mins[[#This Row],[Surgery Start Date]])*(tbl_Case_mins[Theatre]=tbl_Case_mins[[#This Row],[Theatre]])*(tbl_Case_mins[NoInCoreTime]=0)),1),-1)</f>
        <v>-1</v>
      </c>
      <c r="CG255" s="9" cm="1">
        <f t="array" ref="CG255">IFERROR(_xlfn.AGGREGATE(15,6,(tbl_Case_mins[Rank_AnaSt])/((tbl_Case_mins[Surgery Start Date]=tbl_Case_mins[[#This Row],[Surgery Start Date]])*(tbl_Case_mins[Theatre]=tbl_Case_mins[[#This Row],[Theatre]])*(tbl_Case_mins[NoInCoreTime]=0)),1),-1)</f>
        <v>-1</v>
      </c>
      <c r="CH25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5" t="e" cm="1">
        <f t="array" ref="CJ25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5" s="9" cm="1">
        <f t="array" ref="CO2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5" s="9" cm="1">
        <f t="array" ref="CP2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5" s="9" cm="1">
        <f t="array" ref="CQ255">IFERROR(IF(AND(tbl_Case_mins[[#This Row],[FirstAMCase]]=0,tbl_Case_mins[[#This Row],[Rank]]=_xlfn.AGGREGATE(14,6,(tbl_Case_mins[Rank])/((tbl_Case_mins[Surgery Start Date]=tbl_Case_mins[[#This Row],[Surgery Start Date]])*(tbl_Case_mins[Theatre]=tbl_Case_mins[[#This Row],[Theatre]])*(tbl_Case_mins[AmCase]=1)),1)),1,0),0)</f>
        <v>0</v>
      </c>
      <c r="CR255" s="9" cm="1">
        <f t="array" ref="CR25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5" s="9" t="e" cm="1">
        <f t="array" ref="CS25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5" s="9" cm="1">
        <f t="array" ref="CT255">IFERROR(IF(tbl_Case_mins[[#This Row],[Rank]]=_xlfn.AGGREGATE(15,6,(tbl_Case_mins[Rank])/((tbl_Case_mins[Surgery Start Date]=tbl_Case_mins[[#This Row],[Surgery Start Date]])*(tbl_Case_mins[Theatre]=tbl_Case_mins[[#This Row],[Theatre]])*(tbl_Case_mins[PmCase]=1)),1),1,0),0)</f>
        <v>0</v>
      </c>
      <c r="CU255">
        <f>IFERROR(#REF!,0)</f>
        <v>0</v>
      </c>
      <c r="CV255" s="9" t="e" cm="1">
        <f t="array" ref="CV25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5" s="9">
        <f>IFERROR(IF(ISBLANK(INDEX(Bay_AmClose,MATCH(1,INDEX((tbl_Case_mins[[#This Row],[Bay]]=BayNo)*(tbl_Case_mins[[#This Row],[Surgery Start Date]]=BDate),0,1),0))*1440),0,INDEX(Bay_AmClose,MATCH(1,INDEX((tbl_Case_mins[[#This Row],[Bay]]=BayNo)*(tbl_Case_mins[[#This Row],[Surgery Start Date]]=BDate),0,1),0))*1440),0)</f>
        <v>0</v>
      </c>
      <c r="CX255" s="9" cm="1">
        <f t="array" ref="CX255">IFERROR(IF(ISBLANK(INDEX(Bay_PmOpen,MATCH(1,INDEX((tbl_Case_mins[[#This Row],[Bay]]=BayNo)*(tbl_Case_mins[[#This Row],[Surgery Start Date]]=BDate),0,1),0))*1440),0,INDEX(Bay_PmOpen,MATCH(1,INDEX((tbl_Case_mins[[#This Row],[Bay]]=BayNo)*(tbl_Case_mins[[#This Row],[Surgery Start Date]]=BDate),0,1),0))*1440),0)</f>
        <v>0</v>
      </c>
      <c r="CY25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5" s="9"/>
    </row>
    <row r="256" spans="1:104" x14ac:dyDescent="0.2">
      <c r="A256">
        <v>255</v>
      </c>
      <c r="B256" t="e">
        <f>#REF!</f>
        <v>#REF!</v>
      </c>
      <c r="C256" t="e">
        <f>#REF!</f>
        <v>#REF!</v>
      </c>
      <c r="D256" t="e">
        <f>#REF!</f>
        <v>#REF!</v>
      </c>
      <c r="E256" t="e">
        <f>#REF!</f>
        <v>#REF!</v>
      </c>
      <c r="F256" t="e">
        <f>#REF!</f>
        <v>#REF!</v>
      </c>
      <c r="G256" t="e">
        <f>#REF!</f>
        <v>#REF!</v>
      </c>
      <c r="H256" t="e">
        <f>#REF!</f>
        <v>#REF!</v>
      </c>
      <c r="I256" t="e">
        <f>IF(#REF!="Case Cancelled",1,IF(#REF!="No Cases",2,0))</f>
        <v>#REF!</v>
      </c>
      <c r="J256" t="e">
        <f>#REF!</f>
        <v>#REF!</v>
      </c>
      <c r="K256" s="4" t="e">
        <f>#REF!</f>
        <v>#REF!</v>
      </c>
      <c r="L256" t="e">
        <f>"Wk "&amp;WEEKNUM(tbl_Case_mins[[#This Row],[Surgery Start Date]],21)</f>
        <v>#REF!</v>
      </c>
      <c r="M256" t="e">
        <f>TEXT(tbl_Case_mins[[#This Row],[Surgery Start Date]],"ddd")</f>
        <v>#REF!</v>
      </c>
      <c r="N256" s="9" t="e">
        <f>(#REF!-TIME(0,0,0))*1440</f>
        <v>#REF!</v>
      </c>
      <c r="O256" t="e">
        <f>IF(AND(ROUND((#REF!-TIME(0,0,0))*1440,0)&gt;0,ROUND((#REF!-TIME(0,0,0))*1440,0)&lt;tbl_Case_mins[[#This Row],[Patient Called]],tbl_Case_mins[[#This Row],[Surgery End Date]]&gt;tbl_Case_mins[[#This Row],[Surgery Start Date]]),ROUND((#REF!-TIME(0,0,0))*1440,0)+1440,ROUND((#REF!-TIME(0,0,0))*1440,0))</f>
        <v>#REF!</v>
      </c>
      <c r="P256" s="9" t="e">
        <f>IF(AND(ROUND((#REF!-TIME(0,0,0))*1440,0)&gt;0,ROUND((#REF!-TIME(0,0,0))*1440,0)&lt;tbl_Case_mins[[#This Row],[Arrival]],tbl_Case_mins[[#This Row],[Surgery End Date]]&gt;tbl_Case_mins[[#This Row],[Surgery Start Date]]),ROUND((#REF!-TIME(0,0,0))*1440,0)+1440,ROUND((#REF!-TIME(0,0,0))*1440,0))</f>
        <v>#REF!</v>
      </c>
      <c r="Q256" s="9" t="e">
        <f>IF(AND(ROUND((#REF!-TIME(0,0,0))*1440,0)&gt;0,ROUND((#REF!-TIME(0,0,0))*1440,0)&lt;tbl_Case_mins[[#This Row],[Into Th or AR]],tbl_Case_mins[[#This Row],[Surgery End Date]]&gt;tbl_Case_mins[[#This Row],[Surgery Start Date]]),ROUND((#REF!-TIME(0,0,0))*1440,0)+1440,ROUND((#REF!-TIME(0,0,0))*1440,0))</f>
        <v>#REF!</v>
      </c>
      <c r="R256" s="9" t="e">
        <f>IF(AND(ROUND((#REF!-TIME(0,0,0))*1440,0)&gt;0,ROUND((#REF!-TIME(0,0,0))*1440,0)&lt;tbl_Case_mins[[#This Row],[AnaesthStart]],tbl_Case_mins[[#This Row],[Surgery End Date]]&gt;tbl_Case_mins[[#This Row],[Surgery Start Date]]),ROUND((#REF!-TIME(0,0,0))*1440,0)+1440,ROUND((#REF!-TIME(0,0,0))*1440,0))</f>
        <v>#REF!</v>
      </c>
      <c r="S256" s="9" t="e">
        <f>IF(AND(ROUND((#REF!-TIME(0,0,0))*1440,0),ROUND((#REF!-TIME(0,0,0))*1440,0)&lt;tbl_Case_mins[[#This Row],[Surgery Start]],tbl_Case_mins[[#This Row],[Surgery End Date]]&gt;tbl_Case_mins[[#This Row],[Surgery Start Date]]),ROUND((#REF!-TIME(0,0,0))*1440,0)+1440,ROUND((#REF!-TIME(0,0,0))*1440,0))</f>
        <v>#REF!</v>
      </c>
      <c r="T256" s="9" t="e">
        <f>IF(AND(ROUND((#REF!-TIME(0,0,0))*1440,0)&gt;0,ROUND((#REF!-TIME(0,0,0))*1440,0)&lt;tbl_Case_mins[[#This Row],[Surgery Finish]],tbl_Case_mins[[#This Row],[Surgery End Date]]&gt;tbl_Case_mins[[#This Row],[Surgery Start Date]]),ROUND((#REF!-TIME(0,0,0))*1440,0)+1440,ROUND((#REF!-TIME(0,0,0))*1440,0))</f>
        <v>#REF!</v>
      </c>
      <c r="U256" s="9" t="e">
        <f>IF(AND(ROUND((#REF!-TIME(0,0,0))*1440,0)&gt;0,ROUND((#REF!-TIME(0,0,0))*1440,0)&lt;tbl_Case_mins[[#This Row],[Anaesth End]],tbl_Case_mins[[#This Row],[Surgery End Date]]&gt;tbl_Case_mins[[#This Row],[Surgery Start Date]]),ROUND((#REF!-TIME(0,0,0))*1440,0)+1440,ROUND((#REF!-TIME(0,0,0))*1440,0))</f>
        <v>#REF!</v>
      </c>
      <c r="V256" s="9" t="e">
        <f>IF(AND(ROUND((#REF!-TIME(0,0,0))*1440,0)&gt;0,ROUND((#REF!-TIME(0,0,0))*1440,0)&lt;tbl_Case_mins[[#This Row],[Into Recov]],tbl_Case_mins[[#This Row],[Surgery End Date]]&gt;tbl_Case_mins[[#This Row],[Surgery Start Date]]),ROUND((#REF!-TIME(0,0,0))*1440,0)+1440,ROUND((#REF!-TIME(0,0,0))*1440,0))</f>
        <v>#REF!</v>
      </c>
      <c r="W256" s="9" t="e">
        <f>IF(AND(ROUND((#REF!-TIME(0,0,0))*1440,0)&gt;0,ROUND((#REF!-TIME(0,0,0))*1440,0)&lt;tbl_Case_mins[[#This Row],[Ward Called]],tbl_Case_mins[[#This Row],[Surgery End Date]]&gt;tbl_Case_mins[[#This Row],[Surgery Start Date]]),ROUND((#REF!-TIME(0,0,0))*1440,0)+1440,ROUND((#REF!-TIME(0,0,0))*1440,0))</f>
        <v>#REF!</v>
      </c>
      <c r="X256" s="4" t="e">
        <f>IF(ISBLANK(#REF!),tbl_Case_mins[[#This Row],[Surgery Start Date]],#REF!)</f>
        <v>#REF!</v>
      </c>
      <c r="Y256">
        <f>IFERROR(IF(VLOOKUP(tbl_Case_mins[[#This Row],[Theatre]],'Mng Theatres'!$C$7:$G$12,3,FALSE)="Yes","Yes","No"),0)</f>
        <v>0</v>
      </c>
      <c r="Z256" s="9" t="e" cm="1">
        <f t="array" ref="Z25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6" s="9" t="e" cm="1">
        <f t="array" ref="AA25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6" s="9" t="e">
        <f>IF(tbl_Case_mins[[#This Row],[Case Type]]="Unsch",1,0)</f>
        <v>#REF!</v>
      </c>
      <c r="AD256" s="9" t="e">
        <f>IF(tbl_Case_mins[[#This Row],[Case Type]]="Sch",1,0)</f>
        <v>#REF!</v>
      </c>
      <c r="AE25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6" s="9">
        <f>IFERROR(IF(ISBLANK(INDEX(Am_Close,MATCH(1,INDEX((tbl_Case_mins[[#This Row],[Theatre]]=Theatre_No)*(tbl_Case_mins[[#This Row],[Surgery Start Date]]=Date),0,1),0))*1440),0,INDEX(Am_Close,MATCH(1,INDEX((tbl_Case_mins[[#This Row],[Theatre]]=Theatre_No)*(tbl_Case_mins[[#This Row],[Surgery Start Date]]=Date),0,1),0))*1440),0)</f>
        <v>0</v>
      </c>
      <c r="AG256" s="9">
        <f>IFERROR(IF(ISBLANK(INDEX(PM_Open,MATCH(1,INDEX((tbl_Case_mins[[#This Row],[Theatre]]=Theatre_No)*(tbl_Case_mins[[#This Row],[Surgery Start Date]]=Date),0,1),0))*1440),0,INDEX(PM_Open,MATCH(1,INDEX((tbl_Case_mins[[#This Row],[Theatre]]=Theatre_No)*(tbl_Case_mins[[#This Row],[Surgery Start Date]]=Date),0,1),0))*1440),0)</f>
        <v>0</v>
      </c>
      <c r="AH25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6" s="9" t="e">
        <f>IF(tbl_Case_mins[[#This Row],[ThOpenAm]]=0,tbl_Case_mins[[#This Row],[ThOpenPM]],tbl_Case_mins[[#This Row],[ThOpenAm]])</f>
        <v>#REF!</v>
      </c>
      <c r="AJ256" s="9" t="e">
        <f>IF(tbl_Case_mins[[#This Row],[ThCloseAm]]&gt;0,IF(tbl_Case_mins[[#This Row],[ThOpenPM]]&gt;0,tbl_Case_mins[[#This Row],[ThClosePm]],tbl_Case_mins[[#This Row],[ThCloseAm]]),tbl_Case_mins[[#This Row],[ThClosePm]])</f>
        <v>#REF!</v>
      </c>
      <c r="AK256" s="9" t="e">
        <f>IF(tbl_Case_mins[[#This Row],[TOT]]&gt;0,1,0)</f>
        <v>#REF!</v>
      </c>
      <c r="AL25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6" s="9" t="e">
        <f>IF(AND(tbl_Case_mins[[#This Row],[Surgery Status]]&lt;&gt;2,tbl_Case_mins[[#This Row],[InCoreCase]]=0,tbl_Case_mins[[#This Row],[CancelledCase]]=0),1,0)</f>
        <v>#REF!</v>
      </c>
      <c r="AN256" s="9" t="e">
        <f>IF(tbl_Case_mins[[#This Row],[Surgery Status]]=1,1,0)</f>
        <v>#REF!</v>
      </c>
      <c r="AO25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6" s="9" t="e">
        <f>IF(AND(tbl_Case_mins[[#This Row],[NonCoreCase]]=1,tbl_Case_mins[[#This Row],[NoInCoreTime]]=0),1,0)</f>
        <v>#REF!</v>
      </c>
      <c r="AQ256" s="9" t="e">
        <f>IF(tbl_Case_mins[[#This Row],[Rank_AnaEnd]]&lt;tbl_Case_mins[[#This Row],[Rank_AnaSt]],1,0)</f>
        <v>#REF!</v>
      </c>
      <c r="AR256" s="9" t="e">
        <f>IF(AND(tbl_Case_mins[[#This Row],[InCoreCase]]=1,tbl_Case_mins[[#This Row],[Sch]]=1),1,0)</f>
        <v>#REF!</v>
      </c>
      <c r="AS256" s="9" t="e">
        <f>IF(AND(tbl_Case_mins[[#This Row],[InCoreCase]]=1,tbl_Case_mins[[#This Row],[Unsch]]=1),1,0)</f>
        <v>#REF!</v>
      </c>
      <c r="AT25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6" s="9" t="e">
        <f>IF(tbl_Case_mins[[#This Row],[Surgery Status]]=0,(tbl_Case_mins[[#This Row],[Anaesth End]]-tbl_Case_mins[[#This Row],[AnaesthStart]]),0)</f>
        <v>#REF!</v>
      </c>
      <c r="AX256" s="9" t="e">
        <f>IF(tbl_Case_mins[[#This Row],[Surgery Status]]=0,(tbl_Case_mins[[#This Row],[Surgery Finish]]-tbl_Case_mins[[#This Row],[Surgery Start]]),0)</f>
        <v>#REF!</v>
      </c>
      <c r="AY256" s="9" t="e">
        <f>tbl_Case_mins[[#This Row],[Surgery Start]]-tbl_Case_mins[[#This Row],[AnaesthStart]]</f>
        <v>#REF!</v>
      </c>
      <c r="AZ256" s="9" t="e">
        <f>tbl_Case_mins[[#This Row],[Anaesth End]]-tbl_Case_mins[[#This Row],[Surgery Finish]]</f>
        <v>#REF!</v>
      </c>
      <c r="BA25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6" s="16" cm="1">
        <f t="array" ref="BC25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6" s="16" t="e">
        <f>IF(AND(tbl_Case_mins[[#This Row],[FirstAMCase]]=1,tbl_Case_mins[[#This Row],[CancelledCase]]=0,OR(tbl_Case_mins[[#This Row],[EarlyStartAM]]&gt;0,tbl_Case_mins[[#This Row],[AnaesthStart]]=tbl_Case_mins[[#This Row],[ThOpenAm]])),1,0)</f>
        <v>#REF!</v>
      </c>
      <c r="BE256" s="16" t="e">
        <f>IF(AND(tbl_Case_mins[[#This Row],[Rank_AnaSt]]=tbl_Case_mins[[#This Row],[Min_RankAnaSt]],tbl_Case_mins[[#This Row],[Anaesth End]]&gt;=tbl_Case_mins[[#This Row],[ThOpenAm]],tbl_Case_mins[[#This Row],[PmCase]]=0),1,0)</f>
        <v>#REF!</v>
      </c>
      <c r="BF25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6" s="9" t="e" cm="1">
        <f t="array" ref="BH25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6" s="9" t="e">
        <f>IF(AND(tbl_Case_mins[[#This Row],[ThOpenPM]]&gt;0,tbl_Case_mins[[#This Row],[AnaesthStart]]&gt;tbl_Case_mins[[#This Row],[ThOpenPM]],tbl_Case_mins[[#This Row],[First PM Case]]=1),tbl_Case_mins[[#This Row],[AnaesthStart]]-tbl_Case_mins[[#This Row],[ThOpenPM]],0)</f>
        <v>#REF!</v>
      </c>
      <c r="BL25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6" s="9" t="e" cm="1">
        <f t="array" ref="BN25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6" s="9" t="e">
        <f>IF(AND(tbl_Case_mins[[#This Row],[ThClosePm]]&gt;0,tbl_Case_mins[[#This Row],[Anaesth End]]&gt;tbl_Case_mins[[#This Row],[ThClosePm]],tbl_Case_mins[[#This Row],[AnaesthStart]]&gt;tbl_Case_mins[[#This Row],[ThClosePm]]),tbl_Case_mins[[#This Row],[Into Recov]]-tbl_Case_mins[[#This Row],[AnaesthStart]],0)</f>
        <v>#REF!</v>
      </c>
      <c r="BP256" s="9" t="e">
        <f>IF(AND(tbl_Case_mins[[#This Row],[AnaesthStart]]&lt;tbl_Case_mins[[#This Row],[ThClosePm]],tbl_Case_mins[[#This Row],[Anaesth End]]&gt;tbl_Case_mins[[#This Row],[ThClosePm]]),tbl_Case_mins[[#This Row],[Anaesth End]]-tbl_Case_mins[[#This Row],[ThClosePm]],0)</f>
        <v>#REF!</v>
      </c>
      <c r="BQ256" s="9" t="e" cm="1">
        <f t="array" ref="BQ25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6" s="9" t="e" cm="1">
        <f t="array" ref="BR256">IF(tbl_Case_mins[[#This Row],[Rank_Adjust]]=SUMPRODUCT(-(tbl_Case_mins[Surgery Start Date]=tbl_Case_mins[[#This Row],[Surgery Start Date]]),-(tbl_Case_mins[Theatre]=tbl_Case_mins[[#This Row],[Theatre]])),INDEX(Poss_Time,MATCH(TEXT(tbl_Case_mins[[#This Row],[Surgery Start Date]],"ddd"),Day,0)),0)</f>
        <v>#REF!</v>
      </c>
      <c r="BS256" s="9" t="e">
        <f>tbl_Case_mins[[#This Row],[Core_Time]]*Util_Goal</f>
        <v>#REF!</v>
      </c>
      <c r="BT256" s="9" t="e" cm="1">
        <f t="array" ref="BT2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6" s="9" t="e" cm="1">
        <f t="array" ref="BU2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6" s="9" t="e">
        <f>IF(tbl_Case_mins[[#This Row],[Surgery End Date]]&gt;tbl_Case_mins[[#This Row],[Surgery Start Date]],tbl_Case_mins[[#This Row],[Anaesth End]]-1440,0)</f>
        <v>#REF!</v>
      </c>
      <c r="BY256" s="9" t="e">
        <f>tbl_Case_mins[[#This Row],[Total_NonCore]]-tbl_Case_mins[[#This Row],[NextDay_NonCore]]</f>
        <v>#REF!</v>
      </c>
      <c r="BZ256" s="10" t="e">
        <f>tbl_Case_mins[[#This Row],[InCoreUse]]/60</f>
        <v>#REF!</v>
      </c>
      <c r="CA256" s="10" t="e">
        <f>tbl_Case_mins[[#This Row],[Total_NonCore]]/60</f>
        <v>#REF!</v>
      </c>
      <c r="CB256" t="e" cm="1">
        <f t="array" ref="CB2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6" s="9" t="e" cm="1">
        <f t="array" ref="CC25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6" s="9" t="e" cm="1">
        <f t="array" ref="CD2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6" s="9" t="e" cm="1">
        <f t="array" ref="CE25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6" s="9" cm="1">
        <f t="array" ref="CF256">IFERROR(_xlfn.AGGREGATE(14,6,(tbl_Case_mins[Rank_AnaEnd])/((tbl_Case_mins[Surgery Start Date]=tbl_Case_mins[[#This Row],[Surgery Start Date]])*(tbl_Case_mins[Theatre]=tbl_Case_mins[[#This Row],[Theatre]])*(tbl_Case_mins[NoInCoreTime]=0)),1),-1)</f>
        <v>-1</v>
      </c>
      <c r="CG256" s="9" cm="1">
        <f t="array" ref="CG256">IFERROR(_xlfn.AGGREGATE(15,6,(tbl_Case_mins[Rank_AnaSt])/((tbl_Case_mins[Surgery Start Date]=tbl_Case_mins[[#This Row],[Surgery Start Date]])*(tbl_Case_mins[Theatre]=tbl_Case_mins[[#This Row],[Theatre]])*(tbl_Case_mins[NoInCoreTime]=0)),1),-1)</f>
        <v>-1</v>
      </c>
      <c r="CH25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6" t="e" cm="1">
        <f t="array" ref="CJ25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6" s="9" cm="1">
        <f t="array" ref="CO2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6" s="9" cm="1">
        <f t="array" ref="CP2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6" s="9" cm="1">
        <f t="array" ref="CQ256">IFERROR(IF(AND(tbl_Case_mins[[#This Row],[FirstAMCase]]=0,tbl_Case_mins[[#This Row],[Rank]]=_xlfn.AGGREGATE(14,6,(tbl_Case_mins[Rank])/((tbl_Case_mins[Surgery Start Date]=tbl_Case_mins[[#This Row],[Surgery Start Date]])*(tbl_Case_mins[Theatre]=tbl_Case_mins[[#This Row],[Theatre]])*(tbl_Case_mins[AmCase]=1)),1)),1,0),0)</f>
        <v>0</v>
      </c>
      <c r="CR256" s="9" cm="1">
        <f t="array" ref="CR25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6" s="9" t="e" cm="1">
        <f t="array" ref="CS25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6" s="9" cm="1">
        <f t="array" ref="CT256">IFERROR(IF(tbl_Case_mins[[#This Row],[Rank]]=_xlfn.AGGREGATE(15,6,(tbl_Case_mins[Rank])/((tbl_Case_mins[Surgery Start Date]=tbl_Case_mins[[#This Row],[Surgery Start Date]])*(tbl_Case_mins[Theatre]=tbl_Case_mins[[#This Row],[Theatre]])*(tbl_Case_mins[PmCase]=1)),1),1,0),0)</f>
        <v>0</v>
      </c>
      <c r="CU256">
        <f>IFERROR(#REF!,0)</f>
        <v>0</v>
      </c>
      <c r="CV256" s="9" t="e" cm="1">
        <f t="array" ref="CV25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6" s="9">
        <f>IFERROR(IF(ISBLANK(INDEX(Bay_AmClose,MATCH(1,INDEX((tbl_Case_mins[[#This Row],[Bay]]=BayNo)*(tbl_Case_mins[[#This Row],[Surgery Start Date]]=BDate),0,1),0))*1440),0,INDEX(Bay_AmClose,MATCH(1,INDEX((tbl_Case_mins[[#This Row],[Bay]]=BayNo)*(tbl_Case_mins[[#This Row],[Surgery Start Date]]=BDate),0,1),0))*1440),0)</f>
        <v>0</v>
      </c>
      <c r="CX256" s="9" cm="1">
        <f t="array" ref="CX256">IFERROR(IF(ISBLANK(INDEX(Bay_PmOpen,MATCH(1,INDEX((tbl_Case_mins[[#This Row],[Bay]]=BayNo)*(tbl_Case_mins[[#This Row],[Surgery Start Date]]=BDate),0,1),0))*1440),0,INDEX(Bay_PmOpen,MATCH(1,INDEX((tbl_Case_mins[[#This Row],[Bay]]=BayNo)*(tbl_Case_mins[[#This Row],[Surgery Start Date]]=BDate),0,1),0))*1440),0)</f>
        <v>0</v>
      </c>
      <c r="CY25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6" s="9"/>
    </row>
    <row r="257" spans="1:104" x14ac:dyDescent="0.2">
      <c r="A257">
        <v>256</v>
      </c>
      <c r="B257" t="e">
        <f>#REF!</f>
        <v>#REF!</v>
      </c>
      <c r="C257" t="e">
        <f>#REF!</f>
        <v>#REF!</v>
      </c>
      <c r="D257" t="e">
        <f>#REF!</f>
        <v>#REF!</v>
      </c>
      <c r="E257" t="e">
        <f>#REF!</f>
        <v>#REF!</v>
      </c>
      <c r="F257" t="e">
        <f>#REF!</f>
        <v>#REF!</v>
      </c>
      <c r="G257" t="e">
        <f>#REF!</f>
        <v>#REF!</v>
      </c>
      <c r="H257" t="e">
        <f>#REF!</f>
        <v>#REF!</v>
      </c>
      <c r="I257" t="e">
        <f>IF(#REF!="Case Cancelled",1,IF(#REF!="No Cases",2,0))</f>
        <v>#REF!</v>
      </c>
      <c r="J257" t="e">
        <f>#REF!</f>
        <v>#REF!</v>
      </c>
      <c r="K257" s="4" t="e">
        <f>#REF!</f>
        <v>#REF!</v>
      </c>
      <c r="L257" t="e">
        <f>"Wk "&amp;WEEKNUM(tbl_Case_mins[[#This Row],[Surgery Start Date]],21)</f>
        <v>#REF!</v>
      </c>
      <c r="M257" t="e">
        <f>TEXT(tbl_Case_mins[[#This Row],[Surgery Start Date]],"ddd")</f>
        <v>#REF!</v>
      </c>
      <c r="N257" s="9" t="e">
        <f>(#REF!-TIME(0,0,0))*1440</f>
        <v>#REF!</v>
      </c>
      <c r="O257" t="e">
        <f>IF(AND(ROUND((#REF!-TIME(0,0,0))*1440,0)&gt;0,ROUND((#REF!-TIME(0,0,0))*1440,0)&lt;tbl_Case_mins[[#This Row],[Patient Called]],tbl_Case_mins[[#This Row],[Surgery End Date]]&gt;tbl_Case_mins[[#This Row],[Surgery Start Date]]),ROUND((#REF!-TIME(0,0,0))*1440,0)+1440,ROUND((#REF!-TIME(0,0,0))*1440,0))</f>
        <v>#REF!</v>
      </c>
      <c r="P257" s="9" t="e">
        <f>IF(AND(ROUND((#REF!-TIME(0,0,0))*1440,0)&gt;0,ROUND((#REF!-TIME(0,0,0))*1440,0)&lt;tbl_Case_mins[[#This Row],[Arrival]],tbl_Case_mins[[#This Row],[Surgery End Date]]&gt;tbl_Case_mins[[#This Row],[Surgery Start Date]]),ROUND((#REF!-TIME(0,0,0))*1440,0)+1440,ROUND((#REF!-TIME(0,0,0))*1440,0))</f>
        <v>#REF!</v>
      </c>
      <c r="Q257" s="9" t="e">
        <f>IF(AND(ROUND((#REF!-TIME(0,0,0))*1440,0)&gt;0,ROUND((#REF!-TIME(0,0,0))*1440,0)&lt;tbl_Case_mins[[#This Row],[Into Th or AR]],tbl_Case_mins[[#This Row],[Surgery End Date]]&gt;tbl_Case_mins[[#This Row],[Surgery Start Date]]),ROUND((#REF!-TIME(0,0,0))*1440,0)+1440,ROUND((#REF!-TIME(0,0,0))*1440,0))</f>
        <v>#REF!</v>
      </c>
      <c r="R257" s="9" t="e">
        <f>IF(AND(ROUND((#REF!-TIME(0,0,0))*1440,0)&gt;0,ROUND((#REF!-TIME(0,0,0))*1440,0)&lt;tbl_Case_mins[[#This Row],[AnaesthStart]],tbl_Case_mins[[#This Row],[Surgery End Date]]&gt;tbl_Case_mins[[#This Row],[Surgery Start Date]]),ROUND((#REF!-TIME(0,0,0))*1440,0)+1440,ROUND((#REF!-TIME(0,0,0))*1440,0))</f>
        <v>#REF!</v>
      </c>
      <c r="S257" s="9" t="e">
        <f>IF(AND(ROUND((#REF!-TIME(0,0,0))*1440,0),ROUND((#REF!-TIME(0,0,0))*1440,0)&lt;tbl_Case_mins[[#This Row],[Surgery Start]],tbl_Case_mins[[#This Row],[Surgery End Date]]&gt;tbl_Case_mins[[#This Row],[Surgery Start Date]]),ROUND((#REF!-TIME(0,0,0))*1440,0)+1440,ROUND((#REF!-TIME(0,0,0))*1440,0))</f>
        <v>#REF!</v>
      </c>
      <c r="T257" s="9" t="e">
        <f>IF(AND(ROUND((#REF!-TIME(0,0,0))*1440,0)&gt;0,ROUND((#REF!-TIME(0,0,0))*1440,0)&lt;tbl_Case_mins[[#This Row],[Surgery Finish]],tbl_Case_mins[[#This Row],[Surgery End Date]]&gt;tbl_Case_mins[[#This Row],[Surgery Start Date]]),ROUND((#REF!-TIME(0,0,0))*1440,0)+1440,ROUND((#REF!-TIME(0,0,0))*1440,0))</f>
        <v>#REF!</v>
      </c>
      <c r="U257" s="9" t="e">
        <f>IF(AND(ROUND((#REF!-TIME(0,0,0))*1440,0)&gt;0,ROUND((#REF!-TIME(0,0,0))*1440,0)&lt;tbl_Case_mins[[#This Row],[Anaesth End]],tbl_Case_mins[[#This Row],[Surgery End Date]]&gt;tbl_Case_mins[[#This Row],[Surgery Start Date]]),ROUND((#REF!-TIME(0,0,0))*1440,0)+1440,ROUND((#REF!-TIME(0,0,0))*1440,0))</f>
        <v>#REF!</v>
      </c>
      <c r="V257" s="9" t="e">
        <f>IF(AND(ROUND((#REF!-TIME(0,0,0))*1440,0)&gt;0,ROUND((#REF!-TIME(0,0,0))*1440,0)&lt;tbl_Case_mins[[#This Row],[Into Recov]],tbl_Case_mins[[#This Row],[Surgery End Date]]&gt;tbl_Case_mins[[#This Row],[Surgery Start Date]]),ROUND((#REF!-TIME(0,0,0))*1440,0)+1440,ROUND((#REF!-TIME(0,0,0))*1440,0))</f>
        <v>#REF!</v>
      </c>
      <c r="W257" s="9" t="e">
        <f>IF(AND(ROUND((#REF!-TIME(0,0,0))*1440,0)&gt;0,ROUND((#REF!-TIME(0,0,0))*1440,0)&lt;tbl_Case_mins[[#This Row],[Ward Called]],tbl_Case_mins[[#This Row],[Surgery End Date]]&gt;tbl_Case_mins[[#This Row],[Surgery Start Date]]),ROUND((#REF!-TIME(0,0,0))*1440,0)+1440,ROUND((#REF!-TIME(0,0,0))*1440,0))</f>
        <v>#REF!</v>
      </c>
      <c r="X257" s="4" t="e">
        <f>IF(ISBLANK(#REF!),tbl_Case_mins[[#This Row],[Surgery Start Date]],#REF!)</f>
        <v>#REF!</v>
      </c>
      <c r="Y257">
        <f>IFERROR(IF(VLOOKUP(tbl_Case_mins[[#This Row],[Theatre]],'Mng Theatres'!$C$7:$G$12,3,FALSE)="Yes","Yes","No"),0)</f>
        <v>0</v>
      </c>
      <c r="Z257" s="9" t="e" cm="1">
        <f t="array" ref="Z25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7" s="9" t="e" cm="1">
        <f t="array" ref="AA25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7" s="9" t="e">
        <f>IF(tbl_Case_mins[[#This Row],[Case Type]]="Unsch",1,0)</f>
        <v>#REF!</v>
      </c>
      <c r="AD257" s="9" t="e">
        <f>IF(tbl_Case_mins[[#This Row],[Case Type]]="Sch",1,0)</f>
        <v>#REF!</v>
      </c>
      <c r="AE25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7" s="9">
        <f>IFERROR(IF(ISBLANK(INDEX(Am_Close,MATCH(1,INDEX((tbl_Case_mins[[#This Row],[Theatre]]=Theatre_No)*(tbl_Case_mins[[#This Row],[Surgery Start Date]]=Date),0,1),0))*1440),0,INDEX(Am_Close,MATCH(1,INDEX((tbl_Case_mins[[#This Row],[Theatre]]=Theatre_No)*(tbl_Case_mins[[#This Row],[Surgery Start Date]]=Date),0,1),0))*1440),0)</f>
        <v>0</v>
      </c>
      <c r="AG257" s="9">
        <f>IFERROR(IF(ISBLANK(INDEX(PM_Open,MATCH(1,INDEX((tbl_Case_mins[[#This Row],[Theatre]]=Theatre_No)*(tbl_Case_mins[[#This Row],[Surgery Start Date]]=Date),0,1),0))*1440),0,INDEX(PM_Open,MATCH(1,INDEX((tbl_Case_mins[[#This Row],[Theatre]]=Theatre_No)*(tbl_Case_mins[[#This Row],[Surgery Start Date]]=Date),0,1),0))*1440),0)</f>
        <v>0</v>
      </c>
      <c r="AH25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7" s="9" t="e">
        <f>IF(tbl_Case_mins[[#This Row],[ThOpenAm]]=0,tbl_Case_mins[[#This Row],[ThOpenPM]],tbl_Case_mins[[#This Row],[ThOpenAm]])</f>
        <v>#REF!</v>
      </c>
      <c r="AJ257" s="9" t="e">
        <f>IF(tbl_Case_mins[[#This Row],[ThCloseAm]]&gt;0,IF(tbl_Case_mins[[#This Row],[ThOpenPM]]&gt;0,tbl_Case_mins[[#This Row],[ThClosePm]],tbl_Case_mins[[#This Row],[ThCloseAm]]),tbl_Case_mins[[#This Row],[ThClosePm]])</f>
        <v>#REF!</v>
      </c>
      <c r="AK257" s="9" t="e">
        <f>IF(tbl_Case_mins[[#This Row],[TOT]]&gt;0,1,0)</f>
        <v>#REF!</v>
      </c>
      <c r="AL25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7" s="9" t="e">
        <f>IF(AND(tbl_Case_mins[[#This Row],[Surgery Status]]&lt;&gt;2,tbl_Case_mins[[#This Row],[InCoreCase]]=0,tbl_Case_mins[[#This Row],[CancelledCase]]=0),1,0)</f>
        <v>#REF!</v>
      </c>
      <c r="AN257" s="9" t="e">
        <f>IF(tbl_Case_mins[[#This Row],[Surgery Status]]=1,1,0)</f>
        <v>#REF!</v>
      </c>
      <c r="AO25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7" s="9" t="e">
        <f>IF(AND(tbl_Case_mins[[#This Row],[NonCoreCase]]=1,tbl_Case_mins[[#This Row],[NoInCoreTime]]=0),1,0)</f>
        <v>#REF!</v>
      </c>
      <c r="AQ257" s="9" t="e">
        <f>IF(tbl_Case_mins[[#This Row],[Rank_AnaEnd]]&lt;tbl_Case_mins[[#This Row],[Rank_AnaSt]],1,0)</f>
        <v>#REF!</v>
      </c>
      <c r="AR257" s="9" t="e">
        <f>IF(AND(tbl_Case_mins[[#This Row],[InCoreCase]]=1,tbl_Case_mins[[#This Row],[Sch]]=1),1,0)</f>
        <v>#REF!</v>
      </c>
      <c r="AS257" s="9" t="e">
        <f>IF(AND(tbl_Case_mins[[#This Row],[InCoreCase]]=1,tbl_Case_mins[[#This Row],[Unsch]]=1),1,0)</f>
        <v>#REF!</v>
      </c>
      <c r="AT25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7" s="9" t="e">
        <f>IF(tbl_Case_mins[[#This Row],[Surgery Status]]=0,(tbl_Case_mins[[#This Row],[Anaesth End]]-tbl_Case_mins[[#This Row],[AnaesthStart]]),0)</f>
        <v>#REF!</v>
      </c>
      <c r="AX257" s="9" t="e">
        <f>IF(tbl_Case_mins[[#This Row],[Surgery Status]]=0,(tbl_Case_mins[[#This Row],[Surgery Finish]]-tbl_Case_mins[[#This Row],[Surgery Start]]),0)</f>
        <v>#REF!</v>
      </c>
      <c r="AY257" s="9" t="e">
        <f>tbl_Case_mins[[#This Row],[Surgery Start]]-tbl_Case_mins[[#This Row],[AnaesthStart]]</f>
        <v>#REF!</v>
      </c>
      <c r="AZ257" s="9" t="e">
        <f>tbl_Case_mins[[#This Row],[Anaesth End]]-tbl_Case_mins[[#This Row],[Surgery Finish]]</f>
        <v>#REF!</v>
      </c>
      <c r="BA25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7" s="16" cm="1">
        <f t="array" ref="BC25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7" s="16" t="e">
        <f>IF(AND(tbl_Case_mins[[#This Row],[FirstAMCase]]=1,tbl_Case_mins[[#This Row],[CancelledCase]]=0,OR(tbl_Case_mins[[#This Row],[EarlyStartAM]]&gt;0,tbl_Case_mins[[#This Row],[AnaesthStart]]=tbl_Case_mins[[#This Row],[ThOpenAm]])),1,0)</f>
        <v>#REF!</v>
      </c>
      <c r="BE257" s="16" t="e">
        <f>IF(AND(tbl_Case_mins[[#This Row],[Rank_AnaSt]]=tbl_Case_mins[[#This Row],[Min_RankAnaSt]],tbl_Case_mins[[#This Row],[Anaesth End]]&gt;=tbl_Case_mins[[#This Row],[ThOpenAm]],tbl_Case_mins[[#This Row],[PmCase]]=0),1,0)</f>
        <v>#REF!</v>
      </c>
      <c r="BF25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7" s="9" t="e" cm="1">
        <f t="array" ref="BH25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7" s="9" t="e">
        <f>IF(AND(tbl_Case_mins[[#This Row],[ThOpenPM]]&gt;0,tbl_Case_mins[[#This Row],[AnaesthStart]]&gt;tbl_Case_mins[[#This Row],[ThOpenPM]],tbl_Case_mins[[#This Row],[First PM Case]]=1),tbl_Case_mins[[#This Row],[AnaesthStart]]-tbl_Case_mins[[#This Row],[ThOpenPM]],0)</f>
        <v>#REF!</v>
      </c>
      <c r="BL25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7" s="9" t="e" cm="1">
        <f t="array" ref="BN25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7" s="9" t="e">
        <f>IF(AND(tbl_Case_mins[[#This Row],[ThClosePm]]&gt;0,tbl_Case_mins[[#This Row],[Anaesth End]]&gt;tbl_Case_mins[[#This Row],[ThClosePm]],tbl_Case_mins[[#This Row],[AnaesthStart]]&gt;tbl_Case_mins[[#This Row],[ThClosePm]]),tbl_Case_mins[[#This Row],[Into Recov]]-tbl_Case_mins[[#This Row],[AnaesthStart]],0)</f>
        <v>#REF!</v>
      </c>
      <c r="BP257" s="9" t="e">
        <f>IF(AND(tbl_Case_mins[[#This Row],[AnaesthStart]]&lt;tbl_Case_mins[[#This Row],[ThClosePm]],tbl_Case_mins[[#This Row],[Anaesth End]]&gt;tbl_Case_mins[[#This Row],[ThClosePm]]),tbl_Case_mins[[#This Row],[Anaesth End]]-tbl_Case_mins[[#This Row],[ThClosePm]],0)</f>
        <v>#REF!</v>
      </c>
      <c r="BQ257" s="9" t="e" cm="1">
        <f t="array" ref="BQ25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7" s="9" t="e" cm="1">
        <f t="array" ref="BR257">IF(tbl_Case_mins[[#This Row],[Rank_Adjust]]=SUMPRODUCT(-(tbl_Case_mins[Surgery Start Date]=tbl_Case_mins[[#This Row],[Surgery Start Date]]),-(tbl_Case_mins[Theatre]=tbl_Case_mins[[#This Row],[Theatre]])),INDEX(Poss_Time,MATCH(TEXT(tbl_Case_mins[[#This Row],[Surgery Start Date]],"ddd"),Day,0)),0)</f>
        <v>#REF!</v>
      </c>
      <c r="BS257" s="9" t="e">
        <f>tbl_Case_mins[[#This Row],[Core_Time]]*Util_Goal</f>
        <v>#REF!</v>
      </c>
      <c r="BT257" s="9" t="e" cm="1">
        <f t="array" ref="BT2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7" s="9" t="e" cm="1">
        <f t="array" ref="BU2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7" s="9" t="e">
        <f>IF(tbl_Case_mins[[#This Row],[Surgery End Date]]&gt;tbl_Case_mins[[#This Row],[Surgery Start Date]],tbl_Case_mins[[#This Row],[Anaesth End]]-1440,0)</f>
        <v>#REF!</v>
      </c>
      <c r="BY257" s="9" t="e">
        <f>tbl_Case_mins[[#This Row],[Total_NonCore]]-tbl_Case_mins[[#This Row],[NextDay_NonCore]]</f>
        <v>#REF!</v>
      </c>
      <c r="BZ257" s="10" t="e">
        <f>tbl_Case_mins[[#This Row],[InCoreUse]]/60</f>
        <v>#REF!</v>
      </c>
      <c r="CA257" s="10" t="e">
        <f>tbl_Case_mins[[#This Row],[Total_NonCore]]/60</f>
        <v>#REF!</v>
      </c>
      <c r="CB257" t="e" cm="1">
        <f t="array" ref="CB2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7" s="9" t="e" cm="1">
        <f t="array" ref="CC25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7" s="9" t="e" cm="1">
        <f t="array" ref="CD2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7" s="9" t="e" cm="1">
        <f t="array" ref="CE25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7" s="9" cm="1">
        <f t="array" ref="CF257">IFERROR(_xlfn.AGGREGATE(14,6,(tbl_Case_mins[Rank_AnaEnd])/((tbl_Case_mins[Surgery Start Date]=tbl_Case_mins[[#This Row],[Surgery Start Date]])*(tbl_Case_mins[Theatre]=tbl_Case_mins[[#This Row],[Theatre]])*(tbl_Case_mins[NoInCoreTime]=0)),1),-1)</f>
        <v>-1</v>
      </c>
      <c r="CG257" s="9" cm="1">
        <f t="array" ref="CG257">IFERROR(_xlfn.AGGREGATE(15,6,(tbl_Case_mins[Rank_AnaSt])/((tbl_Case_mins[Surgery Start Date]=tbl_Case_mins[[#This Row],[Surgery Start Date]])*(tbl_Case_mins[Theatre]=tbl_Case_mins[[#This Row],[Theatre]])*(tbl_Case_mins[NoInCoreTime]=0)),1),-1)</f>
        <v>-1</v>
      </c>
      <c r="CH25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7" t="e" cm="1">
        <f t="array" ref="CJ25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7" s="9" cm="1">
        <f t="array" ref="CO2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7" s="9" cm="1">
        <f t="array" ref="CP2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7" s="9" cm="1">
        <f t="array" ref="CQ257">IFERROR(IF(AND(tbl_Case_mins[[#This Row],[FirstAMCase]]=0,tbl_Case_mins[[#This Row],[Rank]]=_xlfn.AGGREGATE(14,6,(tbl_Case_mins[Rank])/((tbl_Case_mins[Surgery Start Date]=tbl_Case_mins[[#This Row],[Surgery Start Date]])*(tbl_Case_mins[Theatre]=tbl_Case_mins[[#This Row],[Theatre]])*(tbl_Case_mins[AmCase]=1)),1)),1,0),0)</f>
        <v>0</v>
      </c>
      <c r="CR257" s="9" cm="1">
        <f t="array" ref="CR25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7" s="9" t="e" cm="1">
        <f t="array" ref="CS25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7" s="9" cm="1">
        <f t="array" ref="CT257">IFERROR(IF(tbl_Case_mins[[#This Row],[Rank]]=_xlfn.AGGREGATE(15,6,(tbl_Case_mins[Rank])/((tbl_Case_mins[Surgery Start Date]=tbl_Case_mins[[#This Row],[Surgery Start Date]])*(tbl_Case_mins[Theatre]=tbl_Case_mins[[#This Row],[Theatre]])*(tbl_Case_mins[PmCase]=1)),1),1,0),0)</f>
        <v>0</v>
      </c>
      <c r="CU257">
        <f>IFERROR(#REF!,0)</f>
        <v>0</v>
      </c>
      <c r="CV257" s="9" t="e" cm="1">
        <f t="array" ref="CV25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7" s="9">
        <f>IFERROR(IF(ISBLANK(INDEX(Bay_AmClose,MATCH(1,INDEX((tbl_Case_mins[[#This Row],[Bay]]=BayNo)*(tbl_Case_mins[[#This Row],[Surgery Start Date]]=BDate),0,1),0))*1440),0,INDEX(Bay_AmClose,MATCH(1,INDEX((tbl_Case_mins[[#This Row],[Bay]]=BayNo)*(tbl_Case_mins[[#This Row],[Surgery Start Date]]=BDate),0,1),0))*1440),0)</f>
        <v>0</v>
      </c>
      <c r="CX257" s="9" cm="1">
        <f t="array" ref="CX257">IFERROR(IF(ISBLANK(INDEX(Bay_PmOpen,MATCH(1,INDEX((tbl_Case_mins[[#This Row],[Bay]]=BayNo)*(tbl_Case_mins[[#This Row],[Surgery Start Date]]=BDate),0,1),0))*1440),0,INDEX(Bay_PmOpen,MATCH(1,INDEX((tbl_Case_mins[[#This Row],[Bay]]=BayNo)*(tbl_Case_mins[[#This Row],[Surgery Start Date]]=BDate),0,1),0))*1440),0)</f>
        <v>0</v>
      </c>
      <c r="CY25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7" s="9"/>
    </row>
    <row r="258" spans="1:104" x14ac:dyDescent="0.2">
      <c r="A258">
        <v>257</v>
      </c>
      <c r="B258" t="e">
        <f>#REF!</f>
        <v>#REF!</v>
      </c>
      <c r="C258" t="e">
        <f>#REF!</f>
        <v>#REF!</v>
      </c>
      <c r="D258" t="e">
        <f>#REF!</f>
        <v>#REF!</v>
      </c>
      <c r="E258" t="e">
        <f>#REF!</f>
        <v>#REF!</v>
      </c>
      <c r="F258" t="e">
        <f>#REF!</f>
        <v>#REF!</v>
      </c>
      <c r="G258" t="e">
        <f>#REF!</f>
        <v>#REF!</v>
      </c>
      <c r="H258" t="e">
        <f>#REF!</f>
        <v>#REF!</v>
      </c>
      <c r="I258" t="e">
        <f>IF(#REF!="Case Cancelled",1,IF(#REF!="No Cases",2,0))</f>
        <v>#REF!</v>
      </c>
      <c r="J258" t="e">
        <f>#REF!</f>
        <v>#REF!</v>
      </c>
      <c r="K258" s="4" t="e">
        <f>#REF!</f>
        <v>#REF!</v>
      </c>
      <c r="L258" t="e">
        <f>"Wk "&amp;WEEKNUM(tbl_Case_mins[[#This Row],[Surgery Start Date]],21)</f>
        <v>#REF!</v>
      </c>
      <c r="M258" t="e">
        <f>TEXT(tbl_Case_mins[[#This Row],[Surgery Start Date]],"ddd")</f>
        <v>#REF!</v>
      </c>
      <c r="N258" s="9" t="e">
        <f>(#REF!-TIME(0,0,0))*1440</f>
        <v>#REF!</v>
      </c>
      <c r="O258" t="e">
        <f>IF(AND(ROUND((#REF!-TIME(0,0,0))*1440,0)&gt;0,ROUND((#REF!-TIME(0,0,0))*1440,0)&lt;tbl_Case_mins[[#This Row],[Patient Called]],tbl_Case_mins[[#This Row],[Surgery End Date]]&gt;tbl_Case_mins[[#This Row],[Surgery Start Date]]),ROUND((#REF!-TIME(0,0,0))*1440,0)+1440,ROUND((#REF!-TIME(0,0,0))*1440,0))</f>
        <v>#REF!</v>
      </c>
      <c r="P258" s="9" t="e">
        <f>IF(AND(ROUND((#REF!-TIME(0,0,0))*1440,0)&gt;0,ROUND((#REF!-TIME(0,0,0))*1440,0)&lt;tbl_Case_mins[[#This Row],[Arrival]],tbl_Case_mins[[#This Row],[Surgery End Date]]&gt;tbl_Case_mins[[#This Row],[Surgery Start Date]]),ROUND((#REF!-TIME(0,0,0))*1440,0)+1440,ROUND((#REF!-TIME(0,0,0))*1440,0))</f>
        <v>#REF!</v>
      </c>
      <c r="Q258" s="9" t="e">
        <f>IF(AND(ROUND((#REF!-TIME(0,0,0))*1440,0)&gt;0,ROUND((#REF!-TIME(0,0,0))*1440,0)&lt;tbl_Case_mins[[#This Row],[Into Th or AR]],tbl_Case_mins[[#This Row],[Surgery End Date]]&gt;tbl_Case_mins[[#This Row],[Surgery Start Date]]),ROUND((#REF!-TIME(0,0,0))*1440,0)+1440,ROUND((#REF!-TIME(0,0,0))*1440,0))</f>
        <v>#REF!</v>
      </c>
      <c r="R258" s="9" t="e">
        <f>IF(AND(ROUND((#REF!-TIME(0,0,0))*1440,0)&gt;0,ROUND((#REF!-TIME(0,0,0))*1440,0)&lt;tbl_Case_mins[[#This Row],[AnaesthStart]],tbl_Case_mins[[#This Row],[Surgery End Date]]&gt;tbl_Case_mins[[#This Row],[Surgery Start Date]]),ROUND((#REF!-TIME(0,0,0))*1440,0)+1440,ROUND((#REF!-TIME(0,0,0))*1440,0))</f>
        <v>#REF!</v>
      </c>
      <c r="S258" s="9" t="e">
        <f>IF(AND(ROUND((#REF!-TIME(0,0,0))*1440,0),ROUND((#REF!-TIME(0,0,0))*1440,0)&lt;tbl_Case_mins[[#This Row],[Surgery Start]],tbl_Case_mins[[#This Row],[Surgery End Date]]&gt;tbl_Case_mins[[#This Row],[Surgery Start Date]]),ROUND((#REF!-TIME(0,0,0))*1440,0)+1440,ROUND((#REF!-TIME(0,0,0))*1440,0))</f>
        <v>#REF!</v>
      </c>
      <c r="T258" s="9" t="e">
        <f>IF(AND(ROUND((#REF!-TIME(0,0,0))*1440,0)&gt;0,ROUND((#REF!-TIME(0,0,0))*1440,0)&lt;tbl_Case_mins[[#This Row],[Surgery Finish]],tbl_Case_mins[[#This Row],[Surgery End Date]]&gt;tbl_Case_mins[[#This Row],[Surgery Start Date]]),ROUND((#REF!-TIME(0,0,0))*1440,0)+1440,ROUND((#REF!-TIME(0,0,0))*1440,0))</f>
        <v>#REF!</v>
      </c>
      <c r="U258" s="9" t="e">
        <f>IF(AND(ROUND((#REF!-TIME(0,0,0))*1440,0)&gt;0,ROUND((#REF!-TIME(0,0,0))*1440,0)&lt;tbl_Case_mins[[#This Row],[Anaesth End]],tbl_Case_mins[[#This Row],[Surgery End Date]]&gt;tbl_Case_mins[[#This Row],[Surgery Start Date]]),ROUND((#REF!-TIME(0,0,0))*1440,0)+1440,ROUND((#REF!-TIME(0,0,0))*1440,0))</f>
        <v>#REF!</v>
      </c>
      <c r="V258" s="9" t="e">
        <f>IF(AND(ROUND((#REF!-TIME(0,0,0))*1440,0)&gt;0,ROUND((#REF!-TIME(0,0,0))*1440,0)&lt;tbl_Case_mins[[#This Row],[Into Recov]],tbl_Case_mins[[#This Row],[Surgery End Date]]&gt;tbl_Case_mins[[#This Row],[Surgery Start Date]]),ROUND((#REF!-TIME(0,0,0))*1440,0)+1440,ROUND((#REF!-TIME(0,0,0))*1440,0))</f>
        <v>#REF!</v>
      </c>
      <c r="W258" s="9" t="e">
        <f>IF(AND(ROUND((#REF!-TIME(0,0,0))*1440,0)&gt;0,ROUND((#REF!-TIME(0,0,0))*1440,0)&lt;tbl_Case_mins[[#This Row],[Ward Called]],tbl_Case_mins[[#This Row],[Surgery End Date]]&gt;tbl_Case_mins[[#This Row],[Surgery Start Date]]),ROUND((#REF!-TIME(0,0,0))*1440,0)+1440,ROUND((#REF!-TIME(0,0,0))*1440,0))</f>
        <v>#REF!</v>
      </c>
      <c r="X258" s="4" t="e">
        <f>IF(ISBLANK(#REF!),tbl_Case_mins[[#This Row],[Surgery Start Date]],#REF!)</f>
        <v>#REF!</v>
      </c>
      <c r="Y258">
        <f>IFERROR(IF(VLOOKUP(tbl_Case_mins[[#This Row],[Theatre]],'Mng Theatres'!$C$7:$G$12,3,FALSE)="Yes","Yes","No"),0)</f>
        <v>0</v>
      </c>
      <c r="Z258" s="9" t="e" cm="1">
        <f t="array" ref="Z25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8" s="9" t="e" cm="1">
        <f t="array" ref="AA25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8" s="9" t="e">
        <f>IF(tbl_Case_mins[[#This Row],[Case Type]]="Unsch",1,0)</f>
        <v>#REF!</v>
      </c>
      <c r="AD258" s="9" t="e">
        <f>IF(tbl_Case_mins[[#This Row],[Case Type]]="Sch",1,0)</f>
        <v>#REF!</v>
      </c>
      <c r="AE25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8" s="9">
        <f>IFERROR(IF(ISBLANK(INDEX(Am_Close,MATCH(1,INDEX((tbl_Case_mins[[#This Row],[Theatre]]=Theatre_No)*(tbl_Case_mins[[#This Row],[Surgery Start Date]]=Date),0,1),0))*1440),0,INDEX(Am_Close,MATCH(1,INDEX((tbl_Case_mins[[#This Row],[Theatre]]=Theatre_No)*(tbl_Case_mins[[#This Row],[Surgery Start Date]]=Date),0,1),0))*1440),0)</f>
        <v>0</v>
      </c>
      <c r="AG258" s="9">
        <f>IFERROR(IF(ISBLANK(INDEX(PM_Open,MATCH(1,INDEX((tbl_Case_mins[[#This Row],[Theatre]]=Theatre_No)*(tbl_Case_mins[[#This Row],[Surgery Start Date]]=Date),0,1),0))*1440),0,INDEX(PM_Open,MATCH(1,INDEX((tbl_Case_mins[[#This Row],[Theatre]]=Theatre_No)*(tbl_Case_mins[[#This Row],[Surgery Start Date]]=Date),0,1),0))*1440),0)</f>
        <v>0</v>
      </c>
      <c r="AH25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8" s="9" t="e">
        <f>IF(tbl_Case_mins[[#This Row],[ThOpenAm]]=0,tbl_Case_mins[[#This Row],[ThOpenPM]],tbl_Case_mins[[#This Row],[ThOpenAm]])</f>
        <v>#REF!</v>
      </c>
      <c r="AJ258" s="9" t="e">
        <f>IF(tbl_Case_mins[[#This Row],[ThCloseAm]]&gt;0,IF(tbl_Case_mins[[#This Row],[ThOpenPM]]&gt;0,tbl_Case_mins[[#This Row],[ThClosePm]],tbl_Case_mins[[#This Row],[ThCloseAm]]),tbl_Case_mins[[#This Row],[ThClosePm]])</f>
        <v>#REF!</v>
      </c>
      <c r="AK258" s="9" t="e">
        <f>IF(tbl_Case_mins[[#This Row],[TOT]]&gt;0,1,0)</f>
        <v>#REF!</v>
      </c>
      <c r="AL25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8" s="9" t="e">
        <f>IF(AND(tbl_Case_mins[[#This Row],[Surgery Status]]&lt;&gt;2,tbl_Case_mins[[#This Row],[InCoreCase]]=0,tbl_Case_mins[[#This Row],[CancelledCase]]=0),1,0)</f>
        <v>#REF!</v>
      </c>
      <c r="AN258" s="9" t="e">
        <f>IF(tbl_Case_mins[[#This Row],[Surgery Status]]=1,1,0)</f>
        <v>#REF!</v>
      </c>
      <c r="AO25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8" s="9" t="e">
        <f>IF(AND(tbl_Case_mins[[#This Row],[NonCoreCase]]=1,tbl_Case_mins[[#This Row],[NoInCoreTime]]=0),1,0)</f>
        <v>#REF!</v>
      </c>
      <c r="AQ258" s="9" t="e">
        <f>IF(tbl_Case_mins[[#This Row],[Rank_AnaEnd]]&lt;tbl_Case_mins[[#This Row],[Rank_AnaSt]],1,0)</f>
        <v>#REF!</v>
      </c>
      <c r="AR258" s="9" t="e">
        <f>IF(AND(tbl_Case_mins[[#This Row],[InCoreCase]]=1,tbl_Case_mins[[#This Row],[Sch]]=1),1,0)</f>
        <v>#REF!</v>
      </c>
      <c r="AS258" s="9" t="e">
        <f>IF(AND(tbl_Case_mins[[#This Row],[InCoreCase]]=1,tbl_Case_mins[[#This Row],[Unsch]]=1),1,0)</f>
        <v>#REF!</v>
      </c>
      <c r="AT25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8" s="9" t="e">
        <f>IF(tbl_Case_mins[[#This Row],[Surgery Status]]=0,(tbl_Case_mins[[#This Row],[Anaesth End]]-tbl_Case_mins[[#This Row],[AnaesthStart]]),0)</f>
        <v>#REF!</v>
      </c>
      <c r="AX258" s="9" t="e">
        <f>IF(tbl_Case_mins[[#This Row],[Surgery Status]]=0,(tbl_Case_mins[[#This Row],[Surgery Finish]]-tbl_Case_mins[[#This Row],[Surgery Start]]),0)</f>
        <v>#REF!</v>
      </c>
      <c r="AY258" s="9" t="e">
        <f>tbl_Case_mins[[#This Row],[Surgery Start]]-tbl_Case_mins[[#This Row],[AnaesthStart]]</f>
        <v>#REF!</v>
      </c>
      <c r="AZ258" s="9" t="e">
        <f>tbl_Case_mins[[#This Row],[Anaesth End]]-tbl_Case_mins[[#This Row],[Surgery Finish]]</f>
        <v>#REF!</v>
      </c>
      <c r="BA25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8" s="16" cm="1">
        <f t="array" ref="BC25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8" s="16" t="e">
        <f>IF(AND(tbl_Case_mins[[#This Row],[FirstAMCase]]=1,tbl_Case_mins[[#This Row],[CancelledCase]]=0,OR(tbl_Case_mins[[#This Row],[EarlyStartAM]]&gt;0,tbl_Case_mins[[#This Row],[AnaesthStart]]=tbl_Case_mins[[#This Row],[ThOpenAm]])),1,0)</f>
        <v>#REF!</v>
      </c>
      <c r="BE258" s="16" t="e">
        <f>IF(AND(tbl_Case_mins[[#This Row],[Rank_AnaSt]]=tbl_Case_mins[[#This Row],[Min_RankAnaSt]],tbl_Case_mins[[#This Row],[Anaesth End]]&gt;=tbl_Case_mins[[#This Row],[ThOpenAm]],tbl_Case_mins[[#This Row],[PmCase]]=0),1,0)</f>
        <v>#REF!</v>
      </c>
      <c r="BF25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8" s="9" t="e" cm="1">
        <f t="array" ref="BH25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8" s="9" t="e">
        <f>IF(AND(tbl_Case_mins[[#This Row],[ThOpenPM]]&gt;0,tbl_Case_mins[[#This Row],[AnaesthStart]]&gt;tbl_Case_mins[[#This Row],[ThOpenPM]],tbl_Case_mins[[#This Row],[First PM Case]]=1),tbl_Case_mins[[#This Row],[AnaesthStart]]-tbl_Case_mins[[#This Row],[ThOpenPM]],0)</f>
        <v>#REF!</v>
      </c>
      <c r="BL25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8" s="9" t="e" cm="1">
        <f t="array" ref="BN25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8" s="9" t="e">
        <f>IF(AND(tbl_Case_mins[[#This Row],[ThClosePm]]&gt;0,tbl_Case_mins[[#This Row],[Anaesth End]]&gt;tbl_Case_mins[[#This Row],[ThClosePm]],tbl_Case_mins[[#This Row],[AnaesthStart]]&gt;tbl_Case_mins[[#This Row],[ThClosePm]]),tbl_Case_mins[[#This Row],[Into Recov]]-tbl_Case_mins[[#This Row],[AnaesthStart]],0)</f>
        <v>#REF!</v>
      </c>
      <c r="BP258" s="9" t="e">
        <f>IF(AND(tbl_Case_mins[[#This Row],[AnaesthStart]]&lt;tbl_Case_mins[[#This Row],[ThClosePm]],tbl_Case_mins[[#This Row],[Anaesth End]]&gt;tbl_Case_mins[[#This Row],[ThClosePm]]),tbl_Case_mins[[#This Row],[Anaesth End]]-tbl_Case_mins[[#This Row],[ThClosePm]],0)</f>
        <v>#REF!</v>
      </c>
      <c r="BQ258" s="9" t="e" cm="1">
        <f t="array" ref="BQ25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8" s="9" t="e" cm="1">
        <f t="array" ref="BR258">IF(tbl_Case_mins[[#This Row],[Rank_Adjust]]=SUMPRODUCT(-(tbl_Case_mins[Surgery Start Date]=tbl_Case_mins[[#This Row],[Surgery Start Date]]),-(tbl_Case_mins[Theatre]=tbl_Case_mins[[#This Row],[Theatre]])),INDEX(Poss_Time,MATCH(TEXT(tbl_Case_mins[[#This Row],[Surgery Start Date]],"ddd"),Day,0)),0)</f>
        <v>#REF!</v>
      </c>
      <c r="BS258" s="9" t="e">
        <f>tbl_Case_mins[[#This Row],[Core_Time]]*Util_Goal</f>
        <v>#REF!</v>
      </c>
      <c r="BT258" s="9" t="e" cm="1">
        <f t="array" ref="BT2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8" s="9" t="e" cm="1">
        <f t="array" ref="BU2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8" s="9" t="e">
        <f>IF(tbl_Case_mins[[#This Row],[Surgery End Date]]&gt;tbl_Case_mins[[#This Row],[Surgery Start Date]],tbl_Case_mins[[#This Row],[Anaesth End]]-1440,0)</f>
        <v>#REF!</v>
      </c>
      <c r="BY258" s="9" t="e">
        <f>tbl_Case_mins[[#This Row],[Total_NonCore]]-tbl_Case_mins[[#This Row],[NextDay_NonCore]]</f>
        <v>#REF!</v>
      </c>
      <c r="BZ258" s="10" t="e">
        <f>tbl_Case_mins[[#This Row],[InCoreUse]]/60</f>
        <v>#REF!</v>
      </c>
      <c r="CA258" s="10" t="e">
        <f>tbl_Case_mins[[#This Row],[Total_NonCore]]/60</f>
        <v>#REF!</v>
      </c>
      <c r="CB258" t="e" cm="1">
        <f t="array" ref="CB2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8" s="9" t="e" cm="1">
        <f t="array" ref="CC25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8" s="9" t="e" cm="1">
        <f t="array" ref="CD2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8" s="9" t="e" cm="1">
        <f t="array" ref="CE25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8" s="9" cm="1">
        <f t="array" ref="CF258">IFERROR(_xlfn.AGGREGATE(14,6,(tbl_Case_mins[Rank_AnaEnd])/((tbl_Case_mins[Surgery Start Date]=tbl_Case_mins[[#This Row],[Surgery Start Date]])*(tbl_Case_mins[Theatre]=tbl_Case_mins[[#This Row],[Theatre]])*(tbl_Case_mins[NoInCoreTime]=0)),1),-1)</f>
        <v>-1</v>
      </c>
      <c r="CG258" s="9" cm="1">
        <f t="array" ref="CG258">IFERROR(_xlfn.AGGREGATE(15,6,(tbl_Case_mins[Rank_AnaSt])/((tbl_Case_mins[Surgery Start Date]=tbl_Case_mins[[#This Row],[Surgery Start Date]])*(tbl_Case_mins[Theatre]=tbl_Case_mins[[#This Row],[Theatre]])*(tbl_Case_mins[NoInCoreTime]=0)),1),-1)</f>
        <v>-1</v>
      </c>
      <c r="CH25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8" t="e" cm="1">
        <f t="array" ref="CJ25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8" s="9" cm="1">
        <f t="array" ref="CO2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8" s="9" cm="1">
        <f t="array" ref="CP2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8" s="9" cm="1">
        <f t="array" ref="CQ258">IFERROR(IF(AND(tbl_Case_mins[[#This Row],[FirstAMCase]]=0,tbl_Case_mins[[#This Row],[Rank]]=_xlfn.AGGREGATE(14,6,(tbl_Case_mins[Rank])/((tbl_Case_mins[Surgery Start Date]=tbl_Case_mins[[#This Row],[Surgery Start Date]])*(tbl_Case_mins[Theatre]=tbl_Case_mins[[#This Row],[Theatre]])*(tbl_Case_mins[AmCase]=1)),1)),1,0),0)</f>
        <v>0</v>
      </c>
      <c r="CR258" s="9" cm="1">
        <f t="array" ref="CR25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8" s="9" t="e" cm="1">
        <f t="array" ref="CS25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8" s="9" cm="1">
        <f t="array" ref="CT258">IFERROR(IF(tbl_Case_mins[[#This Row],[Rank]]=_xlfn.AGGREGATE(15,6,(tbl_Case_mins[Rank])/((tbl_Case_mins[Surgery Start Date]=tbl_Case_mins[[#This Row],[Surgery Start Date]])*(tbl_Case_mins[Theatre]=tbl_Case_mins[[#This Row],[Theatre]])*(tbl_Case_mins[PmCase]=1)),1),1,0),0)</f>
        <v>0</v>
      </c>
      <c r="CU258">
        <f>IFERROR(#REF!,0)</f>
        <v>0</v>
      </c>
      <c r="CV258" s="9" t="e" cm="1">
        <f t="array" ref="CV25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8" s="9">
        <f>IFERROR(IF(ISBLANK(INDEX(Bay_AmClose,MATCH(1,INDEX((tbl_Case_mins[[#This Row],[Bay]]=BayNo)*(tbl_Case_mins[[#This Row],[Surgery Start Date]]=BDate),0,1),0))*1440),0,INDEX(Bay_AmClose,MATCH(1,INDEX((tbl_Case_mins[[#This Row],[Bay]]=BayNo)*(tbl_Case_mins[[#This Row],[Surgery Start Date]]=BDate),0,1),0))*1440),0)</f>
        <v>0</v>
      </c>
      <c r="CX258" s="9" cm="1">
        <f t="array" ref="CX258">IFERROR(IF(ISBLANK(INDEX(Bay_PmOpen,MATCH(1,INDEX((tbl_Case_mins[[#This Row],[Bay]]=BayNo)*(tbl_Case_mins[[#This Row],[Surgery Start Date]]=BDate),0,1),0))*1440),0,INDEX(Bay_PmOpen,MATCH(1,INDEX((tbl_Case_mins[[#This Row],[Bay]]=BayNo)*(tbl_Case_mins[[#This Row],[Surgery Start Date]]=BDate),0,1),0))*1440),0)</f>
        <v>0</v>
      </c>
      <c r="CY25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8" s="9"/>
    </row>
    <row r="259" spans="1:104" x14ac:dyDescent="0.2">
      <c r="A259">
        <v>258</v>
      </c>
      <c r="B259" t="e">
        <f>#REF!</f>
        <v>#REF!</v>
      </c>
      <c r="C259" t="e">
        <f>#REF!</f>
        <v>#REF!</v>
      </c>
      <c r="D259" t="e">
        <f>#REF!</f>
        <v>#REF!</v>
      </c>
      <c r="E259" t="e">
        <f>#REF!</f>
        <v>#REF!</v>
      </c>
      <c r="F259" t="e">
        <f>#REF!</f>
        <v>#REF!</v>
      </c>
      <c r="G259" t="e">
        <f>#REF!</f>
        <v>#REF!</v>
      </c>
      <c r="H259" t="e">
        <f>#REF!</f>
        <v>#REF!</v>
      </c>
      <c r="I259" t="e">
        <f>IF(#REF!="Case Cancelled",1,IF(#REF!="No Cases",2,0))</f>
        <v>#REF!</v>
      </c>
      <c r="J259" t="e">
        <f>#REF!</f>
        <v>#REF!</v>
      </c>
      <c r="K259" s="4" t="e">
        <f>#REF!</f>
        <v>#REF!</v>
      </c>
      <c r="L259" t="e">
        <f>"Wk "&amp;WEEKNUM(tbl_Case_mins[[#This Row],[Surgery Start Date]],21)</f>
        <v>#REF!</v>
      </c>
      <c r="M259" t="e">
        <f>TEXT(tbl_Case_mins[[#This Row],[Surgery Start Date]],"ddd")</f>
        <v>#REF!</v>
      </c>
      <c r="N259" s="9" t="e">
        <f>(#REF!-TIME(0,0,0))*1440</f>
        <v>#REF!</v>
      </c>
      <c r="O259" t="e">
        <f>IF(AND(ROUND((#REF!-TIME(0,0,0))*1440,0)&gt;0,ROUND((#REF!-TIME(0,0,0))*1440,0)&lt;tbl_Case_mins[[#This Row],[Patient Called]],tbl_Case_mins[[#This Row],[Surgery End Date]]&gt;tbl_Case_mins[[#This Row],[Surgery Start Date]]),ROUND((#REF!-TIME(0,0,0))*1440,0)+1440,ROUND((#REF!-TIME(0,0,0))*1440,0))</f>
        <v>#REF!</v>
      </c>
      <c r="P259" s="9" t="e">
        <f>IF(AND(ROUND((#REF!-TIME(0,0,0))*1440,0)&gt;0,ROUND((#REF!-TIME(0,0,0))*1440,0)&lt;tbl_Case_mins[[#This Row],[Arrival]],tbl_Case_mins[[#This Row],[Surgery End Date]]&gt;tbl_Case_mins[[#This Row],[Surgery Start Date]]),ROUND((#REF!-TIME(0,0,0))*1440,0)+1440,ROUND((#REF!-TIME(0,0,0))*1440,0))</f>
        <v>#REF!</v>
      </c>
      <c r="Q259" s="9" t="e">
        <f>IF(AND(ROUND((#REF!-TIME(0,0,0))*1440,0)&gt;0,ROUND((#REF!-TIME(0,0,0))*1440,0)&lt;tbl_Case_mins[[#This Row],[Into Th or AR]],tbl_Case_mins[[#This Row],[Surgery End Date]]&gt;tbl_Case_mins[[#This Row],[Surgery Start Date]]),ROUND((#REF!-TIME(0,0,0))*1440,0)+1440,ROUND((#REF!-TIME(0,0,0))*1440,0))</f>
        <v>#REF!</v>
      </c>
      <c r="R259" s="9" t="e">
        <f>IF(AND(ROUND((#REF!-TIME(0,0,0))*1440,0)&gt;0,ROUND((#REF!-TIME(0,0,0))*1440,0)&lt;tbl_Case_mins[[#This Row],[AnaesthStart]],tbl_Case_mins[[#This Row],[Surgery End Date]]&gt;tbl_Case_mins[[#This Row],[Surgery Start Date]]),ROUND((#REF!-TIME(0,0,0))*1440,0)+1440,ROUND((#REF!-TIME(0,0,0))*1440,0))</f>
        <v>#REF!</v>
      </c>
      <c r="S259" s="9" t="e">
        <f>IF(AND(ROUND((#REF!-TIME(0,0,0))*1440,0),ROUND((#REF!-TIME(0,0,0))*1440,0)&lt;tbl_Case_mins[[#This Row],[Surgery Start]],tbl_Case_mins[[#This Row],[Surgery End Date]]&gt;tbl_Case_mins[[#This Row],[Surgery Start Date]]),ROUND((#REF!-TIME(0,0,0))*1440,0)+1440,ROUND((#REF!-TIME(0,0,0))*1440,0))</f>
        <v>#REF!</v>
      </c>
      <c r="T259" s="9" t="e">
        <f>IF(AND(ROUND((#REF!-TIME(0,0,0))*1440,0)&gt;0,ROUND((#REF!-TIME(0,0,0))*1440,0)&lt;tbl_Case_mins[[#This Row],[Surgery Finish]],tbl_Case_mins[[#This Row],[Surgery End Date]]&gt;tbl_Case_mins[[#This Row],[Surgery Start Date]]),ROUND((#REF!-TIME(0,0,0))*1440,0)+1440,ROUND((#REF!-TIME(0,0,0))*1440,0))</f>
        <v>#REF!</v>
      </c>
      <c r="U259" s="9" t="e">
        <f>IF(AND(ROUND((#REF!-TIME(0,0,0))*1440,0)&gt;0,ROUND((#REF!-TIME(0,0,0))*1440,0)&lt;tbl_Case_mins[[#This Row],[Anaesth End]],tbl_Case_mins[[#This Row],[Surgery End Date]]&gt;tbl_Case_mins[[#This Row],[Surgery Start Date]]),ROUND((#REF!-TIME(0,0,0))*1440,0)+1440,ROUND((#REF!-TIME(0,0,0))*1440,0))</f>
        <v>#REF!</v>
      </c>
      <c r="V259" s="9" t="e">
        <f>IF(AND(ROUND((#REF!-TIME(0,0,0))*1440,0)&gt;0,ROUND((#REF!-TIME(0,0,0))*1440,0)&lt;tbl_Case_mins[[#This Row],[Into Recov]],tbl_Case_mins[[#This Row],[Surgery End Date]]&gt;tbl_Case_mins[[#This Row],[Surgery Start Date]]),ROUND((#REF!-TIME(0,0,0))*1440,0)+1440,ROUND((#REF!-TIME(0,0,0))*1440,0))</f>
        <v>#REF!</v>
      </c>
      <c r="W259" s="9" t="e">
        <f>IF(AND(ROUND((#REF!-TIME(0,0,0))*1440,0)&gt;0,ROUND((#REF!-TIME(0,0,0))*1440,0)&lt;tbl_Case_mins[[#This Row],[Ward Called]],tbl_Case_mins[[#This Row],[Surgery End Date]]&gt;tbl_Case_mins[[#This Row],[Surgery Start Date]]),ROUND((#REF!-TIME(0,0,0))*1440,0)+1440,ROUND((#REF!-TIME(0,0,0))*1440,0))</f>
        <v>#REF!</v>
      </c>
      <c r="X259" s="4" t="e">
        <f>IF(ISBLANK(#REF!),tbl_Case_mins[[#This Row],[Surgery Start Date]],#REF!)</f>
        <v>#REF!</v>
      </c>
      <c r="Y259">
        <f>IFERROR(IF(VLOOKUP(tbl_Case_mins[[#This Row],[Theatre]],'Mng Theatres'!$C$7:$G$12,3,FALSE)="Yes","Yes","No"),0)</f>
        <v>0</v>
      </c>
      <c r="Z259" s="9" t="e" cm="1">
        <f t="array" ref="Z25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59" s="9" t="e" cm="1">
        <f t="array" ref="AA25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5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59" s="9" t="e">
        <f>IF(tbl_Case_mins[[#This Row],[Case Type]]="Unsch",1,0)</f>
        <v>#REF!</v>
      </c>
      <c r="AD259" s="9" t="e">
        <f>IF(tbl_Case_mins[[#This Row],[Case Type]]="Sch",1,0)</f>
        <v>#REF!</v>
      </c>
      <c r="AE25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59" s="9">
        <f>IFERROR(IF(ISBLANK(INDEX(Am_Close,MATCH(1,INDEX((tbl_Case_mins[[#This Row],[Theatre]]=Theatre_No)*(tbl_Case_mins[[#This Row],[Surgery Start Date]]=Date),0,1),0))*1440),0,INDEX(Am_Close,MATCH(1,INDEX((tbl_Case_mins[[#This Row],[Theatre]]=Theatre_No)*(tbl_Case_mins[[#This Row],[Surgery Start Date]]=Date),0,1),0))*1440),0)</f>
        <v>0</v>
      </c>
      <c r="AG259" s="9">
        <f>IFERROR(IF(ISBLANK(INDEX(PM_Open,MATCH(1,INDEX((tbl_Case_mins[[#This Row],[Theatre]]=Theatre_No)*(tbl_Case_mins[[#This Row],[Surgery Start Date]]=Date),0,1),0))*1440),0,INDEX(PM_Open,MATCH(1,INDEX((tbl_Case_mins[[#This Row],[Theatre]]=Theatre_No)*(tbl_Case_mins[[#This Row],[Surgery Start Date]]=Date),0,1),0))*1440),0)</f>
        <v>0</v>
      </c>
      <c r="AH25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59" s="9" t="e">
        <f>IF(tbl_Case_mins[[#This Row],[ThOpenAm]]=0,tbl_Case_mins[[#This Row],[ThOpenPM]],tbl_Case_mins[[#This Row],[ThOpenAm]])</f>
        <v>#REF!</v>
      </c>
      <c r="AJ259" s="9" t="e">
        <f>IF(tbl_Case_mins[[#This Row],[ThCloseAm]]&gt;0,IF(tbl_Case_mins[[#This Row],[ThOpenPM]]&gt;0,tbl_Case_mins[[#This Row],[ThClosePm]],tbl_Case_mins[[#This Row],[ThCloseAm]]),tbl_Case_mins[[#This Row],[ThClosePm]])</f>
        <v>#REF!</v>
      </c>
      <c r="AK259" s="9" t="e">
        <f>IF(tbl_Case_mins[[#This Row],[TOT]]&gt;0,1,0)</f>
        <v>#REF!</v>
      </c>
      <c r="AL25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59" s="9" t="e">
        <f>IF(AND(tbl_Case_mins[[#This Row],[Surgery Status]]&lt;&gt;2,tbl_Case_mins[[#This Row],[InCoreCase]]=0,tbl_Case_mins[[#This Row],[CancelledCase]]=0),1,0)</f>
        <v>#REF!</v>
      </c>
      <c r="AN259" s="9" t="e">
        <f>IF(tbl_Case_mins[[#This Row],[Surgery Status]]=1,1,0)</f>
        <v>#REF!</v>
      </c>
      <c r="AO25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59" s="9" t="e">
        <f>IF(AND(tbl_Case_mins[[#This Row],[NonCoreCase]]=1,tbl_Case_mins[[#This Row],[NoInCoreTime]]=0),1,0)</f>
        <v>#REF!</v>
      </c>
      <c r="AQ259" s="9" t="e">
        <f>IF(tbl_Case_mins[[#This Row],[Rank_AnaEnd]]&lt;tbl_Case_mins[[#This Row],[Rank_AnaSt]],1,0)</f>
        <v>#REF!</v>
      </c>
      <c r="AR259" s="9" t="e">
        <f>IF(AND(tbl_Case_mins[[#This Row],[InCoreCase]]=1,tbl_Case_mins[[#This Row],[Sch]]=1),1,0)</f>
        <v>#REF!</v>
      </c>
      <c r="AS259" s="9" t="e">
        <f>IF(AND(tbl_Case_mins[[#This Row],[InCoreCase]]=1,tbl_Case_mins[[#This Row],[Unsch]]=1),1,0)</f>
        <v>#REF!</v>
      </c>
      <c r="AT25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5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5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59" s="9" t="e">
        <f>IF(tbl_Case_mins[[#This Row],[Surgery Status]]=0,(tbl_Case_mins[[#This Row],[Anaesth End]]-tbl_Case_mins[[#This Row],[AnaesthStart]]),0)</f>
        <v>#REF!</v>
      </c>
      <c r="AX259" s="9" t="e">
        <f>IF(tbl_Case_mins[[#This Row],[Surgery Status]]=0,(tbl_Case_mins[[#This Row],[Surgery Finish]]-tbl_Case_mins[[#This Row],[Surgery Start]]),0)</f>
        <v>#REF!</v>
      </c>
      <c r="AY259" s="9" t="e">
        <f>tbl_Case_mins[[#This Row],[Surgery Start]]-tbl_Case_mins[[#This Row],[AnaesthStart]]</f>
        <v>#REF!</v>
      </c>
      <c r="AZ259" s="9" t="e">
        <f>tbl_Case_mins[[#This Row],[Anaesth End]]-tbl_Case_mins[[#This Row],[Surgery Finish]]</f>
        <v>#REF!</v>
      </c>
      <c r="BA25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5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59" s="16" cm="1">
        <f t="array" ref="BC25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59" s="16" t="e">
        <f>IF(AND(tbl_Case_mins[[#This Row],[FirstAMCase]]=1,tbl_Case_mins[[#This Row],[CancelledCase]]=0,OR(tbl_Case_mins[[#This Row],[EarlyStartAM]]&gt;0,tbl_Case_mins[[#This Row],[AnaesthStart]]=tbl_Case_mins[[#This Row],[ThOpenAm]])),1,0)</f>
        <v>#REF!</v>
      </c>
      <c r="BE259" s="16" t="e">
        <f>IF(AND(tbl_Case_mins[[#This Row],[Rank_AnaSt]]=tbl_Case_mins[[#This Row],[Min_RankAnaSt]],tbl_Case_mins[[#This Row],[Anaesth End]]&gt;=tbl_Case_mins[[#This Row],[ThOpenAm]],tbl_Case_mins[[#This Row],[PmCase]]=0),1,0)</f>
        <v>#REF!</v>
      </c>
      <c r="BF25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5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59" s="9" t="e" cm="1">
        <f t="array" ref="BH25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5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5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59" s="9" t="e">
        <f>IF(AND(tbl_Case_mins[[#This Row],[ThOpenPM]]&gt;0,tbl_Case_mins[[#This Row],[AnaesthStart]]&gt;tbl_Case_mins[[#This Row],[ThOpenPM]],tbl_Case_mins[[#This Row],[First PM Case]]=1),tbl_Case_mins[[#This Row],[AnaesthStart]]-tbl_Case_mins[[#This Row],[ThOpenPM]],0)</f>
        <v>#REF!</v>
      </c>
      <c r="BL25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5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59" s="9" t="e" cm="1">
        <f t="array" ref="BN25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59" s="9" t="e">
        <f>IF(AND(tbl_Case_mins[[#This Row],[ThClosePm]]&gt;0,tbl_Case_mins[[#This Row],[Anaesth End]]&gt;tbl_Case_mins[[#This Row],[ThClosePm]],tbl_Case_mins[[#This Row],[AnaesthStart]]&gt;tbl_Case_mins[[#This Row],[ThClosePm]]),tbl_Case_mins[[#This Row],[Into Recov]]-tbl_Case_mins[[#This Row],[AnaesthStart]],0)</f>
        <v>#REF!</v>
      </c>
      <c r="BP259" s="9" t="e">
        <f>IF(AND(tbl_Case_mins[[#This Row],[AnaesthStart]]&lt;tbl_Case_mins[[#This Row],[ThClosePm]],tbl_Case_mins[[#This Row],[Anaesth End]]&gt;tbl_Case_mins[[#This Row],[ThClosePm]]),tbl_Case_mins[[#This Row],[Anaesth End]]-tbl_Case_mins[[#This Row],[ThClosePm]],0)</f>
        <v>#REF!</v>
      </c>
      <c r="BQ259" s="9" t="e" cm="1">
        <f t="array" ref="BQ25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59" s="9" t="e" cm="1">
        <f t="array" ref="BR259">IF(tbl_Case_mins[[#This Row],[Rank_Adjust]]=SUMPRODUCT(-(tbl_Case_mins[Surgery Start Date]=tbl_Case_mins[[#This Row],[Surgery Start Date]]),-(tbl_Case_mins[Theatre]=tbl_Case_mins[[#This Row],[Theatre]])),INDEX(Poss_Time,MATCH(TEXT(tbl_Case_mins[[#This Row],[Surgery Start Date]],"ddd"),Day,0)),0)</f>
        <v>#REF!</v>
      </c>
      <c r="BS259" s="9" t="e">
        <f>tbl_Case_mins[[#This Row],[Core_Time]]*Util_Goal</f>
        <v>#REF!</v>
      </c>
      <c r="BT259" s="9" t="e" cm="1">
        <f t="array" ref="BT2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59" s="9" t="e" cm="1">
        <f t="array" ref="BU2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5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5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59" s="9" t="e">
        <f>IF(tbl_Case_mins[[#This Row],[Surgery End Date]]&gt;tbl_Case_mins[[#This Row],[Surgery Start Date]],tbl_Case_mins[[#This Row],[Anaesth End]]-1440,0)</f>
        <v>#REF!</v>
      </c>
      <c r="BY259" s="9" t="e">
        <f>tbl_Case_mins[[#This Row],[Total_NonCore]]-tbl_Case_mins[[#This Row],[NextDay_NonCore]]</f>
        <v>#REF!</v>
      </c>
      <c r="BZ259" s="10" t="e">
        <f>tbl_Case_mins[[#This Row],[InCoreUse]]/60</f>
        <v>#REF!</v>
      </c>
      <c r="CA259" s="10" t="e">
        <f>tbl_Case_mins[[#This Row],[Total_NonCore]]/60</f>
        <v>#REF!</v>
      </c>
      <c r="CB259" t="e" cm="1">
        <f t="array" ref="CB2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59" s="9" t="e" cm="1">
        <f t="array" ref="CC25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59" s="9" t="e" cm="1">
        <f t="array" ref="CD2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59" s="9" t="e" cm="1">
        <f t="array" ref="CE25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59" s="9" cm="1">
        <f t="array" ref="CF259">IFERROR(_xlfn.AGGREGATE(14,6,(tbl_Case_mins[Rank_AnaEnd])/((tbl_Case_mins[Surgery Start Date]=tbl_Case_mins[[#This Row],[Surgery Start Date]])*(tbl_Case_mins[Theatre]=tbl_Case_mins[[#This Row],[Theatre]])*(tbl_Case_mins[NoInCoreTime]=0)),1),-1)</f>
        <v>-1</v>
      </c>
      <c r="CG259" s="9" cm="1">
        <f t="array" ref="CG259">IFERROR(_xlfn.AGGREGATE(15,6,(tbl_Case_mins[Rank_AnaSt])/((tbl_Case_mins[Surgery Start Date]=tbl_Case_mins[[#This Row],[Surgery Start Date]])*(tbl_Case_mins[Theatre]=tbl_Case_mins[[#This Row],[Theatre]])*(tbl_Case_mins[NoInCoreTime]=0)),1),-1)</f>
        <v>-1</v>
      </c>
      <c r="CH25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5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59" t="e" cm="1">
        <f t="array" ref="CJ25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5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5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59" s="9" cm="1">
        <f t="array" ref="CO2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59" s="9" cm="1">
        <f t="array" ref="CP2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59" s="9" cm="1">
        <f t="array" ref="CQ259">IFERROR(IF(AND(tbl_Case_mins[[#This Row],[FirstAMCase]]=0,tbl_Case_mins[[#This Row],[Rank]]=_xlfn.AGGREGATE(14,6,(tbl_Case_mins[Rank])/((tbl_Case_mins[Surgery Start Date]=tbl_Case_mins[[#This Row],[Surgery Start Date]])*(tbl_Case_mins[Theatre]=tbl_Case_mins[[#This Row],[Theatre]])*(tbl_Case_mins[AmCase]=1)),1)),1,0),0)</f>
        <v>0</v>
      </c>
      <c r="CR259" s="9" cm="1">
        <f t="array" ref="CR25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59" s="9" t="e" cm="1">
        <f t="array" ref="CS25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59" s="9" cm="1">
        <f t="array" ref="CT259">IFERROR(IF(tbl_Case_mins[[#This Row],[Rank]]=_xlfn.AGGREGATE(15,6,(tbl_Case_mins[Rank])/((tbl_Case_mins[Surgery Start Date]=tbl_Case_mins[[#This Row],[Surgery Start Date]])*(tbl_Case_mins[Theatre]=tbl_Case_mins[[#This Row],[Theatre]])*(tbl_Case_mins[PmCase]=1)),1),1,0),0)</f>
        <v>0</v>
      </c>
      <c r="CU259">
        <f>IFERROR(#REF!,0)</f>
        <v>0</v>
      </c>
      <c r="CV259" s="9" t="e" cm="1">
        <f t="array" ref="CV25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59" s="9">
        <f>IFERROR(IF(ISBLANK(INDEX(Bay_AmClose,MATCH(1,INDEX((tbl_Case_mins[[#This Row],[Bay]]=BayNo)*(tbl_Case_mins[[#This Row],[Surgery Start Date]]=BDate),0,1),0))*1440),0,INDEX(Bay_AmClose,MATCH(1,INDEX((tbl_Case_mins[[#This Row],[Bay]]=BayNo)*(tbl_Case_mins[[#This Row],[Surgery Start Date]]=BDate),0,1),0))*1440),0)</f>
        <v>0</v>
      </c>
      <c r="CX259" s="9" cm="1">
        <f t="array" ref="CX259">IFERROR(IF(ISBLANK(INDEX(Bay_PmOpen,MATCH(1,INDEX((tbl_Case_mins[[#This Row],[Bay]]=BayNo)*(tbl_Case_mins[[#This Row],[Surgery Start Date]]=BDate),0,1),0))*1440),0,INDEX(Bay_PmOpen,MATCH(1,INDEX((tbl_Case_mins[[#This Row],[Bay]]=BayNo)*(tbl_Case_mins[[#This Row],[Surgery Start Date]]=BDate),0,1),0))*1440),0)</f>
        <v>0</v>
      </c>
      <c r="CY25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59" s="9"/>
    </row>
    <row r="260" spans="1:104" x14ac:dyDescent="0.2">
      <c r="A260">
        <v>259</v>
      </c>
      <c r="B260" t="e">
        <f>#REF!</f>
        <v>#REF!</v>
      </c>
      <c r="C260" t="e">
        <f>#REF!</f>
        <v>#REF!</v>
      </c>
      <c r="D260" t="e">
        <f>#REF!</f>
        <v>#REF!</v>
      </c>
      <c r="E260" t="e">
        <f>#REF!</f>
        <v>#REF!</v>
      </c>
      <c r="F260" t="e">
        <f>#REF!</f>
        <v>#REF!</v>
      </c>
      <c r="G260" t="e">
        <f>#REF!</f>
        <v>#REF!</v>
      </c>
      <c r="H260" t="e">
        <f>#REF!</f>
        <v>#REF!</v>
      </c>
      <c r="I260" t="e">
        <f>IF(#REF!="Case Cancelled",1,IF(#REF!="No Cases",2,0))</f>
        <v>#REF!</v>
      </c>
      <c r="J260" t="e">
        <f>#REF!</f>
        <v>#REF!</v>
      </c>
      <c r="K260" s="4" t="e">
        <f>#REF!</f>
        <v>#REF!</v>
      </c>
      <c r="L260" t="e">
        <f>"Wk "&amp;WEEKNUM(tbl_Case_mins[[#This Row],[Surgery Start Date]],21)</f>
        <v>#REF!</v>
      </c>
      <c r="M260" t="e">
        <f>TEXT(tbl_Case_mins[[#This Row],[Surgery Start Date]],"ddd")</f>
        <v>#REF!</v>
      </c>
      <c r="N260" s="9" t="e">
        <f>(#REF!-TIME(0,0,0))*1440</f>
        <v>#REF!</v>
      </c>
      <c r="O260" t="e">
        <f>IF(AND(ROUND((#REF!-TIME(0,0,0))*1440,0)&gt;0,ROUND((#REF!-TIME(0,0,0))*1440,0)&lt;tbl_Case_mins[[#This Row],[Patient Called]],tbl_Case_mins[[#This Row],[Surgery End Date]]&gt;tbl_Case_mins[[#This Row],[Surgery Start Date]]),ROUND((#REF!-TIME(0,0,0))*1440,0)+1440,ROUND((#REF!-TIME(0,0,0))*1440,0))</f>
        <v>#REF!</v>
      </c>
      <c r="P260" s="9" t="e">
        <f>IF(AND(ROUND((#REF!-TIME(0,0,0))*1440,0)&gt;0,ROUND((#REF!-TIME(0,0,0))*1440,0)&lt;tbl_Case_mins[[#This Row],[Arrival]],tbl_Case_mins[[#This Row],[Surgery End Date]]&gt;tbl_Case_mins[[#This Row],[Surgery Start Date]]),ROUND((#REF!-TIME(0,0,0))*1440,0)+1440,ROUND((#REF!-TIME(0,0,0))*1440,0))</f>
        <v>#REF!</v>
      </c>
      <c r="Q260" s="9" t="e">
        <f>IF(AND(ROUND((#REF!-TIME(0,0,0))*1440,0)&gt;0,ROUND((#REF!-TIME(0,0,0))*1440,0)&lt;tbl_Case_mins[[#This Row],[Into Th or AR]],tbl_Case_mins[[#This Row],[Surgery End Date]]&gt;tbl_Case_mins[[#This Row],[Surgery Start Date]]),ROUND((#REF!-TIME(0,0,0))*1440,0)+1440,ROUND((#REF!-TIME(0,0,0))*1440,0))</f>
        <v>#REF!</v>
      </c>
      <c r="R260" s="9" t="e">
        <f>IF(AND(ROUND((#REF!-TIME(0,0,0))*1440,0)&gt;0,ROUND((#REF!-TIME(0,0,0))*1440,0)&lt;tbl_Case_mins[[#This Row],[AnaesthStart]],tbl_Case_mins[[#This Row],[Surgery End Date]]&gt;tbl_Case_mins[[#This Row],[Surgery Start Date]]),ROUND((#REF!-TIME(0,0,0))*1440,0)+1440,ROUND((#REF!-TIME(0,0,0))*1440,0))</f>
        <v>#REF!</v>
      </c>
      <c r="S260" s="9" t="e">
        <f>IF(AND(ROUND((#REF!-TIME(0,0,0))*1440,0),ROUND((#REF!-TIME(0,0,0))*1440,0)&lt;tbl_Case_mins[[#This Row],[Surgery Start]],tbl_Case_mins[[#This Row],[Surgery End Date]]&gt;tbl_Case_mins[[#This Row],[Surgery Start Date]]),ROUND((#REF!-TIME(0,0,0))*1440,0)+1440,ROUND((#REF!-TIME(0,0,0))*1440,0))</f>
        <v>#REF!</v>
      </c>
      <c r="T260" s="9" t="e">
        <f>IF(AND(ROUND((#REF!-TIME(0,0,0))*1440,0)&gt;0,ROUND((#REF!-TIME(0,0,0))*1440,0)&lt;tbl_Case_mins[[#This Row],[Surgery Finish]],tbl_Case_mins[[#This Row],[Surgery End Date]]&gt;tbl_Case_mins[[#This Row],[Surgery Start Date]]),ROUND((#REF!-TIME(0,0,0))*1440,0)+1440,ROUND((#REF!-TIME(0,0,0))*1440,0))</f>
        <v>#REF!</v>
      </c>
      <c r="U260" s="9" t="e">
        <f>IF(AND(ROUND((#REF!-TIME(0,0,0))*1440,0)&gt;0,ROUND((#REF!-TIME(0,0,0))*1440,0)&lt;tbl_Case_mins[[#This Row],[Anaesth End]],tbl_Case_mins[[#This Row],[Surgery End Date]]&gt;tbl_Case_mins[[#This Row],[Surgery Start Date]]),ROUND((#REF!-TIME(0,0,0))*1440,0)+1440,ROUND((#REF!-TIME(0,0,0))*1440,0))</f>
        <v>#REF!</v>
      </c>
      <c r="V260" s="9" t="e">
        <f>IF(AND(ROUND((#REF!-TIME(0,0,0))*1440,0)&gt;0,ROUND((#REF!-TIME(0,0,0))*1440,0)&lt;tbl_Case_mins[[#This Row],[Into Recov]],tbl_Case_mins[[#This Row],[Surgery End Date]]&gt;tbl_Case_mins[[#This Row],[Surgery Start Date]]),ROUND((#REF!-TIME(0,0,0))*1440,0)+1440,ROUND((#REF!-TIME(0,0,0))*1440,0))</f>
        <v>#REF!</v>
      </c>
      <c r="W260" s="9" t="e">
        <f>IF(AND(ROUND((#REF!-TIME(0,0,0))*1440,0)&gt;0,ROUND((#REF!-TIME(0,0,0))*1440,0)&lt;tbl_Case_mins[[#This Row],[Ward Called]],tbl_Case_mins[[#This Row],[Surgery End Date]]&gt;tbl_Case_mins[[#This Row],[Surgery Start Date]]),ROUND((#REF!-TIME(0,0,0))*1440,0)+1440,ROUND((#REF!-TIME(0,0,0))*1440,0))</f>
        <v>#REF!</v>
      </c>
      <c r="X260" s="4" t="e">
        <f>IF(ISBLANK(#REF!),tbl_Case_mins[[#This Row],[Surgery Start Date]],#REF!)</f>
        <v>#REF!</v>
      </c>
      <c r="Y260">
        <f>IFERROR(IF(VLOOKUP(tbl_Case_mins[[#This Row],[Theatre]],'Mng Theatres'!$C$7:$G$12,3,FALSE)="Yes","Yes","No"),0)</f>
        <v>0</v>
      </c>
      <c r="Z260" s="9" t="e" cm="1">
        <f t="array" ref="Z26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0" s="9" t="e" cm="1">
        <f t="array" ref="AA26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0" s="9" t="e">
        <f>IF(tbl_Case_mins[[#This Row],[Case Type]]="Unsch",1,0)</f>
        <v>#REF!</v>
      </c>
      <c r="AD260" s="9" t="e">
        <f>IF(tbl_Case_mins[[#This Row],[Case Type]]="Sch",1,0)</f>
        <v>#REF!</v>
      </c>
      <c r="AE26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0" s="9">
        <f>IFERROR(IF(ISBLANK(INDEX(Am_Close,MATCH(1,INDEX((tbl_Case_mins[[#This Row],[Theatre]]=Theatre_No)*(tbl_Case_mins[[#This Row],[Surgery Start Date]]=Date),0,1),0))*1440),0,INDEX(Am_Close,MATCH(1,INDEX((tbl_Case_mins[[#This Row],[Theatre]]=Theatre_No)*(tbl_Case_mins[[#This Row],[Surgery Start Date]]=Date),0,1),0))*1440),0)</f>
        <v>0</v>
      </c>
      <c r="AG260" s="9">
        <f>IFERROR(IF(ISBLANK(INDEX(PM_Open,MATCH(1,INDEX((tbl_Case_mins[[#This Row],[Theatre]]=Theatre_No)*(tbl_Case_mins[[#This Row],[Surgery Start Date]]=Date),0,1),0))*1440),0,INDEX(PM_Open,MATCH(1,INDEX((tbl_Case_mins[[#This Row],[Theatre]]=Theatre_No)*(tbl_Case_mins[[#This Row],[Surgery Start Date]]=Date),0,1),0))*1440),0)</f>
        <v>0</v>
      </c>
      <c r="AH26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0" s="9" t="e">
        <f>IF(tbl_Case_mins[[#This Row],[ThOpenAm]]=0,tbl_Case_mins[[#This Row],[ThOpenPM]],tbl_Case_mins[[#This Row],[ThOpenAm]])</f>
        <v>#REF!</v>
      </c>
      <c r="AJ260" s="9" t="e">
        <f>IF(tbl_Case_mins[[#This Row],[ThCloseAm]]&gt;0,IF(tbl_Case_mins[[#This Row],[ThOpenPM]]&gt;0,tbl_Case_mins[[#This Row],[ThClosePm]],tbl_Case_mins[[#This Row],[ThCloseAm]]),tbl_Case_mins[[#This Row],[ThClosePm]])</f>
        <v>#REF!</v>
      </c>
      <c r="AK260" s="9" t="e">
        <f>IF(tbl_Case_mins[[#This Row],[TOT]]&gt;0,1,0)</f>
        <v>#REF!</v>
      </c>
      <c r="AL26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0" s="9" t="e">
        <f>IF(AND(tbl_Case_mins[[#This Row],[Surgery Status]]&lt;&gt;2,tbl_Case_mins[[#This Row],[InCoreCase]]=0,tbl_Case_mins[[#This Row],[CancelledCase]]=0),1,0)</f>
        <v>#REF!</v>
      </c>
      <c r="AN260" s="9" t="e">
        <f>IF(tbl_Case_mins[[#This Row],[Surgery Status]]=1,1,0)</f>
        <v>#REF!</v>
      </c>
      <c r="AO26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0" s="9" t="e">
        <f>IF(AND(tbl_Case_mins[[#This Row],[NonCoreCase]]=1,tbl_Case_mins[[#This Row],[NoInCoreTime]]=0),1,0)</f>
        <v>#REF!</v>
      </c>
      <c r="AQ260" s="9" t="e">
        <f>IF(tbl_Case_mins[[#This Row],[Rank_AnaEnd]]&lt;tbl_Case_mins[[#This Row],[Rank_AnaSt]],1,0)</f>
        <v>#REF!</v>
      </c>
      <c r="AR260" s="9" t="e">
        <f>IF(AND(tbl_Case_mins[[#This Row],[InCoreCase]]=1,tbl_Case_mins[[#This Row],[Sch]]=1),1,0)</f>
        <v>#REF!</v>
      </c>
      <c r="AS260" s="9" t="e">
        <f>IF(AND(tbl_Case_mins[[#This Row],[InCoreCase]]=1,tbl_Case_mins[[#This Row],[Unsch]]=1),1,0)</f>
        <v>#REF!</v>
      </c>
      <c r="AT26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0" s="9" t="e">
        <f>IF(tbl_Case_mins[[#This Row],[Surgery Status]]=0,(tbl_Case_mins[[#This Row],[Anaesth End]]-tbl_Case_mins[[#This Row],[AnaesthStart]]),0)</f>
        <v>#REF!</v>
      </c>
      <c r="AX260" s="9" t="e">
        <f>IF(tbl_Case_mins[[#This Row],[Surgery Status]]=0,(tbl_Case_mins[[#This Row],[Surgery Finish]]-tbl_Case_mins[[#This Row],[Surgery Start]]),0)</f>
        <v>#REF!</v>
      </c>
      <c r="AY260" s="9" t="e">
        <f>tbl_Case_mins[[#This Row],[Surgery Start]]-tbl_Case_mins[[#This Row],[AnaesthStart]]</f>
        <v>#REF!</v>
      </c>
      <c r="AZ260" s="9" t="e">
        <f>tbl_Case_mins[[#This Row],[Anaesth End]]-tbl_Case_mins[[#This Row],[Surgery Finish]]</f>
        <v>#REF!</v>
      </c>
      <c r="BA26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0" s="16" cm="1">
        <f t="array" ref="BC26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0" s="16" t="e">
        <f>IF(AND(tbl_Case_mins[[#This Row],[FirstAMCase]]=1,tbl_Case_mins[[#This Row],[CancelledCase]]=0,OR(tbl_Case_mins[[#This Row],[EarlyStartAM]]&gt;0,tbl_Case_mins[[#This Row],[AnaesthStart]]=tbl_Case_mins[[#This Row],[ThOpenAm]])),1,0)</f>
        <v>#REF!</v>
      </c>
      <c r="BE260" s="16" t="e">
        <f>IF(AND(tbl_Case_mins[[#This Row],[Rank_AnaSt]]=tbl_Case_mins[[#This Row],[Min_RankAnaSt]],tbl_Case_mins[[#This Row],[Anaesth End]]&gt;=tbl_Case_mins[[#This Row],[ThOpenAm]],tbl_Case_mins[[#This Row],[PmCase]]=0),1,0)</f>
        <v>#REF!</v>
      </c>
      <c r="BF26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0" s="9" t="e" cm="1">
        <f t="array" ref="BH26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0" s="9" t="e">
        <f>IF(AND(tbl_Case_mins[[#This Row],[ThOpenPM]]&gt;0,tbl_Case_mins[[#This Row],[AnaesthStart]]&gt;tbl_Case_mins[[#This Row],[ThOpenPM]],tbl_Case_mins[[#This Row],[First PM Case]]=1),tbl_Case_mins[[#This Row],[AnaesthStart]]-tbl_Case_mins[[#This Row],[ThOpenPM]],0)</f>
        <v>#REF!</v>
      </c>
      <c r="BL26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0" s="9" t="e" cm="1">
        <f t="array" ref="BN26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0" s="9" t="e">
        <f>IF(AND(tbl_Case_mins[[#This Row],[ThClosePm]]&gt;0,tbl_Case_mins[[#This Row],[Anaesth End]]&gt;tbl_Case_mins[[#This Row],[ThClosePm]],tbl_Case_mins[[#This Row],[AnaesthStart]]&gt;tbl_Case_mins[[#This Row],[ThClosePm]]),tbl_Case_mins[[#This Row],[Into Recov]]-tbl_Case_mins[[#This Row],[AnaesthStart]],0)</f>
        <v>#REF!</v>
      </c>
      <c r="BP260" s="9" t="e">
        <f>IF(AND(tbl_Case_mins[[#This Row],[AnaesthStart]]&lt;tbl_Case_mins[[#This Row],[ThClosePm]],tbl_Case_mins[[#This Row],[Anaesth End]]&gt;tbl_Case_mins[[#This Row],[ThClosePm]]),tbl_Case_mins[[#This Row],[Anaesth End]]-tbl_Case_mins[[#This Row],[ThClosePm]],0)</f>
        <v>#REF!</v>
      </c>
      <c r="BQ260" s="9" t="e" cm="1">
        <f t="array" ref="BQ26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0" s="9" t="e" cm="1">
        <f t="array" ref="BR260">IF(tbl_Case_mins[[#This Row],[Rank_Adjust]]=SUMPRODUCT(-(tbl_Case_mins[Surgery Start Date]=tbl_Case_mins[[#This Row],[Surgery Start Date]]),-(tbl_Case_mins[Theatre]=tbl_Case_mins[[#This Row],[Theatre]])),INDEX(Poss_Time,MATCH(TEXT(tbl_Case_mins[[#This Row],[Surgery Start Date]],"ddd"),Day,0)),0)</f>
        <v>#REF!</v>
      </c>
      <c r="BS260" s="9" t="e">
        <f>tbl_Case_mins[[#This Row],[Core_Time]]*Util_Goal</f>
        <v>#REF!</v>
      </c>
      <c r="BT260" s="9" t="e" cm="1">
        <f t="array" ref="BT2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0" s="9" t="e" cm="1">
        <f t="array" ref="BU2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0" s="9" t="e">
        <f>IF(tbl_Case_mins[[#This Row],[Surgery End Date]]&gt;tbl_Case_mins[[#This Row],[Surgery Start Date]],tbl_Case_mins[[#This Row],[Anaesth End]]-1440,0)</f>
        <v>#REF!</v>
      </c>
      <c r="BY260" s="9" t="e">
        <f>tbl_Case_mins[[#This Row],[Total_NonCore]]-tbl_Case_mins[[#This Row],[NextDay_NonCore]]</f>
        <v>#REF!</v>
      </c>
      <c r="BZ260" s="10" t="e">
        <f>tbl_Case_mins[[#This Row],[InCoreUse]]/60</f>
        <v>#REF!</v>
      </c>
      <c r="CA260" s="10" t="e">
        <f>tbl_Case_mins[[#This Row],[Total_NonCore]]/60</f>
        <v>#REF!</v>
      </c>
      <c r="CB260" t="e" cm="1">
        <f t="array" ref="CB2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0" s="9" t="e" cm="1">
        <f t="array" ref="CC26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0" s="9" t="e" cm="1">
        <f t="array" ref="CD2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0" s="9" t="e" cm="1">
        <f t="array" ref="CE26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0" s="9" cm="1">
        <f t="array" ref="CF260">IFERROR(_xlfn.AGGREGATE(14,6,(tbl_Case_mins[Rank_AnaEnd])/((tbl_Case_mins[Surgery Start Date]=tbl_Case_mins[[#This Row],[Surgery Start Date]])*(tbl_Case_mins[Theatre]=tbl_Case_mins[[#This Row],[Theatre]])*(tbl_Case_mins[NoInCoreTime]=0)),1),-1)</f>
        <v>-1</v>
      </c>
      <c r="CG260" s="9" cm="1">
        <f t="array" ref="CG260">IFERROR(_xlfn.AGGREGATE(15,6,(tbl_Case_mins[Rank_AnaSt])/((tbl_Case_mins[Surgery Start Date]=tbl_Case_mins[[#This Row],[Surgery Start Date]])*(tbl_Case_mins[Theatre]=tbl_Case_mins[[#This Row],[Theatre]])*(tbl_Case_mins[NoInCoreTime]=0)),1),-1)</f>
        <v>-1</v>
      </c>
      <c r="CH26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0" t="e" cm="1">
        <f t="array" ref="CJ26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0" s="9" cm="1">
        <f t="array" ref="CO2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0" s="9" cm="1">
        <f t="array" ref="CP2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0" s="9" cm="1">
        <f t="array" ref="CQ260">IFERROR(IF(AND(tbl_Case_mins[[#This Row],[FirstAMCase]]=0,tbl_Case_mins[[#This Row],[Rank]]=_xlfn.AGGREGATE(14,6,(tbl_Case_mins[Rank])/((tbl_Case_mins[Surgery Start Date]=tbl_Case_mins[[#This Row],[Surgery Start Date]])*(tbl_Case_mins[Theatre]=tbl_Case_mins[[#This Row],[Theatre]])*(tbl_Case_mins[AmCase]=1)),1)),1,0),0)</f>
        <v>0</v>
      </c>
      <c r="CR260" s="9" cm="1">
        <f t="array" ref="CR26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0" s="9" t="e" cm="1">
        <f t="array" ref="CS26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0" s="9" cm="1">
        <f t="array" ref="CT260">IFERROR(IF(tbl_Case_mins[[#This Row],[Rank]]=_xlfn.AGGREGATE(15,6,(tbl_Case_mins[Rank])/((tbl_Case_mins[Surgery Start Date]=tbl_Case_mins[[#This Row],[Surgery Start Date]])*(tbl_Case_mins[Theatre]=tbl_Case_mins[[#This Row],[Theatre]])*(tbl_Case_mins[PmCase]=1)),1),1,0),0)</f>
        <v>0</v>
      </c>
      <c r="CU260">
        <f>IFERROR(#REF!,0)</f>
        <v>0</v>
      </c>
      <c r="CV260" s="9" t="e" cm="1">
        <f t="array" ref="CV26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0" s="9">
        <f>IFERROR(IF(ISBLANK(INDEX(Bay_AmClose,MATCH(1,INDEX((tbl_Case_mins[[#This Row],[Bay]]=BayNo)*(tbl_Case_mins[[#This Row],[Surgery Start Date]]=BDate),0,1),0))*1440),0,INDEX(Bay_AmClose,MATCH(1,INDEX((tbl_Case_mins[[#This Row],[Bay]]=BayNo)*(tbl_Case_mins[[#This Row],[Surgery Start Date]]=BDate),0,1),0))*1440),0)</f>
        <v>0</v>
      </c>
      <c r="CX260" s="9" cm="1">
        <f t="array" ref="CX260">IFERROR(IF(ISBLANK(INDEX(Bay_PmOpen,MATCH(1,INDEX((tbl_Case_mins[[#This Row],[Bay]]=BayNo)*(tbl_Case_mins[[#This Row],[Surgery Start Date]]=BDate),0,1),0))*1440),0,INDEX(Bay_PmOpen,MATCH(1,INDEX((tbl_Case_mins[[#This Row],[Bay]]=BayNo)*(tbl_Case_mins[[#This Row],[Surgery Start Date]]=BDate),0,1),0))*1440),0)</f>
        <v>0</v>
      </c>
      <c r="CY26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0" s="9"/>
    </row>
    <row r="261" spans="1:104" x14ac:dyDescent="0.2">
      <c r="A261">
        <v>260</v>
      </c>
      <c r="B261" t="e">
        <f>#REF!</f>
        <v>#REF!</v>
      </c>
      <c r="C261" t="e">
        <f>#REF!</f>
        <v>#REF!</v>
      </c>
      <c r="D261" t="e">
        <f>#REF!</f>
        <v>#REF!</v>
      </c>
      <c r="E261" t="e">
        <f>#REF!</f>
        <v>#REF!</v>
      </c>
      <c r="F261" t="e">
        <f>#REF!</f>
        <v>#REF!</v>
      </c>
      <c r="G261" t="e">
        <f>#REF!</f>
        <v>#REF!</v>
      </c>
      <c r="H261" t="e">
        <f>#REF!</f>
        <v>#REF!</v>
      </c>
      <c r="I261" t="e">
        <f>IF(#REF!="Case Cancelled",1,IF(#REF!="No Cases",2,0))</f>
        <v>#REF!</v>
      </c>
      <c r="J261" t="e">
        <f>#REF!</f>
        <v>#REF!</v>
      </c>
      <c r="K261" s="4" t="e">
        <f>#REF!</f>
        <v>#REF!</v>
      </c>
      <c r="L261" t="e">
        <f>"Wk "&amp;WEEKNUM(tbl_Case_mins[[#This Row],[Surgery Start Date]],21)</f>
        <v>#REF!</v>
      </c>
      <c r="M261" t="e">
        <f>TEXT(tbl_Case_mins[[#This Row],[Surgery Start Date]],"ddd")</f>
        <v>#REF!</v>
      </c>
      <c r="N261" s="9" t="e">
        <f>(#REF!-TIME(0,0,0))*1440</f>
        <v>#REF!</v>
      </c>
      <c r="O261" t="e">
        <f>IF(AND(ROUND((#REF!-TIME(0,0,0))*1440,0)&gt;0,ROUND((#REF!-TIME(0,0,0))*1440,0)&lt;tbl_Case_mins[[#This Row],[Patient Called]],tbl_Case_mins[[#This Row],[Surgery End Date]]&gt;tbl_Case_mins[[#This Row],[Surgery Start Date]]),ROUND((#REF!-TIME(0,0,0))*1440,0)+1440,ROUND((#REF!-TIME(0,0,0))*1440,0))</f>
        <v>#REF!</v>
      </c>
      <c r="P261" s="9" t="e">
        <f>IF(AND(ROUND((#REF!-TIME(0,0,0))*1440,0)&gt;0,ROUND((#REF!-TIME(0,0,0))*1440,0)&lt;tbl_Case_mins[[#This Row],[Arrival]],tbl_Case_mins[[#This Row],[Surgery End Date]]&gt;tbl_Case_mins[[#This Row],[Surgery Start Date]]),ROUND((#REF!-TIME(0,0,0))*1440,0)+1440,ROUND((#REF!-TIME(0,0,0))*1440,0))</f>
        <v>#REF!</v>
      </c>
      <c r="Q261" s="9" t="e">
        <f>IF(AND(ROUND((#REF!-TIME(0,0,0))*1440,0)&gt;0,ROUND((#REF!-TIME(0,0,0))*1440,0)&lt;tbl_Case_mins[[#This Row],[Into Th or AR]],tbl_Case_mins[[#This Row],[Surgery End Date]]&gt;tbl_Case_mins[[#This Row],[Surgery Start Date]]),ROUND((#REF!-TIME(0,0,0))*1440,0)+1440,ROUND((#REF!-TIME(0,0,0))*1440,0))</f>
        <v>#REF!</v>
      </c>
      <c r="R261" s="9" t="e">
        <f>IF(AND(ROUND((#REF!-TIME(0,0,0))*1440,0)&gt;0,ROUND((#REF!-TIME(0,0,0))*1440,0)&lt;tbl_Case_mins[[#This Row],[AnaesthStart]],tbl_Case_mins[[#This Row],[Surgery End Date]]&gt;tbl_Case_mins[[#This Row],[Surgery Start Date]]),ROUND((#REF!-TIME(0,0,0))*1440,0)+1440,ROUND((#REF!-TIME(0,0,0))*1440,0))</f>
        <v>#REF!</v>
      </c>
      <c r="S261" s="9" t="e">
        <f>IF(AND(ROUND((#REF!-TIME(0,0,0))*1440,0),ROUND((#REF!-TIME(0,0,0))*1440,0)&lt;tbl_Case_mins[[#This Row],[Surgery Start]],tbl_Case_mins[[#This Row],[Surgery End Date]]&gt;tbl_Case_mins[[#This Row],[Surgery Start Date]]),ROUND((#REF!-TIME(0,0,0))*1440,0)+1440,ROUND((#REF!-TIME(0,0,0))*1440,0))</f>
        <v>#REF!</v>
      </c>
      <c r="T261" s="9" t="e">
        <f>IF(AND(ROUND((#REF!-TIME(0,0,0))*1440,0)&gt;0,ROUND((#REF!-TIME(0,0,0))*1440,0)&lt;tbl_Case_mins[[#This Row],[Surgery Finish]],tbl_Case_mins[[#This Row],[Surgery End Date]]&gt;tbl_Case_mins[[#This Row],[Surgery Start Date]]),ROUND((#REF!-TIME(0,0,0))*1440,0)+1440,ROUND((#REF!-TIME(0,0,0))*1440,0))</f>
        <v>#REF!</v>
      </c>
      <c r="U261" s="9" t="e">
        <f>IF(AND(ROUND((#REF!-TIME(0,0,0))*1440,0)&gt;0,ROUND((#REF!-TIME(0,0,0))*1440,0)&lt;tbl_Case_mins[[#This Row],[Anaesth End]],tbl_Case_mins[[#This Row],[Surgery End Date]]&gt;tbl_Case_mins[[#This Row],[Surgery Start Date]]),ROUND((#REF!-TIME(0,0,0))*1440,0)+1440,ROUND((#REF!-TIME(0,0,0))*1440,0))</f>
        <v>#REF!</v>
      </c>
      <c r="V261" s="9" t="e">
        <f>IF(AND(ROUND((#REF!-TIME(0,0,0))*1440,0)&gt;0,ROUND((#REF!-TIME(0,0,0))*1440,0)&lt;tbl_Case_mins[[#This Row],[Into Recov]],tbl_Case_mins[[#This Row],[Surgery End Date]]&gt;tbl_Case_mins[[#This Row],[Surgery Start Date]]),ROUND((#REF!-TIME(0,0,0))*1440,0)+1440,ROUND((#REF!-TIME(0,0,0))*1440,0))</f>
        <v>#REF!</v>
      </c>
      <c r="W261" s="9" t="e">
        <f>IF(AND(ROUND((#REF!-TIME(0,0,0))*1440,0)&gt;0,ROUND((#REF!-TIME(0,0,0))*1440,0)&lt;tbl_Case_mins[[#This Row],[Ward Called]],tbl_Case_mins[[#This Row],[Surgery End Date]]&gt;tbl_Case_mins[[#This Row],[Surgery Start Date]]),ROUND((#REF!-TIME(0,0,0))*1440,0)+1440,ROUND((#REF!-TIME(0,0,0))*1440,0))</f>
        <v>#REF!</v>
      </c>
      <c r="X261" s="4" t="e">
        <f>IF(ISBLANK(#REF!),tbl_Case_mins[[#This Row],[Surgery Start Date]],#REF!)</f>
        <v>#REF!</v>
      </c>
      <c r="Y261">
        <f>IFERROR(IF(VLOOKUP(tbl_Case_mins[[#This Row],[Theatre]],'Mng Theatres'!$C$7:$G$12,3,FALSE)="Yes","Yes","No"),0)</f>
        <v>0</v>
      </c>
      <c r="Z261" s="9" t="e" cm="1">
        <f t="array" ref="Z26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1" s="9" t="e" cm="1">
        <f t="array" ref="AA26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1" s="9" t="e">
        <f>IF(tbl_Case_mins[[#This Row],[Case Type]]="Unsch",1,0)</f>
        <v>#REF!</v>
      </c>
      <c r="AD261" s="9" t="e">
        <f>IF(tbl_Case_mins[[#This Row],[Case Type]]="Sch",1,0)</f>
        <v>#REF!</v>
      </c>
      <c r="AE26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1" s="9">
        <f>IFERROR(IF(ISBLANK(INDEX(Am_Close,MATCH(1,INDEX((tbl_Case_mins[[#This Row],[Theatre]]=Theatre_No)*(tbl_Case_mins[[#This Row],[Surgery Start Date]]=Date),0,1),0))*1440),0,INDEX(Am_Close,MATCH(1,INDEX((tbl_Case_mins[[#This Row],[Theatre]]=Theatre_No)*(tbl_Case_mins[[#This Row],[Surgery Start Date]]=Date),0,1),0))*1440),0)</f>
        <v>0</v>
      </c>
      <c r="AG261" s="9">
        <f>IFERROR(IF(ISBLANK(INDEX(PM_Open,MATCH(1,INDEX((tbl_Case_mins[[#This Row],[Theatre]]=Theatre_No)*(tbl_Case_mins[[#This Row],[Surgery Start Date]]=Date),0,1),0))*1440),0,INDEX(PM_Open,MATCH(1,INDEX((tbl_Case_mins[[#This Row],[Theatre]]=Theatre_No)*(tbl_Case_mins[[#This Row],[Surgery Start Date]]=Date),0,1),0))*1440),0)</f>
        <v>0</v>
      </c>
      <c r="AH26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1" s="9" t="e">
        <f>IF(tbl_Case_mins[[#This Row],[ThOpenAm]]=0,tbl_Case_mins[[#This Row],[ThOpenPM]],tbl_Case_mins[[#This Row],[ThOpenAm]])</f>
        <v>#REF!</v>
      </c>
      <c r="AJ261" s="9" t="e">
        <f>IF(tbl_Case_mins[[#This Row],[ThCloseAm]]&gt;0,IF(tbl_Case_mins[[#This Row],[ThOpenPM]]&gt;0,tbl_Case_mins[[#This Row],[ThClosePm]],tbl_Case_mins[[#This Row],[ThCloseAm]]),tbl_Case_mins[[#This Row],[ThClosePm]])</f>
        <v>#REF!</v>
      </c>
      <c r="AK261" s="9" t="e">
        <f>IF(tbl_Case_mins[[#This Row],[TOT]]&gt;0,1,0)</f>
        <v>#REF!</v>
      </c>
      <c r="AL26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1" s="9" t="e">
        <f>IF(AND(tbl_Case_mins[[#This Row],[Surgery Status]]&lt;&gt;2,tbl_Case_mins[[#This Row],[InCoreCase]]=0,tbl_Case_mins[[#This Row],[CancelledCase]]=0),1,0)</f>
        <v>#REF!</v>
      </c>
      <c r="AN261" s="9" t="e">
        <f>IF(tbl_Case_mins[[#This Row],[Surgery Status]]=1,1,0)</f>
        <v>#REF!</v>
      </c>
      <c r="AO26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1" s="9" t="e">
        <f>IF(AND(tbl_Case_mins[[#This Row],[NonCoreCase]]=1,tbl_Case_mins[[#This Row],[NoInCoreTime]]=0),1,0)</f>
        <v>#REF!</v>
      </c>
      <c r="AQ261" s="9" t="e">
        <f>IF(tbl_Case_mins[[#This Row],[Rank_AnaEnd]]&lt;tbl_Case_mins[[#This Row],[Rank_AnaSt]],1,0)</f>
        <v>#REF!</v>
      </c>
      <c r="AR261" s="9" t="e">
        <f>IF(AND(tbl_Case_mins[[#This Row],[InCoreCase]]=1,tbl_Case_mins[[#This Row],[Sch]]=1),1,0)</f>
        <v>#REF!</v>
      </c>
      <c r="AS261" s="9" t="e">
        <f>IF(AND(tbl_Case_mins[[#This Row],[InCoreCase]]=1,tbl_Case_mins[[#This Row],[Unsch]]=1),1,0)</f>
        <v>#REF!</v>
      </c>
      <c r="AT26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1" s="9" t="e">
        <f>IF(tbl_Case_mins[[#This Row],[Surgery Status]]=0,(tbl_Case_mins[[#This Row],[Anaesth End]]-tbl_Case_mins[[#This Row],[AnaesthStart]]),0)</f>
        <v>#REF!</v>
      </c>
      <c r="AX261" s="9" t="e">
        <f>IF(tbl_Case_mins[[#This Row],[Surgery Status]]=0,(tbl_Case_mins[[#This Row],[Surgery Finish]]-tbl_Case_mins[[#This Row],[Surgery Start]]),0)</f>
        <v>#REF!</v>
      </c>
      <c r="AY261" s="9" t="e">
        <f>tbl_Case_mins[[#This Row],[Surgery Start]]-tbl_Case_mins[[#This Row],[AnaesthStart]]</f>
        <v>#REF!</v>
      </c>
      <c r="AZ261" s="9" t="e">
        <f>tbl_Case_mins[[#This Row],[Anaesth End]]-tbl_Case_mins[[#This Row],[Surgery Finish]]</f>
        <v>#REF!</v>
      </c>
      <c r="BA26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1" s="16" cm="1">
        <f t="array" ref="BC26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1" s="16" t="e">
        <f>IF(AND(tbl_Case_mins[[#This Row],[FirstAMCase]]=1,tbl_Case_mins[[#This Row],[CancelledCase]]=0,OR(tbl_Case_mins[[#This Row],[EarlyStartAM]]&gt;0,tbl_Case_mins[[#This Row],[AnaesthStart]]=tbl_Case_mins[[#This Row],[ThOpenAm]])),1,0)</f>
        <v>#REF!</v>
      </c>
      <c r="BE261" s="16" t="e">
        <f>IF(AND(tbl_Case_mins[[#This Row],[Rank_AnaSt]]=tbl_Case_mins[[#This Row],[Min_RankAnaSt]],tbl_Case_mins[[#This Row],[Anaesth End]]&gt;=tbl_Case_mins[[#This Row],[ThOpenAm]],tbl_Case_mins[[#This Row],[PmCase]]=0),1,0)</f>
        <v>#REF!</v>
      </c>
      <c r="BF26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1" s="9" t="e" cm="1">
        <f t="array" ref="BH26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1" s="9" t="e">
        <f>IF(AND(tbl_Case_mins[[#This Row],[ThOpenPM]]&gt;0,tbl_Case_mins[[#This Row],[AnaesthStart]]&gt;tbl_Case_mins[[#This Row],[ThOpenPM]],tbl_Case_mins[[#This Row],[First PM Case]]=1),tbl_Case_mins[[#This Row],[AnaesthStart]]-tbl_Case_mins[[#This Row],[ThOpenPM]],0)</f>
        <v>#REF!</v>
      </c>
      <c r="BL26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1" s="9" t="e" cm="1">
        <f t="array" ref="BN26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1" s="9" t="e">
        <f>IF(AND(tbl_Case_mins[[#This Row],[ThClosePm]]&gt;0,tbl_Case_mins[[#This Row],[Anaesth End]]&gt;tbl_Case_mins[[#This Row],[ThClosePm]],tbl_Case_mins[[#This Row],[AnaesthStart]]&gt;tbl_Case_mins[[#This Row],[ThClosePm]]),tbl_Case_mins[[#This Row],[Into Recov]]-tbl_Case_mins[[#This Row],[AnaesthStart]],0)</f>
        <v>#REF!</v>
      </c>
      <c r="BP261" s="9" t="e">
        <f>IF(AND(tbl_Case_mins[[#This Row],[AnaesthStart]]&lt;tbl_Case_mins[[#This Row],[ThClosePm]],tbl_Case_mins[[#This Row],[Anaesth End]]&gt;tbl_Case_mins[[#This Row],[ThClosePm]]),tbl_Case_mins[[#This Row],[Anaesth End]]-tbl_Case_mins[[#This Row],[ThClosePm]],0)</f>
        <v>#REF!</v>
      </c>
      <c r="BQ261" s="9" t="e" cm="1">
        <f t="array" ref="BQ26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1" s="9" t="e" cm="1">
        <f t="array" ref="BR261">IF(tbl_Case_mins[[#This Row],[Rank_Adjust]]=SUMPRODUCT(-(tbl_Case_mins[Surgery Start Date]=tbl_Case_mins[[#This Row],[Surgery Start Date]]),-(tbl_Case_mins[Theatre]=tbl_Case_mins[[#This Row],[Theatre]])),INDEX(Poss_Time,MATCH(TEXT(tbl_Case_mins[[#This Row],[Surgery Start Date]],"ddd"),Day,0)),0)</f>
        <v>#REF!</v>
      </c>
      <c r="BS261" s="9" t="e">
        <f>tbl_Case_mins[[#This Row],[Core_Time]]*Util_Goal</f>
        <v>#REF!</v>
      </c>
      <c r="BT261" s="9" t="e" cm="1">
        <f t="array" ref="BT2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1" s="9" t="e" cm="1">
        <f t="array" ref="BU2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1" s="9" t="e">
        <f>IF(tbl_Case_mins[[#This Row],[Surgery End Date]]&gt;tbl_Case_mins[[#This Row],[Surgery Start Date]],tbl_Case_mins[[#This Row],[Anaesth End]]-1440,0)</f>
        <v>#REF!</v>
      </c>
      <c r="BY261" s="9" t="e">
        <f>tbl_Case_mins[[#This Row],[Total_NonCore]]-tbl_Case_mins[[#This Row],[NextDay_NonCore]]</f>
        <v>#REF!</v>
      </c>
      <c r="BZ261" s="10" t="e">
        <f>tbl_Case_mins[[#This Row],[InCoreUse]]/60</f>
        <v>#REF!</v>
      </c>
      <c r="CA261" s="10" t="e">
        <f>tbl_Case_mins[[#This Row],[Total_NonCore]]/60</f>
        <v>#REF!</v>
      </c>
      <c r="CB261" t="e" cm="1">
        <f t="array" ref="CB2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1" s="9" t="e" cm="1">
        <f t="array" ref="CC26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1" s="9" t="e" cm="1">
        <f t="array" ref="CD2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1" s="9" t="e" cm="1">
        <f t="array" ref="CE26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1" s="9" cm="1">
        <f t="array" ref="CF261">IFERROR(_xlfn.AGGREGATE(14,6,(tbl_Case_mins[Rank_AnaEnd])/((tbl_Case_mins[Surgery Start Date]=tbl_Case_mins[[#This Row],[Surgery Start Date]])*(tbl_Case_mins[Theatre]=tbl_Case_mins[[#This Row],[Theatre]])*(tbl_Case_mins[NoInCoreTime]=0)),1),-1)</f>
        <v>-1</v>
      </c>
      <c r="CG261" s="9" cm="1">
        <f t="array" ref="CG261">IFERROR(_xlfn.AGGREGATE(15,6,(tbl_Case_mins[Rank_AnaSt])/((tbl_Case_mins[Surgery Start Date]=tbl_Case_mins[[#This Row],[Surgery Start Date]])*(tbl_Case_mins[Theatre]=tbl_Case_mins[[#This Row],[Theatre]])*(tbl_Case_mins[NoInCoreTime]=0)),1),-1)</f>
        <v>-1</v>
      </c>
      <c r="CH26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1" t="e" cm="1">
        <f t="array" ref="CJ26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1" s="9" cm="1">
        <f t="array" ref="CO2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1" s="9" cm="1">
        <f t="array" ref="CP2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1" s="9" cm="1">
        <f t="array" ref="CQ261">IFERROR(IF(AND(tbl_Case_mins[[#This Row],[FirstAMCase]]=0,tbl_Case_mins[[#This Row],[Rank]]=_xlfn.AGGREGATE(14,6,(tbl_Case_mins[Rank])/((tbl_Case_mins[Surgery Start Date]=tbl_Case_mins[[#This Row],[Surgery Start Date]])*(tbl_Case_mins[Theatre]=tbl_Case_mins[[#This Row],[Theatre]])*(tbl_Case_mins[AmCase]=1)),1)),1,0),0)</f>
        <v>0</v>
      </c>
      <c r="CR261" s="9" cm="1">
        <f t="array" ref="CR26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1" s="9" t="e" cm="1">
        <f t="array" ref="CS26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1" s="9" cm="1">
        <f t="array" ref="CT261">IFERROR(IF(tbl_Case_mins[[#This Row],[Rank]]=_xlfn.AGGREGATE(15,6,(tbl_Case_mins[Rank])/((tbl_Case_mins[Surgery Start Date]=tbl_Case_mins[[#This Row],[Surgery Start Date]])*(tbl_Case_mins[Theatre]=tbl_Case_mins[[#This Row],[Theatre]])*(tbl_Case_mins[PmCase]=1)),1),1,0),0)</f>
        <v>0</v>
      </c>
      <c r="CU261">
        <f>IFERROR(#REF!,0)</f>
        <v>0</v>
      </c>
      <c r="CV261" s="9" t="e" cm="1">
        <f t="array" ref="CV26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1" s="9">
        <f>IFERROR(IF(ISBLANK(INDEX(Bay_AmClose,MATCH(1,INDEX((tbl_Case_mins[[#This Row],[Bay]]=BayNo)*(tbl_Case_mins[[#This Row],[Surgery Start Date]]=BDate),0,1),0))*1440),0,INDEX(Bay_AmClose,MATCH(1,INDEX((tbl_Case_mins[[#This Row],[Bay]]=BayNo)*(tbl_Case_mins[[#This Row],[Surgery Start Date]]=BDate),0,1),0))*1440),0)</f>
        <v>0</v>
      </c>
      <c r="CX261" s="9" cm="1">
        <f t="array" ref="CX261">IFERROR(IF(ISBLANK(INDEX(Bay_PmOpen,MATCH(1,INDEX((tbl_Case_mins[[#This Row],[Bay]]=BayNo)*(tbl_Case_mins[[#This Row],[Surgery Start Date]]=BDate),0,1),0))*1440),0,INDEX(Bay_PmOpen,MATCH(1,INDEX((tbl_Case_mins[[#This Row],[Bay]]=BayNo)*(tbl_Case_mins[[#This Row],[Surgery Start Date]]=BDate),0,1),0))*1440),0)</f>
        <v>0</v>
      </c>
      <c r="CY26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1" s="9"/>
    </row>
    <row r="262" spans="1:104" x14ac:dyDescent="0.2">
      <c r="A262">
        <v>261</v>
      </c>
      <c r="B262" t="e">
        <f>#REF!</f>
        <v>#REF!</v>
      </c>
      <c r="C262" t="e">
        <f>#REF!</f>
        <v>#REF!</v>
      </c>
      <c r="D262" t="e">
        <f>#REF!</f>
        <v>#REF!</v>
      </c>
      <c r="E262" t="e">
        <f>#REF!</f>
        <v>#REF!</v>
      </c>
      <c r="F262" t="e">
        <f>#REF!</f>
        <v>#REF!</v>
      </c>
      <c r="G262" t="e">
        <f>#REF!</f>
        <v>#REF!</v>
      </c>
      <c r="H262" t="e">
        <f>#REF!</f>
        <v>#REF!</v>
      </c>
      <c r="I262" t="e">
        <f>IF(#REF!="Case Cancelled",1,IF(#REF!="No Cases",2,0))</f>
        <v>#REF!</v>
      </c>
      <c r="J262" t="e">
        <f>#REF!</f>
        <v>#REF!</v>
      </c>
      <c r="K262" s="4" t="e">
        <f>#REF!</f>
        <v>#REF!</v>
      </c>
      <c r="L262" t="e">
        <f>"Wk "&amp;WEEKNUM(tbl_Case_mins[[#This Row],[Surgery Start Date]],21)</f>
        <v>#REF!</v>
      </c>
      <c r="M262" t="e">
        <f>TEXT(tbl_Case_mins[[#This Row],[Surgery Start Date]],"ddd")</f>
        <v>#REF!</v>
      </c>
      <c r="N262" s="9" t="e">
        <f>(#REF!-TIME(0,0,0))*1440</f>
        <v>#REF!</v>
      </c>
      <c r="O262" t="e">
        <f>IF(AND(ROUND((#REF!-TIME(0,0,0))*1440,0)&gt;0,ROUND((#REF!-TIME(0,0,0))*1440,0)&lt;tbl_Case_mins[[#This Row],[Patient Called]],tbl_Case_mins[[#This Row],[Surgery End Date]]&gt;tbl_Case_mins[[#This Row],[Surgery Start Date]]),ROUND((#REF!-TIME(0,0,0))*1440,0)+1440,ROUND((#REF!-TIME(0,0,0))*1440,0))</f>
        <v>#REF!</v>
      </c>
      <c r="P262" s="9" t="e">
        <f>IF(AND(ROUND((#REF!-TIME(0,0,0))*1440,0)&gt;0,ROUND((#REF!-TIME(0,0,0))*1440,0)&lt;tbl_Case_mins[[#This Row],[Arrival]],tbl_Case_mins[[#This Row],[Surgery End Date]]&gt;tbl_Case_mins[[#This Row],[Surgery Start Date]]),ROUND((#REF!-TIME(0,0,0))*1440,0)+1440,ROUND((#REF!-TIME(0,0,0))*1440,0))</f>
        <v>#REF!</v>
      </c>
      <c r="Q262" s="9" t="e">
        <f>IF(AND(ROUND((#REF!-TIME(0,0,0))*1440,0)&gt;0,ROUND((#REF!-TIME(0,0,0))*1440,0)&lt;tbl_Case_mins[[#This Row],[Into Th or AR]],tbl_Case_mins[[#This Row],[Surgery End Date]]&gt;tbl_Case_mins[[#This Row],[Surgery Start Date]]),ROUND((#REF!-TIME(0,0,0))*1440,0)+1440,ROUND((#REF!-TIME(0,0,0))*1440,0))</f>
        <v>#REF!</v>
      </c>
      <c r="R262" s="9" t="e">
        <f>IF(AND(ROUND((#REF!-TIME(0,0,0))*1440,0)&gt;0,ROUND((#REF!-TIME(0,0,0))*1440,0)&lt;tbl_Case_mins[[#This Row],[AnaesthStart]],tbl_Case_mins[[#This Row],[Surgery End Date]]&gt;tbl_Case_mins[[#This Row],[Surgery Start Date]]),ROUND((#REF!-TIME(0,0,0))*1440,0)+1440,ROUND((#REF!-TIME(0,0,0))*1440,0))</f>
        <v>#REF!</v>
      </c>
      <c r="S262" s="9" t="e">
        <f>IF(AND(ROUND((#REF!-TIME(0,0,0))*1440,0),ROUND((#REF!-TIME(0,0,0))*1440,0)&lt;tbl_Case_mins[[#This Row],[Surgery Start]],tbl_Case_mins[[#This Row],[Surgery End Date]]&gt;tbl_Case_mins[[#This Row],[Surgery Start Date]]),ROUND((#REF!-TIME(0,0,0))*1440,0)+1440,ROUND((#REF!-TIME(0,0,0))*1440,0))</f>
        <v>#REF!</v>
      </c>
      <c r="T262" s="9" t="e">
        <f>IF(AND(ROUND((#REF!-TIME(0,0,0))*1440,0)&gt;0,ROUND((#REF!-TIME(0,0,0))*1440,0)&lt;tbl_Case_mins[[#This Row],[Surgery Finish]],tbl_Case_mins[[#This Row],[Surgery End Date]]&gt;tbl_Case_mins[[#This Row],[Surgery Start Date]]),ROUND((#REF!-TIME(0,0,0))*1440,0)+1440,ROUND((#REF!-TIME(0,0,0))*1440,0))</f>
        <v>#REF!</v>
      </c>
      <c r="U262" s="9" t="e">
        <f>IF(AND(ROUND((#REF!-TIME(0,0,0))*1440,0)&gt;0,ROUND((#REF!-TIME(0,0,0))*1440,0)&lt;tbl_Case_mins[[#This Row],[Anaesth End]],tbl_Case_mins[[#This Row],[Surgery End Date]]&gt;tbl_Case_mins[[#This Row],[Surgery Start Date]]),ROUND((#REF!-TIME(0,0,0))*1440,0)+1440,ROUND((#REF!-TIME(0,0,0))*1440,0))</f>
        <v>#REF!</v>
      </c>
      <c r="V262" s="9" t="e">
        <f>IF(AND(ROUND((#REF!-TIME(0,0,0))*1440,0)&gt;0,ROUND((#REF!-TIME(0,0,0))*1440,0)&lt;tbl_Case_mins[[#This Row],[Into Recov]],tbl_Case_mins[[#This Row],[Surgery End Date]]&gt;tbl_Case_mins[[#This Row],[Surgery Start Date]]),ROUND((#REF!-TIME(0,0,0))*1440,0)+1440,ROUND((#REF!-TIME(0,0,0))*1440,0))</f>
        <v>#REF!</v>
      </c>
      <c r="W262" s="9" t="e">
        <f>IF(AND(ROUND((#REF!-TIME(0,0,0))*1440,0)&gt;0,ROUND((#REF!-TIME(0,0,0))*1440,0)&lt;tbl_Case_mins[[#This Row],[Ward Called]],tbl_Case_mins[[#This Row],[Surgery End Date]]&gt;tbl_Case_mins[[#This Row],[Surgery Start Date]]),ROUND((#REF!-TIME(0,0,0))*1440,0)+1440,ROUND((#REF!-TIME(0,0,0))*1440,0))</f>
        <v>#REF!</v>
      </c>
      <c r="X262" s="4" t="e">
        <f>IF(ISBLANK(#REF!),tbl_Case_mins[[#This Row],[Surgery Start Date]],#REF!)</f>
        <v>#REF!</v>
      </c>
      <c r="Y262">
        <f>IFERROR(IF(VLOOKUP(tbl_Case_mins[[#This Row],[Theatre]],'Mng Theatres'!$C$7:$G$12,3,FALSE)="Yes","Yes","No"),0)</f>
        <v>0</v>
      </c>
      <c r="Z262" s="9" t="e" cm="1">
        <f t="array" ref="Z26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2" s="9" t="e" cm="1">
        <f t="array" ref="AA26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2" s="9" t="e">
        <f>IF(tbl_Case_mins[[#This Row],[Case Type]]="Unsch",1,0)</f>
        <v>#REF!</v>
      </c>
      <c r="AD262" s="9" t="e">
        <f>IF(tbl_Case_mins[[#This Row],[Case Type]]="Sch",1,0)</f>
        <v>#REF!</v>
      </c>
      <c r="AE26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2" s="9">
        <f>IFERROR(IF(ISBLANK(INDEX(Am_Close,MATCH(1,INDEX((tbl_Case_mins[[#This Row],[Theatre]]=Theatre_No)*(tbl_Case_mins[[#This Row],[Surgery Start Date]]=Date),0,1),0))*1440),0,INDEX(Am_Close,MATCH(1,INDEX((tbl_Case_mins[[#This Row],[Theatre]]=Theatre_No)*(tbl_Case_mins[[#This Row],[Surgery Start Date]]=Date),0,1),0))*1440),0)</f>
        <v>0</v>
      </c>
      <c r="AG262" s="9">
        <f>IFERROR(IF(ISBLANK(INDEX(PM_Open,MATCH(1,INDEX((tbl_Case_mins[[#This Row],[Theatre]]=Theatre_No)*(tbl_Case_mins[[#This Row],[Surgery Start Date]]=Date),0,1),0))*1440),0,INDEX(PM_Open,MATCH(1,INDEX((tbl_Case_mins[[#This Row],[Theatre]]=Theatre_No)*(tbl_Case_mins[[#This Row],[Surgery Start Date]]=Date),0,1),0))*1440),0)</f>
        <v>0</v>
      </c>
      <c r="AH26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2" s="9" t="e">
        <f>IF(tbl_Case_mins[[#This Row],[ThOpenAm]]=0,tbl_Case_mins[[#This Row],[ThOpenPM]],tbl_Case_mins[[#This Row],[ThOpenAm]])</f>
        <v>#REF!</v>
      </c>
      <c r="AJ262" s="9" t="e">
        <f>IF(tbl_Case_mins[[#This Row],[ThCloseAm]]&gt;0,IF(tbl_Case_mins[[#This Row],[ThOpenPM]]&gt;0,tbl_Case_mins[[#This Row],[ThClosePm]],tbl_Case_mins[[#This Row],[ThCloseAm]]),tbl_Case_mins[[#This Row],[ThClosePm]])</f>
        <v>#REF!</v>
      </c>
      <c r="AK262" s="9" t="e">
        <f>IF(tbl_Case_mins[[#This Row],[TOT]]&gt;0,1,0)</f>
        <v>#REF!</v>
      </c>
      <c r="AL26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2" s="9" t="e">
        <f>IF(AND(tbl_Case_mins[[#This Row],[Surgery Status]]&lt;&gt;2,tbl_Case_mins[[#This Row],[InCoreCase]]=0,tbl_Case_mins[[#This Row],[CancelledCase]]=0),1,0)</f>
        <v>#REF!</v>
      </c>
      <c r="AN262" s="9" t="e">
        <f>IF(tbl_Case_mins[[#This Row],[Surgery Status]]=1,1,0)</f>
        <v>#REF!</v>
      </c>
      <c r="AO26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2" s="9" t="e">
        <f>IF(AND(tbl_Case_mins[[#This Row],[NonCoreCase]]=1,tbl_Case_mins[[#This Row],[NoInCoreTime]]=0),1,0)</f>
        <v>#REF!</v>
      </c>
      <c r="AQ262" s="9" t="e">
        <f>IF(tbl_Case_mins[[#This Row],[Rank_AnaEnd]]&lt;tbl_Case_mins[[#This Row],[Rank_AnaSt]],1,0)</f>
        <v>#REF!</v>
      </c>
      <c r="AR262" s="9" t="e">
        <f>IF(AND(tbl_Case_mins[[#This Row],[InCoreCase]]=1,tbl_Case_mins[[#This Row],[Sch]]=1),1,0)</f>
        <v>#REF!</v>
      </c>
      <c r="AS262" s="9" t="e">
        <f>IF(AND(tbl_Case_mins[[#This Row],[InCoreCase]]=1,tbl_Case_mins[[#This Row],[Unsch]]=1),1,0)</f>
        <v>#REF!</v>
      </c>
      <c r="AT26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2" s="9" t="e">
        <f>IF(tbl_Case_mins[[#This Row],[Surgery Status]]=0,(tbl_Case_mins[[#This Row],[Anaesth End]]-tbl_Case_mins[[#This Row],[AnaesthStart]]),0)</f>
        <v>#REF!</v>
      </c>
      <c r="AX262" s="9" t="e">
        <f>IF(tbl_Case_mins[[#This Row],[Surgery Status]]=0,(tbl_Case_mins[[#This Row],[Surgery Finish]]-tbl_Case_mins[[#This Row],[Surgery Start]]),0)</f>
        <v>#REF!</v>
      </c>
      <c r="AY262" s="9" t="e">
        <f>tbl_Case_mins[[#This Row],[Surgery Start]]-tbl_Case_mins[[#This Row],[AnaesthStart]]</f>
        <v>#REF!</v>
      </c>
      <c r="AZ262" s="9" t="e">
        <f>tbl_Case_mins[[#This Row],[Anaesth End]]-tbl_Case_mins[[#This Row],[Surgery Finish]]</f>
        <v>#REF!</v>
      </c>
      <c r="BA26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2" s="16" cm="1">
        <f t="array" ref="BC26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2" s="16" t="e">
        <f>IF(AND(tbl_Case_mins[[#This Row],[FirstAMCase]]=1,tbl_Case_mins[[#This Row],[CancelledCase]]=0,OR(tbl_Case_mins[[#This Row],[EarlyStartAM]]&gt;0,tbl_Case_mins[[#This Row],[AnaesthStart]]=tbl_Case_mins[[#This Row],[ThOpenAm]])),1,0)</f>
        <v>#REF!</v>
      </c>
      <c r="BE262" s="16" t="e">
        <f>IF(AND(tbl_Case_mins[[#This Row],[Rank_AnaSt]]=tbl_Case_mins[[#This Row],[Min_RankAnaSt]],tbl_Case_mins[[#This Row],[Anaesth End]]&gt;=tbl_Case_mins[[#This Row],[ThOpenAm]],tbl_Case_mins[[#This Row],[PmCase]]=0),1,0)</f>
        <v>#REF!</v>
      </c>
      <c r="BF26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2" s="9" t="e" cm="1">
        <f t="array" ref="BH26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2" s="9" t="e">
        <f>IF(AND(tbl_Case_mins[[#This Row],[ThOpenPM]]&gt;0,tbl_Case_mins[[#This Row],[AnaesthStart]]&gt;tbl_Case_mins[[#This Row],[ThOpenPM]],tbl_Case_mins[[#This Row],[First PM Case]]=1),tbl_Case_mins[[#This Row],[AnaesthStart]]-tbl_Case_mins[[#This Row],[ThOpenPM]],0)</f>
        <v>#REF!</v>
      </c>
      <c r="BL26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2" s="9" t="e" cm="1">
        <f t="array" ref="BN26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2" s="9" t="e">
        <f>IF(AND(tbl_Case_mins[[#This Row],[ThClosePm]]&gt;0,tbl_Case_mins[[#This Row],[Anaesth End]]&gt;tbl_Case_mins[[#This Row],[ThClosePm]],tbl_Case_mins[[#This Row],[AnaesthStart]]&gt;tbl_Case_mins[[#This Row],[ThClosePm]]),tbl_Case_mins[[#This Row],[Into Recov]]-tbl_Case_mins[[#This Row],[AnaesthStart]],0)</f>
        <v>#REF!</v>
      </c>
      <c r="BP262" s="9" t="e">
        <f>IF(AND(tbl_Case_mins[[#This Row],[AnaesthStart]]&lt;tbl_Case_mins[[#This Row],[ThClosePm]],tbl_Case_mins[[#This Row],[Anaesth End]]&gt;tbl_Case_mins[[#This Row],[ThClosePm]]),tbl_Case_mins[[#This Row],[Anaesth End]]-tbl_Case_mins[[#This Row],[ThClosePm]],0)</f>
        <v>#REF!</v>
      </c>
      <c r="BQ262" s="9" t="e" cm="1">
        <f t="array" ref="BQ26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2" s="9" t="e" cm="1">
        <f t="array" ref="BR262">IF(tbl_Case_mins[[#This Row],[Rank_Adjust]]=SUMPRODUCT(-(tbl_Case_mins[Surgery Start Date]=tbl_Case_mins[[#This Row],[Surgery Start Date]]),-(tbl_Case_mins[Theatre]=tbl_Case_mins[[#This Row],[Theatre]])),INDEX(Poss_Time,MATCH(TEXT(tbl_Case_mins[[#This Row],[Surgery Start Date]],"ddd"),Day,0)),0)</f>
        <v>#REF!</v>
      </c>
      <c r="BS262" s="9" t="e">
        <f>tbl_Case_mins[[#This Row],[Core_Time]]*Util_Goal</f>
        <v>#REF!</v>
      </c>
      <c r="BT262" s="9" t="e" cm="1">
        <f t="array" ref="BT2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2" s="9" t="e" cm="1">
        <f t="array" ref="BU2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2" s="9" t="e">
        <f>IF(tbl_Case_mins[[#This Row],[Surgery End Date]]&gt;tbl_Case_mins[[#This Row],[Surgery Start Date]],tbl_Case_mins[[#This Row],[Anaesth End]]-1440,0)</f>
        <v>#REF!</v>
      </c>
      <c r="BY262" s="9" t="e">
        <f>tbl_Case_mins[[#This Row],[Total_NonCore]]-tbl_Case_mins[[#This Row],[NextDay_NonCore]]</f>
        <v>#REF!</v>
      </c>
      <c r="BZ262" s="10" t="e">
        <f>tbl_Case_mins[[#This Row],[InCoreUse]]/60</f>
        <v>#REF!</v>
      </c>
      <c r="CA262" s="10" t="e">
        <f>tbl_Case_mins[[#This Row],[Total_NonCore]]/60</f>
        <v>#REF!</v>
      </c>
      <c r="CB262" t="e" cm="1">
        <f t="array" ref="CB2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2" s="9" t="e" cm="1">
        <f t="array" ref="CC26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2" s="9" t="e" cm="1">
        <f t="array" ref="CD2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2" s="9" t="e" cm="1">
        <f t="array" ref="CE26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2" s="9" cm="1">
        <f t="array" ref="CF262">IFERROR(_xlfn.AGGREGATE(14,6,(tbl_Case_mins[Rank_AnaEnd])/((tbl_Case_mins[Surgery Start Date]=tbl_Case_mins[[#This Row],[Surgery Start Date]])*(tbl_Case_mins[Theatre]=tbl_Case_mins[[#This Row],[Theatre]])*(tbl_Case_mins[NoInCoreTime]=0)),1),-1)</f>
        <v>-1</v>
      </c>
      <c r="CG262" s="9" cm="1">
        <f t="array" ref="CG262">IFERROR(_xlfn.AGGREGATE(15,6,(tbl_Case_mins[Rank_AnaSt])/((tbl_Case_mins[Surgery Start Date]=tbl_Case_mins[[#This Row],[Surgery Start Date]])*(tbl_Case_mins[Theatre]=tbl_Case_mins[[#This Row],[Theatre]])*(tbl_Case_mins[NoInCoreTime]=0)),1),-1)</f>
        <v>-1</v>
      </c>
      <c r="CH26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2" t="e" cm="1">
        <f t="array" ref="CJ26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2" s="9" cm="1">
        <f t="array" ref="CO2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2" s="9" cm="1">
        <f t="array" ref="CP2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2" s="9" cm="1">
        <f t="array" ref="CQ262">IFERROR(IF(AND(tbl_Case_mins[[#This Row],[FirstAMCase]]=0,tbl_Case_mins[[#This Row],[Rank]]=_xlfn.AGGREGATE(14,6,(tbl_Case_mins[Rank])/((tbl_Case_mins[Surgery Start Date]=tbl_Case_mins[[#This Row],[Surgery Start Date]])*(tbl_Case_mins[Theatre]=tbl_Case_mins[[#This Row],[Theatre]])*(tbl_Case_mins[AmCase]=1)),1)),1,0),0)</f>
        <v>0</v>
      </c>
      <c r="CR262" s="9" cm="1">
        <f t="array" ref="CR26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2" s="9" t="e" cm="1">
        <f t="array" ref="CS26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2" s="9" cm="1">
        <f t="array" ref="CT262">IFERROR(IF(tbl_Case_mins[[#This Row],[Rank]]=_xlfn.AGGREGATE(15,6,(tbl_Case_mins[Rank])/((tbl_Case_mins[Surgery Start Date]=tbl_Case_mins[[#This Row],[Surgery Start Date]])*(tbl_Case_mins[Theatre]=tbl_Case_mins[[#This Row],[Theatre]])*(tbl_Case_mins[PmCase]=1)),1),1,0),0)</f>
        <v>0</v>
      </c>
      <c r="CU262">
        <f>IFERROR(#REF!,0)</f>
        <v>0</v>
      </c>
      <c r="CV262" s="9" t="e" cm="1">
        <f t="array" ref="CV26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2" s="9">
        <f>IFERROR(IF(ISBLANK(INDEX(Bay_AmClose,MATCH(1,INDEX((tbl_Case_mins[[#This Row],[Bay]]=BayNo)*(tbl_Case_mins[[#This Row],[Surgery Start Date]]=BDate),0,1),0))*1440),0,INDEX(Bay_AmClose,MATCH(1,INDEX((tbl_Case_mins[[#This Row],[Bay]]=BayNo)*(tbl_Case_mins[[#This Row],[Surgery Start Date]]=BDate),0,1),0))*1440),0)</f>
        <v>0</v>
      </c>
      <c r="CX262" s="9" cm="1">
        <f t="array" ref="CX262">IFERROR(IF(ISBLANK(INDEX(Bay_PmOpen,MATCH(1,INDEX((tbl_Case_mins[[#This Row],[Bay]]=BayNo)*(tbl_Case_mins[[#This Row],[Surgery Start Date]]=BDate),0,1),0))*1440),0,INDEX(Bay_PmOpen,MATCH(1,INDEX((tbl_Case_mins[[#This Row],[Bay]]=BayNo)*(tbl_Case_mins[[#This Row],[Surgery Start Date]]=BDate),0,1),0))*1440),0)</f>
        <v>0</v>
      </c>
      <c r="CY26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2" s="9"/>
    </row>
    <row r="263" spans="1:104" x14ac:dyDescent="0.2">
      <c r="A263">
        <v>262</v>
      </c>
      <c r="B263" t="e">
        <f>#REF!</f>
        <v>#REF!</v>
      </c>
      <c r="C263" t="e">
        <f>#REF!</f>
        <v>#REF!</v>
      </c>
      <c r="D263" t="e">
        <f>#REF!</f>
        <v>#REF!</v>
      </c>
      <c r="E263" t="e">
        <f>#REF!</f>
        <v>#REF!</v>
      </c>
      <c r="F263" t="e">
        <f>#REF!</f>
        <v>#REF!</v>
      </c>
      <c r="G263" t="e">
        <f>#REF!</f>
        <v>#REF!</v>
      </c>
      <c r="H263" t="e">
        <f>#REF!</f>
        <v>#REF!</v>
      </c>
      <c r="I263" t="e">
        <f>IF(#REF!="Case Cancelled",1,IF(#REF!="No Cases",2,0))</f>
        <v>#REF!</v>
      </c>
      <c r="J263" t="e">
        <f>#REF!</f>
        <v>#REF!</v>
      </c>
      <c r="K263" s="4" t="e">
        <f>#REF!</f>
        <v>#REF!</v>
      </c>
      <c r="L263" t="e">
        <f>"Wk "&amp;WEEKNUM(tbl_Case_mins[[#This Row],[Surgery Start Date]],21)</f>
        <v>#REF!</v>
      </c>
      <c r="M263" t="e">
        <f>TEXT(tbl_Case_mins[[#This Row],[Surgery Start Date]],"ddd")</f>
        <v>#REF!</v>
      </c>
      <c r="N263" s="9" t="e">
        <f>(#REF!-TIME(0,0,0))*1440</f>
        <v>#REF!</v>
      </c>
      <c r="O263" t="e">
        <f>IF(AND(ROUND((#REF!-TIME(0,0,0))*1440,0)&gt;0,ROUND((#REF!-TIME(0,0,0))*1440,0)&lt;tbl_Case_mins[[#This Row],[Patient Called]],tbl_Case_mins[[#This Row],[Surgery End Date]]&gt;tbl_Case_mins[[#This Row],[Surgery Start Date]]),ROUND((#REF!-TIME(0,0,0))*1440,0)+1440,ROUND((#REF!-TIME(0,0,0))*1440,0))</f>
        <v>#REF!</v>
      </c>
      <c r="P263" s="9" t="e">
        <f>IF(AND(ROUND((#REF!-TIME(0,0,0))*1440,0)&gt;0,ROUND((#REF!-TIME(0,0,0))*1440,0)&lt;tbl_Case_mins[[#This Row],[Arrival]],tbl_Case_mins[[#This Row],[Surgery End Date]]&gt;tbl_Case_mins[[#This Row],[Surgery Start Date]]),ROUND((#REF!-TIME(0,0,0))*1440,0)+1440,ROUND((#REF!-TIME(0,0,0))*1440,0))</f>
        <v>#REF!</v>
      </c>
      <c r="Q263" s="9" t="e">
        <f>IF(AND(ROUND((#REF!-TIME(0,0,0))*1440,0)&gt;0,ROUND((#REF!-TIME(0,0,0))*1440,0)&lt;tbl_Case_mins[[#This Row],[Into Th or AR]],tbl_Case_mins[[#This Row],[Surgery End Date]]&gt;tbl_Case_mins[[#This Row],[Surgery Start Date]]),ROUND((#REF!-TIME(0,0,0))*1440,0)+1440,ROUND((#REF!-TIME(0,0,0))*1440,0))</f>
        <v>#REF!</v>
      </c>
      <c r="R263" s="9" t="e">
        <f>IF(AND(ROUND((#REF!-TIME(0,0,0))*1440,0)&gt;0,ROUND((#REF!-TIME(0,0,0))*1440,0)&lt;tbl_Case_mins[[#This Row],[AnaesthStart]],tbl_Case_mins[[#This Row],[Surgery End Date]]&gt;tbl_Case_mins[[#This Row],[Surgery Start Date]]),ROUND((#REF!-TIME(0,0,0))*1440,0)+1440,ROUND((#REF!-TIME(0,0,0))*1440,0))</f>
        <v>#REF!</v>
      </c>
      <c r="S263" s="9" t="e">
        <f>IF(AND(ROUND((#REF!-TIME(0,0,0))*1440,0),ROUND((#REF!-TIME(0,0,0))*1440,0)&lt;tbl_Case_mins[[#This Row],[Surgery Start]],tbl_Case_mins[[#This Row],[Surgery End Date]]&gt;tbl_Case_mins[[#This Row],[Surgery Start Date]]),ROUND((#REF!-TIME(0,0,0))*1440,0)+1440,ROUND((#REF!-TIME(0,0,0))*1440,0))</f>
        <v>#REF!</v>
      </c>
      <c r="T263" s="9" t="e">
        <f>IF(AND(ROUND((#REF!-TIME(0,0,0))*1440,0)&gt;0,ROUND((#REF!-TIME(0,0,0))*1440,0)&lt;tbl_Case_mins[[#This Row],[Surgery Finish]],tbl_Case_mins[[#This Row],[Surgery End Date]]&gt;tbl_Case_mins[[#This Row],[Surgery Start Date]]),ROUND((#REF!-TIME(0,0,0))*1440,0)+1440,ROUND((#REF!-TIME(0,0,0))*1440,0))</f>
        <v>#REF!</v>
      </c>
      <c r="U263" s="9" t="e">
        <f>IF(AND(ROUND((#REF!-TIME(0,0,0))*1440,0)&gt;0,ROUND((#REF!-TIME(0,0,0))*1440,0)&lt;tbl_Case_mins[[#This Row],[Anaesth End]],tbl_Case_mins[[#This Row],[Surgery End Date]]&gt;tbl_Case_mins[[#This Row],[Surgery Start Date]]),ROUND((#REF!-TIME(0,0,0))*1440,0)+1440,ROUND((#REF!-TIME(0,0,0))*1440,0))</f>
        <v>#REF!</v>
      </c>
      <c r="V263" s="9" t="e">
        <f>IF(AND(ROUND((#REF!-TIME(0,0,0))*1440,0)&gt;0,ROUND((#REF!-TIME(0,0,0))*1440,0)&lt;tbl_Case_mins[[#This Row],[Into Recov]],tbl_Case_mins[[#This Row],[Surgery End Date]]&gt;tbl_Case_mins[[#This Row],[Surgery Start Date]]),ROUND((#REF!-TIME(0,0,0))*1440,0)+1440,ROUND((#REF!-TIME(0,0,0))*1440,0))</f>
        <v>#REF!</v>
      </c>
      <c r="W263" s="9" t="e">
        <f>IF(AND(ROUND((#REF!-TIME(0,0,0))*1440,0)&gt;0,ROUND((#REF!-TIME(0,0,0))*1440,0)&lt;tbl_Case_mins[[#This Row],[Ward Called]],tbl_Case_mins[[#This Row],[Surgery End Date]]&gt;tbl_Case_mins[[#This Row],[Surgery Start Date]]),ROUND((#REF!-TIME(0,0,0))*1440,0)+1440,ROUND((#REF!-TIME(0,0,0))*1440,0))</f>
        <v>#REF!</v>
      </c>
      <c r="X263" s="4" t="e">
        <f>IF(ISBLANK(#REF!),tbl_Case_mins[[#This Row],[Surgery Start Date]],#REF!)</f>
        <v>#REF!</v>
      </c>
      <c r="Y263">
        <f>IFERROR(IF(VLOOKUP(tbl_Case_mins[[#This Row],[Theatre]],'Mng Theatres'!$C$7:$G$12,3,FALSE)="Yes","Yes","No"),0)</f>
        <v>0</v>
      </c>
      <c r="Z263" s="9" t="e" cm="1">
        <f t="array" ref="Z26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3" s="9" t="e" cm="1">
        <f t="array" ref="AA26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3" s="9" t="e">
        <f>IF(tbl_Case_mins[[#This Row],[Case Type]]="Unsch",1,0)</f>
        <v>#REF!</v>
      </c>
      <c r="AD263" s="9" t="e">
        <f>IF(tbl_Case_mins[[#This Row],[Case Type]]="Sch",1,0)</f>
        <v>#REF!</v>
      </c>
      <c r="AE26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3" s="9">
        <f>IFERROR(IF(ISBLANK(INDEX(Am_Close,MATCH(1,INDEX((tbl_Case_mins[[#This Row],[Theatre]]=Theatre_No)*(tbl_Case_mins[[#This Row],[Surgery Start Date]]=Date),0,1),0))*1440),0,INDEX(Am_Close,MATCH(1,INDEX((tbl_Case_mins[[#This Row],[Theatre]]=Theatre_No)*(tbl_Case_mins[[#This Row],[Surgery Start Date]]=Date),0,1),0))*1440),0)</f>
        <v>0</v>
      </c>
      <c r="AG263" s="9">
        <f>IFERROR(IF(ISBLANK(INDEX(PM_Open,MATCH(1,INDEX((tbl_Case_mins[[#This Row],[Theatre]]=Theatre_No)*(tbl_Case_mins[[#This Row],[Surgery Start Date]]=Date),0,1),0))*1440),0,INDEX(PM_Open,MATCH(1,INDEX((tbl_Case_mins[[#This Row],[Theatre]]=Theatre_No)*(tbl_Case_mins[[#This Row],[Surgery Start Date]]=Date),0,1),0))*1440),0)</f>
        <v>0</v>
      </c>
      <c r="AH26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3" s="9" t="e">
        <f>IF(tbl_Case_mins[[#This Row],[ThOpenAm]]=0,tbl_Case_mins[[#This Row],[ThOpenPM]],tbl_Case_mins[[#This Row],[ThOpenAm]])</f>
        <v>#REF!</v>
      </c>
      <c r="AJ263" s="9" t="e">
        <f>IF(tbl_Case_mins[[#This Row],[ThCloseAm]]&gt;0,IF(tbl_Case_mins[[#This Row],[ThOpenPM]]&gt;0,tbl_Case_mins[[#This Row],[ThClosePm]],tbl_Case_mins[[#This Row],[ThCloseAm]]),tbl_Case_mins[[#This Row],[ThClosePm]])</f>
        <v>#REF!</v>
      </c>
      <c r="AK263" s="9" t="e">
        <f>IF(tbl_Case_mins[[#This Row],[TOT]]&gt;0,1,0)</f>
        <v>#REF!</v>
      </c>
      <c r="AL26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3" s="9" t="e">
        <f>IF(AND(tbl_Case_mins[[#This Row],[Surgery Status]]&lt;&gt;2,tbl_Case_mins[[#This Row],[InCoreCase]]=0,tbl_Case_mins[[#This Row],[CancelledCase]]=0),1,0)</f>
        <v>#REF!</v>
      </c>
      <c r="AN263" s="9" t="e">
        <f>IF(tbl_Case_mins[[#This Row],[Surgery Status]]=1,1,0)</f>
        <v>#REF!</v>
      </c>
      <c r="AO26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3" s="9" t="e">
        <f>IF(AND(tbl_Case_mins[[#This Row],[NonCoreCase]]=1,tbl_Case_mins[[#This Row],[NoInCoreTime]]=0),1,0)</f>
        <v>#REF!</v>
      </c>
      <c r="AQ263" s="9" t="e">
        <f>IF(tbl_Case_mins[[#This Row],[Rank_AnaEnd]]&lt;tbl_Case_mins[[#This Row],[Rank_AnaSt]],1,0)</f>
        <v>#REF!</v>
      </c>
      <c r="AR263" s="9" t="e">
        <f>IF(AND(tbl_Case_mins[[#This Row],[InCoreCase]]=1,tbl_Case_mins[[#This Row],[Sch]]=1),1,0)</f>
        <v>#REF!</v>
      </c>
      <c r="AS263" s="9" t="e">
        <f>IF(AND(tbl_Case_mins[[#This Row],[InCoreCase]]=1,tbl_Case_mins[[#This Row],[Unsch]]=1),1,0)</f>
        <v>#REF!</v>
      </c>
      <c r="AT26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3" s="9" t="e">
        <f>IF(tbl_Case_mins[[#This Row],[Surgery Status]]=0,(tbl_Case_mins[[#This Row],[Anaesth End]]-tbl_Case_mins[[#This Row],[AnaesthStart]]),0)</f>
        <v>#REF!</v>
      </c>
      <c r="AX263" s="9" t="e">
        <f>IF(tbl_Case_mins[[#This Row],[Surgery Status]]=0,(tbl_Case_mins[[#This Row],[Surgery Finish]]-tbl_Case_mins[[#This Row],[Surgery Start]]),0)</f>
        <v>#REF!</v>
      </c>
      <c r="AY263" s="9" t="e">
        <f>tbl_Case_mins[[#This Row],[Surgery Start]]-tbl_Case_mins[[#This Row],[AnaesthStart]]</f>
        <v>#REF!</v>
      </c>
      <c r="AZ263" s="9" t="e">
        <f>tbl_Case_mins[[#This Row],[Anaesth End]]-tbl_Case_mins[[#This Row],[Surgery Finish]]</f>
        <v>#REF!</v>
      </c>
      <c r="BA26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3" s="16" cm="1">
        <f t="array" ref="BC26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3" s="16" t="e">
        <f>IF(AND(tbl_Case_mins[[#This Row],[FirstAMCase]]=1,tbl_Case_mins[[#This Row],[CancelledCase]]=0,OR(tbl_Case_mins[[#This Row],[EarlyStartAM]]&gt;0,tbl_Case_mins[[#This Row],[AnaesthStart]]=tbl_Case_mins[[#This Row],[ThOpenAm]])),1,0)</f>
        <v>#REF!</v>
      </c>
      <c r="BE263" s="16" t="e">
        <f>IF(AND(tbl_Case_mins[[#This Row],[Rank_AnaSt]]=tbl_Case_mins[[#This Row],[Min_RankAnaSt]],tbl_Case_mins[[#This Row],[Anaesth End]]&gt;=tbl_Case_mins[[#This Row],[ThOpenAm]],tbl_Case_mins[[#This Row],[PmCase]]=0),1,0)</f>
        <v>#REF!</v>
      </c>
      <c r="BF26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3" s="9" t="e" cm="1">
        <f t="array" ref="BH26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3" s="9" t="e">
        <f>IF(AND(tbl_Case_mins[[#This Row],[ThOpenPM]]&gt;0,tbl_Case_mins[[#This Row],[AnaesthStart]]&gt;tbl_Case_mins[[#This Row],[ThOpenPM]],tbl_Case_mins[[#This Row],[First PM Case]]=1),tbl_Case_mins[[#This Row],[AnaesthStart]]-tbl_Case_mins[[#This Row],[ThOpenPM]],0)</f>
        <v>#REF!</v>
      </c>
      <c r="BL26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3" s="9" t="e" cm="1">
        <f t="array" ref="BN26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3" s="9" t="e">
        <f>IF(AND(tbl_Case_mins[[#This Row],[ThClosePm]]&gt;0,tbl_Case_mins[[#This Row],[Anaesth End]]&gt;tbl_Case_mins[[#This Row],[ThClosePm]],tbl_Case_mins[[#This Row],[AnaesthStart]]&gt;tbl_Case_mins[[#This Row],[ThClosePm]]),tbl_Case_mins[[#This Row],[Into Recov]]-tbl_Case_mins[[#This Row],[AnaesthStart]],0)</f>
        <v>#REF!</v>
      </c>
      <c r="BP263" s="9" t="e">
        <f>IF(AND(tbl_Case_mins[[#This Row],[AnaesthStart]]&lt;tbl_Case_mins[[#This Row],[ThClosePm]],tbl_Case_mins[[#This Row],[Anaesth End]]&gt;tbl_Case_mins[[#This Row],[ThClosePm]]),tbl_Case_mins[[#This Row],[Anaesth End]]-tbl_Case_mins[[#This Row],[ThClosePm]],0)</f>
        <v>#REF!</v>
      </c>
      <c r="BQ263" s="9" t="e" cm="1">
        <f t="array" ref="BQ26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3" s="9" t="e" cm="1">
        <f t="array" ref="BR263">IF(tbl_Case_mins[[#This Row],[Rank_Adjust]]=SUMPRODUCT(-(tbl_Case_mins[Surgery Start Date]=tbl_Case_mins[[#This Row],[Surgery Start Date]]),-(tbl_Case_mins[Theatre]=tbl_Case_mins[[#This Row],[Theatre]])),INDEX(Poss_Time,MATCH(TEXT(tbl_Case_mins[[#This Row],[Surgery Start Date]],"ddd"),Day,0)),0)</f>
        <v>#REF!</v>
      </c>
      <c r="BS263" s="9" t="e">
        <f>tbl_Case_mins[[#This Row],[Core_Time]]*Util_Goal</f>
        <v>#REF!</v>
      </c>
      <c r="BT263" s="9" t="e" cm="1">
        <f t="array" ref="BT2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3" s="9" t="e" cm="1">
        <f t="array" ref="BU2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3" s="9" t="e">
        <f>IF(tbl_Case_mins[[#This Row],[Surgery End Date]]&gt;tbl_Case_mins[[#This Row],[Surgery Start Date]],tbl_Case_mins[[#This Row],[Anaesth End]]-1440,0)</f>
        <v>#REF!</v>
      </c>
      <c r="BY263" s="9" t="e">
        <f>tbl_Case_mins[[#This Row],[Total_NonCore]]-tbl_Case_mins[[#This Row],[NextDay_NonCore]]</f>
        <v>#REF!</v>
      </c>
      <c r="BZ263" s="10" t="e">
        <f>tbl_Case_mins[[#This Row],[InCoreUse]]/60</f>
        <v>#REF!</v>
      </c>
      <c r="CA263" s="10" t="e">
        <f>tbl_Case_mins[[#This Row],[Total_NonCore]]/60</f>
        <v>#REF!</v>
      </c>
      <c r="CB263" t="e" cm="1">
        <f t="array" ref="CB2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3" s="9" t="e" cm="1">
        <f t="array" ref="CC26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3" s="9" t="e" cm="1">
        <f t="array" ref="CD2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3" s="9" t="e" cm="1">
        <f t="array" ref="CE26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3" s="9" cm="1">
        <f t="array" ref="CF263">IFERROR(_xlfn.AGGREGATE(14,6,(tbl_Case_mins[Rank_AnaEnd])/((tbl_Case_mins[Surgery Start Date]=tbl_Case_mins[[#This Row],[Surgery Start Date]])*(tbl_Case_mins[Theatre]=tbl_Case_mins[[#This Row],[Theatre]])*(tbl_Case_mins[NoInCoreTime]=0)),1),-1)</f>
        <v>-1</v>
      </c>
      <c r="CG263" s="9" cm="1">
        <f t="array" ref="CG263">IFERROR(_xlfn.AGGREGATE(15,6,(tbl_Case_mins[Rank_AnaSt])/((tbl_Case_mins[Surgery Start Date]=tbl_Case_mins[[#This Row],[Surgery Start Date]])*(tbl_Case_mins[Theatre]=tbl_Case_mins[[#This Row],[Theatre]])*(tbl_Case_mins[NoInCoreTime]=0)),1),-1)</f>
        <v>-1</v>
      </c>
      <c r="CH26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3" t="e" cm="1">
        <f t="array" ref="CJ26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3" s="9" cm="1">
        <f t="array" ref="CO2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3" s="9" cm="1">
        <f t="array" ref="CP2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3" s="9" cm="1">
        <f t="array" ref="CQ263">IFERROR(IF(AND(tbl_Case_mins[[#This Row],[FirstAMCase]]=0,tbl_Case_mins[[#This Row],[Rank]]=_xlfn.AGGREGATE(14,6,(tbl_Case_mins[Rank])/((tbl_Case_mins[Surgery Start Date]=tbl_Case_mins[[#This Row],[Surgery Start Date]])*(tbl_Case_mins[Theatre]=tbl_Case_mins[[#This Row],[Theatre]])*(tbl_Case_mins[AmCase]=1)),1)),1,0),0)</f>
        <v>0</v>
      </c>
      <c r="CR263" s="9" cm="1">
        <f t="array" ref="CR26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3" s="9" t="e" cm="1">
        <f t="array" ref="CS26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3" s="9" cm="1">
        <f t="array" ref="CT263">IFERROR(IF(tbl_Case_mins[[#This Row],[Rank]]=_xlfn.AGGREGATE(15,6,(tbl_Case_mins[Rank])/((tbl_Case_mins[Surgery Start Date]=tbl_Case_mins[[#This Row],[Surgery Start Date]])*(tbl_Case_mins[Theatre]=tbl_Case_mins[[#This Row],[Theatre]])*(tbl_Case_mins[PmCase]=1)),1),1,0),0)</f>
        <v>0</v>
      </c>
      <c r="CU263">
        <f>IFERROR(#REF!,0)</f>
        <v>0</v>
      </c>
      <c r="CV263" s="9" t="e" cm="1">
        <f t="array" ref="CV26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3" s="9">
        <f>IFERROR(IF(ISBLANK(INDEX(Bay_AmClose,MATCH(1,INDEX((tbl_Case_mins[[#This Row],[Bay]]=BayNo)*(tbl_Case_mins[[#This Row],[Surgery Start Date]]=BDate),0,1),0))*1440),0,INDEX(Bay_AmClose,MATCH(1,INDEX((tbl_Case_mins[[#This Row],[Bay]]=BayNo)*(tbl_Case_mins[[#This Row],[Surgery Start Date]]=BDate),0,1),0))*1440),0)</f>
        <v>0</v>
      </c>
      <c r="CX263" s="9" cm="1">
        <f t="array" ref="CX263">IFERROR(IF(ISBLANK(INDEX(Bay_PmOpen,MATCH(1,INDEX((tbl_Case_mins[[#This Row],[Bay]]=BayNo)*(tbl_Case_mins[[#This Row],[Surgery Start Date]]=BDate),0,1),0))*1440),0,INDEX(Bay_PmOpen,MATCH(1,INDEX((tbl_Case_mins[[#This Row],[Bay]]=BayNo)*(tbl_Case_mins[[#This Row],[Surgery Start Date]]=BDate),0,1),0))*1440),0)</f>
        <v>0</v>
      </c>
      <c r="CY26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3" s="9"/>
    </row>
    <row r="264" spans="1:104" x14ac:dyDescent="0.2">
      <c r="A264">
        <v>263</v>
      </c>
      <c r="B264" t="e">
        <f>#REF!</f>
        <v>#REF!</v>
      </c>
      <c r="C264" t="e">
        <f>#REF!</f>
        <v>#REF!</v>
      </c>
      <c r="D264" t="e">
        <f>#REF!</f>
        <v>#REF!</v>
      </c>
      <c r="E264" t="e">
        <f>#REF!</f>
        <v>#REF!</v>
      </c>
      <c r="F264" t="e">
        <f>#REF!</f>
        <v>#REF!</v>
      </c>
      <c r="G264" t="e">
        <f>#REF!</f>
        <v>#REF!</v>
      </c>
      <c r="H264" t="e">
        <f>#REF!</f>
        <v>#REF!</v>
      </c>
      <c r="I264" t="e">
        <f>IF(#REF!="Case Cancelled",1,IF(#REF!="No Cases",2,0))</f>
        <v>#REF!</v>
      </c>
      <c r="J264" t="e">
        <f>#REF!</f>
        <v>#REF!</v>
      </c>
      <c r="K264" s="4" t="e">
        <f>#REF!</f>
        <v>#REF!</v>
      </c>
      <c r="L264" t="e">
        <f>"Wk "&amp;WEEKNUM(tbl_Case_mins[[#This Row],[Surgery Start Date]],21)</f>
        <v>#REF!</v>
      </c>
      <c r="M264" t="e">
        <f>TEXT(tbl_Case_mins[[#This Row],[Surgery Start Date]],"ddd")</f>
        <v>#REF!</v>
      </c>
      <c r="N264" s="9" t="e">
        <f>(#REF!-TIME(0,0,0))*1440</f>
        <v>#REF!</v>
      </c>
      <c r="O264" t="e">
        <f>IF(AND(ROUND((#REF!-TIME(0,0,0))*1440,0)&gt;0,ROUND((#REF!-TIME(0,0,0))*1440,0)&lt;tbl_Case_mins[[#This Row],[Patient Called]],tbl_Case_mins[[#This Row],[Surgery End Date]]&gt;tbl_Case_mins[[#This Row],[Surgery Start Date]]),ROUND((#REF!-TIME(0,0,0))*1440,0)+1440,ROUND((#REF!-TIME(0,0,0))*1440,0))</f>
        <v>#REF!</v>
      </c>
      <c r="P264" s="9" t="e">
        <f>IF(AND(ROUND((#REF!-TIME(0,0,0))*1440,0)&gt;0,ROUND((#REF!-TIME(0,0,0))*1440,0)&lt;tbl_Case_mins[[#This Row],[Arrival]],tbl_Case_mins[[#This Row],[Surgery End Date]]&gt;tbl_Case_mins[[#This Row],[Surgery Start Date]]),ROUND((#REF!-TIME(0,0,0))*1440,0)+1440,ROUND((#REF!-TIME(0,0,0))*1440,0))</f>
        <v>#REF!</v>
      </c>
      <c r="Q264" s="9" t="e">
        <f>IF(AND(ROUND((#REF!-TIME(0,0,0))*1440,0)&gt;0,ROUND((#REF!-TIME(0,0,0))*1440,0)&lt;tbl_Case_mins[[#This Row],[Into Th or AR]],tbl_Case_mins[[#This Row],[Surgery End Date]]&gt;tbl_Case_mins[[#This Row],[Surgery Start Date]]),ROUND((#REF!-TIME(0,0,0))*1440,0)+1440,ROUND((#REF!-TIME(0,0,0))*1440,0))</f>
        <v>#REF!</v>
      </c>
      <c r="R264" s="9" t="e">
        <f>IF(AND(ROUND((#REF!-TIME(0,0,0))*1440,0)&gt;0,ROUND((#REF!-TIME(0,0,0))*1440,0)&lt;tbl_Case_mins[[#This Row],[AnaesthStart]],tbl_Case_mins[[#This Row],[Surgery End Date]]&gt;tbl_Case_mins[[#This Row],[Surgery Start Date]]),ROUND((#REF!-TIME(0,0,0))*1440,0)+1440,ROUND((#REF!-TIME(0,0,0))*1440,0))</f>
        <v>#REF!</v>
      </c>
      <c r="S264" s="9" t="e">
        <f>IF(AND(ROUND((#REF!-TIME(0,0,0))*1440,0),ROUND((#REF!-TIME(0,0,0))*1440,0)&lt;tbl_Case_mins[[#This Row],[Surgery Start]],tbl_Case_mins[[#This Row],[Surgery End Date]]&gt;tbl_Case_mins[[#This Row],[Surgery Start Date]]),ROUND((#REF!-TIME(0,0,0))*1440,0)+1440,ROUND((#REF!-TIME(0,0,0))*1440,0))</f>
        <v>#REF!</v>
      </c>
      <c r="T264" s="9" t="e">
        <f>IF(AND(ROUND((#REF!-TIME(0,0,0))*1440,0)&gt;0,ROUND((#REF!-TIME(0,0,0))*1440,0)&lt;tbl_Case_mins[[#This Row],[Surgery Finish]],tbl_Case_mins[[#This Row],[Surgery End Date]]&gt;tbl_Case_mins[[#This Row],[Surgery Start Date]]),ROUND((#REF!-TIME(0,0,0))*1440,0)+1440,ROUND((#REF!-TIME(0,0,0))*1440,0))</f>
        <v>#REF!</v>
      </c>
      <c r="U264" s="9" t="e">
        <f>IF(AND(ROUND((#REF!-TIME(0,0,0))*1440,0)&gt;0,ROUND((#REF!-TIME(0,0,0))*1440,0)&lt;tbl_Case_mins[[#This Row],[Anaesth End]],tbl_Case_mins[[#This Row],[Surgery End Date]]&gt;tbl_Case_mins[[#This Row],[Surgery Start Date]]),ROUND((#REF!-TIME(0,0,0))*1440,0)+1440,ROUND((#REF!-TIME(0,0,0))*1440,0))</f>
        <v>#REF!</v>
      </c>
      <c r="V264" s="9" t="e">
        <f>IF(AND(ROUND((#REF!-TIME(0,0,0))*1440,0)&gt;0,ROUND((#REF!-TIME(0,0,0))*1440,0)&lt;tbl_Case_mins[[#This Row],[Into Recov]],tbl_Case_mins[[#This Row],[Surgery End Date]]&gt;tbl_Case_mins[[#This Row],[Surgery Start Date]]),ROUND((#REF!-TIME(0,0,0))*1440,0)+1440,ROUND((#REF!-TIME(0,0,0))*1440,0))</f>
        <v>#REF!</v>
      </c>
      <c r="W264" s="9" t="e">
        <f>IF(AND(ROUND((#REF!-TIME(0,0,0))*1440,0)&gt;0,ROUND((#REF!-TIME(0,0,0))*1440,0)&lt;tbl_Case_mins[[#This Row],[Ward Called]],tbl_Case_mins[[#This Row],[Surgery End Date]]&gt;tbl_Case_mins[[#This Row],[Surgery Start Date]]),ROUND((#REF!-TIME(0,0,0))*1440,0)+1440,ROUND((#REF!-TIME(0,0,0))*1440,0))</f>
        <v>#REF!</v>
      </c>
      <c r="X264" s="4" t="e">
        <f>IF(ISBLANK(#REF!),tbl_Case_mins[[#This Row],[Surgery Start Date]],#REF!)</f>
        <v>#REF!</v>
      </c>
      <c r="Y264">
        <f>IFERROR(IF(VLOOKUP(tbl_Case_mins[[#This Row],[Theatre]],'Mng Theatres'!$C$7:$G$12,3,FALSE)="Yes","Yes","No"),0)</f>
        <v>0</v>
      </c>
      <c r="Z264" s="9" t="e" cm="1">
        <f t="array" ref="Z26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4" s="9" t="e" cm="1">
        <f t="array" ref="AA26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4" s="9" t="e">
        <f>IF(tbl_Case_mins[[#This Row],[Case Type]]="Unsch",1,0)</f>
        <v>#REF!</v>
      </c>
      <c r="AD264" s="9" t="e">
        <f>IF(tbl_Case_mins[[#This Row],[Case Type]]="Sch",1,0)</f>
        <v>#REF!</v>
      </c>
      <c r="AE26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4" s="9">
        <f>IFERROR(IF(ISBLANK(INDEX(Am_Close,MATCH(1,INDEX((tbl_Case_mins[[#This Row],[Theatre]]=Theatre_No)*(tbl_Case_mins[[#This Row],[Surgery Start Date]]=Date),0,1),0))*1440),0,INDEX(Am_Close,MATCH(1,INDEX((tbl_Case_mins[[#This Row],[Theatre]]=Theatre_No)*(tbl_Case_mins[[#This Row],[Surgery Start Date]]=Date),0,1),0))*1440),0)</f>
        <v>0</v>
      </c>
      <c r="AG264" s="9">
        <f>IFERROR(IF(ISBLANK(INDEX(PM_Open,MATCH(1,INDEX((tbl_Case_mins[[#This Row],[Theatre]]=Theatre_No)*(tbl_Case_mins[[#This Row],[Surgery Start Date]]=Date),0,1),0))*1440),0,INDEX(PM_Open,MATCH(1,INDEX((tbl_Case_mins[[#This Row],[Theatre]]=Theatre_No)*(tbl_Case_mins[[#This Row],[Surgery Start Date]]=Date),0,1),0))*1440),0)</f>
        <v>0</v>
      </c>
      <c r="AH26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4" s="9" t="e">
        <f>IF(tbl_Case_mins[[#This Row],[ThOpenAm]]=0,tbl_Case_mins[[#This Row],[ThOpenPM]],tbl_Case_mins[[#This Row],[ThOpenAm]])</f>
        <v>#REF!</v>
      </c>
      <c r="AJ264" s="9" t="e">
        <f>IF(tbl_Case_mins[[#This Row],[ThCloseAm]]&gt;0,IF(tbl_Case_mins[[#This Row],[ThOpenPM]]&gt;0,tbl_Case_mins[[#This Row],[ThClosePm]],tbl_Case_mins[[#This Row],[ThCloseAm]]),tbl_Case_mins[[#This Row],[ThClosePm]])</f>
        <v>#REF!</v>
      </c>
      <c r="AK264" s="9" t="e">
        <f>IF(tbl_Case_mins[[#This Row],[TOT]]&gt;0,1,0)</f>
        <v>#REF!</v>
      </c>
      <c r="AL26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4" s="9" t="e">
        <f>IF(AND(tbl_Case_mins[[#This Row],[Surgery Status]]&lt;&gt;2,tbl_Case_mins[[#This Row],[InCoreCase]]=0,tbl_Case_mins[[#This Row],[CancelledCase]]=0),1,0)</f>
        <v>#REF!</v>
      </c>
      <c r="AN264" s="9" t="e">
        <f>IF(tbl_Case_mins[[#This Row],[Surgery Status]]=1,1,0)</f>
        <v>#REF!</v>
      </c>
      <c r="AO26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4" s="9" t="e">
        <f>IF(AND(tbl_Case_mins[[#This Row],[NonCoreCase]]=1,tbl_Case_mins[[#This Row],[NoInCoreTime]]=0),1,0)</f>
        <v>#REF!</v>
      </c>
      <c r="AQ264" s="9" t="e">
        <f>IF(tbl_Case_mins[[#This Row],[Rank_AnaEnd]]&lt;tbl_Case_mins[[#This Row],[Rank_AnaSt]],1,0)</f>
        <v>#REF!</v>
      </c>
      <c r="AR264" s="9" t="e">
        <f>IF(AND(tbl_Case_mins[[#This Row],[InCoreCase]]=1,tbl_Case_mins[[#This Row],[Sch]]=1),1,0)</f>
        <v>#REF!</v>
      </c>
      <c r="AS264" s="9" t="e">
        <f>IF(AND(tbl_Case_mins[[#This Row],[InCoreCase]]=1,tbl_Case_mins[[#This Row],[Unsch]]=1),1,0)</f>
        <v>#REF!</v>
      </c>
      <c r="AT26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4" s="9" t="e">
        <f>IF(tbl_Case_mins[[#This Row],[Surgery Status]]=0,(tbl_Case_mins[[#This Row],[Anaesth End]]-tbl_Case_mins[[#This Row],[AnaesthStart]]),0)</f>
        <v>#REF!</v>
      </c>
      <c r="AX264" s="9" t="e">
        <f>IF(tbl_Case_mins[[#This Row],[Surgery Status]]=0,(tbl_Case_mins[[#This Row],[Surgery Finish]]-tbl_Case_mins[[#This Row],[Surgery Start]]),0)</f>
        <v>#REF!</v>
      </c>
      <c r="AY264" s="9" t="e">
        <f>tbl_Case_mins[[#This Row],[Surgery Start]]-tbl_Case_mins[[#This Row],[AnaesthStart]]</f>
        <v>#REF!</v>
      </c>
      <c r="AZ264" s="9" t="e">
        <f>tbl_Case_mins[[#This Row],[Anaesth End]]-tbl_Case_mins[[#This Row],[Surgery Finish]]</f>
        <v>#REF!</v>
      </c>
      <c r="BA26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4" s="16" cm="1">
        <f t="array" ref="BC26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4" s="16" t="e">
        <f>IF(AND(tbl_Case_mins[[#This Row],[FirstAMCase]]=1,tbl_Case_mins[[#This Row],[CancelledCase]]=0,OR(tbl_Case_mins[[#This Row],[EarlyStartAM]]&gt;0,tbl_Case_mins[[#This Row],[AnaesthStart]]=tbl_Case_mins[[#This Row],[ThOpenAm]])),1,0)</f>
        <v>#REF!</v>
      </c>
      <c r="BE264" s="16" t="e">
        <f>IF(AND(tbl_Case_mins[[#This Row],[Rank_AnaSt]]=tbl_Case_mins[[#This Row],[Min_RankAnaSt]],tbl_Case_mins[[#This Row],[Anaesth End]]&gt;=tbl_Case_mins[[#This Row],[ThOpenAm]],tbl_Case_mins[[#This Row],[PmCase]]=0),1,0)</f>
        <v>#REF!</v>
      </c>
      <c r="BF26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4" s="9" t="e" cm="1">
        <f t="array" ref="BH26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4" s="9" t="e">
        <f>IF(AND(tbl_Case_mins[[#This Row],[ThOpenPM]]&gt;0,tbl_Case_mins[[#This Row],[AnaesthStart]]&gt;tbl_Case_mins[[#This Row],[ThOpenPM]],tbl_Case_mins[[#This Row],[First PM Case]]=1),tbl_Case_mins[[#This Row],[AnaesthStart]]-tbl_Case_mins[[#This Row],[ThOpenPM]],0)</f>
        <v>#REF!</v>
      </c>
      <c r="BL26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4" s="9" t="e" cm="1">
        <f t="array" ref="BN26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4" s="9" t="e">
        <f>IF(AND(tbl_Case_mins[[#This Row],[ThClosePm]]&gt;0,tbl_Case_mins[[#This Row],[Anaesth End]]&gt;tbl_Case_mins[[#This Row],[ThClosePm]],tbl_Case_mins[[#This Row],[AnaesthStart]]&gt;tbl_Case_mins[[#This Row],[ThClosePm]]),tbl_Case_mins[[#This Row],[Into Recov]]-tbl_Case_mins[[#This Row],[AnaesthStart]],0)</f>
        <v>#REF!</v>
      </c>
      <c r="BP264" s="9" t="e">
        <f>IF(AND(tbl_Case_mins[[#This Row],[AnaesthStart]]&lt;tbl_Case_mins[[#This Row],[ThClosePm]],tbl_Case_mins[[#This Row],[Anaesth End]]&gt;tbl_Case_mins[[#This Row],[ThClosePm]]),tbl_Case_mins[[#This Row],[Anaesth End]]-tbl_Case_mins[[#This Row],[ThClosePm]],0)</f>
        <v>#REF!</v>
      </c>
      <c r="BQ264" s="9" t="e" cm="1">
        <f t="array" ref="BQ26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4" s="9" t="e" cm="1">
        <f t="array" ref="BR264">IF(tbl_Case_mins[[#This Row],[Rank_Adjust]]=SUMPRODUCT(-(tbl_Case_mins[Surgery Start Date]=tbl_Case_mins[[#This Row],[Surgery Start Date]]),-(tbl_Case_mins[Theatre]=tbl_Case_mins[[#This Row],[Theatre]])),INDEX(Poss_Time,MATCH(TEXT(tbl_Case_mins[[#This Row],[Surgery Start Date]],"ddd"),Day,0)),0)</f>
        <v>#REF!</v>
      </c>
      <c r="BS264" s="9" t="e">
        <f>tbl_Case_mins[[#This Row],[Core_Time]]*Util_Goal</f>
        <v>#REF!</v>
      </c>
      <c r="BT264" s="9" t="e" cm="1">
        <f t="array" ref="BT2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4" s="9" t="e" cm="1">
        <f t="array" ref="BU2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4" s="9" t="e">
        <f>IF(tbl_Case_mins[[#This Row],[Surgery End Date]]&gt;tbl_Case_mins[[#This Row],[Surgery Start Date]],tbl_Case_mins[[#This Row],[Anaesth End]]-1440,0)</f>
        <v>#REF!</v>
      </c>
      <c r="BY264" s="9" t="e">
        <f>tbl_Case_mins[[#This Row],[Total_NonCore]]-tbl_Case_mins[[#This Row],[NextDay_NonCore]]</f>
        <v>#REF!</v>
      </c>
      <c r="BZ264" s="10" t="e">
        <f>tbl_Case_mins[[#This Row],[InCoreUse]]/60</f>
        <v>#REF!</v>
      </c>
      <c r="CA264" s="10" t="e">
        <f>tbl_Case_mins[[#This Row],[Total_NonCore]]/60</f>
        <v>#REF!</v>
      </c>
      <c r="CB264" t="e" cm="1">
        <f t="array" ref="CB2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4" s="9" t="e" cm="1">
        <f t="array" ref="CC26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4" s="9" t="e" cm="1">
        <f t="array" ref="CD2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4" s="9" t="e" cm="1">
        <f t="array" ref="CE26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4" s="9" cm="1">
        <f t="array" ref="CF264">IFERROR(_xlfn.AGGREGATE(14,6,(tbl_Case_mins[Rank_AnaEnd])/((tbl_Case_mins[Surgery Start Date]=tbl_Case_mins[[#This Row],[Surgery Start Date]])*(tbl_Case_mins[Theatre]=tbl_Case_mins[[#This Row],[Theatre]])*(tbl_Case_mins[NoInCoreTime]=0)),1),-1)</f>
        <v>-1</v>
      </c>
      <c r="CG264" s="9" cm="1">
        <f t="array" ref="CG264">IFERROR(_xlfn.AGGREGATE(15,6,(tbl_Case_mins[Rank_AnaSt])/((tbl_Case_mins[Surgery Start Date]=tbl_Case_mins[[#This Row],[Surgery Start Date]])*(tbl_Case_mins[Theatre]=tbl_Case_mins[[#This Row],[Theatre]])*(tbl_Case_mins[NoInCoreTime]=0)),1),-1)</f>
        <v>-1</v>
      </c>
      <c r="CH26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4" t="e" cm="1">
        <f t="array" ref="CJ26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4" s="9" cm="1">
        <f t="array" ref="CO2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4" s="9" cm="1">
        <f t="array" ref="CP2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4" s="9" cm="1">
        <f t="array" ref="CQ264">IFERROR(IF(AND(tbl_Case_mins[[#This Row],[FirstAMCase]]=0,tbl_Case_mins[[#This Row],[Rank]]=_xlfn.AGGREGATE(14,6,(tbl_Case_mins[Rank])/((tbl_Case_mins[Surgery Start Date]=tbl_Case_mins[[#This Row],[Surgery Start Date]])*(tbl_Case_mins[Theatre]=tbl_Case_mins[[#This Row],[Theatre]])*(tbl_Case_mins[AmCase]=1)),1)),1,0),0)</f>
        <v>0</v>
      </c>
      <c r="CR264" s="9" cm="1">
        <f t="array" ref="CR26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4" s="9" t="e" cm="1">
        <f t="array" ref="CS26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4" s="9" cm="1">
        <f t="array" ref="CT264">IFERROR(IF(tbl_Case_mins[[#This Row],[Rank]]=_xlfn.AGGREGATE(15,6,(tbl_Case_mins[Rank])/((tbl_Case_mins[Surgery Start Date]=tbl_Case_mins[[#This Row],[Surgery Start Date]])*(tbl_Case_mins[Theatre]=tbl_Case_mins[[#This Row],[Theatre]])*(tbl_Case_mins[PmCase]=1)),1),1,0),0)</f>
        <v>0</v>
      </c>
      <c r="CU264">
        <f>IFERROR(#REF!,0)</f>
        <v>0</v>
      </c>
      <c r="CV264" s="9" t="e" cm="1">
        <f t="array" ref="CV26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4" s="9">
        <f>IFERROR(IF(ISBLANK(INDEX(Bay_AmClose,MATCH(1,INDEX((tbl_Case_mins[[#This Row],[Bay]]=BayNo)*(tbl_Case_mins[[#This Row],[Surgery Start Date]]=BDate),0,1),0))*1440),0,INDEX(Bay_AmClose,MATCH(1,INDEX((tbl_Case_mins[[#This Row],[Bay]]=BayNo)*(tbl_Case_mins[[#This Row],[Surgery Start Date]]=BDate),0,1),0))*1440),0)</f>
        <v>0</v>
      </c>
      <c r="CX264" s="9" cm="1">
        <f t="array" ref="CX264">IFERROR(IF(ISBLANK(INDEX(Bay_PmOpen,MATCH(1,INDEX((tbl_Case_mins[[#This Row],[Bay]]=BayNo)*(tbl_Case_mins[[#This Row],[Surgery Start Date]]=BDate),0,1),0))*1440),0,INDEX(Bay_PmOpen,MATCH(1,INDEX((tbl_Case_mins[[#This Row],[Bay]]=BayNo)*(tbl_Case_mins[[#This Row],[Surgery Start Date]]=BDate),0,1),0))*1440),0)</f>
        <v>0</v>
      </c>
      <c r="CY26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4" s="9"/>
    </row>
    <row r="265" spans="1:104" x14ac:dyDescent="0.2">
      <c r="A265">
        <v>264</v>
      </c>
      <c r="B265" t="e">
        <f>#REF!</f>
        <v>#REF!</v>
      </c>
      <c r="C265" t="e">
        <f>#REF!</f>
        <v>#REF!</v>
      </c>
      <c r="D265" t="e">
        <f>#REF!</f>
        <v>#REF!</v>
      </c>
      <c r="E265" t="e">
        <f>#REF!</f>
        <v>#REF!</v>
      </c>
      <c r="F265" t="e">
        <f>#REF!</f>
        <v>#REF!</v>
      </c>
      <c r="G265" t="e">
        <f>#REF!</f>
        <v>#REF!</v>
      </c>
      <c r="H265" t="e">
        <f>#REF!</f>
        <v>#REF!</v>
      </c>
      <c r="I265" t="e">
        <f>IF(#REF!="Case Cancelled",1,IF(#REF!="No Cases",2,0))</f>
        <v>#REF!</v>
      </c>
      <c r="J265" t="e">
        <f>#REF!</f>
        <v>#REF!</v>
      </c>
      <c r="K265" s="4" t="e">
        <f>#REF!</f>
        <v>#REF!</v>
      </c>
      <c r="L265" t="e">
        <f>"Wk "&amp;WEEKNUM(tbl_Case_mins[[#This Row],[Surgery Start Date]],21)</f>
        <v>#REF!</v>
      </c>
      <c r="M265" t="e">
        <f>TEXT(tbl_Case_mins[[#This Row],[Surgery Start Date]],"ddd")</f>
        <v>#REF!</v>
      </c>
      <c r="N265" s="9" t="e">
        <f>(#REF!-TIME(0,0,0))*1440</f>
        <v>#REF!</v>
      </c>
      <c r="O265" t="e">
        <f>IF(AND(ROUND((#REF!-TIME(0,0,0))*1440,0)&gt;0,ROUND((#REF!-TIME(0,0,0))*1440,0)&lt;tbl_Case_mins[[#This Row],[Patient Called]],tbl_Case_mins[[#This Row],[Surgery End Date]]&gt;tbl_Case_mins[[#This Row],[Surgery Start Date]]),ROUND((#REF!-TIME(0,0,0))*1440,0)+1440,ROUND((#REF!-TIME(0,0,0))*1440,0))</f>
        <v>#REF!</v>
      </c>
      <c r="P265" s="9" t="e">
        <f>IF(AND(ROUND((#REF!-TIME(0,0,0))*1440,0)&gt;0,ROUND((#REF!-TIME(0,0,0))*1440,0)&lt;tbl_Case_mins[[#This Row],[Arrival]],tbl_Case_mins[[#This Row],[Surgery End Date]]&gt;tbl_Case_mins[[#This Row],[Surgery Start Date]]),ROUND((#REF!-TIME(0,0,0))*1440,0)+1440,ROUND((#REF!-TIME(0,0,0))*1440,0))</f>
        <v>#REF!</v>
      </c>
      <c r="Q265" s="9" t="e">
        <f>IF(AND(ROUND((#REF!-TIME(0,0,0))*1440,0)&gt;0,ROUND((#REF!-TIME(0,0,0))*1440,0)&lt;tbl_Case_mins[[#This Row],[Into Th or AR]],tbl_Case_mins[[#This Row],[Surgery End Date]]&gt;tbl_Case_mins[[#This Row],[Surgery Start Date]]),ROUND((#REF!-TIME(0,0,0))*1440,0)+1440,ROUND((#REF!-TIME(0,0,0))*1440,0))</f>
        <v>#REF!</v>
      </c>
      <c r="R265" s="9" t="e">
        <f>IF(AND(ROUND((#REF!-TIME(0,0,0))*1440,0)&gt;0,ROUND((#REF!-TIME(0,0,0))*1440,0)&lt;tbl_Case_mins[[#This Row],[AnaesthStart]],tbl_Case_mins[[#This Row],[Surgery End Date]]&gt;tbl_Case_mins[[#This Row],[Surgery Start Date]]),ROUND((#REF!-TIME(0,0,0))*1440,0)+1440,ROUND((#REF!-TIME(0,0,0))*1440,0))</f>
        <v>#REF!</v>
      </c>
      <c r="S265" s="9" t="e">
        <f>IF(AND(ROUND((#REF!-TIME(0,0,0))*1440,0),ROUND((#REF!-TIME(0,0,0))*1440,0)&lt;tbl_Case_mins[[#This Row],[Surgery Start]],tbl_Case_mins[[#This Row],[Surgery End Date]]&gt;tbl_Case_mins[[#This Row],[Surgery Start Date]]),ROUND((#REF!-TIME(0,0,0))*1440,0)+1440,ROUND((#REF!-TIME(0,0,0))*1440,0))</f>
        <v>#REF!</v>
      </c>
      <c r="T265" s="9" t="e">
        <f>IF(AND(ROUND((#REF!-TIME(0,0,0))*1440,0)&gt;0,ROUND((#REF!-TIME(0,0,0))*1440,0)&lt;tbl_Case_mins[[#This Row],[Surgery Finish]],tbl_Case_mins[[#This Row],[Surgery End Date]]&gt;tbl_Case_mins[[#This Row],[Surgery Start Date]]),ROUND((#REF!-TIME(0,0,0))*1440,0)+1440,ROUND((#REF!-TIME(0,0,0))*1440,0))</f>
        <v>#REF!</v>
      </c>
      <c r="U265" s="9" t="e">
        <f>IF(AND(ROUND((#REF!-TIME(0,0,0))*1440,0)&gt;0,ROUND((#REF!-TIME(0,0,0))*1440,0)&lt;tbl_Case_mins[[#This Row],[Anaesth End]],tbl_Case_mins[[#This Row],[Surgery End Date]]&gt;tbl_Case_mins[[#This Row],[Surgery Start Date]]),ROUND((#REF!-TIME(0,0,0))*1440,0)+1440,ROUND((#REF!-TIME(0,0,0))*1440,0))</f>
        <v>#REF!</v>
      </c>
      <c r="V265" s="9" t="e">
        <f>IF(AND(ROUND((#REF!-TIME(0,0,0))*1440,0)&gt;0,ROUND((#REF!-TIME(0,0,0))*1440,0)&lt;tbl_Case_mins[[#This Row],[Into Recov]],tbl_Case_mins[[#This Row],[Surgery End Date]]&gt;tbl_Case_mins[[#This Row],[Surgery Start Date]]),ROUND((#REF!-TIME(0,0,0))*1440,0)+1440,ROUND((#REF!-TIME(0,0,0))*1440,0))</f>
        <v>#REF!</v>
      </c>
      <c r="W265" s="9" t="e">
        <f>IF(AND(ROUND((#REF!-TIME(0,0,0))*1440,0)&gt;0,ROUND((#REF!-TIME(0,0,0))*1440,0)&lt;tbl_Case_mins[[#This Row],[Ward Called]],tbl_Case_mins[[#This Row],[Surgery End Date]]&gt;tbl_Case_mins[[#This Row],[Surgery Start Date]]),ROUND((#REF!-TIME(0,0,0))*1440,0)+1440,ROUND((#REF!-TIME(0,0,0))*1440,0))</f>
        <v>#REF!</v>
      </c>
      <c r="X265" s="4" t="e">
        <f>IF(ISBLANK(#REF!),tbl_Case_mins[[#This Row],[Surgery Start Date]],#REF!)</f>
        <v>#REF!</v>
      </c>
      <c r="Y265">
        <f>IFERROR(IF(VLOOKUP(tbl_Case_mins[[#This Row],[Theatre]],'Mng Theatres'!$C$7:$G$12,3,FALSE)="Yes","Yes","No"),0)</f>
        <v>0</v>
      </c>
      <c r="Z265" s="9" t="e" cm="1">
        <f t="array" ref="Z26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5" s="9" t="e" cm="1">
        <f t="array" ref="AA26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5" s="9" t="e">
        <f>IF(tbl_Case_mins[[#This Row],[Case Type]]="Unsch",1,0)</f>
        <v>#REF!</v>
      </c>
      <c r="AD265" s="9" t="e">
        <f>IF(tbl_Case_mins[[#This Row],[Case Type]]="Sch",1,0)</f>
        <v>#REF!</v>
      </c>
      <c r="AE26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5" s="9">
        <f>IFERROR(IF(ISBLANK(INDEX(Am_Close,MATCH(1,INDEX((tbl_Case_mins[[#This Row],[Theatre]]=Theatre_No)*(tbl_Case_mins[[#This Row],[Surgery Start Date]]=Date),0,1),0))*1440),0,INDEX(Am_Close,MATCH(1,INDEX((tbl_Case_mins[[#This Row],[Theatre]]=Theatre_No)*(tbl_Case_mins[[#This Row],[Surgery Start Date]]=Date),0,1),0))*1440),0)</f>
        <v>0</v>
      </c>
      <c r="AG265" s="9">
        <f>IFERROR(IF(ISBLANK(INDEX(PM_Open,MATCH(1,INDEX((tbl_Case_mins[[#This Row],[Theatre]]=Theatre_No)*(tbl_Case_mins[[#This Row],[Surgery Start Date]]=Date),0,1),0))*1440),0,INDEX(PM_Open,MATCH(1,INDEX((tbl_Case_mins[[#This Row],[Theatre]]=Theatre_No)*(tbl_Case_mins[[#This Row],[Surgery Start Date]]=Date),0,1),0))*1440),0)</f>
        <v>0</v>
      </c>
      <c r="AH26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5" s="9" t="e">
        <f>IF(tbl_Case_mins[[#This Row],[ThOpenAm]]=0,tbl_Case_mins[[#This Row],[ThOpenPM]],tbl_Case_mins[[#This Row],[ThOpenAm]])</f>
        <v>#REF!</v>
      </c>
      <c r="AJ265" s="9" t="e">
        <f>IF(tbl_Case_mins[[#This Row],[ThCloseAm]]&gt;0,IF(tbl_Case_mins[[#This Row],[ThOpenPM]]&gt;0,tbl_Case_mins[[#This Row],[ThClosePm]],tbl_Case_mins[[#This Row],[ThCloseAm]]),tbl_Case_mins[[#This Row],[ThClosePm]])</f>
        <v>#REF!</v>
      </c>
      <c r="AK265" s="9" t="e">
        <f>IF(tbl_Case_mins[[#This Row],[TOT]]&gt;0,1,0)</f>
        <v>#REF!</v>
      </c>
      <c r="AL26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5" s="9" t="e">
        <f>IF(AND(tbl_Case_mins[[#This Row],[Surgery Status]]&lt;&gt;2,tbl_Case_mins[[#This Row],[InCoreCase]]=0,tbl_Case_mins[[#This Row],[CancelledCase]]=0),1,0)</f>
        <v>#REF!</v>
      </c>
      <c r="AN265" s="9" t="e">
        <f>IF(tbl_Case_mins[[#This Row],[Surgery Status]]=1,1,0)</f>
        <v>#REF!</v>
      </c>
      <c r="AO26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5" s="9" t="e">
        <f>IF(AND(tbl_Case_mins[[#This Row],[NonCoreCase]]=1,tbl_Case_mins[[#This Row],[NoInCoreTime]]=0),1,0)</f>
        <v>#REF!</v>
      </c>
      <c r="AQ265" s="9" t="e">
        <f>IF(tbl_Case_mins[[#This Row],[Rank_AnaEnd]]&lt;tbl_Case_mins[[#This Row],[Rank_AnaSt]],1,0)</f>
        <v>#REF!</v>
      </c>
      <c r="AR265" s="9" t="e">
        <f>IF(AND(tbl_Case_mins[[#This Row],[InCoreCase]]=1,tbl_Case_mins[[#This Row],[Sch]]=1),1,0)</f>
        <v>#REF!</v>
      </c>
      <c r="AS265" s="9" t="e">
        <f>IF(AND(tbl_Case_mins[[#This Row],[InCoreCase]]=1,tbl_Case_mins[[#This Row],[Unsch]]=1),1,0)</f>
        <v>#REF!</v>
      </c>
      <c r="AT26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5" s="9" t="e">
        <f>IF(tbl_Case_mins[[#This Row],[Surgery Status]]=0,(tbl_Case_mins[[#This Row],[Anaesth End]]-tbl_Case_mins[[#This Row],[AnaesthStart]]),0)</f>
        <v>#REF!</v>
      </c>
      <c r="AX265" s="9" t="e">
        <f>IF(tbl_Case_mins[[#This Row],[Surgery Status]]=0,(tbl_Case_mins[[#This Row],[Surgery Finish]]-tbl_Case_mins[[#This Row],[Surgery Start]]),0)</f>
        <v>#REF!</v>
      </c>
      <c r="AY265" s="9" t="e">
        <f>tbl_Case_mins[[#This Row],[Surgery Start]]-tbl_Case_mins[[#This Row],[AnaesthStart]]</f>
        <v>#REF!</v>
      </c>
      <c r="AZ265" s="9" t="e">
        <f>tbl_Case_mins[[#This Row],[Anaesth End]]-tbl_Case_mins[[#This Row],[Surgery Finish]]</f>
        <v>#REF!</v>
      </c>
      <c r="BA26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5" s="16" cm="1">
        <f t="array" ref="BC26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5" s="16" t="e">
        <f>IF(AND(tbl_Case_mins[[#This Row],[FirstAMCase]]=1,tbl_Case_mins[[#This Row],[CancelledCase]]=0,OR(tbl_Case_mins[[#This Row],[EarlyStartAM]]&gt;0,tbl_Case_mins[[#This Row],[AnaesthStart]]=tbl_Case_mins[[#This Row],[ThOpenAm]])),1,0)</f>
        <v>#REF!</v>
      </c>
      <c r="BE265" s="16" t="e">
        <f>IF(AND(tbl_Case_mins[[#This Row],[Rank_AnaSt]]=tbl_Case_mins[[#This Row],[Min_RankAnaSt]],tbl_Case_mins[[#This Row],[Anaesth End]]&gt;=tbl_Case_mins[[#This Row],[ThOpenAm]],tbl_Case_mins[[#This Row],[PmCase]]=0),1,0)</f>
        <v>#REF!</v>
      </c>
      <c r="BF26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5" s="9" t="e" cm="1">
        <f t="array" ref="BH26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5" s="9" t="e">
        <f>IF(AND(tbl_Case_mins[[#This Row],[ThOpenPM]]&gt;0,tbl_Case_mins[[#This Row],[AnaesthStart]]&gt;tbl_Case_mins[[#This Row],[ThOpenPM]],tbl_Case_mins[[#This Row],[First PM Case]]=1),tbl_Case_mins[[#This Row],[AnaesthStart]]-tbl_Case_mins[[#This Row],[ThOpenPM]],0)</f>
        <v>#REF!</v>
      </c>
      <c r="BL26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5" s="9" t="e" cm="1">
        <f t="array" ref="BN26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5" s="9" t="e">
        <f>IF(AND(tbl_Case_mins[[#This Row],[ThClosePm]]&gt;0,tbl_Case_mins[[#This Row],[Anaesth End]]&gt;tbl_Case_mins[[#This Row],[ThClosePm]],tbl_Case_mins[[#This Row],[AnaesthStart]]&gt;tbl_Case_mins[[#This Row],[ThClosePm]]),tbl_Case_mins[[#This Row],[Into Recov]]-tbl_Case_mins[[#This Row],[AnaesthStart]],0)</f>
        <v>#REF!</v>
      </c>
      <c r="BP265" s="9" t="e">
        <f>IF(AND(tbl_Case_mins[[#This Row],[AnaesthStart]]&lt;tbl_Case_mins[[#This Row],[ThClosePm]],tbl_Case_mins[[#This Row],[Anaesth End]]&gt;tbl_Case_mins[[#This Row],[ThClosePm]]),tbl_Case_mins[[#This Row],[Anaesth End]]-tbl_Case_mins[[#This Row],[ThClosePm]],0)</f>
        <v>#REF!</v>
      </c>
      <c r="BQ265" s="9" t="e" cm="1">
        <f t="array" ref="BQ26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5" s="9" t="e" cm="1">
        <f t="array" ref="BR265">IF(tbl_Case_mins[[#This Row],[Rank_Adjust]]=SUMPRODUCT(-(tbl_Case_mins[Surgery Start Date]=tbl_Case_mins[[#This Row],[Surgery Start Date]]),-(tbl_Case_mins[Theatre]=tbl_Case_mins[[#This Row],[Theatre]])),INDEX(Poss_Time,MATCH(TEXT(tbl_Case_mins[[#This Row],[Surgery Start Date]],"ddd"),Day,0)),0)</f>
        <v>#REF!</v>
      </c>
      <c r="BS265" s="9" t="e">
        <f>tbl_Case_mins[[#This Row],[Core_Time]]*Util_Goal</f>
        <v>#REF!</v>
      </c>
      <c r="BT265" s="9" t="e" cm="1">
        <f t="array" ref="BT2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5" s="9" t="e" cm="1">
        <f t="array" ref="BU2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5" s="9" t="e">
        <f>IF(tbl_Case_mins[[#This Row],[Surgery End Date]]&gt;tbl_Case_mins[[#This Row],[Surgery Start Date]],tbl_Case_mins[[#This Row],[Anaesth End]]-1440,0)</f>
        <v>#REF!</v>
      </c>
      <c r="BY265" s="9" t="e">
        <f>tbl_Case_mins[[#This Row],[Total_NonCore]]-tbl_Case_mins[[#This Row],[NextDay_NonCore]]</f>
        <v>#REF!</v>
      </c>
      <c r="BZ265" s="10" t="e">
        <f>tbl_Case_mins[[#This Row],[InCoreUse]]/60</f>
        <v>#REF!</v>
      </c>
      <c r="CA265" s="10" t="e">
        <f>tbl_Case_mins[[#This Row],[Total_NonCore]]/60</f>
        <v>#REF!</v>
      </c>
      <c r="CB265" t="e" cm="1">
        <f t="array" ref="CB2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5" s="9" t="e" cm="1">
        <f t="array" ref="CC26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5" s="9" t="e" cm="1">
        <f t="array" ref="CD2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5" s="9" t="e" cm="1">
        <f t="array" ref="CE26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5" s="9" cm="1">
        <f t="array" ref="CF265">IFERROR(_xlfn.AGGREGATE(14,6,(tbl_Case_mins[Rank_AnaEnd])/((tbl_Case_mins[Surgery Start Date]=tbl_Case_mins[[#This Row],[Surgery Start Date]])*(tbl_Case_mins[Theatre]=tbl_Case_mins[[#This Row],[Theatre]])*(tbl_Case_mins[NoInCoreTime]=0)),1),-1)</f>
        <v>-1</v>
      </c>
      <c r="CG265" s="9" cm="1">
        <f t="array" ref="CG265">IFERROR(_xlfn.AGGREGATE(15,6,(tbl_Case_mins[Rank_AnaSt])/((tbl_Case_mins[Surgery Start Date]=tbl_Case_mins[[#This Row],[Surgery Start Date]])*(tbl_Case_mins[Theatre]=tbl_Case_mins[[#This Row],[Theatre]])*(tbl_Case_mins[NoInCoreTime]=0)),1),-1)</f>
        <v>-1</v>
      </c>
      <c r="CH26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5" t="e" cm="1">
        <f t="array" ref="CJ26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5" s="9" cm="1">
        <f t="array" ref="CO2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5" s="9" cm="1">
        <f t="array" ref="CP2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5" s="9" cm="1">
        <f t="array" ref="CQ265">IFERROR(IF(AND(tbl_Case_mins[[#This Row],[FirstAMCase]]=0,tbl_Case_mins[[#This Row],[Rank]]=_xlfn.AGGREGATE(14,6,(tbl_Case_mins[Rank])/((tbl_Case_mins[Surgery Start Date]=tbl_Case_mins[[#This Row],[Surgery Start Date]])*(tbl_Case_mins[Theatre]=tbl_Case_mins[[#This Row],[Theatre]])*(tbl_Case_mins[AmCase]=1)),1)),1,0),0)</f>
        <v>0</v>
      </c>
      <c r="CR265" s="9" cm="1">
        <f t="array" ref="CR26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5" s="9" t="e" cm="1">
        <f t="array" ref="CS26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5" s="9" cm="1">
        <f t="array" ref="CT265">IFERROR(IF(tbl_Case_mins[[#This Row],[Rank]]=_xlfn.AGGREGATE(15,6,(tbl_Case_mins[Rank])/((tbl_Case_mins[Surgery Start Date]=tbl_Case_mins[[#This Row],[Surgery Start Date]])*(tbl_Case_mins[Theatre]=tbl_Case_mins[[#This Row],[Theatre]])*(tbl_Case_mins[PmCase]=1)),1),1,0),0)</f>
        <v>0</v>
      </c>
      <c r="CU265">
        <f>IFERROR(#REF!,0)</f>
        <v>0</v>
      </c>
      <c r="CV265" s="9" t="e" cm="1">
        <f t="array" ref="CV26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5" s="9">
        <f>IFERROR(IF(ISBLANK(INDEX(Bay_AmClose,MATCH(1,INDEX((tbl_Case_mins[[#This Row],[Bay]]=BayNo)*(tbl_Case_mins[[#This Row],[Surgery Start Date]]=BDate),0,1),0))*1440),0,INDEX(Bay_AmClose,MATCH(1,INDEX((tbl_Case_mins[[#This Row],[Bay]]=BayNo)*(tbl_Case_mins[[#This Row],[Surgery Start Date]]=BDate),0,1),0))*1440),0)</f>
        <v>0</v>
      </c>
      <c r="CX265" s="9" cm="1">
        <f t="array" ref="CX265">IFERROR(IF(ISBLANK(INDEX(Bay_PmOpen,MATCH(1,INDEX((tbl_Case_mins[[#This Row],[Bay]]=BayNo)*(tbl_Case_mins[[#This Row],[Surgery Start Date]]=BDate),0,1),0))*1440),0,INDEX(Bay_PmOpen,MATCH(1,INDEX((tbl_Case_mins[[#This Row],[Bay]]=BayNo)*(tbl_Case_mins[[#This Row],[Surgery Start Date]]=BDate),0,1),0))*1440),0)</f>
        <v>0</v>
      </c>
      <c r="CY26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5" s="9"/>
    </row>
    <row r="266" spans="1:104" x14ac:dyDescent="0.2">
      <c r="A266">
        <v>265</v>
      </c>
      <c r="B266" t="e">
        <f>#REF!</f>
        <v>#REF!</v>
      </c>
      <c r="C266" t="e">
        <f>#REF!</f>
        <v>#REF!</v>
      </c>
      <c r="D266" t="e">
        <f>#REF!</f>
        <v>#REF!</v>
      </c>
      <c r="E266" t="e">
        <f>#REF!</f>
        <v>#REF!</v>
      </c>
      <c r="F266" t="e">
        <f>#REF!</f>
        <v>#REF!</v>
      </c>
      <c r="G266" t="e">
        <f>#REF!</f>
        <v>#REF!</v>
      </c>
      <c r="H266" t="e">
        <f>#REF!</f>
        <v>#REF!</v>
      </c>
      <c r="I266" t="e">
        <f>IF(#REF!="Case Cancelled",1,IF(#REF!="No Cases",2,0))</f>
        <v>#REF!</v>
      </c>
      <c r="J266" t="e">
        <f>#REF!</f>
        <v>#REF!</v>
      </c>
      <c r="K266" s="4" t="e">
        <f>#REF!</f>
        <v>#REF!</v>
      </c>
      <c r="L266" t="e">
        <f>"Wk "&amp;WEEKNUM(tbl_Case_mins[[#This Row],[Surgery Start Date]],21)</f>
        <v>#REF!</v>
      </c>
      <c r="M266" t="e">
        <f>TEXT(tbl_Case_mins[[#This Row],[Surgery Start Date]],"ddd")</f>
        <v>#REF!</v>
      </c>
      <c r="N266" s="9" t="e">
        <f>(#REF!-TIME(0,0,0))*1440</f>
        <v>#REF!</v>
      </c>
      <c r="O266" t="e">
        <f>IF(AND(ROUND((#REF!-TIME(0,0,0))*1440,0)&gt;0,ROUND((#REF!-TIME(0,0,0))*1440,0)&lt;tbl_Case_mins[[#This Row],[Patient Called]],tbl_Case_mins[[#This Row],[Surgery End Date]]&gt;tbl_Case_mins[[#This Row],[Surgery Start Date]]),ROUND((#REF!-TIME(0,0,0))*1440,0)+1440,ROUND((#REF!-TIME(0,0,0))*1440,0))</f>
        <v>#REF!</v>
      </c>
      <c r="P266" s="9" t="e">
        <f>IF(AND(ROUND((#REF!-TIME(0,0,0))*1440,0)&gt;0,ROUND((#REF!-TIME(0,0,0))*1440,0)&lt;tbl_Case_mins[[#This Row],[Arrival]],tbl_Case_mins[[#This Row],[Surgery End Date]]&gt;tbl_Case_mins[[#This Row],[Surgery Start Date]]),ROUND((#REF!-TIME(0,0,0))*1440,0)+1440,ROUND((#REF!-TIME(0,0,0))*1440,0))</f>
        <v>#REF!</v>
      </c>
      <c r="Q266" s="9" t="e">
        <f>IF(AND(ROUND((#REF!-TIME(0,0,0))*1440,0)&gt;0,ROUND((#REF!-TIME(0,0,0))*1440,0)&lt;tbl_Case_mins[[#This Row],[Into Th or AR]],tbl_Case_mins[[#This Row],[Surgery End Date]]&gt;tbl_Case_mins[[#This Row],[Surgery Start Date]]),ROUND((#REF!-TIME(0,0,0))*1440,0)+1440,ROUND((#REF!-TIME(0,0,0))*1440,0))</f>
        <v>#REF!</v>
      </c>
      <c r="R266" s="9" t="e">
        <f>IF(AND(ROUND((#REF!-TIME(0,0,0))*1440,0)&gt;0,ROUND((#REF!-TIME(0,0,0))*1440,0)&lt;tbl_Case_mins[[#This Row],[AnaesthStart]],tbl_Case_mins[[#This Row],[Surgery End Date]]&gt;tbl_Case_mins[[#This Row],[Surgery Start Date]]),ROUND((#REF!-TIME(0,0,0))*1440,0)+1440,ROUND((#REF!-TIME(0,0,0))*1440,0))</f>
        <v>#REF!</v>
      </c>
      <c r="S266" s="9" t="e">
        <f>IF(AND(ROUND((#REF!-TIME(0,0,0))*1440,0),ROUND((#REF!-TIME(0,0,0))*1440,0)&lt;tbl_Case_mins[[#This Row],[Surgery Start]],tbl_Case_mins[[#This Row],[Surgery End Date]]&gt;tbl_Case_mins[[#This Row],[Surgery Start Date]]),ROUND((#REF!-TIME(0,0,0))*1440,0)+1440,ROUND((#REF!-TIME(0,0,0))*1440,0))</f>
        <v>#REF!</v>
      </c>
      <c r="T266" s="9" t="e">
        <f>IF(AND(ROUND((#REF!-TIME(0,0,0))*1440,0)&gt;0,ROUND((#REF!-TIME(0,0,0))*1440,0)&lt;tbl_Case_mins[[#This Row],[Surgery Finish]],tbl_Case_mins[[#This Row],[Surgery End Date]]&gt;tbl_Case_mins[[#This Row],[Surgery Start Date]]),ROUND((#REF!-TIME(0,0,0))*1440,0)+1440,ROUND((#REF!-TIME(0,0,0))*1440,0))</f>
        <v>#REF!</v>
      </c>
      <c r="U266" s="9" t="e">
        <f>IF(AND(ROUND((#REF!-TIME(0,0,0))*1440,0)&gt;0,ROUND((#REF!-TIME(0,0,0))*1440,0)&lt;tbl_Case_mins[[#This Row],[Anaesth End]],tbl_Case_mins[[#This Row],[Surgery End Date]]&gt;tbl_Case_mins[[#This Row],[Surgery Start Date]]),ROUND((#REF!-TIME(0,0,0))*1440,0)+1440,ROUND((#REF!-TIME(0,0,0))*1440,0))</f>
        <v>#REF!</v>
      </c>
      <c r="V266" s="9" t="e">
        <f>IF(AND(ROUND((#REF!-TIME(0,0,0))*1440,0)&gt;0,ROUND((#REF!-TIME(0,0,0))*1440,0)&lt;tbl_Case_mins[[#This Row],[Into Recov]],tbl_Case_mins[[#This Row],[Surgery End Date]]&gt;tbl_Case_mins[[#This Row],[Surgery Start Date]]),ROUND((#REF!-TIME(0,0,0))*1440,0)+1440,ROUND((#REF!-TIME(0,0,0))*1440,0))</f>
        <v>#REF!</v>
      </c>
      <c r="W266" s="9" t="e">
        <f>IF(AND(ROUND((#REF!-TIME(0,0,0))*1440,0)&gt;0,ROUND((#REF!-TIME(0,0,0))*1440,0)&lt;tbl_Case_mins[[#This Row],[Ward Called]],tbl_Case_mins[[#This Row],[Surgery End Date]]&gt;tbl_Case_mins[[#This Row],[Surgery Start Date]]),ROUND((#REF!-TIME(0,0,0))*1440,0)+1440,ROUND((#REF!-TIME(0,0,0))*1440,0))</f>
        <v>#REF!</v>
      </c>
      <c r="X266" s="4" t="e">
        <f>IF(ISBLANK(#REF!),tbl_Case_mins[[#This Row],[Surgery Start Date]],#REF!)</f>
        <v>#REF!</v>
      </c>
      <c r="Y266">
        <f>IFERROR(IF(VLOOKUP(tbl_Case_mins[[#This Row],[Theatre]],'Mng Theatres'!$C$7:$G$12,3,FALSE)="Yes","Yes","No"),0)</f>
        <v>0</v>
      </c>
      <c r="Z266" s="9" t="e" cm="1">
        <f t="array" ref="Z26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6" s="9" t="e" cm="1">
        <f t="array" ref="AA26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6" s="9" t="e">
        <f>IF(tbl_Case_mins[[#This Row],[Case Type]]="Unsch",1,0)</f>
        <v>#REF!</v>
      </c>
      <c r="AD266" s="9" t="e">
        <f>IF(tbl_Case_mins[[#This Row],[Case Type]]="Sch",1,0)</f>
        <v>#REF!</v>
      </c>
      <c r="AE26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6" s="9">
        <f>IFERROR(IF(ISBLANK(INDEX(Am_Close,MATCH(1,INDEX((tbl_Case_mins[[#This Row],[Theatre]]=Theatre_No)*(tbl_Case_mins[[#This Row],[Surgery Start Date]]=Date),0,1),0))*1440),0,INDEX(Am_Close,MATCH(1,INDEX((tbl_Case_mins[[#This Row],[Theatre]]=Theatre_No)*(tbl_Case_mins[[#This Row],[Surgery Start Date]]=Date),0,1),0))*1440),0)</f>
        <v>0</v>
      </c>
      <c r="AG266" s="9">
        <f>IFERROR(IF(ISBLANK(INDEX(PM_Open,MATCH(1,INDEX((tbl_Case_mins[[#This Row],[Theatre]]=Theatre_No)*(tbl_Case_mins[[#This Row],[Surgery Start Date]]=Date),0,1),0))*1440),0,INDEX(PM_Open,MATCH(1,INDEX((tbl_Case_mins[[#This Row],[Theatre]]=Theatre_No)*(tbl_Case_mins[[#This Row],[Surgery Start Date]]=Date),0,1),0))*1440),0)</f>
        <v>0</v>
      </c>
      <c r="AH26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6" s="9" t="e">
        <f>IF(tbl_Case_mins[[#This Row],[ThOpenAm]]=0,tbl_Case_mins[[#This Row],[ThOpenPM]],tbl_Case_mins[[#This Row],[ThOpenAm]])</f>
        <v>#REF!</v>
      </c>
      <c r="AJ266" s="9" t="e">
        <f>IF(tbl_Case_mins[[#This Row],[ThCloseAm]]&gt;0,IF(tbl_Case_mins[[#This Row],[ThOpenPM]]&gt;0,tbl_Case_mins[[#This Row],[ThClosePm]],tbl_Case_mins[[#This Row],[ThCloseAm]]),tbl_Case_mins[[#This Row],[ThClosePm]])</f>
        <v>#REF!</v>
      </c>
      <c r="AK266" s="9" t="e">
        <f>IF(tbl_Case_mins[[#This Row],[TOT]]&gt;0,1,0)</f>
        <v>#REF!</v>
      </c>
      <c r="AL26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6" s="9" t="e">
        <f>IF(AND(tbl_Case_mins[[#This Row],[Surgery Status]]&lt;&gt;2,tbl_Case_mins[[#This Row],[InCoreCase]]=0,tbl_Case_mins[[#This Row],[CancelledCase]]=0),1,0)</f>
        <v>#REF!</v>
      </c>
      <c r="AN266" s="9" t="e">
        <f>IF(tbl_Case_mins[[#This Row],[Surgery Status]]=1,1,0)</f>
        <v>#REF!</v>
      </c>
      <c r="AO26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6" s="9" t="e">
        <f>IF(AND(tbl_Case_mins[[#This Row],[NonCoreCase]]=1,tbl_Case_mins[[#This Row],[NoInCoreTime]]=0),1,0)</f>
        <v>#REF!</v>
      </c>
      <c r="AQ266" s="9" t="e">
        <f>IF(tbl_Case_mins[[#This Row],[Rank_AnaEnd]]&lt;tbl_Case_mins[[#This Row],[Rank_AnaSt]],1,0)</f>
        <v>#REF!</v>
      </c>
      <c r="AR266" s="9" t="e">
        <f>IF(AND(tbl_Case_mins[[#This Row],[InCoreCase]]=1,tbl_Case_mins[[#This Row],[Sch]]=1),1,0)</f>
        <v>#REF!</v>
      </c>
      <c r="AS266" s="9" t="e">
        <f>IF(AND(tbl_Case_mins[[#This Row],[InCoreCase]]=1,tbl_Case_mins[[#This Row],[Unsch]]=1),1,0)</f>
        <v>#REF!</v>
      </c>
      <c r="AT26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6" s="9" t="e">
        <f>IF(tbl_Case_mins[[#This Row],[Surgery Status]]=0,(tbl_Case_mins[[#This Row],[Anaesth End]]-tbl_Case_mins[[#This Row],[AnaesthStart]]),0)</f>
        <v>#REF!</v>
      </c>
      <c r="AX266" s="9" t="e">
        <f>IF(tbl_Case_mins[[#This Row],[Surgery Status]]=0,(tbl_Case_mins[[#This Row],[Surgery Finish]]-tbl_Case_mins[[#This Row],[Surgery Start]]),0)</f>
        <v>#REF!</v>
      </c>
      <c r="AY266" s="9" t="e">
        <f>tbl_Case_mins[[#This Row],[Surgery Start]]-tbl_Case_mins[[#This Row],[AnaesthStart]]</f>
        <v>#REF!</v>
      </c>
      <c r="AZ266" s="9" t="e">
        <f>tbl_Case_mins[[#This Row],[Anaesth End]]-tbl_Case_mins[[#This Row],[Surgery Finish]]</f>
        <v>#REF!</v>
      </c>
      <c r="BA26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6" s="16" cm="1">
        <f t="array" ref="BC26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6" s="16" t="e">
        <f>IF(AND(tbl_Case_mins[[#This Row],[FirstAMCase]]=1,tbl_Case_mins[[#This Row],[CancelledCase]]=0,OR(tbl_Case_mins[[#This Row],[EarlyStartAM]]&gt;0,tbl_Case_mins[[#This Row],[AnaesthStart]]=tbl_Case_mins[[#This Row],[ThOpenAm]])),1,0)</f>
        <v>#REF!</v>
      </c>
      <c r="BE266" s="16" t="e">
        <f>IF(AND(tbl_Case_mins[[#This Row],[Rank_AnaSt]]=tbl_Case_mins[[#This Row],[Min_RankAnaSt]],tbl_Case_mins[[#This Row],[Anaesth End]]&gt;=tbl_Case_mins[[#This Row],[ThOpenAm]],tbl_Case_mins[[#This Row],[PmCase]]=0),1,0)</f>
        <v>#REF!</v>
      </c>
      <c r="BF26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6" s="9" t="e" cm="1">
        <f t="array" ref="BH26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6" s="9" t="e">
        <f>IF(AND(tbl_Case_mins[[#This Row],[ThOpenPM]]&gt;0,tbl_Case_mins[[#This Row],[AnaesthStart]]&gt;tbl_Case_mins[[#This Row],[ThOpenPM]],tbl_Case_mins[[#This Row],[First PM Case]]=1),tbl_Case_mins[[#This Row],[AnaesthStart]]-tbl_Case_mins[[#This Row],[ThOpenPM]],0)</f>
        <v>#REF!</v>
      </c>
      <c r="BL26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6" s="9" t="e" cm="1">
        <f t="array" ref="BN26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6" s="9" t="e">
        <f>IF(AND(tbl_Case_mins[[#This Row],[ThClosePm]]&gt;0,tbl_Case_mins[[#This Row],[Anaesth End]]&gt;tbl_Case_mins[[#This Row],[ThClosePm]],tbl_Case_mins[[#This Row],[AnaesthStart]]&gt;tbl_Case_mins[[#This Row],[ThClosePm]]),tbl_Case_mins[[#This Row],[Into Recov]]-tbl_Case_mins[[#This Row],[AnaesthStart]],0)</f>
        <v>#REF!</v>
      </c>
      <c r="BP266" s="9" t="e">
        <f>IF(AND(tbl_Case_mins[[#This Row],[AnaesthStart]]&lt;tbl_Case_mins[[#This Row],[ThClosePm]],tbl_Case_mins[[#This Row],[Anaesth End]]&gt;tbl_Case_mins[[#This Row],[ThClosePm]]),tbl_Case_mins[[#This Row],[Anaesth End]]-tbl_Case_mins[[#This Row],[ThClosePm]],0)</f>
        <v>#REF!</v>
      </c>
      <c r="BQ266" s="9" t="e" cm="1">
        <f t="array" ref="BQ26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6" s="9" t="e" cm="1">
        <f t="array" ref="BR266">IF(tbl_Case_mins[[#This Row],[Rank_Adjust]]=SUMPRODUCT(-(tbl_Case_mins[Surgery Start Date]=tbl_Case_mins[[#This Row],[Surgery Start Date]]),-(tbl_Case_mins[Theatre]=tbl_Case_mins[[#This Row],[Theatre]])),INDEX(Poss_Time,MATCH(TEXT(tbl_Case_mins[[#This Row],[Surgery Start Date]],"ddd"),Day,0)),0)</f>
        <v>#REF!</v>
      </c>
      <c r="BS266" s="9" t="e">
        <f>tbl_Case_mins[[#This Row],[Core_Time]]*Util_Goal</f>
        <v>#REF!</v>
      </c>
      <c r="BT266" s="9" t="e" cm="1">
        <f t="array" ref="BT2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6" s="9" t="e" cm="1">
        <f t="array" ref="BU2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6" s="9" t="e">
        <f>IF(tbl_Case_mins[[#This Row],[Surgery End Date]]&gt;tbl_Case_mins[[#This Row],[Surgery Start Date]],tbl_Case_mins[[#This Row],[Anaesth End]]-1440,0)</f>
        <v>#REF!</v>
      </c>
      <c r="BY266" s="9" t="e">
        <f>tbl_Case_mins[[#This Row],[Total_NonCore]]-tbl_Case_mins[[#This Row],[NextDay_NonCore]]</f>
        <v>#REF!</v>
      </c>
      <c r="BZ266" s="10" t="e">
        <f>tbl_Case_mins[[#This Row],[InCoreUse]]/60</f>
        <v>#REF!</v>
      </c>
      <c r="CA266" s="10" t="e">
        <f>tbl_Case_mins[[#This Row],[Total_NonCore]]/60</f>
        <v>#REF!</v>
      </c>
      <c r="CB266" t="e" cm="1">
        <f t="array" ref="CB2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6" s="9" t="e" cm="1">
        <f t="array" ref="CC26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6" s="9" t="e" cm="1">
        <f t="array" ref="CD2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6" s="9" t="e" cm="1">
        <f t="array" ref="CE26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6" s="9" cm="1">
        <f t="array" ref="CF266">IFERROR(_xlfn.AGGREGATE(14,6,(tbl_Case_mins[Rank_AnaEnd])/((tbl_Case_mins[Surgery Start Date]=tbl_Case_mins[[#This Row],[Surgery Start Date]])*(tbl_Case_mins[Theatre]=tbl_Case_mins[[#This Row],[Theatre]])*(tbl_Case_mins[NoInCoreTime]=0)),1),-1)</f>
        <v>-1</v>
      </c>
      <c r="CG266" s="9" cm="1">
        <f t="array" ref="CG266">IFERROR(_xlfn.AGGREGATE(15,6,(tbl_Case_mins[Rank_AnaSt])/((tbl_Case_mins[Surgery Start Date]=tbl_Case_mins[[#This Row],[Surgery Start Date]])*(tbl_Case_mins[Theatre]=tbl_Case_mins[[#This Row],[Theatre]])*(tbl_Case_mins[NoInCoreTime]=0)),1),-1)</f>
        <v>-1</v>
      </c>
      <c r="CH26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6" t="e" cm="1">
        <f t="array" ref="CJ26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6" s="9" cm="1">
        <f t="array" ref="CO2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6" s="9" cm="1">
        <f t="array" ref="CP2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6" s="9" cm="1">
        <f t="array" ref="CQ266">IFERROR(IF(AND(tbl_Case_mins[[#This Row],[FirstAMCase]]=0,tbl_Case_mins[[#This Row],[Rank]]=_xlfn.AGGREGATE(14,6,(tbl_Case_mins[Rank])/((tbl_Case_mins[Surgery Start Date]=tbl_Case_mins[[#This Row],[Surgery Start Date]])*(tbl_Case_mins[Theatre]=tbl_Case_mins[[#This Row],[Theatre]])*(tbl_Case_mins[AmCase]=1)),1)),1,0),0)</f>
        <v>0</v>
      </c>
      <c r="CR266" s="9" cm="1">
        <f t="array" ref="CR26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6" s="9" t="e" cm="1">
        <f t="array" ref="CS26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6" s="9" cm="1">
        <f t="array" ref="CT266">IFERROR(IF(tbl_Case_mins[[#This Row],[Rank]]=_xlfn.AGGREGATE(15,6,(tbl_Case_mins[Rank])/((tbl_Case_mins[Surgery Start Date]=tbl_Case_mins[[#This Row],[Surgery Start Date]])*(tbl_Case_mins[Theatre]=tbl_Case_mins[[#This Row],[Theatre]])*(tbl_Case_mins[PmCase]=1)),1),1,0),0)</f>
        <v>0</v>
      </c>
      <c r="CU266">
        <f>IFERROR(#REF!,0)</f>
        <v>0</v>
      </c>
      <c r="CV266" s="9" t="e" cm="1">
        <f t="array" ref="CV26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6" s="9">
        <f>IFERROR(IF(ISBLANK(INDEX(Bay_AmClose,MATCH(1,INDEX((tbl_Case_mins[[#This Row],[Bay]]=BayNo)*(tbl_Case_mins[[#This Row],[Surgery Start Date]]=BDate),0,1),0))*1440),0,INDEX(Bay_AmClose,MATCH(1,INDEX((tbl_Case_mins[[#This Row],[Bay]]=BayNo)*(tbl_Case_mins[[#This Row],[Surgery Start Date]]=BDate),0,1),0))*1440),0)</f>
        <v>0</v>
      </c>
      <c r="CX266" s="9" cm="1">
        <f t="array" ref="CX266">IFERROR(IF(ISBLANK(INDEX(Bay_PmOpen,MATCH(1,INDEX((tbl_Case_mins[[#This Row],[Bay]]=BayNo)*(tbl_Case_mins[[#This Row],[Surgery Start Date]]=BDate),0,1),0))*1440),0,INDEX(Bay_PmOpen,MATCH(1,INDEX((tbl_Case_mins[[#This Row],[Bay]]=BayNo)*(tbl_Case_mins[[#This Row],[Surgery Start Date]]=BDate),0,1),0))*1440),0)</f>
        <v>0</v>
      </c>
      <c r="CY26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6" s="9"/>
    </row>
    <row r="267" spans="1:104" x14ac:dyDescent="0.2">
      <c r="A267">
        <v>266</v>
      </c>
      <c r="B267" t="e">
        <f>#REF!</f>
        <v>#REF!</v>
      </c>
      <c r="C267" t="e">
        <f>#REF!</f>
        <v>#REF!</v>
      </c>
      <c r="D267" t="e">
        <f>#REF!</f>
        <v>#REF!</v>
      </c>
      <c r="E267" t="e">
        <f>#REF!</f>
        <v>#REF!</v>
      </c>
      <c r="F267" t="e">
        <f>#REF!</f>
        <v>#REF!</v>
      </c>
      <c r="G267" t="e">
        <f>#REF!</f>
        <v>#REF!</v>
      </c>
      <c r="H267" t="e">
        <f>#REF!</f>
        <v>#REF!</v>
      </c>
      <c r="I267" t="e">
        <f>IF(#REF!="Case Cancelled",1,IF(#REF!="No Cases",2,0))</f>
        <v>#REF!</v>
      </c>
      <c r="J267" t="e">
        <f>#REF!</f>
        <v>#REF!</v>
      </c>
      <c r="K267" s="4" t="e">
        <f>#REF!</f>
        <v>#REF!</v>
      </c>
      <c r="L267" t="e">
        <f>"Wk "&amp;WEEKNUM(tbl_Case_mins[[#This Row],[Surgery Start Date]],21)</f>
        <v>#REF!</v>
      </c>
      <c r="M267" t="e">
        <f>TEXT(tbl_Case_mins[[#This Row],[Surgery Start Date]],"ddd")</f>
        <v>#REF!</v>
      </c>
      <c r="N267" s="9" t="e">
        <f>(#REF!-TIME(0,0,0))*1440</f>
        <v>#REF!</v>
      </c>
      <c r="O267" t="e">
        <f>IF(AND(ROUND((#REF!-TIME(0,0,0))*1440,0)&gt;0,ROUND((#REF!-TIME(0,0,0))*1440,0)&lt;tbl_Case_mins[[#This Row],[Patient Called]],tbl_Case_mins[[#This Row],[Surgery End Date]]&gt;tbl_Case_mins[[#This Row],[Surgery Start Date]]),ROUND((#REF!-TIME(0,0,0))*1440,0)+1440,ROUND((#REF!-TIME(0,0,0))*1440,0))</f>
        <v>#REF!</v>
      </c>
      <c r="P267" s="9" t="e">
        <f>IF(AND(ROUND((#REF!-TIME(0,0,0))*1440,0)&gt;0,ROUND((#REF!-TIME(0,0,0))*1440,0)&lt;tbl_Case_mins[[#This Row],[Arrival]],tbl_Case_mins[[#This Row],[Surgery End Date]]&gt;tbl_Case_mins[[#This Row],[Surgery Start Date]]),ROUND((#REF!-TIME(0,0,0))*1440,0)+1440,ROUND((#REF!-TIME(0,0,0))*1440,0))</f>
        <v>#REF!</v>
      </c>
      <c r="Q267" s="9" t="e">
        <f>IF(AND(ROUND((#REF!-TIME(0,0,0))*1440,0)&gt;0,ROUND((#REF!-TIME(0,0,0))*1440,0)&lt;tbl_Case_mins[[#This Row],[Into Th or AR]],tbl_Case_mins[[#This Row],[Surgery End Date]]&gt;tbl_Case_mins[[#This Row],[Surgery Start Date]]),ROUND((#REF!-TIME(0,0,0))*1440,0)+1440,ROUND((#REF!-TIME(0,0,0))*1440,0))</f>
        <v>#REF!</v>
      </c>
      <c r="R267" s="9" t="e">
        <f>IF(AND(ROUND((#REF!-TIME(0,0,0))*1440,0)&gt;0,ROUND((#REF!-TIME(0,0,0))*1440,0)&lt;tbl_Case_mins[[#This Row],[AnaesthStart]],tbl_Case_mins[[#This Row],[Surgery End Date]]&gt;tbl_Case_mins[[#This Row],[Surgery Start Date]]),ROUND((#REF!-TIME(0,0,0))*1440,0)+1440,ROUND((#REF!-TIME(0,0,0))*1440,0))</f>
        <v>#REF!</v>
      </c>
      <c r="S267" s="9" t="e">
        <f>IF(AND(ROUND((#REF!-TIME(0,0,0))*1440,0),ROUND((#REF!-TIME(0,0,0))*1440,0)&lt;tbl_Case_mins[[#This Row],[Surgery Start]],tbl_Case_mins[[#This Row],[Surgery End Date]]&gt;tbl_Case_mins[[#This Row],[Surgery Start Date]]),ROUND((#REF!-TIME(0,0,0))*1440,0)+1440,ROUND((#REF!-TIME(0,0,0))*1440,0))</f>
        <v>#REF!</v>
      </c>
      <c r="T267" s="9" t="e">
        <f>IF(AND(ROUND((#REF!-TIME(0,0,0))*1440,0)&gt;0,ROUND((#REF!-TIME(0,0,0))*1440,0)&lt;tbl_Case_mins[[#This Row],[Surgery Finish]],tbl_Case_mins[[#This Row],[Surgery End Date]]&gt;tbl_Case_mins[[#This Row],[Surgery Start Date]]),ROUND((#REF!-TIME(0,0,0))*1440,0)+1440,ROUND((#REF!-TIME(0,0,0))*1440,0))</f>
        <v>#REF!</v>
      </c>
      <c r="U267" s="9" t="e">
        <f>IF(AND(ROUND((#REF!-TIME(0,0,0))*1440,0)&gt;0,ROUND((#REF!-TIME(0,0,0))*1440,0)&lt;tbl_Case_mins[[#This Row],[Anaesth End]],tbl_Case_mins[[#This Row],[Surgery End Date]]&gt;tbl_Case_mins[[#This Row],[Surgery Start Date]]),ROUND((#REF!-TIME(0,0,0))*1440,0)+1440,ROUND((#REF!-TIME(0,0,0))*1440,0))</f>
        <v>#REF!</v>
      </c>
      <c r="V267" s="9" t="e">
        <f>IF(AND(ROUND((#REF!-TIME(0,0,0))*1440,0)&gt;0,ROUND((#REF!-TIME(0,0,0))*1440,0)&lt;tbl_Case_mins[[#This Row],[Into Recov]],tbl_Case_mins[[#This Row],[Surgery End Date]]&gt;tbl_Case_mins[[#This Row],[Surgery Start Date]]),ROUND((#REF!-TIME(0,0,0))*1440,0)+1440,ROUND((#REF!-TIME(0,0,0))*1440,0))</f>
        <v>#REF!</v>
      </c>
      <c r="W267" s="9" t="e">
        <f>IF(AND(ROUND((#REF!-TIME(0,0,0))*1440,0)&gt;0,ROUND((#REF!-TIME(0,0,0))*1440,0)&lt;tbl_Case_mins[[#This Row],[Ward Called]],tbl_Case_mins[[#This Row],[Surgery End Date]]&gt;tbl_Case_mins[[#This Row],[Surgery Start Date]]),ROUND((#REF!-TIME(0,0,0))*1440,0)+1440,ROUND((#REF!-TIME(0,0,0))*1440,0))</f>
        <v>#REF!</v>
      </c>
      <c r="X267" s="4" t="e">
        <f>IF(ISBLANK(#REF!),tbl_Case_mins[[#This Row],[Surgery Start Date]],#REF!)</f>
        <v>#REF!</v>
      </c>
      <c r="Y267">
        <f>IFERROR(IF(VLOOKUP(tbl_Case_mins[[#This Row],[Theatre]],'Mng Theatres'!$C$7:$G$12,3,FALSE)="Yes","Yes","No"),0)</f>
        <v>0</v>
      </c>
      <c r="Z267" s="9" t="e" cm="1">
        <f t="array" ref="Z26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7" s="9" t="e" cm="1">
        <f t="array" ref="AA26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7" s="9" t="e">
        <f>IF(tbl_Case_mins[[#This Row],[Case Type]]="Unsch",1,0)</f>
        <v>#REF!</v>
      </c>
      <c r="AD267" s="9" t="e">
        <f>IF(tbl_Case_mins[[#This Row],[Case Type]]="Sch",1,0)</f>
        <v>#REF!</v>
      </c>
      <c r="AE26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7" s="9">
        <f>IFERROR(IF(ISBLANK(INDEX(Am_Close,MATCH(1,INDEX((tbl_Case_mins[[#This Row],[Theatre]]=Theatre_No)*(tbl_Case_mins[[#This Row],[Surgery Start Date]]=Date),0,1),0))*1440),0,INDEX(Am_Close,MATCH(1,INDEX((tbl_Case_mins[[#This Row],[Theatre]]=Theatre_No)*(tbl_Case_mins[[#This Row],[Surgery Start Date]]=Date),0,1),0))*1440),0)</f>
        <v>0</v>
      </c>
      <c r="AG267" s="9">
        <f>IFERROR(IF(ISBLANK(INDEX(PM_Open,MATCH(1,INDEX((tbl_Case_mins[[#This Row],[Theatre]]=Theatre_No)*(tbl_Case_mins[[#This Row],[Surgery Start Date]]=Date),0,1),0))*1440),0,INDEX(PM_Open,MATCH(1,INDEX((tbl_Case_mins[[#This Row],[Theatre]]=Theatre_No)*(tbl_Case_mins[[#This Row],[Surgery Start Date]]=Date),0,1),0))*1440),0)</f>
        <v>0</v>
      </c>
      <c r="AH26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7" s="9" t="e">
        <f>IF(tbl_Case_mins[[#This Row],[ThOpenAm]]=0,tbl_Case_mins[[#This Row],[ThOpenPM]],tbl_Case_mins[[#This Row],[ThOpenAm]])</f>
        <v>#REF!</v>
      </c>
      <c r="AJ267" s="9" t="e">
        <f>IF(tbl_Case_mins[[#This Row],[ThCloseAm]]&gt;0,IF(tbl_Case_mins[[#This Row],[ThOpenPM]]&gt;0,tbl_Case_mins[[#This Row],[ThClosePm]],tbl_Case_mins[[#This Row],[ThCloseAm]]),tbl_Case_mins[[#This Row],[ThClosePm]])</f>
        <v>#REF!</v>
      </c>
      <c r="AK267" s="9" t="e">
        <f>IF(tbl_Case_mins[[#This Row],[TOT]]&gt;0,1,0)</f>
        <v>#REF!</v>
      </c>
      <c r="AL26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7" s="9" t="e">
        <f>IF(AND(tbl_Case_mins[[#This Row],[Surgery Status]]&lt;&gt;2,tbl_Case_mins[[#This Row],[InCoreCase]]=0,tbl_Case_mins[[#This Row],[CancelledCase]]=0),1,0)</f>
        <v>#REF!</v>
      </c>
      <c r="AN267" s="9" t="e">
        <f>IF(tbl_Case_mins[[#This Row],[Surgery Status]]=1,1,0)</f>
        <v>#REF!</v>
      </c>
      <c r="AO26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7" s="9" t="e">
        <f>IF(AND(tbl_Case_mins[[#This Row],[NonCoreCase]]=1,tbl_Case_mins[[#This Row],[NoInCoreTime]]=0),1,0)</f>
        <v>#REF!</v>
      </c>
      <c r="AQ267" s="9" t="e">
        <f>IF(tbl_Case_mins[[#This Row],[Rank_AnaEnd]]&lt;tbl_Case_mins[[#This Row],[Rank_AnaSt]],1,0)</f>
        <v>#REF!</v>
      </c>
      <c r="AR267" s="9" t="e">
        <f>IF(AND(tbl_Case_mins[[#This Row],[InCoreCase]]=1,tbl_Case_mins[[#This Row],[Sch]]=1),1,0)</f>
        <v>#REF!</v>
      </c>
      <c r="AS267" s="9" t="e">
        <f>IF(AND(tbl_Case_mins[[#This Row],[InCoreCase]]=1,tbl_Case_mins[[#This Row],[Unsch]]=1),1,0)</f>
        <v>#REF!</v>
      </c>
      <c r="AT26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7" s="9" t="e">
        <f>IF(tbl_Case_mins[[#This Row],[Surgery Status]]=0,(tbl_Case_mins[[#This Row],[Anaesth End]]-tbl_Case_mins[[#This Row],[AnaesthStart]]),0)</f>
        <v>#REF!</v>
      </c>
      <c r="AX267" s="9" t="e">
        <f>IF(tbl_Case_mins[[#This Row],[Surgery Status]]=0,(tbl_Case_mins[[#This Row],[Surgery Finish]]-tbl_Case_mins[[#This Row],[Surgery Start]]),0)</f>
        <v>#REF!</v>
      </c>
      <c r="AY267" s="9" t="e">
        <f>tbl_Case_mins[[#This Row],[Surgery Start]]-tbl_Case_mins[[#This Row],[AnaesthStart]]</f>
        <v>#REF!</v>
      </c>
      <c r="AZ267" s="9" t="e">
        <f>tbl_Case_mins[[#This Row],[Anaesth End]]-tbl_Case_mins[[#This Row],[Surgery Finish]]</f>
        <v>#REF!</v>
      </c>
      <c r="BA26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7" s="16" cm="1">
        <f t="array" ref="BC26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7" s="16" t="e">
        <f>IF(AND(tbl_Case_mins[[#This Row],[FirstAMCase]]=1,tbl_Case_mins[[#This Row],[CancelledCase]]=0,OR(tbl_Case_mins[[#This Row],[EarlyStartAM]]&gt;0,tbl_Case_mins[[#This Row],[AnaesthStart]]=tbl_Case_mins[[#This Row],[ThOpenAm]])),1,0)</f>
        <v>#REF!</v>
      </c>
      <c r="BE267" s="16" t="e">
        <f>IF(AND(tbl_Case_mins[[#This Row],[Rank_AnaSt]]=tbl_Case_mins[[#This Row],[Min_RankAnaSt]],tbl_Case_mins[[#This Row],[Anaesth End]]&gt;=tbl_Case_mins[[#This Row],[ThOpenAm]],tbl_Case_mins[[#This Row],[PmCase]]=0),1,0)</f>
        <v>#REF!</v>
      </c>
      <c r="BF26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7" s="9" t="e" cm="1">
        <f t="array" ref="BH26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7" s="9" t="e">
        <f>IF(AND(tbl_Case_mins[[#This Row],[ThOpenPM]]&gt;0,tbl_Case_mins[[#This Row],[AnaesthStart]]&gt;tbl_Case_mins[[#This Row],[ThOpenPM]],tbl_Case_mins[[#This Row],[First PM Case]]=1),tbl_Case_mins[[#This Row],[AnaesthStart]]-tbl_Case_mins[[#This Row],[ThOpenPM]],0)</f>
        <v>#REF!</v>
      </c>
      <c r="BL26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7" s="9" t="e" cm="1">
        <f t="array" ref="BN26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7" s="9" t="e">
        <f>IF(AND(tbl_Case_mins[[#This Row],[ThClosePm]]&gt;0,tbl_Case_mins[[#This Row],[Anaesth End]]&gt;tbl_Case_mins[[#This Row],[ThClosePm]],tbl_Case_mins[[#This Row],[AnaesthStart]]&gt;tbl_Case_mins[[#This Row],[ThClosePm]]),tbl_Case_mins[[#This Row],[Into Recov]]-tbl_Case_mins[[#This Row],[AnaesthStart]],0)</f>
        <v>#REF!</v>
      </c>
      <c r="BP267" s="9" t="e">
        <f>IF(AND(tbl_Case_mins[[#This Row],[AnaesthStart]]&lt;tbl_Case_mins[[#This Row],[ThClosePm]],tbl_Case_mins[[#This Row],[Anaesth End]]&gt;tbl_Case_mins[[#This Row],[ThClosePm]]),tbl_Case_mins[[#This Row],[Anaesth End]]-tbl_Case_mins[[#This Row],[ThClosePm]],0)</f>
        <v>#REF!</v>
      </c>
      <c r="BQ267" s="9" t="e" cm="1">
        <f t="array" ref="BQ26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7" s="9" t="e" cm="1">
        <f t="array" ref="BR267">IF(tbl_Case_mins[[#This Row],[Rank_Adjust]]=SUMPRODUCT(-(tbl_Case_mins[Surgery Start Date]=tbl_Case_mins[[#This Row],[Surgery Start Date]]),-(tbl_Case_mins[Theatre]=tbl_Case_mins[[#This Row],[Theatre]])),INDEX(Poss_Time,MATCH(TEXT(tbl_Case_mins[[#This Row],[Surgery Start Date]],"ddd"),Day,0)),0)</f>
        <v>#REF!</v>
      </c>
      <c r="BS267" s="9" t="e">
        <f>tbl_Case_mins[[#This Row],[Core_Time]]*Util_Goal</f>
        <v>#REF!</v>
      </c>
      <c r="BT267" s="9" t="e" cm="1">
        <f t="array" ref="BT2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7" s="9" t="e" cm="1">
        <f t="array" ref="BU2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7" s="9" t="e">
        <f>IF(tbl_Case_mins[[#This Row],[Surgery End Date]]&gt;tbl_Case_mins[[#This Row],[Surgery Start Date]],tbl_Case_mins[[#This Row],[Anaesth End]]-1440,0)</f>
        <v>#REF!</v>
      </c>
      <c r="BY267" s="9" t="e">
        <f>tbl_Case_mins[[#This Row],[Total_NonCore]]-tbl_Case_mins[[#This Row],[NextDay_NonCore]]</f>
        <v>#REF!</v>
      </c>
      <c r="BZ267" s="10" t="e">
        <f>tbl_Case_mins[[#This Row],[InCoreUse]]/60</f>
        <v>#REF!</v>
      </c>
      <c r="CA267" s="10" t="e">
        <f>tbl_Case_mins[[#This Row],[Total_NonCore]]/60</f>
        <v>#REF!</v>
      </c>
      <c r="CB267" t="e" cm="1">
        <f t="array" ref="CB2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7" s="9" t="e" cm="1">
        <f t="array" ref="CC26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7" s="9" t="e" cm="1">
        <f t="array" ref="CD2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7" s="9" t="e" cm="1">
        <f t="array" ref="CE26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7" s="9" cm="1">
        <f t="array" ref="CF267">IFERROR(_xlfn.AGGREGATE(14,6,(tbl_Case_mins[Rank_AnaEnd])/((tbl_Case_mins[Surgery Start Date]=tbl_Case_mins[[#This Row],[Surgery Start Date]])*(tbl_Case_mins[Theatre]=tbl_Case_mins[[#This Row],[Theatre]])*(tbl_Case_mins[NoInCoreTime]=0)),1),-1)</f>
        <v>-1</v>
      </c>
      <c r="CG267" s="9" cm="1">
        <f t="array" ref="CG267">IFERROR(_xlfn.AGGREGATE(15,6,(tbl_Case_mins[Rank_AnaSt])/((tbl_Case_mins[Surgery Start Date]=tbl_Case_mins[[#This Row],[Surgery Start Date]])*(tbl_Case_mins[Theatre]=tbl_Case_mins[[#This Row],[Theatre]])*(tbl_Case_mins[NoInCoreTime]=0)),1),-1)</f>
        <v>-1</v>
      </c>
      <c r="CH26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7" t="e" cm="1">
        <f t="array" ref="CJ26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7" s="9" cm="1">
        <f t="array" ref="CO2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7" s="9" cm="1">
        <f t="array" ref="CP2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7" s="9" cm="1">
        <f t="array" ref="CQ267">IFERROR(IF(AND(tbl_Case_mins[[#This Row],[FirstAMCase]]=0,tbl_Case_mins[[#This Row],[Rank]]=_xlfn.AGGREGATE(14,6,(tbl_Case_mins[Rank])/((tbl_Case_mins[Surgery Start Date]=tbl_Case_mins[[#This Row],[Surgery Start Date]])*(tbl_Case_mins[Theatre]=tbl_Case_mins[[#This Row],[Theatre]])*(tbl_Case_mins[AmCase]=1)),1)),1,0),0)</f>
        <v>0</v>
      </c>
      <c r="CR267" s="9" cm="1">
        <f t="array" ref="CR26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7" s="9" t="e" cm="1">
        <f t="array" ref="CS26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7" s="9" cm="1">
        <f t="array" ref="CT267">IFERROR(IF(tbl_Case_mins[[#This Row],[Rank]]=_xlfn.AGGREGATE(15,6,(tbl_Case_mins[Rank])/((tbl_Case_mins[Surgery Start Date]=tbl_Case_mins[[#This Row],[Surgery Start Date]])*(tbl_Case_mins[Theatre]=tbl_Case_mins[[#This Row],[Theatre]])*(tbl_Case_mins[PmCase]=1)),1),1,0),0)</f>
        <v>0</v>
      </c>
      <c r="CU267">
        <f>IFERROR(#REF!,0)</f>
        <v>0</v>
      </c>
      <c r="CV267" s="9" t="e" cm="1">
        <f t="array" ref="CV26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7" s="9">
        <f>IFERROR(IF(ISBLANK(INDEX(Bay_AmClose,MATCH(1,INDEX((tbl_Case_mins[[#This Row],[Bay]]=BayNo)*(tbl_Case_mins[[#This Row],[Surgery Start Date]]=BDate),0,1),0))*1440),0,INDEX(Bay_AmClose,MATCH(1,INDEX((tbl_Case_mins[[#This Row],[Bay]]=BayNo)*(tbl_Case_mins[[#This Row],[Surgery Start Date]]=BDate),0,1),0))*1440),0)</f>
        <v>0</v>
      </c>
      <c r="CX267" s="9" cm="1">
        <f t="array" ref="CX267">IFERROR(IF(ISBLANK(INDEX(Bay_PmOpen,MATCH(1,INDEX((tbl_Case_mins[[#This Row],[Bay]]=BayNo)*(tbl_Case_mins[[#This Row],[Surgery Start Date]]=BDate),0,1),0))*1440),0,INDEX(Bay_PmOpen,MATCH(1,INDEX((tbl_Case_mins[[#This Row],[Bay]]=BayNo)*(tbl_Case_mins[[#This Row],[Surgery Start Date]]=BDate),0,1),0))*1440),0)</f>
        <v>0</v>
      </c>
      <c r="CY26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7" s="9"/>
    </row>
    <row r="268" spans="1:104" x14ac:dyDescent="0.2">
      <c r="A268">
        <v>267</v>
      </c>
      <c r="B268" t="e">
        <f>#REF!</f>
        <v>#REF!</v>
      </c>
      <c r="C268" t="e">
        <f>#REF!</f>
        <v>#REF!</v>
      </c>
      <c r="D268" t="e">
        <f>#REF!</f>
        <v>#REF!</v>
      </c>
      <c r="E268" t="e">
        <f>#REF!</f>
        <v>#REF!</v>
      </c>
      <c r="F268" t="e">
        <f>#REF!</f>
        <v>#REF!</v>
      </c>
      <c r="G268" t="e">
        <f>#REF!</f>
        <v>#REF!</v>
      </c>
      <c r="H268" t="e">
        <f>#REF!</f>
        <v>#REF!</v>
      </c>
      <c r="I268" t="e">
        <f>IF(#REF!="Case Cancelled",1,IF(#REF!="No Cases",2,0))</f>
        <v>#REF!</v>
      </c>
      <c r="J268" t="e">
        <f>#REF!</f>
        <v>#REF!</v>
      </c>
      <c r="K268" s="4" t="e">
        <f>#REF!</f>
        <v>#REF!</v>
      </c>
      <c r="L268" t="e">
        <f>"Wk "&amp;WEEKNUM(tbl_Case_mins[[#This Row],[Surgery Start Date]],21)</f>
        <v>#REF!</v>
      </c>
      <c r="M268" t="e">
        <f>TEXT(tbl_Case_mins[[#This Row],[Surgery Start Date]],"ddd")</f>
        <v>#REF!</v>
      </c>
      <c r="N268" s="9" t="e">
        <f>(#REF!-TIME(0,0,0))*1440</f>
        <v>#REF!</v>
      </c>
      <c r="O268" t="e">
        <f>IF(AND(ROUND((#REF!-TIME(0,0,0))*1440,0)&gt;0,ROUND((#REF!-TIME(0,0,0))*1440,0)&lt;tbl_Case_mins[[#This Row],[Patient Called]],tbl_Case_mins[[#This Row],[Surgery End Date]]&gt;tbl_Case_mins[[#This Row],[Surgery Start Date]]),ROUND((#REF!-TIME(0,0,0))*1440,0)+1440,ROUND((#REF!-TIME(0,0,0))*1440,0))</f>
        <v>#REF!</v>
      </c>
      <c r="P268" s="9" t="e">
        <f>IF(AND(ROUND((#REF!-TIME(0,0,0))*1440,0)&gt;0,ROUND((#REF!-TIME(0,0,0))*1440,0)&lt;tbl_Case_mins[[#This Row],[Arrival]],tbl_Case_mins[[#This Row],[Surgery End Date]]&gt;tbl_Case_mins[[#This Row],[Surgery Start Date]]),ROUND((#REF!-TIME(0,0,0))*1440,0)+1440,ROUND((#REF!-TIME(0,0,0))*1440,0))</f>
        <v>#REF!</v>
      </c>
      <c r="Q268" s="9" t="e">
        <f>IF(AND(ROUND((#REF!-TIME(0,0,0))*1440,0)&gt;0,ROUND((#REF!-TIME(0,0,0))*1440,0)&lt;tbl_Case_mins[[#This Row],[Into Th or AR]],tbl_Case_mins[[#This Row],[Surgery End Date]]&gt;tbl_Case_mins[[#This Row],[Surgery Start Date]]),ROUND((#REF!-TIME(0,0,0))*1440,0)+1440,ROUND((#REF!-TIME(0,0,0))*1440,0))</f>
        <v>#REF!</v>
      </c>
      <c r="R268" s="9" t="e">
        <f>IF(AND(ROUND((#REF!-TIME(0,0,0))*1440,0)&gt;0,ROUND((#REF!-TIME(0,0,0))*1440,0)&lt;tbl_Case_mins[[#This Row],[AnaesthStart]],tbl_Case_mins[[#This Row],[Surgery End Date]]&gt;tbl_Case_mins[[#This Row],[Surgery Start Date]]),ROUND((#REF!-TIME(0,0,0))*1440,0)+1440,ROUND((#REF!-TIME(0,0,0))*1440,0))</f>
        <v>#REF!</v>
      </c>
      <c r="S268" s="9" t="e">
        <f>IF(AND(ROUND((#REF!-TIME(0,0,0))*1440,0),ROUND((#REF!-TIME(0,0,0))*1440,0)&lt;tbl_Case_mins[[#This Row],[Surgery Start]],tbl_Case_mins[[#This Row],[Surgery End Date]]&gt;tbl_Case_mins[[#This Row],[Surgery Start Date]]),ROUND((#REF!-TIME(0,0,0))*1440,0)+1440,ROUND((#REF!-TIME(0,0,0))*1440,0))</f>
        <v>#REF!</v>
      </c>
      <c r="T268" s="9" t="e">
        <f>IF(AND(ROUND((#REF!-TIME(0,0,0))*1440,0)&gt;0,ROUND((#REF!-TIME(0,0,0))*1440,0)&lt;tbl_Case_mins[[#This Row],[Surgery Finish]],tbl_Case_mins[[#This Row],[Surgery End Date]]&gt;tbl_Case_mins[[#This Row],[Surgery Start Date]]),ROUND((#REF!-TIME(0,0,0))*1440,0)+1440,ROUND((#REF!-TIME(0,0,0))*1440,0))</f>
        <v>#REF!</v>
      </c>
      <c r="U268" s="9" t="e">
        <f>IF(AND(ROUND((#REF!-TIME(0,0,0))*1440,0)&gt;0,ROUND((#REF!-TIME(0,0,0))*1440,0)&lt;tbl_Case_mins[[#This Row],[Anaesth End]],tbl_Case_mins[[#This Row],[Surgery End Date]]&gt;tbl_Case_mins[[#This Row],[Surgery Start Date]]),ROUND((#REF!-TIME(0,0,0))*1440,0)+1440,ROUND((#REF!-TIME(0,0,0))*1440,0))</f>
        <v>#REF!</v>
      </c>
      <c r="V268" s="9" t="e">
        <f>IF(AND(ROUND((#REF!-TIME(0,0,0))*1440,0)&gt;0,ROUND((#REF!-TIME(0,0,0))*1440,0)&lt;tbl_Case_mins[[#This Row],[Into Recov]],tbl_Case_mins[[#This Row],[Surgery End Date]]&gt;tbl_Case_mins[[#This Row],[Surgery Start Date]]),ROUND((#REF!-TIME(0,0,0))*1440,0)+1440,ROUND((#REF!-TIME(0,0,0))*1440,0))</f>
        <v>#REF!</v>
      </c>
      <c r="W268" s="9" t="e">
        <f>IF(AND(ROUND((#REF!-TIME(0,0,0))*1440,0)&gt;0,ROUND((#REF!-TIME(0,0,0))*1440,0)&lt;tbl_Case_mins[[#This Row],[Ward Called]],tbl_Case_mins[[#This Row],[Surgery End Date]]&gt;tbl_Case_mins[[#This Row],[Surgery Start Date]]),ROUND((#REF!-TIME(0,0,0))*1440,0)+1440,ROUND((#REF!-TIME(0,0,0))*1440,0))</f>
        <v>#REF!</v>
      </c>
      <c r="X268" s="4" t="e">
        <f>IF(ISBLANK(#REF!),tbl_Case_mins[[#This Row],[Surgery Start Date]],#REF!)</f>
        <v>#REF!</v>
      </c>
      <c r="Y268">
        <f>IFERROR(IF(VLOOKUP(tbl_Case_mins[[#This Row],[Theatre]],'Mng Theatres'!$C$7:$G$12,3,FALSE)="Yes","Yes","No"),0)</f>
        <v>0</v>
      </c>
      <c r="Z268" s="9" t="e" cm="1">
        <f t="array" ref="Z26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8" s="9" t="e" cm="1">
        <f t="array" ref="AA26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8" s="9" t="e">
        <f>IF(tbl_Case_mins[[#This Row],[Case Type]]="Unsch",1,0)</f>
        <v>#REF!</v>
      </c>
      <c r="AD268" s="9" t="e">
        <f>IF(tbl_Case_mins[[#This Row],[Case Type]]="Sch",1,0)</f>
        <v>#REF!</v>
      </c>
      <c r="AE26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8" s="9">
        <f>IFERROR(IF(ISBLANK(INDEX(Am_Close,MATCH(1,INDEX((tbl_Case_mins[[#This Row],[Theatre]]=Theatre_No)*(tbl_Case_mins[[#This Row],[Surgery Start Date]]=Date),0,1),0))*1440),0,INDEX(Am_Close,MATCH(1,INDEX((tbl_Case_mins[[#This Row],[Theatre]]=Theatre_No)*(tbl_Case_mins[[#This Row],[Surgery Start Date]]=Date),0,1),0))*1440),0)</f>
        <v>0</v>
      </c>
      <c r="AG268" s="9">
        <f>IFERROR(IF(ISBLANK(INDEX(PM_Open,MATCH(1,INDEX((tbl_Case_mins[[#This Row],[Theatre]]=Theatre_No)*(tbl_Case_mins[[#This Row],[Surgery Start Date]]=Date),0,1),0))*1440),0,INDEX(PM_Open,MATCH(1,INDEX((tbl_Case_mins[[#This Row],[Theatre]]=Theatre_No)*(tbl_Case_mins[[#This Row],[Surgery Start Date]]=Date),0,1),0))*1440),0)</f>
        <v>0</v>
      </c>
      <c r="AH26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8" s="9" t="e">
        <f>IF(tbl_Case_mins[[#This Row],[ThOpenAm]]=0,tbl_Case_mins[[#This Row],[ThOpenPM]],tbl_Case_mins[[#This Row],[ThOpenAm]])</f>
        <v>#REF!</v>
      </c>
      <c r="AJ268" s="9" t="e">
        <f>IF(tbl_Case_mins[[#This Row],[ThCloseAm]]&gt;0,IF(tbl_Case_mins[[#This Row],[ThOpenPM]]&gt;0,tbl_Case_mins[[#This Row],[ThClosePm]],tbl_Case_mins[[#This Row],[ThCloseAm]]),tbl_Case_mins[[#This Row],[ThClosePm]])</f>
        <v>#REF!</v>
      </c>
      <c r="AK268" s="9" t="e">
        <f>IF(tbl_Case_mins[[#This Row],[TOT]]&gt;0,1,0)</f>
        <v>#REF!</v>
      </c>
      <c r="AL26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8" s="9" t="e">
        <f>IF(AND(tbl_Case_mins[[#This Row],[Surgery Status]]&lt;&gt;2,tbl_Case_mins[[#This Row],[InCoreCase]]=0,tbl_Case_mins[[#This Row],[CancelledCase]]=0),1,0)</f>
        <v>#REF!</v>
      </c>
      <c r="AN268" s="9" t="e">
        <f>IF(tbl_Case_mins[[#This Row],[Surgery Status]]=1,1,0)</f>
        <v>#REF!</v>
      </c>
      <c r="AO26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8" s="9" t="e">
        <f>IF(AND(tbl_Case_mins[[#This Row],[NonCoreCase]]=1,tbl_Case_mins[[#This Row],[NoInCoreTime]]=0),1,0)</f>
        <v>#REF!</v>
      </c>
      <c r="AQ268" s="9" t="e">
        <f>IF(tbl_Case_mins[[#This Row],[Rank_AnaEnd]]&lt;tbl_Case_mins[[#This Row],[Rank_AnaSt]],1,0)</f>
        <v>#REF!</v>
      </c>
      <c r="AR268" s="9" t="e">
        <f>IF(AND(tbl_Case_mins[[#This Row],[InCoreCase]]=1,tbl_Case_mins[[#This Row],[Sch]]=1),1,0)</f>
        <v>#REF!</v>
      </c>
      <c r="AS268" s="9" t="e">
        <f>IF(AND(tbl_Case_mins[[#This Row],[InCoreCase]]=1,tbl_Case_mins[[#This Row],[Unsch]]=1),1,0)</f>
        <v>#REF!</v>
      </c>
      <c r="AT26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8" s="9" t="e">
        <f>IF(tbl_Case_mins[[#This Row],[Surgery Status]]=0,(tbl_Case_mins[[#This Row],[Anaesth End]]-tbl_Case_mins[[#This Row],[AnaesthStart]]),0)</f>
        <v>#REF!</v>
      </c>
      <c r="AX268" s="9" t="e">
        <f>IF(tbl_Case_mins[[#This Row],[Surgery Status]]=0,(tbl_Case_mins[[#This Row],[Surgery Finish]]-tbl_Case_mins[[#This Row],[Surgery Start]]),0)</f>
        <v>#REF!</v>
      </c>
      <c r="AY268" s="9" t="e">
        <f>tbl_Case_mins[[#This Row],[Surgery Start]]-tbl_Case_mins[[#This Row],[AnaesthStart]]</f>
        <v>#REF!</v>
      </c>
      <c r="AZ268" s="9" t="e">
        <f>tbl_Case_mins[[#This Row],[Anaesth End]]-tbl_Case_mins[[#This Row],[Surgery Finish]]</f>
        <v>#REF!</v>
      </c>
      <c r="BA26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8" s="16" cm="1">
        <f t="array" ref="BC26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8" s="16" t="e">
        <f>IF(AND(tbl_Case_mins[[#This Row],[FirstAMCase]]=1,tbl_Case_mins[[#This Row],[CancelledCase]]=0,OR(tbl_Case_mins[[#This Row],[EarlyStartAM]]&gt;0,tbl_Case_mins[[#This Row],[AnaesthStart]]=tbl_Case_mins[[#This Row],[ThOpenAm]])),1,0)</f>
        <v>#REF!</v>
      </c>
      <c r="BE268" s="16" t="e">
        <f>IF(AND(tbl_Case_mins[[#This Row],[Rank_AnaSt]]=tbl_Case_mins[[#This Row],[Min_RankAnaSt]],tbl_Case_mins[[#This Row],[Anaesth End]]&gt;=tbl_Case_mins[[#This Row],[ThOpenAm]],tbl_Case_mins[[#This Row],[PmCase]]=0),1,0)</f>
        <v>#REF!</v>
      </c>
      <c r="BF26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8" s="9" t="e" cm="1">
        <f t="array" ref="BH26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8" s="9" t="e">
        <f>IF(AND(tbl_Case_mins[[#This Row],[ThOpenPM]]&gt;0,tbl_Case_mins[[#This Row],[AnaesthStart]]&gt;tbl_Case_mins[[#This Row],[ThOpenPM]],tbl_Case_mins[[#This Row],[First PM Case]]=1),tbl_Case_mins[[#This Row],[AnaesthStart]]-tbl_Case_mins[[#This Row],[ThOpenPM]],0)</f>
        <v>#REF!</v>
      </c>
      <c r="BL26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8" s="9" t="e" cm="1">
        <f t="array" ref="BN26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8" s="9" t="e">
        <f>IF(AND(tbl_Case_mins[[#This Row],[ThClosePm]]&gt;0,tbl_Case_mins[[#This Row],[Anaesth End]]&gt;tbl_Case_mins[[#This Row],[ThClosePm]],tbl_Case_mins[[#This Row],[AnaesthStart]]&gt;tbl_Case_mins[[#This Row],[ThClosePm]]),tbl_Case_mins[[#This Row],[Into Recov]]-tbl_Case_mins[[#This Row],[AnaesthStart]],0)</f>
        <v>#REF!</v>
      </c>
      <c r="BP268" s="9" t="e">
        <f>IF(AND(tbl_Case_mins[[#This Row],[AnaesthStart]]&lt;tbl_Case_mins[[#This Row],[ThClosePm]],tbl_Case_mins[[#This Row],[Anaesth End]]&gt;tbl_Case_mins[[#This Row],[ThClosePm]]),tbl_Case_mins[[#This Row],[Anaesth End]]-tbl_Case_mins[[#This Row],[ThClosePm]],0)</f>
        <v>#REF!</v>
      </c>
      <c r="BQ268" s="9" t="e" cm="1">
        <f t="array" ref="BQ26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8" s="9" t="e" cm="1">
        <f t="array" ref="BR268">IF(tbl_Case_mins[[#This Row],[Rank_Adjust]]=SUMPRODUCT(-(tbl_Case_mins[Surgery Start Date]=tbl_Case_mins[[#This Row],[Surgery Start Date]]),-(tbl_Case_mins[Theatre]=tbl_Case_mins[[#This Row],[Theatre]])),INDEX(Poss_Time,MATCH(TEXT(tbl_Case_mins[[#This Row],[Surgery Start Date]],"ddd"),Day,0)),0)</f>
        <v>#REF!</v>
      </c>
      <c r="BS268" s="9" t="e">
        <f>tbl_Case_mins[[#This Row],[Core_Time]]*Util_Goal</f>
        <v>#REF!</v>
      </c>
      <c r="BT268" s="9" t="e" cm="1">
        <f t="array" ref="BT2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8" s="9" t="e" cm="1">
        <f t="array" ref="BU2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8" s="9" t="e">
        <f>IF(tbl_Case_mins[[#This Row],[Surgery End Date]]&gt;tbl_Case_mins[[#This Row],[Surgery Start Date]],tbl_Case_mins[[#This Row],[Anaesth End]]-1440,0)</f>
        <v>#REF!</v>
      </c>
      <c r="BY268" s="9" t="e">
        <f>tbl_Case_mins[[#This Row],[Total_NonCore]]-tbl_Case_mins[[#This Row],[NextDay_NonCore]]</f>
        <v>#REF!</v>
      </c>
      <c r="BZ268" s="10" t="e">
        <f>tbl_Case_mins[[#This Row],[InCoreUse]]/60</f>
        <v>#REF!</v>
      </c>
      <c r="CA268" s="10" t="e">
        <f>tbl_Case_mins[[#This Row],[Total_NonCore]]/60</f>
        <v>#REF!</v>
      </c>
      <c r="CB268" t="e" cm="1">
        <f t="array" ref="CB2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8" s="9" t="e" cm="1">
        <f t="array" ref="CC26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8" s="9" t="e" cm="1">
        <f t="array" ref="CD2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8" s="9" t="e" cm="1">
        <f t="array" ref="CE26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8" s="9" cm="1">
        <f t="array" ref="CF268">IFERROR(_xlfn.AGGREGATE(14,6,(tbl_Case_mins[Rank_AnaEnd])/((tbl_Case_mins[Surgery Start Date]=tbl_Case_mins[[#This Row],[Surgery Start Date]])*(tbl_Case_mins[Theatre]=tbl_Case_mins[[#This Row],[Theatre]])*(tbl_Case_mins[NoInCoreTime]=0)),1),-1)</f>
        <v>-1</v>
      </c>
      <c r="CG268" s="9" cm="1">
        <f t="array" ref="CG268">IFERROR(_xlfn.AGGREGATE(15,6,(tbl_Case_mins[Rank_AnaSt])/((tbl_Case_mins[Surgery Start Date]=tbl_Case_mins[[#This Row],[Surgery Start Date]])*(tbl_Case_mins[Theatre]=tbl_Case_mins[[#This Row],[Theatre]])*(tbl_Case_mins[NoInCoreTime]=0)),1),-1)</f>
        <v>-1</v>
      </c>
      <c r="CH26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8" t="e" cm="1">
        <f t="array" ref="CJ26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8" s="9" cm="1">
        <f t="array" ref="CO2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8" s="9" cm="1">
        <f t="array" ref="CP2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8" s="9" cm="1">
        <f t="array" ref="CQ268">IFERROR(IF(AND(tbl_Case_mins[[#This Row],[FirstAMCase]]=0,tbl_Case_mins[[#This Row],[Rank]]=_xlfn.AGGREGATE(14,6,(tbl_Case_mins[Rank])/((tbl_Case_mins[Surgery Start Date]=tbl_Case_mins[[#This Row],[Surgery Start Date]])*(tbl_Case_mins[Theatre]=tbl_Case_mins[[#This Row],[Theatre]])*(tbl_Case_mins[AmCase]=1)),1)),1,0),0)</f>
        <v>0</v>
      </c>
      <c r="CR268" s="9" cm="1">
        <f t="array" ref="CR26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8" s="9" t="e" cm="1">
        <f t="array" ref="CS26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8" s="9" cm="1">
        <f t="array" ref="CT268">IFERROR(IF(tbl_Case_mins[[#This Row],[Rank]]=_xlfn.AGGREGATE(15,6,(tbl_Case_mins[Rank])/((tbl_Case_mins[Surgery Start Date]=tbl_Case_mins[[#This Row],[Surgery Start Date]])*(tbl_Case_mins[Theatre]=tbl_Case_mins[[#This Row],[Theatre]])*(tbl_Case_mins[PmCase]=1)),1),1,0),0)</f>
        <v>0</v>
      </c>
      <c r="CU268">
        <f>IFERROR(#REF!,0)</f>
        <v>0</v>
      </c>
      <c r="CV268" s="9" t="e" cm="1">
        <f t="array" ref="CV26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8" s="9">
        <f>IFERROR(IF(ISBLANK(INDEX(Bay_AmClose,MATCH(1,INDEX((tbl_Case_mins[[#This Row],[Bay]]=BayNo)*(tbl_Case_mins[[#This Row],[Surgery Start Date]]=BDate),0,1),0))*1440),0,INDEX(Bay_AmClose,MATCH(1,INDEX((tbl_Case_mins[[#This Row],[Bay]]=BayNo)*(tbl_Case_mins[[#This Row],[Surgery Start Date]]=BDate),0,1),0))*1440),0)</f>
        <v>0</v>
      </c>
      <c r="CX268" s="9" cm="1">
        <f t="array" ref="CX268">IFERROR(IF(ISBLANK(INDEX(Bay_PmOpen,MATCH(1,INDEX((tbl_Case_mins[[#This Row],[Bay]]=BayNo)*(tbl_Case_mins[[#This Row],[Surgery Start Date]]=BDate),0,1),0))*1440),0,INDEX(Bay_PmOpen,MATCH(1,INDEX((tbl_Case_mins[[#This Row],[Bay]]=BayNo)*(tbl_Case_mins[[#This Row],[Surgery Start Date]]=BDate),0,1),0))*1440),0)</f>
        <v>0</v>
      </c>
      <c r="CY26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8" s="9"/>
    </row>
    <row r="269" spans="1:104" x14ac:dyDescent="0.2">
      <c r="A269">
        <v>268</v>
      </c>
      <c r="B269" t="e">
        <f>#REF!</f>
        <v>#REF!</v>
      </c>
      <c r="C269" t="e">
        <f>#REF!</f>
        <v>#REF!</v>
      </c>
      <c r="D269" t="e">
        <f>#REF!</f>
        <v>#REF!</v>
      </c>
      <c r="E269" t="e">
        <f>#REF!</f>
        <v>#REF!</v>
      </c>
      <c r="F269" t="e">
        <f>#REF!</f>
        <v>#REF!</v>
      </c>
      <c r="G269" t="e">
        <f>#REF!</f>
        <v>#REF!</v>
      </c>
      <c r="H269" t="e">
        <f>#REF!</f>
        <v>#REF!</v>
      </c>
      <c r="I269" t="e">
        <f>IF(#REF!="Case Cancelled",1,IF(#REF!="No Cases",2,0))</f>
        <v>#REF!</v>
      </c>
      <c r="J269" t="e">
        <f>#REF!</f>
        <v>#REF!</v>
      </c>
      <c r="K269" s="4" t="e">
        <f>#REF!</f>
        <v>#REF!</v>
      </c>
      <c r="L269" t="e">
        <f>"Wk "&amp;WEEKNUM(tbl_Case_mins[[#This Row],[Surgery Start Date]],21)</f>
        <v>#REF!</v>
      </c>
      <c r="M269" t="e">
        <f>TEXT(tbl_Case_mins[[#This Row],[Surgery Start Date]],"ddd")</f>
        <v>#REF!</v>
      </c>
      <c r="N269" s="9" t="e">
        <f>(#REF!-TIME(0,0,0))*1440</f>
        <v>#REF!</v>
      </c>
      <c r="O269" t="e">
        <f>IF(AND(ROUND((#REF!-TIME(0,0,0))*1440,0)&gt;0,ROUND((#REF!-TIME(0,0,0))*1440,0)&lt;tbl_Case_mins[[#This Row],[Patient Called]],tbl_Case_mins[[#This Row],[Surgery End Date]]&gt;tbl_Case_mins[[#This Row],[Surgery Start Date]]),ROUND((#REF!-TIME(0,0,0))*1440,0)+1440,ROUND((#REF!-TIME(0,0,0))*1440,0))</f>
        <v>#REF!</v>
      </c>
      <c r="P269" s="9" t="e">
        <f>IF(AND(ROUND((#REF!-TIME(0,0,0))*1440,0)&gt;0,ROUND((#REF!-TIME(0,0,0))*1440,0)&lt;tbl_Case_mins[[#This Row],[Arrival]],tbl_Case_mins[[#This Row],[Surgery End Date]]&gt;tbl_Case_mins[[#This Row],[Surgery Start Date]]),ROUND((#REF!-TIME(0,0,0))*1440,0)+1440,ROUND((#REF!-TIME(0,0,0))*1440,0))</f>
        <v>#REF!</v>
      </c>
      <c r="Q269" s="9" t="e">
        <f>IF(AND(ROUND((#REF!-TIME(0,0,0))*1440,0)&gt;0,ROUND((#REF!-TIME(0,0,0))*1440,0)&lt;tbl_Case_mins[[#This Row],[Into Th or AR]],tbl_Case_mins[[#This Row],[Surgery End Date]]&gt;tbl_Case_mins[[#This Row],[Surgery Start Date]]),ROUND((#REF!-TIME(0,0,0))*1440,0)+1440,ROUND((#REF!-TIME(0,0,0))*1440,0))</f>
        <v>#REF!</v>
      </c>
      <c r="R269" s="9" t="e">
        <f>IF(AND(ROUND((#REF!-TIME(0,0,0))*1440,0)&gt;0,ROUND((#REF!-TIME(0,0,0))*1440,0)&lt;tbl_Case_mins[[#This Row],[AnaesthStart]],tbl_Case_mins[[#This Row],[Surgery End Date]]&gt;tbl_Case_mins[[#This Row],[Surgery Start Date]]),ROUND((#REF!-TIME(0,0,0))*1440,0)+1440,ROUND((#REF!-TIME(0,0,0))*1440,0))</f>
        <v>#REF!</v>
      </c>
      <c r="S269" s="9" t="e">
        <f>IF(AND(ROUND((#REF!-TIME(0,0,0))*1440,0),ROUND((#REF!-TIME(0,0,0))*1440,0)&lt;tbl_Case_mins[[#This Row],[Surgery Start]],tbl_Case_mins[[#This Row],[Surgery End Date]]&gt;tbl_Case_mins[[#This Row],[Surgery Start Date]]),ROUND((#REF!-TIME(0,0,0))*1440,0)+1440,ROUND((#REF!-TIME(0,0,0))*1440,0))</f>
        <v>#REF!</v>
      </c>
      <c r="T269" s="9" t="e">
        <f>IF(AND(ROUND((#REF!-TIME(0,0,0))*1440,0)&gt;0,ROUND((#REF!-TIME(0,0,0))*1440,0)&lt;tbl_Case_mins[[#This Row],[Surgery Finish]],tbl_Case_mins[[#This Row],[Surgery End Date]]&gt;tbl_Case_mins[[#This Row],[Surgery Start Date]]),ROUND((#REF!-TIME(0,0,0))*1440,0)+1440,ROUND((#REF!-TIME(0,0,0))*1440,0))</f>
        <v>#REF!</v>
      </c>
      <c r="U269" s="9" t="e">
        <f>IF(AND(ROUND((#REF!-TIME(0,0,0))*1440,0)&gt;0,ROUND((#REF!-TIME(0,0,0))*1440,0)&lt;tbl_Case_mins[[#This Row],[Anaesth End]],tbl_Case_mins[[#This Row],[Surgery End Date]]&gt;tbl_Case_mins[[#This Row],[Surgery Start Date]]),ROUND((#REF!-TIME(0,0,0))*1440,0)+1440,ROUND((#REF!-TIME(0,0,0))*1440,0))</f>
        <v>#REF!</v>
      </c>
      <c r="V269" s="9" t="e">
        <f>IF(AND(ROUND((#REF!-TIME(0,0,0))*1440,0)&gt;0,ROUND((#REF!-TIME(0,0,0))*1440,0)&lt;tbl_Case_mins[[#This Row],[Into Recov]],tbl_Case_mins[[#This Row],[Surgery End Date]]&gt;tbl_Case_mins[[#This Row],[Surgery Start Date]]),ROUND((#REF!-TIME(0,0,0))*1440,0)+1440,ROUND((#REF!-TIME(0,0,0))*1440,0))</f>
        <v>#REF!</v>
      </c>
      <c r="W269" s="9" t="e">
        <f>IF(AND(ROUND((#REF!-TIME(0,0,0))*1440,0)&gt;0,ROUND((#REF!-TIME(0,0,0))*1440,0)&lt;tbl_Case_mins[[#This Row],[Ward Called]],tbl_Case_mins[[#This Row],[Surgery End Date]]&gt;tbl_Case_mins[[#This Row],[Surgery Start Date]]),ROUND((#REF!-TIME(0,0,0))*1440,0)+1440,ROUND((#REF!-TIME(0,0,0))*1440,0))</f>
        <v>#REF!</v>
      </c>
      <c r="X269" s="4" t="e">
        <f>IF(ISBLANK(#REF!),tbl_Case_mins[[#This Row],[Surgery Start Date]],#REF!)</f>
        <v>#REF!</v>
      </c>
      <c r="Y269">
        <f>IFERROR(IF(VLOOKUP(tbl_Case_mins[[#This Row],[Theatre]],'Mng Theatres'!$C$7:$G$12,3,FALSE)="Yes","Yes","No"),0)</f>
        <v>0</v>
      </c>
      <c r="Z269" s="9" t="e" cm="1">
        <f t="array" ref="Z26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69" s="9" t="e" cm="1">
        <f t="array" ref="AA26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6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69" s="9" t="e">
        <f>IF(tbl_Case_mins[[#This Row],[Case Type]]="Unsch",1,0)</f>
        <v>#REF!</v>
      </c>
      <c r="AD269" s="9" t="e">
        <f>IF(tbl_Case_mins[[#This Row],[Case Type]]="Sch",1,0)</f>
        <v>#REF!</v>
      </c>
      <c r="AE26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69" s="9">
        <f>IFERROR(IF(ISBLANK(INDEX(Am_Close,MATCH(1,INDEX((tbl_Case_mins[[#This Row],[Theatre]]=Theatre_No)*(tbl_Case_mins[[#This Row],[Surgery Start Date]]=Date),0,1),0))*1440),0,INDEX(Am_Close,MATCH(1,INDEX((tbl_Case_mins[[#This Row],[Theatre]]=Theatre_No)*(tbl_Case_mins[[#This Row],[Surgery Start Date]]=Date),0,1),0))*1440),0)</f>
        <v>0</v>
      </c>
      <c r="AG269" s="9">
        <f>IFERROR(IF(ISBLANK(INDEX(PM_Open,MATCH(1,INDEX((tbl_Case_mins[[#This Row],[Theatre]]=Theatre_No)*(tbl_Case_mins[[#This Row],[Surgery Start Date]]=Date),0,1),0))*1440),0,INDEX(PM_Open,MATCH(1,INDEX((tbl_Case_mins[[#This Row],[Theatre]]=Theatre_No)*(tbl_Case_mins[[#This Row],[Surgery Start Date]]=Date),0,1),0))*1440),0)</f>
        <v>0</v>
      </c>
      <c r="AH26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69" s="9" t="e">
        <f>IF(tbl_Case_mins[[#This Row],[ThOpenAm]]=0,tbl_Case_mins[[#This Row],[ThOpenPM]],tbl_Case_mins[[#This Row],[ThOpenAm]])</f>
        <v>#REF!</v>
      </c>
      <c r="AJ269" s="9" t="e">
        <f>IF(tbl_Case_mins[[#This Row],[ThCloseAm]]&gt;0,IF(tbl_Case_mins[[#This Row],[ThOpenPM]]&gt;0,tbl_Case_mins[[#This Row],[ThClosePm]],tbl_Case_mins[[#This Row],[ThCloseAm]]),tbl_Case_mins[[#This Row],[ThClosePm]])</f>
        <v>#REF!</v>
      </c>
      <c r="AK269" s="9" t="e">
        <f>IF(tbl_Case_mins[[#This Row],[TOT]]&gt;0,1,0)</f>
        <v>#REF!</v>
      </c>
      <c r="AL26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69" s="9" t="e">
        <f>IF(AND(tbl_Case_mins[[#This Row],[Surgery Status]]&lt;&gt;2,tbl_Case_mins[[#This Row],[InCoreCase]]=0,tbl_Case_mins[[#This Row],[CancelledCase]]=0),1,0)</f>
        <v>#REF!</v>
      </c>
      <c r="AN269" s="9" t="e">
        <f>IF(tbl_Case_mins[[#This Row],[Surgery Status]]=1,1,0)</f>
        <v>#REF!</v>
      </c>
      <c r="AO26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69" s="9" t="e">
        <f>IF(AND(tbl_Case_mins[[#This Row],[NonCoreCase]]=1,tbl_Case_mins[[#This Row],[NoInCoreTime]]=0),1,0)</f>
        <v>#REF!</v>
      </c>
      <c r="AQ269" s="9" t="e">
        <f>IF(tbl_Case_mins[[#This Row],[Rank_AnaEnd]]&lt;tbl_Case_mins[[#This Row],[Rank_AnaSt]],1,0)</f>
        <v>#REF!</v>
      </c>
      <c r="AR269" s="9" t="e">
        <f>IF(AND(tbl_Case_mins[[#This Row],[InCoreCase]]=1,tbl_Case_mins[[#This Row],[Sch]]=1),1,0)</f>
        <v>#REF!</v>
      </c>
      <c r="AS269" s="9" t="e">
        <f>IF(AND(tbl_Case_mins[[#This Row],[InCoreCase]]=1,tbl_Case_mins[[#This Row],[Unsch]]=1),1,0)</f>
        <v>#REF!</v>
      </c>
      <c r="AT26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6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6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69" s="9" t="e">
        <f>IF(tbl_Case_mins[[#This Row],[Surgery Status]]=0,(tbl_Case_mins[[#This Row],[Anaesth End]]-tbl_Case_mins[[#This Row],[AnaesthStart]]),0)</f>
        <v>#REF!</v>
      </c>
      <c r="AX269" s="9" t="e">
        <f>IF(tbl_Case_mins[[#This Row],[Surgery Status]]=0,(tbl_Case_mins[[#This Row],[Surgery Finish]]-tbl_Case_mins[[#This Row],[Surgery Start]]),0)</f>
        <v>#REF!</v>
      </c>
      <c r="AY269" s="9" t="e">
        <f>tbl_Case_mins[[#This Row],[Surgery Start]]-tbl_Case_mins[[#This Row],[AnaesthStart]]</f>
        <v>#REF!</v>
      </c>
      <c r="AZ269" s="9" t="e">
        <f>tbl_Case_mins[[#This Row],[Anaesth End]]-tbl_Case_mins[[#This Row],[Surgery Finish]]</f>
        <v>#REF!</v>
      </c>
      <c r="BA26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6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69" s="16" cm="1">
        <f t="array" ref="BC26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69" s="16" t="e">
        <f>IF(AND(tbl_Case_mins[[#This Row],[FirstAMCase]]=1,tbl_Case_mins[[#This Row],[CancelledCase]]=0,OR(tbl_Case_mins[[#This Row],[EarlyStartAM]]&gt;0,tbl_Case_mins[[#This Row],[AnaesthStart]]=tbl_Case_mins[[#This Row],[ThOpenAm]])),1,0)</f>
        <v>#REF!</v>
      </c>
      <c r="BE269" s="16" t="e">
        <f>IF(AND(tbl_Case_mins[[#This Row],[Rank_AnaSt]]=tbl_Case_mins[[#This Row],[Min_RankAnaSt]],tbl_Case_mins[[#This Row],[Anaesth End]]&gt;=tbl_Case_mins[[#This Row],[ThOpenAm]],tbl_Case_mins[[#This Row],[PmCase]]=0),1,0)</f>
        <v>#REF!</v>
      </c>
      <c r="BF26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6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69" s="9" t="e" cm="1">
        <f t="array" ref="BH26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6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6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69" s="9" t="e">
        <f>IF(AND(tbl_Case_mins[[#This Row],[ThOpenPM]]&gt;0,tbl_Case_mins[[#This Row],[AnaesthStart]]&gt;tbl_Case_mins[[#This Row],[ThOpenPM]],tbl_Case_mins[[#This Row],[First PM Case]]=1),tbl_Case_mins[[#This Row],[AnaesthStart]]-tbl_Case_mins[[#This Row],[ThOpenPM]],0)</f>
        <v>#REF!</v>
      </c>
      <c r="BL26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6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69" s="9" t="e" cm="1">
        <f t="array" ref="BN26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69" s="9" t="e">
        <f>IF(AND(tbl_Case_mins[[#This Row],[ThClosePm]]&gt;0,tbl_Case_mins[[#This Row],[Anaesth End]]&gt;tbl_Case_mins[[#This Row],[ThClosePm]],tbl_Case_mins[[#This Row],[AnaesthStart]]&gt;tbl_Case_mins[[#This Row],[ThClosePm]]),tbl_Case_mins[[#This Row],[Into Recov]]-tbl_Case_mins[[#This Row],[AnaesthStart]],0)</f>
        <v>#REF!</v>
      </c>
      <c r="BP269" s="9" t="e">
        <f>IF(AND(tbl_Case_mins[[#This Row],[AnaesthStart]]&lt;tbl_Case_mins[[#This Row],[ThClosePm]],tbl_Case_mins[[#This Row],[Anaesth End]]&gt;tbl_Case_mins[[#This Row],[ThClosePm]]),tbl_Case_mins[[#This Row],[Anaesth End]]-tbl_Case_mins[[#This Row],[ThClosePm]],0)</f>
        <v>#REF!</v>
      </c>
      <c r="BQ269" s="9" t="e" cm="1">
        <f t="array" ref="BQ26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69" s="9" t="e" cm="1">
        <f t="array" ref="BR269">IF(tbl_Case_mins[[#This Row],[Rank_Adjust]]=SUMPRODUCT(-(tbl_Case_mins[Surgery Start Date]=tbl_Case_mins[[#This Row],[Surgery Start Date]]),-(tbl_Case_mins[Theatre]=tbl_Case_mins[[#This Row],[Theatre]])),INDEX(Poss_Time,MATCH(TEXT(tbl_Case_mins[[#This Row],[Surgery Start Date]],"ddd"),Day,0)),0)</f>
        <v>#REF!</v>
      </c>
      <c r="BS269" s="9" t="e">
        <f>tbl_Case_mins[[#This Row],[Core_Time]]*Util_Goal</f>
        <v>#REF!</v>
      </c>
      <c r="BT269" s="9" t="e" cm="1">
        <f t="array" ref="BT2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69" s="9" t="e" cm="1">
        <f t="array" ref="BU2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6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6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69" s="9" t="e">
        <f>IF(tbl_Case_mins[[#This Row],[Surgery End Date]]&gt;tbl_Case_mins[[#This Row],[Surgery Start Date]],tbl_Case_mins[[#This Row],[Anaesth End]]-1440,0)</f>
        <v>#REF!</v>
      </c>
      <c r="BY269" s="9" t="e">
        <f>tbl_Case_mins[[#This Row],[Total_NonCore]]-tbl_Case_mins[[#This Row],[NextDay_NonCore]]</f>
        <v>#REF!</v>
      </c>
      <c r="BZ269" s="10" t="e">
        <f>tbl_Case_mins[[#This Row],[InCoreUse]]/60</f>
        <v>#REF!</v>
      </c>
      <c r="CA269" s="10" t="e">
        <f>tbl_Case_mins[[#This Row],[Total_NonCore]]/60</f>
        <v>#REF!</v>
      </c>
      <c r="CB269" t="e" cm="1">
        <f t="array" ref="CB2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69" s="9" t="e" cm="1">
        <f t="array" ref="CC26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69" s="9" t="e" cm="1">
        <f t="array" ref="CD2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69" s="9" t="e" cm="1">
        <f t="array" ref="CE26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69" s="9" cm="1">
        <f t="array" ref="CF269">IFERROR(_xlfn.AGGREGATE(14,6,(tbl_Case_mins[Rank_AnaEnd])/((tbl_Case_mins[Surgery Start Date]=tbl_Case_mins[[#This Row],[Surgery Start Date]])*(tbl_Case_mins[Theatre]=tbl_Case_mins[[#This Row],[Theatre]])*(tbl_Case_mins[NoInCoreTime]=0)),1),-1)</f>
        <v>-1</v>
      </c>
      <c r="CG269" s="9" cm="1">
        <f t="array" ref="CG269">IFERROR(_xlfn.AGGREGATE(15,6,(tbl_Case_mins[Rank_AnaSt])/((tbl_Case_mins[Surgery Start Date]=tbl_Case_mins[[#This Row],[Surgery Start Date]])*(tbl_Case_mins[Theatre]=tbl_Case_mins[[#This Row],[Theatre]])*(tbl_Case_mins[NoInCoreTime]=0)),1),-1)</f>
        <v>-1</v>
      </c>
      <c r="CH26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6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69" t="e" cm="1">
        <f t="array" ref="CJ26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6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6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69" s="9" cm="1">
        <f t="array" ref="CO2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69" s="9" cm="1">
        <f t="array" ref="CP2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69" s="9" cm="1">
        <f t="array" ref="CQ269">IFERROR(IF(AND(tbl_Case_mins[[#This Row],[FirstAMCase]]=0,tbl_Case_mins[[#This Row],[Rank]]=_xlfn.AGGREGATE(14,6,(tbl_Case_mins[Rank])/((tbl_Case_mins[Surgery Start Date]=tbl_Case_mins[[#This Row],[Surgery Start Date]])*(tbl_Case_mins[Theatre]=tbl_Case_mins[[#This Row],[Theatre]])*(tbl_Case_mins[AmCase]=1)),1)),1,0),0)</f>
        <v>0</v>
      </c>
      <c r="CR269" s="9" cm="1">
        <f t="array" ref="CR26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69" s="9" t="e" cm="1">
        <f t="array" ref="CS26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69" s="9" cm="1">
        <f t="array" ref="CT269">IFERROR(IF(tbl_Case_mins[[#This Row],[Rank]]=_xlfn.AGGREGATE(15,6,(tbl_Case_mins[Rank])/((tbl_Case_mins[Surgery Start Date]=tbl_Case_mins[[#This Row],[Surgery Start Date]])*(tbl_Case_mins[Theatre]=tbl_Case_mins[[#This Row],[Theatre]])*(tbl_Case_mins[PmCase]=1)),1),1,0),0)</f>
        <v>0</v>
      </c>
      <c r="CU269">
        <f>IFERROR(#REF!,0)</f>
        <v>0</v>
      </c>
      <c r="CV269" s="9" t="e" cm="1">
        <f t="array" ref="CV26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69" s="9">
        <f>IFERROR(IF(ISBLANK(INDEX(Bay_AmClose,MATCH(1,INDEX((tbl_Case_mins[[#This Row],[Bay]]=BayNo)*(tbl_Case_mins[[#This Row],[Surgery Start Date]]=BDate),0,1),0))*1440),0,INDEX(Bay_AmClose,MATCH(1,INDEX((tbl_Case_mins[[#This Row],[Bay]]=BayNo)*(tbl_Case_mins[[#This Row],[Surgery Start Date]]=BDate),0,1),0))*1440),0)</f>
        <v>0</v>
      </c>
      <c r="CX269" s="9" cm="1">
        <f t="array" ref="CX269">IFERROR(IF(ISBLANK(INDEX(Bay_PmOpen,MATCH(1,INDEX((tbl_Case_mins[[#This Row],[Bay]]=BayNo)*(tbl_Case_mins[[#This Row],[Surgery Start Date]]=BDate),0,1),0))*1440),0,INDEX(Bay_PmOpen,MATCH(1,INDEX((tbl_Case_mins[[#This Row],[Bay]]=BayNo)*(tbl_Case_mins[[#This Row],[Surgery Start Date]]=BDate),0,1),0))*1440),0)</f>
        <v>0</v>
      </c>
      <c r="CY26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69" s="9"/>
    </row>
    <row r="270" spans="1:104" x14ac:dyDescent="0.2">
      <c r="A270">
        <v>269</v>
      </c>
      <c r="B270" t="e">
        <f>#REF!</f>
        <v>#REF!</v>
      </c>
      <c r="C270" t="e">
        <f>#REF!</f>
        <v>#REF!</v>
      </c>
      <c r="D270" t="e">
        <f>#REF!</f>
        <v>#REF!</v>
      </c>
      <c r="E270" t="e">
        <f>#REF!</f>
        <v>#REF!</v>
      </c>
      <c r="F270" t="e">
        <f>#REF!</f>
        <v>#REF!</v>
      </c>
      <c r="G270" t="e">
        <f>#REF!</f>
        <v>#REF!</v>
      </c>
      <c r="H270" t="e">
        <f>#REF!</f>
        <v>#REF!</v>
      </c>
      <c r="I270" t="e">
        <f>IF(#REF!="Case Cancelled",1,IF(#REF!="No Cases",2,0))</f>
        <v>#REF!</v>
      </c>
      <c r="J270" t="e">
        <f>#REF!</f>
        <v>#REF!</v>
      </c>
      <c r="K270" s="4" t="e">
        <f>#REF!</f>
        <v>#REF!</v>
      </c>
      <c r="L270" t="e">
        <f>"Wk "&amp;WEEKNUM(tbl_Case_mins[[#This Row],[Surgery Start Date]],21)</f>
        <v>#REF!</v>
      </c>
      <c r="M270" t="e">
        <f>TEXT(tbl_Case_mins[[#This Row],[Surgery Start Date]],"ddd")</f>
        <v>#REF!</v>
      </c>
      <c r="N270" s="9" t="e">
        <f>(#REF!-TIME(0,0,0))*1440</f>
        <v>#REF!</v>
      </c>
      <c r="O270" t="e">
        <f>IF(AND(ROUND((#REF!-TIME(0,0,0))*1440,0)&gt;0,ROUND((#REF!-TIME(0,0,0))*1440,0)&lt;tbl_Case_mins[[#This Row],[Patient Called]],tbl_Case_mins[[#This Row],[Surgery End Date]]&gt;tbl_Case_mins[[#This Row],[Surgery Start Date]]),ROUND((#REF!-TIME(0,0,0))*1440,0)+1440,ROUND((#REF!-TIME(0,0,0))*1440,0))</f>
        <v>#REF!</v>
      </c>
      <c r="P270" s="9" t="e">
        <f>IF(AND(ROUND((#REF!-TIME(0,0,0))*1440,0)&gt;0,ROUND((#REF!-TIME(0,0,0))*1440,0)&lt;tbl_Case_mins[[#This Row],[Arrival]],tbl_Case_mins[[#This Row],[Surgery End Date]]&gt;tbl_Case_mins[[#This Row],[Surgery Start Date]]),ROUND((#REF!-TIME(0,0,0))*1440,0)+1440,ROUND((#REF!-TIME(0,0,0))*1440,0))</f>
        <v>#REF!</v>
      </c>
      <c r="Q270" s="9" t="e">
        <f>IF(AND(ROUND((#REF!-TIME(0,0,0))*1440,0)&gt;0,ROUND((#REF!-TIME(0,0,0))*1440,0)&lt;tbl_Case_mins[[#This Row],[Into Th or AR]],tbl_Case_mins[[#This Row],[Surgery End Date]]&gt;tbl_Case_mins[[#This Row],[Surgery Start Date]]),ROUND((#REF!-TIME(0,0,0))*1440,0)+1440,ROUND((#REF!-TIME(0,0,0))*1440,0))</f>
        <v>#REF!</v>
      </c>
      <c r="R270" s="9" t="e">
        <f>IF(AND(ROUND((#REF!-TIME(0,0,0))*1440,0)&gt;0,ROUND((#REF!-TIME(0,0,0))*1440,0)&lt;tbl_Case_mins[[#This Row],[AnaesthStart]],tbl_Case_mins[[#This Row],[Surgery End Date]]&gt;tbl_Case_mins[[#This Row],[Surgery Start Date]]),ROUND((#REF!-TIME(0,0,0))*1440,0)+1440,ROUND((#REF!-TIME(0,0,0))*1440,0))</f>
        <v>#REF!</v>
      </c>
      <c r="S270" s="9" t="e">
        <f>IF(AND(ROUND((#REF!-TIME(0,0,0))*1440,0),ROUND((#REF!-TIME(0,0,0))*1440,0)&lt;tbl_Case_mins[[#This Row],[Surgery Start]],tbl_Case_mins[[#This Row],[Surgery End Date]]&gt;tbl_Case_mins[[#This Row],[Surgery Start Date]]),ROUND((#REF!-TIME(0,0,0))*1440,0)+1440,ROUND((#REF!-TIME(0,0,0))*1440,0))</f>
        <v>#REF!</v>
      </c>
      <c r="T270" s="9" t="e">
        <f>IF(AND(ROUND((#REF!-TIME(0,0,0))*1440,0)&gt;0,ROUND((#REF!-TIME(0,0,0))*1440,0)&lt;tbl_Case_mins[[#This Row],[Surgery Finish]],tbl_Case_mins[[#This Row],[Surgery End Date]]&gt;tbl_Case_mins[[#This Row],[Surgery Start Date]]),ROUND((#REF!-TIME(0,0,0))*1440,0)+1440,ROUND((#REF!-TIME(0,0,0))*1440,0))</f>
        <v>#REF!</v>
      </c>
      <c r="U270" s="9" t="e">
        <f>IF(AND(ROUND((#REF!-TIME(0,0,0))*1440,0)&gt;0,ROUND((#REF!-TIME(0,0,0))*1440,0)&lt;tbl_Case_mins[[#This Row],[Anaesth End]],tbl_Case_mins[[#This Row],[Surgery End Date]]&gt;tbl_Case_mins[[#This Row],[Surgery Start Date]]),ROUND((#REF!-TIME(0,0,0))*1440,0)+1440,ROUND((#REF!-TIME(0,0,0))*1440,0))</f>
        <v>#REF!</v>
      </c>
      <c r="V270" s="9" t="e">
        <f>IF(AND(ROUND((#REF!-TIME(0,0,0))*1440,0)&gt;0,ROUND((#REF!-TIME(0,0,0))*1440,0)&lt;tbl_Case_mins[[#This Row],[Into Recov]],tbl_Case_mins[[#This Row],[Surgery End Date]]&gt;tbl_Case_mins[[#This Row],[Surgery Start Date]]),ROUND((#REF!-TIME(0,0,0))*1440,0)+1440,ROUND((#REF!-TIME(0,0,0))*1440,0))</f>
        <v>#REF!</v>
      </c>
      <c r="W270" s="9" t="e">
        <f>IF(AND(ROUND((#REF!-TIME(0,0,0))*1440,0)&gt;0,ROUND((#REF!-TIME(0,0,0))*1440,0)&lt;tbl_Case_mins[[#This Row],[Ward Called]],tbl_Case_mins[[#This Row],[Surgery End Date]]&gt;tbl_Case_mins[[#This Row],[Surgery Start Date]]),ROUND((#REF!-TIME(0,0,0))*1440,0)+1440,ROUND((#REF!-TIME(0,0,0))*1440,0))</f>
        <v>#REF!</v>
      </c>
      <c r="X270" s="4" t="e">
        <f>IF(ISBLANK(#REF!),tbl_Case_mins[[#This Row],[Surgery Start Date]],#REF!)</f>
        <v>#REF!</v>
      </c>
      <c r="Y270">
        <f>IFERROR(IF(VLOOKUP(tbl_Case_mins[[#This Row],[Theatre]],'Mng Theatres'!$C$7:$G$12,3,FALSE)="Yes","Yes","No"),0)</f>
        <v>0</v>
      </c>
      <c r="Z270" s="9" t="e" cm="1">
        <f t="array" ref="Z27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0" s="9" t="e" cm="1">
        <f t="array" ref="AA27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0" s="9" t="e">
        <f>IF(tbl_Case_mins[[#This Row],[Case Type]]="Unsch",1,0)</f>
        <v>#REF!</v>
      </c>
      <c r="AD270" s="9" t="e">
        <f>IF(tbl_Case_mins[[#This Row],[Case Type]]="Sch",1,0)</f>
        <v>#REF!</v>
      </c>
      <c r="AE27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0" s="9">
        <f>IFERROR(IF(ISBLANK(INDEX(Am_Close,MATCH(1,INDEX((tbl_Case_mins[[#This Row],[Theatre]]=Theatre_No)*(tbl_Case_mins[[#This Row],[Surgery Start Date]]=Date),0,1),0))*1440),0,INDEX(Am_Close,MATCH(1,INDEX((tbl_Case_mins[[#This Row],[Theatre]]=Theatre_No)*(tbl_Case_mins[[#This Row],[Surgery Start Date]]=Date),0,1),0))*1440),0)</f>
        <v>0</v>
      </c>
      <c r="AG270" s="9">
        <f>IFERROR(IF(ISBLANK(INDEX(PM_Open,MATCH(1,INDEX((tbl_Case_mins[[#This Row],[Theatre]]=Theatre_No)*(tbl_Case_mins[[#This Row],[Surgery Start Date]]=Date),0,1),0))*1440),0,INDEX(PM_Open,MATCH(1,INDEX((tbl_Case_mins[[#This Row],[Theatre]]=Theatre_No)*(tbl_Case_mins[[#This Row],[Surgery Start Date]]=Date),0,1),0))*1440),0)</f>
        <v>0</v>
      </c>
      <c r="AH27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0" s="9" t="e">
        <f>IF(tbl_Case_mins[[#This Row],[ThOpenAm]]=0,tbl_Case_mins[[#This Row],[ThOpenPM]],tbl_Case_mins[[#This Row],[ThOpenAm]])</f>
        <v>#REF!</v>
      </c>
      <c r="AJ270" s="9" t="e">
        <f>IF(tbl_Case_mins[[#This Row],[ThCloseAm]]&gt;0,IF(tbl_Case_mins[[#This Row],[ThOpenPM]]&gt;0,tbl_Case_mins[[#This Row],[ThClosePm]],tbl_Case_mins[[#This Row],[ThCloseAm]]),tbl_Case_mins[[#This Row],[ThClosePm]])</f>
        <v>#REF!</v>
      </c>
      <c r="AK270" s="9" t="e">
        <f>IF(tbl_Case_mins[[#This Row],[TOT]]&gt;0,1,0)</f>
        <v>#REF!</v>
      </c>
      <c r="AL27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0" s="9" t="e">
        <f>IF(AND(tbl_Case_mins[[#This Row],[Surgery Status]]&lt;&gt;2,tbl_Case_mins[[#This Row],[InCoreCase]]=0,tbl_Case_mins[[#This Row],[CancelledCase]]=0),1,0)</f>
        <v>#REF!</v>
      </c>
      <c r="AN270" s="9" t="e">
        <f>IF(tbl_Case_mins[[#This Row],[Surgery Status]]=1,1,0)</f>
        <v>#REF!</v>
      </c>
      <c r="AO27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0" s="9" t="e">
        <f>IF(AND(tbl_Case_mins[[#This Row],[NonCoreCase]]=1,tbl_Case_mins[[#This Row],[NoInCoreTime]]=0),1,0)</f>
        <v>#REF!</v>
      </c>
      <c r="AQ270" s="9" t="e">
        <f>IF(tbl_Case_mins[[#This Row],[Rank_AnaEnd]]&lt;tbl_Case_mins[[#This Row],[Rank_AnaSt]],1,0)</f>
        <v>#REF!</v>
      </c>
      <c r="AR270" s="9" t="e">
        <f>IF(AND(tbl_Case_mins[[#This Row],[InCoreCase]]=1,tbl_Case_mins[[#This Row],[Sch]]=1),1,0)</f>
        <v>#REF!</v>
      </c>
      <c r="AS270" s="9" t="e">
        <f>IF(AND(tbl_Case_mins[[#This Row],[InCoreCase]]=1,tbl_Case_mins[[#This Row],[Unsch]]=1),1,0)</f>
        <v>#REF!</v>
      </c>
      <c r="AT27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0" s="9" t="e">
        <f>IF(tbl_Case_mins[[#This Row],[Surgery Status]]=0,(tbl_Case_mins[[#This Row],[Anaesth End]]-tbl_Case_mins[[#This Row],[AnaesthStart]]),0)</f>
        <v>#REF!</v>
      </c>
      <c r="AX270" s="9" t="e">
        <f>IF(tbl_Case_mins[[#This Row],[Surgery Status]]=0,(tbl_Case_mins[[#This Row],[Surgery Finish]]-tbl_Case_mins[[#This Row],[Surgery Start]]),0)</f>
        <v>#REF!</v>
      </c>
      <c r="AY270" s="9" t="e">
        <f>tbl_Case_mins[[#This Row],[Surgery Start]]-tbl_Case_mins[[#This Row],[AnaesthStart]]</f>
        <v>#REF!</v>
      </c>
      <c r="AZ270" s="9" t="e">
        <f>tbl_Case_mins[[#This Row],[Anaesth End]]-tbl_Case_mins[[#This Row],[Surgery Finish]]</f>
        <v>#REF!</v>
      </c>
      <c r="BA27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0" s="16" cm="1">
        <f t="array" ref="BC27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0" s="16" t="e">
        <f>IF(AND(tbl_Case_mins[[#This Row],[FirstAMCase]]=1,tbl_Case_mins[[#This Row],[CancelledCase]]=0,OR(tbl_Case_mins[[#This Row],[EarlyStartAM]]&gt;0,tbl_Case_mins[[#This Row],[AnaesthStart]]=tbl_Case_mins[[#This Row],[ThOpenAm]])),1,0)</f>
        <v>#REF!</v>
      </c>
      <c r="BE270" s="16" t="e">
        <f>IF(AND(tbl_Case_mins[[#This Row],[Rank_AnaSt]]=tbl_Case_mins[[#This Row],[Min_RankAnaSt]],tbl_Case_mins[[#This Row],[Anaesth End]]&gt;=tbl_Case_mins[[#This Row],[ThOpenAm]],tbl_Case_mins[[#This Row],[PmCase]]=0),1,0)</f>
        <v>#REF!</v>
      </c>
      <c r="BF27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0" s="9" t="e" cm="1">
        <f t="array" ref="BH27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0" s="9" t="e">
        <f>IF(AND(tbl_Case_mins[[#This Row],[ThOpenPM]]&gt;0,tbl_Case_mins[[#This Row],[AnaesthStart]]&gt;tbl_Case_mins[[#This Row],[ThOpenPM]],tbl_Case_mins[[#This Row],[First PM Case]]=1),tbl_Case_mins[[#This Row],[AnaesthStart]]-tbl_Case_mins[[#This Row],[ThOpenPM]],0)</f>
        <v>#REF!</v>
      </c>
      <c r="BL27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0" s="9" t="e" cm="1">
        <f t="array" ref="BN27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0" s="9" t="e">
        <f>IF(AND(tbl_Case_mins[[#This Row],[ThClosePm]]&gt;0,tbl_Case_mins[[#This Row],[Anaesth End]]&gt;tbl_Case_mins[[#This Row],[ThClosePm]],tbl_Case_mins[[#This Row],[AnaesthStart]]&gt;tbl_Case_mins[[#This Row],[ThClosePm]]),tbl_Case_mins[[#This Row],[Into Recov]]-tbl_Case_mins[[#This Row],[AnaesthStart]],0)</f>
        <v>#REF!</v>
      </c>
      <c r="BP270" s="9" t="e">
        <f>IF(AND(tbl_Case_mins[[#This Row],[AnaesthStart]]&lt;tbl_Case_mins[[#This Row],[ThClosePm]],tbl_Case_mins[[#This Row],[Anaesth End]]&gt;tbl_Case_mins[[#This Row],[ThClosePm]]),tbl_Case_mins[[#This Row],[Anaesth End]]-tbl_Case_mins[[#This Row],[ThClosePm]],0)</f>
        <v>#REF!</v>
      </c>
      <c r="BQ270" s="9" t="e" cm="1">
        <f t="array" ref="BQ27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0" s="9" t="e" cm="1">
        <f t="array" ref="BR270">IF(tbl_Case_mins[[#This Row],[Rank_Adjust]]=SUMPRODUCT(-(tbl_Case_mins[Surgery Start Date]=tbl_Case_mins[[#This Row],[Surgery Start Date]]),-(tbl_Case_mins[Theatre]=tbl_Case_mins[[#This Row],[Theatre]])),INDEX(Poss_Time,MATCH(TEXT(tbl_Case_mins[[#This Row],[Surgery Start Date]],"ddd"),Day,0)),0)</f>
        <v>#REF!</v>
      </c>
      <c r="BS270" s="9" t="e">
        <f>tbl_Case_mins[[#This Row],[Core_Time]]*Util_Goal</f>
        <v>#REF!</v>
      </c>
      <c r="BT270" s="9" t="e" cm="1">
        <f t="array" ref="BT2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0" s="9" t="e" cm="1">
        <f t="array" ref="BU2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0" s="9" t="e">
        <f>IF(tbl_Case_mins[[#This Row],[Surgery End Date]]&gt;tbl_Case_mins[[#This Row],[Surgery Start Date]],tbl_Case_mins[[#This Row],[Anaesth End]]-1440,0)</f>
        <v>#REF!</v>
      </c>
      <c r="BY270" s="9" t="e">
        <f>tbl_Case_mins[[#This Row],[Total_NonCore]]-tbl_Case_mins[[#This Row],[NextDay_NonCore]]</f>
        <v>#REF!</v>
      </c>
      <c r="BZ270" s="10" t="e">
        <f>tbl_Case_mins[[#This Row],[InCoreUse]]/60</f>
        <v>#REF!</v>
      </c>
      <c r="CA270" s="10" t="e">
        <f>tbl_Case_mins[[#This Row],[Total_NonCore]]/60</f>
        <v>#REF!</v>
      </c>
      <c r="CB270" t="e" cm="1">
        <f t="array" ref="CB2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0" s="9" t="e" cm="1">
        <f t="array" ref="CC27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0" s="9" t="e" cm="1">
        <f t="array" ref="CD2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0" s="9" t="e" cm="1">
        <f t="array" ref="CE27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0" s="9" cm="1">
        <f t="array" ref="CF270">IFERROR(_xlfn.AGGREGATE(14,6,(tbl_Case_mins[Rank_AnaEnd])/((tbl_Case_mins[Surgery Start Date]=tbl_Case_mins[[#This Row],[Surgery Start Date]])*(tbl_Case_mins[Theatre]=tbl_Case_mins[[#This Row],[Theatre]])*(tbl_Case_mins[NoInCoreTime]=0)),1),-1)</f>
        <v>-1</v>
      </c>
      <c r="CG270" s="9" cm="1">
        <f t="array" ref="CG270">IFERROR(_xlfn.AGGREGATE(15,6,(tbl_Case_mins[Rank_AnaSt])/((tbl_Case_mins[Surgery Start Date]=tbl_Case_mins[[#This Row],[Surgery Start Date]])*(tbl_Case_mins[Theatre]=tbl_Case_mins[[#This Row],[Theatre]])*(tbl_Case_mins[NoInCoreTime]=0)),1),-1)</f>
        <v>-1</v>
      </c>
      <c r="CH27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0" t="e" cm="1">
        <f t="array" ref="CJ27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0" s="9" cm="1">
        <f t="array" ref="CO2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0" s="9" cm="1">
        <f t="array" ref="CP2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0" s="9" cm="1">
        <f t="array" ref="CQ270">IFERROR(IF(AND(tbl_Case_mins[[#This Row],[FirstAMCase]]=0,tbl_Case_mins[[#This Row],[Rank]]=_xlfn.AGGREGATE(14,6,(tbl_Case_mins[Rank])/((tbl_Case_mins[Surgery Start Date]=tbl_Case_mins[[#This Row],[Surgery Start Date]])*(tbl_Case_mins[Theatre]=tbl_Case_mins[[#This Row],[Theatre]])*(tbl_Case_mins[AmCase]=1)),1)),1,0),0)</f>
        <v>0</v>
      </c>
      <c r="CR270" s="9" cm="1">
        <f t="array" ref="CR27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0" s="9" t="e" cm="1">
        <f t="array" ref="CS27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0" s="9" cm="1">
        <f t="array" ref="CT270">IFERROR(IF(tbl_Case_mins[[#This Row],[Rank]]=_xlfn.AGGREGATE(15,6,(tbl_Case_mins[Rank])/((tbl_Case_mins[Surgery Start Date]=tbl_Case_mins[[#This Row],[Surgery Start Date]])*(tbl_Case_mins[Theatre]=tbl_Case_mins[[#This Row],[Theatre]])*(tbl_Case_mins[PmCase]=1)),1),1,0),0)</f>
        <v>0</v>
      </c>
      <c r="CU270">
        <f>IFERROR(#REF!,0)</f>
        <v>0</v>
      </c>
      <c r="CV270" s="9" t="e" cm="1">
        <f t="array" ref="CV27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0" s="9">
        <f>IFERROR(IF(ISBLANK(INDEX(Bay_AmClose,MATCH(1,INDEX((tbl_Case_mins[[#This Row],[Bay]]=BayNo)*(tbl_Case_mins[[#This Row],[Surgery Start Date]]=BDate),0,1),0))*1440),0,INDEX(Bay_AmClose,MATCH(1,INDEX((tbl_Case_mins[[#This Row],[Bay]]=BayNo)*(tbl_Case_mins[[#This Row],[Surgery Start Date]]=BDate),0,1),0))*1440),0)</f>
        <v>0</v>
      </c>
      <c r="CX270" s="9" cm="1">
        <f t="array" ref="CX270">IFERROR(IF(ISBLANK(INDEX(Bay_PmOpen,MATCH(1,INDEX((tbl_Case_mins[[#This Row],[Bay]]=BayNo)*(tbl_Case_mins[[#This Row],[Surgery Start Date]]=BDate),0,1),0))*1440),0,INDEX(Bay_PmOpen,MATCH(1,INDEX((tbl_Case_mins[[#This Row],[Bay]]=BayNo)*(tbl_Case_mins[[#This Row],[Surgery Start Date]]=BDate),0,1),0))*1440),0)</f>
        <v>0</v>
      </c>
      <c r="CY27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0" s="9"/>
    </row>
    <row r="271" spans="1:104" x14ac:dyDescent="0.2">
      <c r="A271">
        <v>270</v>
      </c>
      <c r="B271" t="e">
        <f>#REF!</f>
        <v>#REF!</v>
      </c>
      <c r="C271" t="e">
        <f>#REF!</f>
        <v>#REF!</v>
      </c>
      <c r="D271" t="e">
        <f>#REF!</f>
        <v>#REF!</v>
      </c>
      <c r="E271" t="e">
        <f>#REF!</f>
        <v>#REF!</v>
      </c>
      <c r="F271" t="e">
        <f>#REF!</f>
        <v>#REF!</v>
      </c>
      <c r="G271" t="e">
        <f>#REF!</f>
        <v>#REF!</v>
      </c>
      <c r="H271" t="e">
        <f>#REF!</f>
        <v>#REF!</v>
      </c>
      <c r="I271" t="e">
        <f>IF(#REF!="Case Cancelled",1,IF(#REF!="No Cases",2,0))</f>
        <v>#REF!</v>
      </c>
      <c r="J271" t="e">
        <f>#REF!</f>
        <v>#REF!</v>
      </c>
      <c r="K271" s="4" t="e">
        <f>#REF!</f>
        <v>#REF!</v>
      </c>
      <c r="L271" t="e">
        <f>"Wk "&amp;WEEKNUM(tbl_Case_mins[[#This Row],[Surgery Start Date]],21)</f>
        <v>#REF!</v>
      </c>
      <c r="M271" t="e">
        <f>TEXT(tbl_Case_mins[[#This Row],[Surgery Start Date]],"ddd")</f>
        <v>#REF!</v>
      </c>
      <c r="N271" s="9" t="e">
        <f>(#REF!-TIME(0,0,0))*1440</f>
        <v>#REF!</v>
      </c>
      <c r="O271" t="e">
        <f>IF(AND(ROUND((#REF!-TIME(0,0,0))*1440,0)&gt;0,ROUND((#REF!-TIME(0,0,0))*1440,0)&lt;tbl_Case_mins[[#This Row],[Patient Called]],tbl_Case_mins[[#This Row],[Surgery End Date]]&gt;tbl_Case_mins[[#This Row],[Surgery Start Date]]),ROUND((#REF!-TIME(0,0,0))*1440,0)+1440,ROUND((#REF!-TIME(0,0,0))*1440,0))</f>
        <v>#REF!</v>
      </c>
      <c r="P271" s="9" t="e">
        <f>IF(AND(ROUND((#REF!-TIME(0,0,0))*1440,0)&gt;0,ROUND((#REF!-TIME(0,0,0))*1440,0)&lt;tbl_Case_mins[[#This Row],[Arrival]],tbl_Case_mins[[#This Row],[Surgery End Date]]&gt;tbl_Case_mins[[#This Row],[Surgery Start Date]]),ROUND((#REF!-TIME(0,0,0))*1440,0)+1440,ROUND((#REF!-TIME(0,0,0))*1440,0))</f>
        <v>#REF!</v>
      </c>
      <c r="Q271" s="9" t="e">
        <f>IF(AND(ROUND((#REF!-TIME(0,0,0))*1440,0)&gt;0,ROUND((#REF!-TIME(0,0,0))*1440,0)&lt;tbl_Case_mins[[#This Row],[Into Th or AR]],tbl_Case_mins[[#This Row],[Surgery End Date]]&gt;tbl_Case_mins[[#This Row],[Surgery Start Date]]),ROUND((#REF!-TIME(0,0,0))*1440,0)+1440,ROUND((#REF!-TIME(0,0,0))*1440,0))</f>
        <v>#REF!</v>
      </c>
      <c r="R271" s="9" t="e">
        <f>IF(AND(ROUND((#REF!-TIME(0,0,0))*1440,0)&gt;0,ROUND((#REF!-TIME(0,0,0))*1440,0)&lt;tbl_Case_mins[[#This Row],[AnaesthStart]],tbl_Case_mins[[#This Row],[Surgery End Date]]&gt;tbl_Case_mins[[#This Row],[Surgery Start Date]]),ROUND((#REF!-TIME(0,0,0))*1440,0)+1440,ROUND((#REF!-TIME(0,0,0))*1440,0))</f>
        <v>#REF!</v>
      </c>
      <c r="S271" s="9" t="e">
        <f>IF(AND(ROUND((#REF!-TIME(0,0,0))*1440,0),ROUND((#REF!-TIME(0,0,0))*1440,0)&lt;tbl_Case_mins[[#This Row],[Surgery Start]],tbl_Case_mins[[#This Row],[Surgery End Date]]&gt;tbl_Case_mins[[#This Row],[Surgery Start Date]]),ROUND((#REF!-TIME(0,0,0))*1440,0)+1440,ROUND((#REF!-TIME(0,0,0))*1440,0))</f>
        <v>#REF!</v>
      </c>
      <c r="T271" s="9" t="e">
        <f>IF(AND(ROUND((#REF!-TIME(0,0,0))*1440,0)&gt;0,ROUND((#REF!-TIME(0,0,0))*1440,0)&lt;tbl_Case_mins[[#This Row],[Surgery Finish]],tbl_Case_mins[[#This Row],[Surgery End Date]]&gt;tbl_Case_mins[[#This Row],[Surgery Start Date]]),ROUND((#REF!-TIME(0,0,0))*1440,0)+1440,ROUND((#REF!-TIME(0,0,0))*1440,0))</f>
        <v>#REF!</v>
      </c>
      <c r="U271" s="9" t="e">
        <f>IF(AND(ROUND((#REF!-TIME(0,0,0))*1440,0)&gt;0,ROUND((#REF!-TIME(0,0,0))*1440,0)&lt;tbl_Case_mins[[#This Row],[Anaesth End]],tbl_Case_mins[[#This Row],[Surgery End Date]]&gt;tbl_Case_mins[[#This Row],[Surgery Start Date]]),ROUND((#REF!-TIME(0,0,0))*1440,0)+1440,ROUND((#REF!-TIME(0,0,0))*1440,0))</f>
        <v>#REF!</v>
      </c>
      <c r="V271" s="9" t="e">
        <f>IF(AND(ROUND((#REF!-TIME(0,0,0))*1440,0)&gt;0,ROUND((#REF!-TIME(0,0,0))*1440,0)&lt;tbl_Case_mins[[#This Row],[Into Recov]],tbl_Case_mins[[#This Row],[Surgery End Date]]&gt;tbl_Case_mins[[#This Row],[Surgery Start Date]]),ROUND((#REF!-TIME(0,0,0))*1440,0)+1440,ROUND((#REF!-TIME(0,0,0))*1440,0))</f>
        <v>#REF!</v>
      </c>
      <c r="W271" s="9" t="e">
        <f>IF(AND(ROUND((#REF!-TIME(0,0,0))*1440,0)&gt;0,ROUND((#REF!-TIME(0,0,0))*1440,0)&lt;tbl_Case_mins[[#This Row],[Ward Called]],tbl_Case_mins[[#This Row],[Surgery End Date]]&gt;tbl_Case_mins[[#This Row],[Surgery Start Date]]),ROUND((#REF!-TIME(0,0,0))*1440,0)+1440,ROUND((#REF!-TIME(0,0,0))*1440,0))</f>
        <v>#REF!</v>
      </c>
      <c r="X271" s="4" t="e">
        <f>IF(ISBLANK(#REF!),tbl_Case_mins[[#This Row],[Surgery Start Date]],#REF!)</f>
        <v>#REF!</v>
      </c>
      <c r="Y271">
        <f>IFERROR(IF(VLOOKUP(tbl_Case_mins[[#This Row],[Theatre]],'Mng Theatres'!$C$7:$G$12,3,FALSE)="Yes","Yes","No"),0)</f>
        <v>0</v>
      </c>
      <c r="Z271" s="9" t="e" cm="1">
        <f t="array" ref="Z27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1" s="9" t="e" cm="1">
        <f t="array" ref="AA27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1" s="9" t="e">
        <f>IF(tbl_Case_mins[[#This Row],[Case Type]]="Unsch",1,0)</f>
        <v>#REF!</v>
      </c>
      <c r="AD271" s="9" t="e">
        <f>IF(tbl_Case_mins[[#This Row],[Case Type]]="Sch",1,0)</f>
        <v>#REF!</v>
      </c>
      <c r="AE27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1" s="9">
        <f>IFERROR(IF(ISBLANK(INDEX(Am_Close,MATCH(1,INDEX((tbl_Case_mins[[#This Row],[Theatre]]=Theatre_No)*(tbl_Case_mins[[#This Row],[Surgery Start Date]]=Date),0,1),0))*1440),0,INDEX(Am_Close,MATCH(1,INDEX((tbl_Case_mins[[#This Row],[Theatre]]=Theatre_No)*(tbl_Case_mins[[#This Row],[Surgery Start Date]]=Date),0,1),0))*1440),0)</f>
        <v>0</v>
      </c>
      <c r="AG271" s="9">
        <f>IFERROR(IF(ISBLANK(INDEX(PM_Open,MATCH(1,INDEX((tbl_Case_mins[[#This Row],[Theatre]]=Theatre_No)*(tbl_Case_mins[[#This Row],[Surgery Start Date]]=Date),0,1),0))*1440),0,INDEX(PM_Open,MATCH(1,INDEX((tbl_Case_mins[[#This Row],[Theatre]]=Theatre_No)*(tbl_Case_mins[[#This Row],[Surgery Start Date]]=Date),0,1),0))*1440),0)</f>
        <v>0</v>
      </c>
      <c r="AH27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1" s="9" t="e">
        <f>IF(tbl_Case_mins[[#This Row],[ThOpenAm]]=0,tbl_Case_mins[[#This Row],[ThOpenPM]],tbl_Case_mins[[#This Row],[ThOpenAm]])</f>
        <v>#REF!</v>
      </c>
      <c r="AJ271" s="9" t="e">
        <f>IF(tbl_Case_mins[[#This Row],[ThCloseAm]]&gt;0,IF(tbl_Case_mins[[#This Row],[ThOpenPM]]&gt;0,tbl_Case_mins[[#This Row],[ThClosePm]],tbl_Case_mins[[#This Row],[ThCloseAm]]),tbl_Case_mins[[#This Row],[ThClosePm]])</f>
        <v>#REF!</v>
      </c>
      <c r="AK271" s="9" t="e">
        <f>IF(tbl_Case_mins[[#This Row],[TOT]]&gt;0,1,0)</f>
        <v>#REF!</v>
      </c>
      <c r="AL27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1" s="9" t="e">
        <f>IF(AND(tbl_Case_mins[[#This Row],[Surgery Status]]&lt;&gt;2,tbl_Case_mins[[#This Row],[InCoreCase]]=0,tbl_Case_mins[[#This Row],[CancelledCase]]=0),1,0)</f>
        <v>#REF!</v>
      </c>
      <c r="AN271" s="9" t="e">
        <f>IF(tbl_Case_mins[[#This Row],[Surgery Status]]=1,1,0)</f>
        <v>#REF!</v>
      </c>
      <c r="AO27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1" s="9" t="e">
        <f>IF(AND(tbl_Case_mins[[#This Row],[NonCoreCase]]=1,tbl_Case_mins[[#This Row],[NoInCoreTime]]=0),1,0)</f>
        <v>#REF!</v>
      </c>
      <c r="AQ271" s="9" t="e">
        <f>IF(tbl_Case_mins[[#This Row],[Rank_AnaEnd]]&lt;tbl_Case_mins[[#This Row],[Rank_AnaSt]],1,0)</f>
        <v>#REF!</v>
      </c>
      <c r="AR271" s="9" t="e">
        <f>IF(AND(tbl_Case_mins[[#This Row],[InCoreCase]]=1,tbl_Case_mins[[#This Row],[Sch]]=1),1,0)</f>
        <v>#REF!</v>
      </c>
      <c r="AS271" s="9" t="e">
        <f>IF(AND(tbl_Case_mins[[#This Row],[InCoreCase]]=1,tbl_Case_mins[[#This Row],[Unsch]]=1),1,0)</f>
        <v>#REF!</v>
      </c>
      <c r="AT27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1" s="9" t="e">
        <f>IF(tbl_Case_mins[[#This Row],[Surgery Status]]=0,(tbl_Case_mins[[#This Row],[Anaesth End]]-tbl_Case_mins[[#This Row],[AnaesthStart]]),0)</f>
        <v>#REF!</v>
      </c>
      <c r="AX271" s="9" t="e">
        <f>IF(tbl_Case_mins[[#This Row],[Surgery Status]]=0,(tbl_Case_mins[[#This Row],[Surgery Finish]]-tbl_Case_mins[[#This Row],[Surgery Start]]),0)</f>
        <v>#REF!</v>
      </c>
      <c r="AY271" s="9" t="e">
        <f>tbl_Case_mins[[#This Row],[Surgery Start]]-tbl_Case_mins[[#This Row],[AnaesthStart]]</f>
        <v>#REF!</v>
      </c>
      <c r="AZ271" s="9" t="e">
        <f>tbl_Case_mins[[#This Row],[Anaesth End]]-tbl_Case_mins[[#This Row],[Surgery Finish]]</f>
        <v>#REF!</v>
      </c>
      <c r="BA27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1" s="16" cm="1">
        <f t="array" ref="BC27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1" s="16" t="e">
        <f>IF(AND(tbl_Case_mins[[#This Row],[FirstAMCase]]=1,tbl_Case_mins[[#This Row],[CancelledCase]]=0,OR(tbl_Case_mins[[#This Row],[EarlyStartAM]]&gt;0,tbl_Case_mins[[#This Row],[AnaesthStart]]=tbl_Case_mins[[#This Row],[ThOpenAm]])),1,0)</f>
        <v>#REF!</v>
      </c>
      <c r="BE271" s="16" t="e">
        <f>IF(AND(tbl_Case_mins[[#This Row],[Rank_AnaSt]]=tbl_Case_mins[[#This Row],[Min_RankAnaSt]],tbl_Case_mins[[#This Row],[Anaesth End]]&gt;=tbl_Case_mins[[#This Row],[ThOpenAm]],tbl_Case_mins[[#This Row],[PmCase]]=0),1,0)</f>
        <v>#REF!</v>
      </c>
      <c r="BF27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1" s="9" t="e" cm="1">
        <f t="array" ref="BH27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1" s="9" t="e">
        <f>IF(AND(tbl_Case_mins[[#This Row],[ThOpenPM]]&gt;0,tbl_Case_mins[[#This Row],[AnaesthStart]]&gt;tbl_Case_mins[[#This Row],[ThOpenPM]],tbl_Case_mins[[#This Row],[First PM Case]]=1),tbl_Case_mins[[#This Row],[AnaesthStart]]-tbl_Case_mins[[#This Row],[ThOpenPM]],0)</f>
        <v>#REF!</v>
      </c>
      <c r="BL27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1" s="9" t="e" cm="1">
        <f t="array" ref="BN27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1" s="9" t="e">
        <f>IF(AND(tbl_Case_mins[[#This Row],[ThClosePm]]&gt;0,tbl_Case_mins[[#This Row],[Anaesth End]]&gt;tbl_Case_mins[[#This Row],[ThClosePm]],tbl_Case_mins[[#This Row],[AnaesthStart]]&gt;tbl_Case_mins[[#This Row],[ThClosePm]]),tbl_Case_mins[[#This Row],[Into Recov]]-tbl_Case_mins[[#This Row],[AnaesthStart]],0)</f>
        <v>#REF!</v>
      </c>
      <c r="BP271" s="9" t="e">
        <f>IF(AND(tbl_Case_mins[[#This Row],[AnaesthStart]]&lt;tbl_Case_mins[[#This Row],[ThClosePm]],tbl_Case_mins[[#This Row],[Anaesth End]]&gt;tbl_Case_mins[[#This Row],[ThClosePm]]),tbl_Case_mins[[#This Row],[Anaesth End]]-tbl_Case_mins[[#This Row],[ThClosePm]],0)</f>
        <v>#REF!</v>
      </c>
      <c r="BQ271" s="9" t="e" cm="1">
        <f t="array" ref="BQ27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1" s="9" t="e" cm="1">
        <f t="array" ref="BR271">IF(tbl_Case_mins[[#This Row],[Rank_Adjust]]=SUMPRODUCT(-(tbl_Case_mins[Surgery Start Date]=tbl_Case_mins[[#This Row],[Surgery Start Date]]),-(tbl_Case_mins[Theatre]=tbl_Case_mins[[#This Row],[Theatre]])),INDEX(Poss_Time,MATCH(TEXT(tbl_Case_mins[[#This Row],[Surgery Start Date]],"ddd"),Day,0)),0)</f>
        <v>#REF!</v>
      </c>
      <c r="BS271" s="9" t="e">
        <f>tbl_Case_mins[[#This Row],[Core_Time]]*Util_Goal</f>
        <v>#REF!</v>
      </c>
      <c r="BT271" s="9" t="e" cm="1">
        <f t="array" ref="BT2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1" s="9" t="e" cm="1">
        <f t="array" ref="BU2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1" s="9" t="e">
        <f>IF(tbl_Case_mins[[#This Row],[Surgery End Date]]&gt;tbl_Case_mins[[#This Row],[Surgery Start Date]],tbl_Case_mins[[#This Row],[Anaesth End]]-1440,0)</f>
        <v>#REF!</v>
      </c>
      <c r="BY271" s="9" t="e">
        <f>tbl_Case_mins[[#This Row],[Total_NonCore]]-tbl_Case_mins[[#This Row],[NextDay_NonCore]]</f>
        <v>#REF!</v>
      </c>
      <c r="BZ271" s="10" t="e">
        <f>tbl_Case_mins[[#This Row],[InCoreUse]]/60</f>
        <v>#REF!</v>
      </c>
      <c r="CA271" s="10" t="e">
        <f>tbl_Case_mins[[#This Row],[Total_NonCore]]/60</f>
        <v>#REF!</v>
      </c>
      <c r="CB271" t="e" cm="1">
        <f t="array" ref="CB2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1" s="9" t="e" cm="1">
        <f t="array" ref="CC27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1" s="9" t="e" cm="1">
        <f t="array" ref="CD2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1" s="9" t="e" cm="1">
        <f t="array" ref="CE27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1" s="9" cm="1">
        <f t="array" ref="CF271">IFERROR(_xlfn.AGGREGATE(14,6,(tbl_Case_mins[Rank_AnaEnd])/((tbl_Case_mins[Surgery Start Date]=tbl_Case_mins[[#This Row],[Surgery Start Date]])*(tbl_Case_mins[Theatre]=tbl_Case_mins[[#This Row],[Theatre]])*(tbl_Case_mins[NoInCoreTime]=0)),1),-1)</f>
        <v>-1</v>
      </c>
      <c r="CG271" s="9" cm="1">
        <f t="array" ref="CG271">IFERROR(_xlfn.AGGREGATE(15,6,(tbl_Case_mins[Rank_AnaSt])/((tbl_Case_mins[Surgery Start Date]=tbl_Case_mins[[#This Row],[Surgery Start Date]])*(tbl_Case_mins[Theatre]=tbl_Case_mins[[#This Row],[Theatre]])*(tbl_Case_mins[NoInCoreTime]=0)),1),-1)</f>
        <v>-1</v>
      </c>
      <c r="CH27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1" t="e" cm="1">
        <f t="array" ref="CJ27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1" s="9" cm="1">
        <f t="array" ref="CO2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1" s="9" cm="1">
        <f t="array" ref="CP2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1" s="9" cm="1">
        <f t="array" ref="CQ271">IFERROR(IF(AND(tbl_Case_mins[[#This Row],[FirstAMCase]]=0,tbl_Case_mins[[#This Row],[Rank]]=_xlfn.AGGREGATE(14,6,(tbl_Case_mins[Rank])/((tbl_Case_mins[Surgery Start Date]=tbl_Case_mins[[#This Row],[Surgery Start Date]])*(tbl_Case_mins[Theatre]=tbl_Case_mins[[#This Row],[Theatre]])*(tbl_Case_mins[AmCase]=1)),1)),1,0),0)</f>
        <v>0</v>
      </c>
      <c r="CR271" s="9" cm="1">
        <f t="array" ref="CR27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1" s="9" t="e" cm="1">
        <f t="array" ref="CS27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1" s="9" cm="1">
        <f t="array" ref="CT271">IFERROR(IF(tbl_Case_mins[[#This Row],[Rank]]=_xlfn.AGGREGATE(15,6,(tbl_Case_mins[Rank])/((tbl_Case_mins[Surgery Start Date]=tbl_Case_mins[[#This Row],[Surgery Start Date]])*(tbl_Case_mins[Theatre]=tbl_Case_mins[[#This Row],[Theatre]])*(tbl_Case_mins[PmCase]=1)),1),1,0),0)</f>
        <v>0</v>
      </c>
      <c r="CU271">
        <f>IFERROR(#REF!,0)</f>
        <v>0</v>
      </c>
      <c r="CV271" s="9" t="e" cm="1">
        <f t="array" ref="CV27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1" s="9">
        <f>IFERROR(IF(ISBLANK(INDEX(Bay_AmClose,MATCH(1,INDEX((tbl_Case_mins[[#This Row],[Bay]]=BayNo)*(tbl_Case_mins[[#This Row],[Surgery Start Date]]=BDate),0,1),0))*1440),0,INDEX(Bay_AmClose,MATCH(1,INDEX((tbl_Case_mins[[#This Row],[Bay]]=BayNo)*(tbl_Case_mins[[#This Row],[Surgery Start Date]]=BDate),0,1),0))*1440),0)</f>
        <v>0</v>
      </c>
      <c r="CX271" s="9" cm="1">
        <f t="array" ref="CX271">IFERROR(IF(ISBLANK(INDEX(Bay_PmOpen,MATCH(1,INDEX((tbl_Case_mins[[#This Row],[Bay]]=BayNo)*(tbl_Case_mins[[#This Row],[Surgery Start Date]]=BDate),0,1),0))*1440),0,INDEX(Bay_PmOpen,MATCH(1,INDEX((tbl_Case_mins[[#This Row],[Bay]]=BayNo)*(tbl_Case_mins[[#This Row],[Surgery Start Date]]=BDate),0,1),0))*1440),0)</f>
        <v>0</v>
      </c>
      <c r="CY27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1" s="9"/>
    </row>
    <row r="272" spans="1:104" x14ac:dyDescent="0.2">
      <c r="A272">
        <v>271</v>
      </c>
      <c r="B272" t="e">
        <f>#REF!</f>
        <v>#REF!</v>
      </c>
      <c r="C272" t="e">
        <f>#REF!</f>
        <v>#REF!</v>
      </c>
      <c r="D272" t="e">
        <f>#REF!</f>
        <v>#REF!</v>
      </c>
      <c r="E272" t="e">
        <f>#REF!</f>
        <v>#REF!</v>
      </c>
      <c r="F272" t="e">
        <f>#REF!</f>
        <v>#REF!</v>
      </c>
      <c r="G272" t="e">
        <f>#REF!</f>
        <v>#REF!</v>
      </c>
      <c r="H272" t="e">
        <f>#REF!</f>
        <v>#REF!</v>
      </c>
      <c r="I272" t="e">
        <f>IF(#REF!="Case Cancelled",1,IF(#REF!="No Cases",2,0))</f>
        <v>#REF!</v>
      </c>
      <c r="J272" t="e">
        <f>#REF!</f>
        <v>#REF!</v>
      </c>
      <c r="K272" s="4" t="e">
        <f>#REF!</f>
        <v>#REF!</v>
      </c>
      <c r="L272" t="e">
        <f>"Wk "&amp;WEEKNUM(tbl_Case_mins[[#This Row],[Surgery Start Date]],21)</f>
        <v>#REF!</v>
      </c>
      <c r="M272" t="e">
        <f>TEXT(tbl_Case_mins[[#This Row],[Surgery Start Date]],"ddd")</f>
        <v>#REF!</v>
      </c>
      <c r="N272" s="9" t="e">
        <f>(#REF!-TIME(0,0,0))*1440</f>
        <v>#REF!</v>
      </c>
      <c r="O272" t="e">
        <f>IF(AND(ROUND((#REF!-TIME(0,0,0))*1440,0)&gt;0,ROUND((#REF!-TIME(0,0,0))*1440,0)&lt;tbl_Case_mins[[#This Row],[Patient Called]],tbl_Case_mins[[#This Row],[Surgery End Date]]&gt;tbl_Case_mins[[#This Row],[Surgery Start Date]]),ROUND((#REF!-TIME(0,0,0))*1440,0)+1440,ROUND((#REF!-TIME(0,0,0))*1440,0))</f>
        <v>#REF!</v>
      </c>
      <c r="P272" s="9" t="e">
        <f>IF(AND(ROUND((#REF!-TIME(0,0,0))*1440,0)&gt;0,ROUND((#REF!-TIME(0,0,0))*1440,0)&lt;tbl_Case_mins[[#This Row],[Arrival]],tbl_Case_mins[[#This Row],[Surgery End Date]]&gt;tbl_Case_mins[[#This Row],[Surgery Start Date]]),ROUND((#REF!-TIME(0,0,0))*1440,0)+1440,ROUND((#REF!-TIME(0,0,0))*1440,0))</f>
        <v>#REF!</v>
      </c>
      <c r="Q272" s="9" t="e">
        <f>IF(AND(ROUND((#REF!-TIME(0,0,0))*1440,0)&gt;0,ROUND((#REF!-TIME(0,0,0))*1440,0)&lt;tbl_Case_mins[[#This Row],[Into Th or AR]],tbl_Case_mins[[#This Row],[Surgery End Date]]&gt;tbl_Case_mins[[#This Row],[Surgery Start Date]]),ROUND((#REF!-TIME(0,0,0))*1440,0)+1440,ROUND((#REF!-TIME(0,0,0))*1440,0))</f>
        <v>#REF!</v>
      </c>
      <c r="R272" s="9" t="e">
        <f>IF(AND(ROUND((#REF!-TIME(0,0,0))*1440,0)&gt;0,ROUND((#REF!-TIME(0,0,0))*1440,0)&lt;tbl_Case_mins[[#This Row],[AnaesthStart]],tbl_Case_mins[[#This Row],[Surgery End Date]]&gt;tbl_Case_mins[[#This Row],[Surgery Start Date]]),ROUND((#REF!-TIME(0,0,0))*1440,0)+1440,ROUND((#REF!-TIME(0,0,0))*1440,0))</f>
        <v>#REF!</v>
      </c>
      <c r="S272" s="9" t="e">
        <f>IF(AND(ROUND((#REF!-TIME(0,0,0))*1440,0),ROUND((#REF!-TIME(0,0,0))*1440,0)&lt;tbl_Case_mins[[#This Row],[Surgery Start]],tbl_Case_mins[[#This Row],[Surgery End Date]]&gt;tbl_Case_mins[[#This Row],[Surgery Start Date]]),ROUND((#REF!-TIME(0,0,0))*1440,0)+1440,ROUND((#REF!-TIME(0,0,0))*1440,0))</f>
        <v>#REF!</v>
      </c>
      <c r="T272" s="9" t="e">
        <f>IF(AND(ROUND((#REF!-TIME(0,0,0))*1440,0)&gt;0,ROUND((#REF!-TIME(0,0,0))*1440,0)&lt;tbl_Case_mins[[#This Row],[Surgery Finish]],tbl_Case_mins[[#This Row],[Surgery End Date]]&gt;tbl_Case_mins[[#This Row],[Surgery Start Date]]),ROUND((#REF!-TIME(0,0,0))*1440,0)+1440,ROUND((#REF!-TIME(0,0,0))*1440,0))</f>
        <v>#REF!</v>
      </c>
      <c r="U272" s="9" t="e">
        <f>IF(AND(ROUND((#REF!-TIME(0,0,0))*1440,0)&gt;0,ROUND((#REF!-TIME(0,0,0))*1440,0)&lt;tbl_Case_mins[[#This Row],[Anaesth End]],tbl_Case_mins[[#This Row],[Surgery End Date]]&gt;tbl_Case_mins[[#This Row],[Surgery Start Date]]),ROUND((#REF!-TIME(0,0,0))*1440,0)+1440,ROUND((#REF!-TIME(0,0,0))*1440,0))</f>
        <v>#REF!</v>
      </c>
      <c r="V272" s="9" t="e">
        <f>IF(AND(ROUND((#REF!-TIME(0,0,0))*1440,0)&gt;0,ROUND((#REF!-TIME(0,0,0))*1440,0)&lt;tbl_Case_mins[[#This Row],[Into Recov]],tbl_Case_mins[[#This Row],[Surgery End Date]]&gt;tbl_Case_mins[[#This Row],[Surgery Start Date]]),ROUND((#REF!-TIME(0,0,0))*1440,0)+1440,ROUND((#REF!-TIME(0,0,0))*1440,0))</f>
        <v>#REF!</v>
      </c>
      <c r="W272" s="9" t="e">
        <f>IF(AND(ROUND((#REF!-TIME(0,0,0))*1440,0)&gt;0,ROUND((#REF!-TIME(0,0,0))*1440,0)&lt;tbl_Case_mins[[#This Row],[Ward Called]],tbl_Case_mins[[#This Row],[Surgery End Date]]&gt;tbl_Case_mins[[#This Row],[Surgery Start Date]]),ROUND((#REF!-TIME(0,0,0))*1440,0)+1440,ROUND((#REF!-TIME(0,0,0))*1440,0))</f>
        <v>#REF!</v>
      </c>
      <c r="X272" s="4" t="e">
        <f>IF(ISBLANK(#REF!),tbl_Case_mins[[#This Row],[Surgery Start Date]],#REF!)</f>
        <v>#REF!</v>
      </c>
      <c r="Y272">
        <f>IFERROR(IF(VLOOKUP(tbl_Case_mins[[#This Row],[Theatre]],'Mng Theatres'!$C$7:$G$12,3,FALSE)="Yes","Yes","No"),0)</f>
        <v>0</v>
      </c>
      <c r="Z272" s="9" t="e" cm="1">
        <f t="array" ref="Z27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2" s="9" t="e" cm="1">
        <f t="array" ref="AA27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2" s="9" t="e">
        <f>IF(tbl_Case_mins[[#This Row],[Case Type]]="Unsch",1,0)</f>
        <v>#REF!</v>
      </c>
      <c r="AD272" s="9" t="e">
        <f>IF(tbl_Case_mins[[#This Row],[Case Type]]="Sch",1,0)</f>
        <v>#REF!</v>
      </c>
      <c r="AE27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2" s="9">
        <f>IFERROR(IF(ISBLANK(INDEX(Am_Close,MATCH(1,INDEX((tbl_Case_mins[[#This Row],[Theatre]]=Theatre_No)*(tbl_Case_mins[[#This Row],[Surgery Start Date]]=Date),0,1),0))*1440),0,INDEX(Am_Close,MATCH(1,INDEX((tbl_Case_mins[[#This Row],[Theatre]]=Theatre_No)*(tbl_Case_mins[[#This Row],[Surgery Start Date]]=Date),0,1),0))*1440),0)</f>
        <v>0</v>
      </c>
      <c r="AG272" s="9">
        <f>IFERROR(IF(ISBLANK(INDEX(PM_Open,MATCH(1,INDEX((tbl_Case_mins[[#This Row],[Theatre]]=Theatre_No)*(tbl_Case_mins[[#This Row],[Surgery Start Date]]=Date),0,1),0))*1440),0,INDEX(PM_Open,MATCH(1,INDEX((tbl_Case_mins[[#This Row],[Theatre]]=Theatre_No)*(tbl_Case_mins[[#This Row],[Surgery Start Date]]=Date),0,1),0))*1440),0)</f>
        <v>0</v>
      </c>
      <c r="AH27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2" s="9" t="e">
        <f>IF(tbl_Case_mins[[#This Row],[ThOpenAm]]=0,tbl_Case_mins[[#This Row],[ThOpenPM]],tbl_Case_mins[[#This Row],[ThOpenAm]])</f>
        <v>#REF!</v>
      </c>
      <c r="AJ272" s="9" t="e">
        <f>IF(tbl_Case_mins[[#This Row],[ThCloseAm]]&gt;0,IF(tbl_Case_mins[[#This Row],[ThOpenPM]]&gt;0,tbl_Case_mins[[#This Row],[ThClosePm]],tbl_Case_mins[[#This Row],[ThCloseAm]]),tbl_Case_mins[[#This Row],[ThClosePm]])</f>
        <v>#REF!</v>
      </c>
      <c r="AK272" s="9" t="e">
        <f>IF(tbl_Case_mins[[#This Row],[TOT]]&gt;0,1,0)</f>
        <v>#REF!</v>
      </c>
      <c r="AL27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2" s="9" t="e">
        <f>IF(AND(tbl_Case_mins[[#This Row],[Surgery Status]]&lt;&gt;2,tbl_Case_mins[[#This Row],[InCoreCase]]=0,tbl_Case_mins[[#This Row],[CancelledCase]]=0),1,0)</f>
        <v>#REF!</v>
      </c>
      <c r="AN272" s="9" t="e">
        <f>IF(tbl_Case_mins[[#This Row],[Surgery Status]]=1,1,0)</f>
        <v>#REF!</v>
      </c>
      <c r="AO27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2" s="9" t="e">
        <f>IF(AND(tbl_Case_mins[[#This Row],[NonCoreCase]]=1,tbl_Case_mins[[#This Row],[NoInCoreTime]]=0),1,0)</f>
        <v>#REF!</v>
      </c>
      <c r="AQ272" s="9" t="e">
        <f>IF(tbl_Case_mins[[#This Row],[Rank_AnaEnd]]&lt;tbl_Case_mins[[#This Row],[Rank_AnaSt]],1,0)</f>
        <v>#REF!</v>
      </c>
      <c r="AR272" s="9" t="e">
        <f>IF(AND(tbl_Case_mins[[#This Row],[InCoreCase]]=1,tbl_Case_mins[[#This Row],[Sch]]=1),1,0)</f>
        <v>#REF!</v>
      </c>
      <c r="AS272" s="9" t="e">
        <f>IF(AND(tbl_Case_mins[[#This Row],[InCoreCase]]=1,tbl_Case_mins[[#This Row],[Unsch]]=1),1,0)</f>
        <v>#REF!</v>
      </c>
      <c r="AT27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2" s="9" t="e">
        <f>IF(tbl_Case_mins[[#This Row],[Surgery Status]]=0,(tbl_Case_mins[[#This Row],[Anaesth End]]-tbl_Case_mins[[#This Row],[AnaesthStart]]),0)</f>
        <v>#REF!</v>
      </c>
      <c r="AX272" s="9" t="e">
        <f>IF(tbl_Case_mins[[#This Row],[Surgery Status]]=0,(tbl_Case_mins[[#This Row],[Surgery Finish]]-tbl_Case_mins[[#This Row],[Surgery Start]]),0)</f>
        <v>#REF!</v>
      </c>
      <c r="AY272" s="9" t="e">
        <f>tbl_Case_mins[[#This Row],[Surgery Start]]-tbl_Case_mins[[#This Row],[AnaesthStart]]</f>
        <v>#REF!</v>
      </c>
      <c r="AZ272" s="9" t="e">
        <f>tbl_Case_mins[[#This Row],[Anaesth End]]-tbl_Case_mins[[#This Row],[Surgery Finish]]</f>
        <v>#REF!</v>
      </c>
      <c r="BA27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2" s="16" cm="1">
        <f t="array" ref="BC27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2" s="16" t="e">
        <f>IF(AND(tbl_Case_mins[[#This Row],[FirstAMCase]]=1,tbl_Case_mins[[#This Row],[CancelledCase]]=0,OR(tbl_Case_mins[[#This Row],[EarlyStartAM]]&gt;0,tbl_Case_mins[[#This Row],[AnaesthStart]]=tbl_Case_mins[[#This Row],[ThOpenAm]])),1,0)</f>
        <v>#REF!</v>
      </c>
      <c r="BE272" s="16" t="e">
        <f>IF(AND(tbl_Case_mins[[#This Row],[Rank_AnaSt]]=tbl_Case_mins[[#This Row],[Min_RankAnaSt]],tbl_Case_mins[[#This Row],[Anaesth End]]&gt;=tbl_Case_mins[[#This Row],[ThOpenAm]],tbl_Case_mins[[#This Row],[PmCase]]=0),1,0)</f>
        <v>#REF!</v>
      </c>
      <c r="BF27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2" s="9" t="e" cm="1">
        <f t="array" ref="BH27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2" s="9" t="e">
        <f>IF(AND(tbl_Case_mins[[#This Row],[ThOpenPM]]&gt;0,tbl_Case_mins[[#This Row],[AnaesthStart]]&gt;tbl_Case_mins[[#This Row],[ThOpenPM]],tbl_Case_mins[[#This Row],[First PM Case]]=1),tbl_Case_mins[[#This Row],[AnaesthStart]]-tbl_Case_mins[[#This Row],[ThOpenPM]],0)</f>
        <v>#REF!</v>
      </c>
      <c r="BL27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2" s="9" t="e" cm="1">
        <f t="array" ref="BN27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2" s="9" t="e">
        <f>IF(AND(tbl_Case_mins[[#This Row],[ThClosePm]]&gt;0,tbl_Case_mins[[#This Row],[Anaesth End]]&gt;tbl_Case_mins[[#This Row],[ThClosePm]],tbl_Case_mins[[#This Row],[AnaesthStart]]&gt;tbl_Case_mins[[#This Row],[ThClosePm]]),tbl_Case_mins[[#This Row],[Into Recov]]-tbl_Case_mins[[#This Row],[AnaesthStart]],0)</f>
        <v>#REF!</v>
      </c>
      <c r="BP272" s="9" t="e">
        <f>IF(AND(tbl_Case_mins[[#This Row],[AnaesthStart]]&lt;tbl_Case_mins[[#This Row],[ThClosePm]],tbl_Case_mins[[#This Row],[Anaesth End]]&gt;tbl_Case_mins[[#This Row],[ThClosePm]]),tbl_Case_mins[[#This Row],[Anaesth End]]-tbl_Case_mins[[#This Row],[ThClosePm]],0)</f>
        <v>#REF!</v>
      </c>
      <c r="BQ272" s="9" t="e" cm="1">
        <f t="array" ref="BQ27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2" s="9" t="e" cm="1">
        <f t="array" ref="BR272">IF(tbl_Case_mins[[#This Row],[Rank_Adjust]]=SUMPRODUCT(-(tbl_Case_mins[Surgery Start Date]=tbl_Case_mins[[#This Row],[Surgery Start Date]]),-(tbl_Case_mins[Theatre]=tbl_Case_mins[[#This Row],[Theatre]])),INDEX(Poss_Time,MATCH(TEXT(tbl_Case_mins[[#This Row],[Surgery Start Date]],"ddd"),Day,0)),0)</f>
        <v>#REF!</v>
      </c>
      <c r="BS272" s="9" t="e">
        <f>tbl_Case_mins[[#This Row],[Core_Time]]*Util_Goal</f>
        <v>#REF!</v>
      </c>
      <c r="BT272" s="9" t="e" cm="1">
        <f t="array" ref="BT2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2" s="9" t="e" cm="1">
        <f t="array" ref="BU2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2" s="9" t="e">
        <f>IF(tbl_Case_mins[[#This Row],[Surgery End Date]]&gt;tbl_Case_mins[[#This Row],[Surgery Start Date]],tbl_Case_mins[[#This Row],[Anaesth End]]-1440,0)</f>
        <v>#REF!</v>
      </c>
      <c r="BY272" s="9" t="e">
        <f>tbl_Case_mins[[#This Row],[Total_NonCore]]-tbl_Case_mins[[#This Row],[NextDay_NonCore]]</f>
        <v>#REF!</v>
      </c>
      <c r="BZ272" s="10" t="e">
        <f>tbl_Case_mins[[#This Row],[InCoreUse]]/60</f>
        <v>#REF!</v>
      </c>
      <c r="CA272" s="10" t="e">
        <f>tbl_Case_mins[[#This Row],[Total_NonCore]]/60</f>
        <v>#REF!</v>
      </c>
      <c r="CB272" t="e" cm="1">
        <f t="array" ref="CB2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2" s="9" t="e" cm="1">
        <f t="array" ref="CC27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2" s="9" t="e" cm="1">
        <f t="array" ref="CD2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2" s="9" t="e" cm="1">
        <f t="array" ref="CE27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2" s="9" cm="1">
        <f t="array" ref="CF272">IFERROR(_xlfn.AGGREGATE(14,6,(tbl_Case_mins[Rank_AnaEnd])/((tbl_Case_mins[Surgery Start Date]=tbl_Case_mins[[#This Row],[Surgery Start Date]])*(tbl_Case_mins[Theatre]=tbl_Case_mins[[#This Row],[Theatre]])*(tbl_Case_mins[NoInCoreTime]=0)),1),-1)</f>
        <v>-1</v>
      </c>
      <c r="CG272" s="9" cm="1">
        <f t="array" ref="CG272">IFERROR(_xlfn.AGGREGATE(15,6,(tbl_Case_mins[Rank_AnaSt])/((tbl_Case_mins[Surgery Start Date]=tbl_Case_mins[[#This Row],[Surgery Start Date]])*(tbl_Case_mins[Theatre]=tbl_Case_mins[[#This Row],[Theatre]])*(tbl_Case_mins[NoInCoreTime]=0)),1),-1)</f>
        <v>-1</v>
      </c>
      <c r="CH27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2" t="e" cm="1">
        <f t="array" ref="CJ27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2" s="9" cm="1">
        <f t="array" ref="CO2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2" s="9" cm="1">
        <f t="array" ref="CP2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2" s="9" cm="1">
        <f t="array" ref="CQ272">IFERROR(IF(AND(tbl_Case_mins[[#This Row],[FirstAMCase]]=0,tbl_Case_mins[[#This Row],[Rank]]=_xlfn.AGGREGATE(14,6,(tbl_Case_mins[Rank])/((tbl_Case_mins[Surgery Start Date]=tbl_Case_mins[[#This Row],[Surgery Start Date]])*(tbl_Case_mins[Theatre]=tbl_Case_mins[[#This Row],[Theatre]])*(tbl_Case_mins[AmCase]=1)),1)),1,0),0)</f>
        <v>0</v>
      </c>
      <c r="CR272" s="9" cm="1">
        <f t="array" ref="CR27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2" s="9" t="e" cm="1">
        <f t="array" ref="CS27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2" s="9" cm="1">
        <f t="array" ref="CT272">IFERROR(IF(tbl_Case_mins[[#This Row],[Rank]]=_xlfn.AGGREGATE(15,6,(tbl_Case_mins[Rank])/((tbl_Case_mins[Surgery Start Date]=tbl_Case_mins[[#This Row],[Surgery Start Date]])*(tbl_Case_mins[Theatre]=tbl_Case_mins[[#This Row],[Theatre]])*(tbl_Case_mins[PmCase]=1)),1),1,0),0)</f>
        <v>0</v>
      </c>
      <c r="CU272">
        <f>IFERROR(#REF!,0)</f>
        <v>0</v>
      </c>
      <c r="CV272" s="9" t="e" cm="1">
        <f t="array" ref="CV27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2" s="9">
        <f>IFERROR(IF(ISBLANK(INDEX(Bay_AmClose,MATCH(1,INDEX((tbl_Case_mins[[#This Row],[Bay]]=BayNo)*(tbl_Case_mins[[#This Row],[Surgery Start Date]]=BDate),0,1),0))*1440),0,INDEX(Bay_AmClose,MATCH(1,INDEX((tbl_Case_mins[[#This Row],[Bay]]=BayNo)*(tbl_Case_mins[[#This Row],[Surgery Start Date]]=BDate),0,1),0))*1440),0)</f>
        <v>0</v>
      </c>
      <c r="CX272" s="9" cm="1">
        <f t="array" ref="CX272">IFERROR(IF(ISBLANK(INDEX(Bay_PmOpen,MATCH(1,INDEX((tbl_Case_mins[[#This Row],[Bay]]=BayNo)*(tbl_Case_mins[[#This Row],[Surgery Start Date]]=BDate),0,1),0))*1440),0,INDEX(Bay_PmOpen,MATCH(1,INDEX((tbl_Case_mins[[#This Row],[Bay]]=BayNo)*(tbl_Case_mins[[#This Row],[Surgery Start Date]]=BDate),0,1),0))*1440),0)</f>
        <v>0</v>
      </c>
      <c r="CY27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2" s="9"/>
    </row>
    <row r="273" spans="1:104" x14ac:dyDescent="0.2">
      <c r="A273">
        <v>272</v>
      </c>
      <c r="B273" t="e">
        <f>#REF!</f>
        <v>#REF!</v>
      </c>
      <c r="C273" t="e">
        <f>#REF!</f>
        <v>#REF!</v>
      </c>
      <c r="D273" t="e">
        <f>#REF!</f>
        <v>#REF!</v>
      </c>
      <c r="E273" t="e">
        <f>#REF!</f>
        <v>#REF!</v>
      </c>
      <c r="F273" t="e">
        <f>#REF!</f>
        <v>#REF!</v>
      </c>
      <c r="G273" t="e">
        <f>#REF!</f>
        <v>#REF!</v>
      </c>
      <c r="H273" t="e">
        <f>#REF!</f>
        <v>#REF!</v>
      </c>
      <c r="I273" t="e">
        <f>IF(#REF!="Case Cancelled",1,IF(#REF!="No Cases",2,0))</f>
        <v>#REF!</v>
      </c>
      <c r="J273" t="e">
        <f>#REF!</f>
        <v>#REF!</v>
      </c>
      <c r="K273" s="4" t="e">
        <f>#REF!</f>
        <v>#REF!</v>
      </c>
      <c r="L273" t="e">
        <f>"Wk "&amp;WEEKNUM(tbl_Case_mins[[#This Row],[Surgery Start Date]],21)</f>
        <v>#REF!</v>
      </c>
      <c r="M273" t="e">
        <f>TEXT(tbl_Case_mins[[#This Row],[Surgery Start Date]],"ddd")</f>
        <v>#REF!</v>
      </c>
      <c r="N273" s="9" t="e">
        <f>(#REF!-TIME(0,0,0))*1440</f>
        <v>#REF!</v>
      </c>
      <c r="O273" t="e">
        <f>IF(AND(ROUND((#REF!-TIME(0,0,0))*1440,0)&gt;0,ROUND((#REF!-TIME(0,0,0))*1440,0)&lt;tbl_Case_mins[[#This Row],[Patient Called]],tbl_Case_mins[[#This Row],[Surgery End Date]]&gt;tbl_Case_mins[[#This Row],[Surgery Start Date]]),ROUND((#REF!-TIME(0,0,0))*1440,0)+1440,ROUND((#REF!-TIME(0,0,0))*1440,0))</f>
        <v>#REF!</v>
      </c>
      <c r="P273" s="9" t="e">
        <f>IF(AND(ROUND((#REF!-TIME(0,0,0))*1440,0)&gt;0,ROUND((#REF!-TIME(0,0,0))*1440,0)&lt;tbl_Case_mins[[#This Row],[Arrival]],tbl_Case_mins[[#This Row],[Surgery End Date]]&gt;tbl_Case_mins[[#This Row],[Surgery Start Date]]),ROUND((#REF!-TIME(0,0,0))*1440,0)+1440,ROUND((#REF!-TIME(0,0,0))*1440,0))</f>
        <v>#REF!</v>
      </c>
      <c r="Q273" s="9" t="e">
        <f>IF(AND(ROUND((#REF!-TIME(0,0,0))*1440,0)&gt;0,ROUND((#REF!-TIME(0,0,0))*1440,0)&lt;tbl_Case_mins[[#This Row],[Into Th or AR]],tbl_Case_mins[[#This Row],[Surgery End Date]]&gt;tbl_Case_mins[[#This Row],[Surgery Start Date]]),ROUND((#REF!-TIME(0,0,0))*1440,0)+1440,ROUND((#REF!-TIME(0,0,0))*1440,0))</f>
        <v>#REF!</v>
      </c>
      <c r="R273" s="9" t="e">
        <f>IF(AND(ROUND((#REF!-TIME(0,0,0))*1440,0)&gt;0,ROUND((#REF!-TIME(0,0,0))*1440,0)&lt;tbl_Case_mins[[#This Row],[AnaesthStart]],tbl_Case_mins[[#This Row],[Surgery End Date]]&gt;tbl_Case_mins[[#This Row],[Surgery Start Date]]),ROUND((#REF!-TIME(0,0,0))*1440,0)+1440,ROUND((#REF!-TIME(0,0,0))*1440,0))</f>
        <v>#REF!</v>
      </c>
      <c r="S273" s="9" t="e">
        <f>IF(AND(ROUND((#REF!-TIME(0,0,0))*1440,0),ROUND((#REF!-TIME(0,0,0))*1440,0)&lt;tbl_Case_mins[[#This Row],[Surgery Start]],tbl_Case_mins[[#This Row],[Surgery End Date]]&gt;tbl_Case_mins[[#This Row],[Surgery Start Date]]),ROUND((#REF!-TIME(0,0,0))*1440,0)+1440,ROUND((#REF!-TIME(0,0,0))*1440,0))</f>
        <v>#REF!</v>
      </c>
      <c r="T273" s="9" t="e">
        <f>IF(AND(ROUND((#REF!-TIME(0,0,0))*1440,0)&gt;0,ROUND((#REF!-TIME(0,0,0))*1440,0)&lt;tbl_Case_mins[[#This Row],[Surgery Finish]],tbl_Case_mins[[#This Row],[Surgery End Date]]&gt;tbl_Case_mins[[#This Row],[Surgery Start Date]]),ROUND((#REF!-TIME(0,0,0))*1440,0)+1440,ROUND((#REF!-TIME(0,0,0))*1440,0))</f>
        <v>#REF!</v>
      </c>
      <c r="U273" s="9" t="e">
        <f>IF(AND(ROUND((#REF!-TIME(0,0,0))*1440,0)&gt;0,ROUND((#REF!-TIME(0,0,0))*1440,0)&lt;tbl_Case_mins[[#This Row],[Anaesth End]],tbl_Case_mins[[#This Row],[Surgery End Date]]&gt;tbl_Case_mins[[#This Row],[Surgery Start Date]]),ROUND((#REF!-TIME(0,0,0))*1440,0)+1440,ROUND((#REF!-TIME(0,0,0))*1440,0))</f>
        <v>#REF!</v>
      </c>
      <c r="V273" s="9" t="e">
        <f>IF(AND(ROUND((#REF!-TIME(0,0,0))*1440,0)&gt;0,ROUND((#REF!-TIME(0,0,0))*1440,0)&lt;tbl_Case_mins[[#This Row],[Into Recov]],tbl_Case_mins[[#This Row],[Surgery End Date]]&gt;tbl_Case_mins[[#This Row],[Surgery Start Date]]),ROUND((#REF!-TIME(0,0,0))*1440,0)+1440,ROUND((#REF!-TIME(0,0,0))*1440,0))</f>
        <v>#REF!</v>
      </c>
      <c r="W273" s="9" t="e">
        <f>IF(AND(ROUND((#REF!-TIME(0,0,0))*1440,0)&gt;0,ROUND((#REF!-TIME(0,0,0))*1440,0)&lt;tbl_Case_mins[[#This Row],[Ward Called]],tbl_Case_mins[[#This Row],[Surgery End Date]]&gt;tbl_Case_mins[[#This Row],[Surgery Start Date]]),ROUND((#REF!-TIME(0,0,0))*1440,0)+1440,ROUND((#REF!-TIME(0,0,0))*1440,0))</f>
        <v>#REF!</v>
      </c>
      <c r="X273" s="4" t="e">
        <f>IF(ISBLANK(#REF!),tbl_Case_mins[[#This Row],[Surgery Start Date]],#REF!)</f>
        <v>#REF!</v>
      </c>
      <c r="Y273">
        <f>IFERROR(IF(VLOOKUP(tbl_Case_mins[[#This Row],[Theatre]],'Mng Theatres'!$C$7:$G$12,3,FALSE)="Yes","Yes","No"),0)</f>
        <v>0</v>
      </c>
      <c r="Z273" s="9" t="e" cm="1">
        <f t="array" ref="Z27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3" s="9" t="e" cm="1">
        <f t="array" ref="AA27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3" s="9" t="e">
        <f>IF(tbl_Case_mins[[#This Row],[Case Type]]="Unsch",1,0)</f>
        <v>#REF!</v>
      </c>
      <c r="AD273" s="9" t="e">
        <f>IF(tbl_Case_mins[[#This Row],[Case Type]]="Sch",1,0)</f>
        <v>#REF!</v>
      </c>
      <c r="AE27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3" s="9">
        <f>IFERROR(IF(ISBLANK(INDEX(Am_Close,MATCH(1,INDEX((tbl_Case_mins[[#This Row],[Theatre]]=Theatre_No)*(tbl_Case_mins[[#This Row],[Surgery Start Date]]=Date),0,1),0))*1440),0,INDEX(Am_Close,MATCH(1,INDEX((tbl_Case_mins[[#This Row],[Theatre]]=Theatre_No)*(tbl_Case_mins[[#This Row],[Surgery Start Date]]=Date),0,1),0))*1440),0)</f>
        <v>0</v>
      </c>
      <c r="AG273" s="9">
        <f>IFERROR(IF(ISBLANK(INDEX(PM_Open,MATCH(1,INDEX((tbl_Case_mins[[#This Row],[Theatre]]=Theatre_No)*(tbl_Case_mins[[#This Row],[Surgery Start Date]]=Date),0,1),0))*1440),0,INDEX(PM_Open,MATCH(1,INDEX((tbl_Case_mins[[#This Row],[Theatre]]=Theatre_No)*(tbl_Case_mins[[#This Row],[Surgery Start Date]]=Date),0,1),0))*1440),0)</f>
        <v>0</v>
      </c>
      <c r="AH27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3" s="9" t="e">
        <f>IF(tbl_Case_mins[[#This Row],[ThOpenAm]]=0,tbl_Case_mins[[#This Row],[ThOpenPM]],tbl_Case_mins[[#This Row],[ThOpenAm]])</f>
        <v>#REF!</v>
      </c>
      <c r="AJ273" s="9" t="e">
        <f>IF(tbl_Case_mins[[#This Row],[ThCloseAm]]&gt;0,IF(tbl_Case_mins[[#This Row],[ThOpenPM]]&gt;0,tbl_Case_mins[[#This Row],[ThClosePm]],tbl_Case_mins[[#This Row],[ThCloseAm]]),tbl_Case_mins[[#This Row],[ThClosePm]])</f>
        <v>#REF!</v>
      </c>
      <c r="AK273" s="9" t="e">
        <f>IF(tbl_Case_mins[[#This Row],[TOT]]&gt;0,1,0)</f>
        <v>#REF!</v>
      </c>
      <c r="AL27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3" s="9" t="e">
        <f>IF(AND(tbl_Case_mins[[#This Row],[Surgery Status]]&lt;&gt;2,tbl_Case_mins[[#This Row],[InCoreCase]]=0,tbl_Case_mins[[#This Row],[CancelledCase]]=0),1,0)</f>
        <v>#REF!</v>
      </c>
      <c r="AN273" s="9" t="e">
        <f>IF(tbl_Case_mins[[#This Row],[Surgery Status]]=1,1,0)</f>
        <v>#REF!</v>
      </c>
      <c r="AO27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3" s="9" t="e">
        <f>IF(AND(tbl_Case_mins[[#This Row],[NonCoreCase]]=1,tbl_Case_mins[[#This Row],[NoInCoreTime]]=0),1,0)</f>
        <v>#REF!</v>
      </c>
      <c r="AQ273" s="9" t="e">
        <f>IF(tbl_Case_mins[[#This Row],[Rank_AnaEnd]]&lt;tbl_Case_mins[[#This Row],[Rank_AnaSt]],1,0)</f>
        <v>#REF!</v>
      </c>
      <c r="AR273" s="9" t="e">
        <f>IF(AND(tbl_Case_mins[[#This Row],[InCoreCase]]=1,tbl_Case_mins[[#This Row],[Sch]]=1),1,0)</f>
        <v>#REF!</v>
      </c>
      <c r="AS273" s="9" t="e">
        <f>IF(AND(tbl_Case_mins[[#This Row],[InCoreCase]]=1,tbl_Case_mins[[#This Row],[Unsch]]=1),1,0)</f>
        <v>#REF!</v>
      </c>
      <c r="AT27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3" s="9" t="e">
        <f>IF(tbl_Case_mins[[#This Row],[Surgery Status]]=0,(tbl_Case_mins[[#This Row],[Anaesth End]]-tbl_Case_mins[[#This Row],[AnaesthStart]]),0)</f>
        <v>#REF!</v>
      </c>
      <c r="AX273" s="9" t="e">
        <f>IF(tbl_Case_mins[[#This Row],[Surgery Status]]=0,(tbl_Case_mins[[#This Row],[Surgery Finish]]-tbl_Case_mins[[#This Row],[Surgery Start]]),0)</f>
        <v>#REF!</v>
      </c>
      <c r="AY273" s="9" t="e">
        <f>tbl_Case_mins[[#This Row],[Surgery Start]]-tbl_Case_mins[[#This Row],[AnaesthStart]]</f>
        <v>#REF!</v>
      </c>
      <c r="AZ273" s="9" t="e">
        <f>tbl_Case_mins[[#This Row],[Anaesth End]]-tbl_Case_mins[[#This Row],[Surgery Finish]]</f>
        <v>#REF!</v>
      </c>
      <c r="BA27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3" s="16" cm="1">
        <f t="array" ref="BC27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3" s="16" t="e">
        <f>IF(AND(tbl_Case_mins[[#This Row],[FirstAMCase]]=1,tbl_Case_mins[[#This Row],[CancelledCase]]=0,OR(tbl_Case_mins[[#This Row],[EarlyStartAM]]&gt;0,tbl_Case_mins[[#This Row],[AnaesthStart]]=tbl_Case_mins[[#This Row],[ThOpenAm]])),1,0)</f>
        <v>#REF!</v>
      </c>
      <c r="BE273" s="16" t="e">
        <f>IF(AND(tbl_Case_mins[[#This Row],[Rank_AnaSt]]=tbl_Case_mins[[#This Row],[Min_RankAnaSt]],tbl_Case_mins[[#This Row],[Anaesth End]]&gt;=tbl_Case_mins[[#This Row],[ThOpenAm]],tbl_Case_mins[[#This Row],[PmCase]]=0),1,0)</f>
        <v>#REF!</v>
      </c>
      <c r="BF27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3" s="9" t="e" cm="1">
        <f t="array" ref="BH27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3" s="9" t="e">
        <f>IF(AND(tbl_Case_mins[[#This Row],[ThOpenPM]]&gt;0,tbl_Case_mins[[#This Row],[AnaesthStart]]&gt;tbl_Case_mins[[#This Row],[ThOpenPM]],tbl_Case_mins[[#This Row],[First PM Case]]=1),tbl_Case_mins[[#This Row],[AnaesthStart]]-tbl_Case_mins[[#This Row],[ThOpenPM]],0)</f>
        <v>#REF!</v>
      </c>
      <c r="BL27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3" s="9" t="e" cm="1">
        <f t="array" ref="BN27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3" s="9" t="e">
        <f>IF(AND(tbl_Case_mins[[#This Row],[ThClosePm]]&gt;0,tbl_Case_mins[[#This Row],[Anaesth End]]&gt;tbl_Case_mins[[#This Row],[ThClosePm]],tbl_Case_mins[[#This Row],[AnaesthStart]]&gt;tbl_Case_mins[[#This Row],[ThClosePm]]),tbl_Case_mins[[#This Row],[Into Recov]]-tbl_Case_mins[[#This Row],[AnaesthStart]],0)</f>
        <v>#REF!</v>
      </c>
      <c r="BP273" s="9" t="e">
        <f>IF(AND(tbl_Case_mins[[#This Row],[AnaesthStart]]&lt;tbl_Case_mins[[#This Row],[ThClosePm]],tbl_Case_mins[[#This Row],[Anaesth End]]&gt;tbl_Case_mins[[#This Row],[ThClosePm]]),tbl_Case_mins[[#This Row],[Anaesth End]]-tbl_Case_mins[[#This Row],[ThClosePm]],0)</f>
        <v>#REF!</v>
      </c>
      <c r="BQ273" s="9" t="e" cm="1">
        <f t="array" ref="BQ27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3" s="9" t="e" cm="1">
        <f t="array" ref="BR273">IF(tbl_Case_mins[[#This Row],[Rank_Adjust]]=SUMPRODUCT(-(tbl_Case_mins[Surgery Start Date]=tbl_Case_mins[[#This Row],[Surgery Start Date]]),-(tbl_Case_mins[Theatre]=tbl_Case_mins[[#This Row],[Theatre]])),INDEX(Poss_Time,MATCH(TEXT(tbl_Case_mins[[#This Row],[Surgery Start Date]],"ddd"),Day,0)),0)</f>
        <v>#REF!</v>
      </c>
      <c r="BS273" s="9" t="e">
        <f>tbl_Case_mins[[#This Row],[Core_Time]]*Util_Goal</f>
        <v>#REF!</v>
      </c>
      <c r="BT273" s="9" t="e" cm="1">
        <f t="array" ref="BT2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3" s="9" t="e" cm="1">
        <f t="array" ref="BU2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3" s="9" t="e">
        <f>IF(tbl_Case_mins[[#This Row],[Surgery End Date]]&gt;tbl_Case_mins[[#This Row],[Surgery Start Date]],tbl_Case_mins[[#This Row],[Anaesth End]]-1440,0)</f>
        <v>#REF!</v>
      </c>
      <c r="BY273" s="9" t="e">
        <f>tbl_Case_mins[[#This Row],[Total_NonCore]]-tbl_Case_mins[[#This Row],[NextDay_NonCore]]</f>
        <v>#REF!</v>
      </c>
      <c r="BZ273" s="10" t="e">
        <f>tbl_Case_mins[[#This Row],[InCoreUse]]/60</f>
        <v>#REF!</v>
      </c>
      <c r="CA273" s="10" t="e">
        <f>tbl_Case_mins[[#This Row],[Total_NonCore]]/60</f>
        <v>#REF!</v>
      </c>
      <c r="CB273" t="e" cm="1">
        <f t="array" ref="CB2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3" s="9" t="e" cm="1">
        <f t="array" ref="CC27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3" s="9" t="e" cm="1">
        <f t="array" ref="CD2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3" s="9" t="e" cm="1">
        <f t="array" ref="CE27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3" s="9" cm="1">
        <f t="array" ref="CF273">IFERROR(_xlfn.AGGREGATE(14,6,(tbl_Case_mins[Rank_AnaEnd])/((tbl_Case_mins[Surgery Start Date]=tbl_Case_mins[[#This Row],[Surgery Start Date]])*(tbl_Case_mins[Theatre]=tbl_Case_mins[[#This Row],[Theatre]])*(tbl_Case_mins[NoInCoreTime]=0)),1),-1)</f>
        <v>-1</v>
      </c>
      <c r="CG273" s="9" cm="1">
        <f t="array" ref="CG273">IFERROR(_xlfn.AGGREGATE(15,6,(tbl_Case_mins[Rank_AnaSt])/((tbl_Case_mins[Surgery Start Date]=tbl_Case_mins[[#This Row],[Surgery Start Date]])*(tbl_Case_mins[Theatre]=tbl_Case_mins[[#This Row],[Theatre]])*(tbl_Case_mins[NoInCoreTime]=0)),1),-1)</f>
        <v>-1</v>
      </c>
      <c r="CH27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3" t="e" cm="1">
        <f t="array" ref="CJ27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3" s="9" cm="1">
        <f t="array" ref="CO2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3" s="9" cm="1">
        <f t="array" ref="CP2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3" s="9" cm="1">
        <f t="array" ref="CQ273">IFERROR(IF(AND(tbl_Case_mins[[#This Row],[FirstAMCase]]=0,tbl_Case_mins[[#This Row],[Rank]]=_xlfn.AGGREGATE(14,6,(tbl_Case_mins[Rank])/((tbl_Case_mins[Surgery Start Date]=tbl_Case_mins[[#This Row],[Surgery Start Date]])*(tbl_Case_mins[Theatre]=tbl_Case_mins[[#This Row],[Theatre]])*(tbl_Case_mins[AmCase]=1)),1)),1,0),0)</f>
        <v>0</v>
      </c>
      <c r="CR273" s="9" cm="1">
        <f t="array" ref="CR27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3" s="9" t="e" cm="1">
        <f t="array" ref="CS27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3" s="9" cm="1">
        <f t="array" ref="CT273">IFERROR(IF(tbl_Case_mins[[#This Row],[Rank]]=_xlfn.AGGREGATE(15,6,(tbl_Case_mins[Rank])/((tbl_Case_mins[Surgery Start Date]=tbl_Case_mins[[#This Row],[Surgery Start Date]])*(tbl_Case_mins[Theatre]=tbl_Case_mins[[#This Row],[Theatre]])*(tbl_Case_mins[PmCase]=1)),1),1,0),0)</f>
        <v>0</v>
      </c>
      <c r="CU273">
        <f>IFERROR(#REF!,0)</f>
        <v>0</v>
      </c>
      <c r="CV273" s="9" t="e" cm="1">
        <f t="array" ref="CV27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3" s="9">
        <f>IFERROR(IF(ISBLANK(INDEX(Bay_AmClose,MATCH(1,INDEX((tbl_Case_mins[[#This Row],[Bay]]=BayNo)*(tbl_Case_mins[[#This Row],[Surgery Start Date]]=BDate),0,1),0))*1440),0,INDEX(Bay_AmClose,MATCH(1,INDEX((tbl_Case_mins[[#This Row],[Bay]]=BayNo)*(tbl_Case_mins[[#This Row],[Surgery Start Date]]=BDate),0,1),0))*1440),0)</f>
        <v>0</v>
      </c>
      <c r="CX273" s="9" cm="1">
        <f t="array" ref="CX273">IFERROR(IF(ISBLANK(INDEX(Bay_PmOpen,MATCH(1,INDEX((tbl_Case_mins[[#This Row],[Bay]]=BayNo)*(tbl_Case_mins[[#This Row],[Surgery Start Date]]=BDate),0,1),0))*1440),0,INDEX(Bay_PmOpen,MATCH(1,INDEX((tbl_Case_mins[[#This Row],[Bay]]=BayNo)*(tbl_Case_mins[[#This Row],[Surgery Start Date]]=BDate),0,1),0))*1440),0)</f>
        <v>0</v>
      </c>
      <c r="CY27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3" s="9"/>
    </row>
    <row r="274" spans="1:104" x14ac:dyDescent="0.2">
      <c r="A274">
        <v>273</v>
      </c>
      <c r="B274" t="e">
        <f>#REF!</f>
        <v>#REF!</v>
      </c>
      <c r="C274" t="e">
        <f>#REF!</f>
        <v>#REF!</v>
      </c>
      <c r="D274" t="e">
        <f>#REF!</f>
        <v>#REF!</v>
      </c>
      <c r="E274" t="e">
        <f>#REF!</f>
        <v>#REF!</v>
      </c>
      <c r="F274" t="e">
        <f>#REF!</f>
        <v>#REF!</v>
      </c>
      <c r="G274" t="e">
        <f>#REF!</f>
        <v>#REF!</v>
      </c>
      <c r="H274" t="e">
        <f>#REF!</f>
        <v>#REF!</v>
      </c>
      <c r="I274" t="e">
        <f>IF(#REF!="Case Cancelled",1,IF(#REF!="No Cases",2,0))</f>
        <v>#REF!</v>
      </c>
      <c r="J274" t="e">
        <f>#REF!</f>
        <v>#REF!</v>
      </c>
      <c r="K274" s="4" t="e">
        <f>#REF!</f>
        <v>#REF!</v>
      </c>
      <c r="L274" t="e">
        <f>"Wk "&amp;WEEKNUM(tbl_Case_mins[[#This Row],[Surgery Start Date]],21)</f>
        <v>#REF!</v>
      </c>
      <c r="M274" t="e">
        <f>TEXT(tbl_Case_mins[[#This Row],[Surgery Start Date]],"ddd")</f>
        <v>#REF!</v>
      </c>
      <c r="N274" s="9" t="e">
        <f>(#REF!-TIME(0,0,0))*1440</f>
        <v>#REF!</v>
      </c>
      <c r="O274" t="e">
        <f>IF(AND(ROUND((#REF!-TIME(0,0,0))*1440,0)&gt;0,ROUND((#REF!-TIME(0,0,0))*1440,0)&lt;tbl_Case_mins[[#This Row],[Patient Called]],tbl_Case_mins[[#This Row],[Surgery End Date]]&gt;tbl_Case_mins[[#This Row],[Surgery Start Date]]),ROUND((#REF!-TIME(0,0,0))*1440,0)+1440,ROUND((#REF!-TIME(0,0,0))*1440,0))</f>
        <v>#REF!</v>
      </c>
      <c r="P274" s="9" t="e">
        <f>IF(AND(ROUND((#REF!-TIME(0,0,0))*1440,0)&gt;0,ROUND((#REF!-TIME(0,0,0))*1440,0)&lt;tbl_Case_mins[[#This Row],[Arrival]],tbl_Case_mins[[#This Row],[Surgery End Date]]&gt;tbl_Case_mins[[#This Row],[Surgery Start Date]]),ROUND((#REF!-TIME(0,0,0))*1440,0)+1440,ROUND((#REF!-TIME(0,0,0))*1440,0))</f>
        <v>#REF!</v>
      </c>
      <c r="Q274" s="9" t="e">
        <f>IF(AND(ROUND((#REF!-TIME(0,0,0))*1440,0)&gt;0,ROUND((#REF!-TIME(0,0,0))*1440,0)&lt;tbl_Case_mins[[#This Row],[Into Th or AR]],tbl_Case_mins[[#This Row],[Surgery End Date]]&gt;tbl_Case_mins[[#This Row],[Surgery Start Date]]),ROUND((#REF!-TIME(0,0,0))*1440,0)+1440,ROUND((#REF!-TIME(0,0,0))*1440,0))</f>
        <v>#REF!</v>
      </c>
      <c r="R274" s="9" t="e">
        <f>IF(AND(ROUND((#REF!-TIME(0,0,0))*1440,0)&gt;0,ROUND((#REF!-TIME(0,0,0))*1440,0)&lt;tbl_Case_mins[[#This Row],[AnaesthStart]],tbl_Case_mins[[#This Row],[Surgery End Date]]&gt;tbl_Case_mins[[#This Row],[Surgery Start Date]]),ROUND((#REF!-TIME(0,0,0))*1440,0)+1440,ROUND((#REF!-TIME(0,0,0))*1440,0))</f>
        <v>#REF!</v>
      </c>
      <c r="S274" s="9" t="e">
        <f>IF(AND(ROUND((#REF!-TIME(0,0,0))*1440,0),ROUND((#REF!-TIME(0,0,0))*1440,0)&lt;tbl_Case_mins[[#This Row],[Surgery Start]],tbl_Case_mins[[#This Row],[Surgery End Date]]&gt;tbl_Case_mins[[#This Row],[Surgery Start Date]]),ROUND((#REF!-TIME(0,0,0))*1440,0)+1440,ROUND((#REF!-TIME(0,0,0))*1440,0))</f>
        <v>#REF!</v>
      </c>
      <c r="T274" s="9" t="e">
        <f>IF(AND(ROUND((#REF!-TIME(0,0,0))*1440,0)&gt;0,ROUND((#REF!-TIME(0,0,0))*1440,0)&lt;tbl_Case_mins[[#This Row],[Surgery Finish]],tbl_Case_mins[[#This Row],[Surgery End Date]]&gt;tbl_Case_mins[[#This Row],[Surgery Start Date]]),ROUND((#REF!-TIME(0,0,0))*1440,0)+1440,ROUND((#REF!-TIME(0,0,0))*1440,0))</f>
        <v>#REF!</v>
      </c>
      <c r="U274" s="9" t="e">
        <f>IF(AND(ROUND((#REF!-TIME(0,0,0))*1440,0)&gt;0,ROUND((#REF!-TIME(0,0,0))*1440,0)&lt;tbl_Case_mins[[#This Row],[Anaesth End]],tbl_Case_mins[[#This Row],[Surgery End Date]]&gt;tbl_Case_mins[[#This Row],[Surgery Start Date]]),ROUND((#REF!-TIME(0,0,0))*1440,0)+1440,ROUND((#REF!-TIME(0,0,0))*1440,0))</f>
        <v>#REF!</v>
      </c>
      <c r="V274" s="9" t="e">
        <f>IF(AND(ROUND((#REF!-TIME(0,0,0))*1440,0)&gt;0,ROUND((#REF!-TIME(0,0,0))*1440,0)&lt;tbl_Case_mins[[#This Row],[Into Recov]],tbl_Case_mins[[#This Row],[Surgery End Date]]&gt;tbl_Case_mins[[#This Row],[Surgery Start Date]]),ROUND((#REF!-TIME(0,0,0))*1440,0)+1440,ROUND((#REF!-TIME(0,0,0))*1440,0))</f>
        <v>#REF!</v>
      </c>
      <c r="W274" s="9" t="e">
        <f>IF(AND(ROUND((#REF!-TIME(0,0,0))*1440,0)&gt;0,ROUND((#REF!-TIME(0,0,0))*1440,0)&lt;tbl_Case_mins[[#This Row],[Ward Called]],tbl_Case_mins[[#This Row],[Surgery End Date]]&gt;tbl_Case_mins[[#This Row],[Surgery Start Date]]),ROUND((#REF!-TIME(0,0,0))*1440,0)+1440,ROUND((#REF!-TIME(0,0,0))*1440,0))</f>
        <v>#REF!</v>
      </c>
      <c r="X274" s="4" t="e">
        <f>IF(ISBLANK(#REF!),tbl_Case_mins[[#This Row],[Surgery Start Date]],#REF!)</f>
        <v>#REF!</v>
      </c>
      <c r="Y274">
        <f>IFERROR(IF(VLOOKUP(tbl_Case_mins[[#This Row],[Theatre]],'Mng Theatres'!$C$7:$G$12,3,FALSE)="Yes","Yes","No"),0)</f>
        <v>0</v>
      </c>
      <c r="Z274" s="9" t="e" cm="1">
        <f t="array" ref="Z27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4" s="9" t="e" cm="1">
        <f t="array" ref="AA27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4" s="9" t="e">
        <f>IF(tbl_Case_mins[[#This Row],[Case Type]]="Unsch",1,0)</f>
        <v>#REF!</v>
      </c>
      <c r="AD274" s="9" t="e">
        <f>IF(tbl_Case_mins[[#This Row],[Case Type]]="Sch",1,0)</f>
        <v>#REF!</v>
      </c>
      <c r="AE27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4" s="9">
        <f>IFERROR(IF(ISBLANK(INDEX(Am_Close,MATCH(1,INDEX((tbl_Case_mins[[#This Row],[Theatre]]=Theatre_No)*(tbl_Case_mins[[#This Row],[Surgery Start Date]]=Date),0,1),0))*1440),0,INDEX(Am_Close,MATCH(1,INDEX((tbl_Case_mins[[#This Row],[Theatre]]=Theatre_No)*(tbl_Case_mins[[#This Row],[Surgery Start Date]]=Date),0,1),0))*1440),0)</f>
        <v>0</v>
      </c>
      <c r="AG274" s="9">
        <f>IFERROR(IF(ISBLANK(INDEX(PM_Open,MATCH(1,INDEX((tbl_Case_mins[[#This Row],[Theatre]]=Theatre_No)*(tbl_Case_mins[[#This Row],[Surgery Start Date]]=Date),0,1),0))*1440),0,INDEX(PM_Open,MATCH(1,INDEX((tbl_Case_mins[[#This Row],[Theatre]]=Theatre_No)*(tbl_Case_mins[[#This Row],[Surgery Start Date]]=Date),0,1),0))*1440),0)</f>
        <v>0</v>
      </c>
      <c r="AH27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4" s="9" t="e">
        <f>IF(tbl_Case_mins[[#This Row],[ThOpenAm]]=0,tbl_Case_mins[[#This Row],[ThOpenPM]],tbl_Case_mins[[#This Row],[ThOpenAm]])</f>
        <v>#REF!</v>
      </c>
      <c r="AJ274" s="9" t="e">
        <f>IF(tbl_Case_mins[[#This Row],[ThCloseAm]]&gt;0,IF(tbl_Case_mins[[#This Row],[ThOpenPM]]&gt;0,tbl_Case_mins[[#This Row],[ThClosePm]],tbl_Case_mins[[#This Row],[ThCloseAm]]),tbl_Case_mins[[#This Row],[ThClosePm]])</f>
        <v>#REF!</v>
      </c>
      <c r="AK274" s="9" t="e">
        <f>IF(tbl_Case_mins[[#This Row],[TOT]]&gt;0,1,0)</f>
        <v>#REF!</v>
      </c>
      <c r="AL27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4" s="9" t="e">
        <f>IF(AND(tbl_Case_mins[[#This Row],[Surgery Status]]&lt;&gt;2,tbl_Case_mins[[#This Row],[InCoreCase]]=0,tbl_Case_mins[[#This Row],[CancelledCase]]=0),1,0)</f>
        <v>#REF!</v>
      </c>
      <c r="AN274" s="9" t="e">
        <f>IF(tbl_Case_mins[[#This Row],[Surgery Status]]=1,1,0)</f>
        <v>#REF!</v>
      </c>
      <c r="AO27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4" s="9" t="e">
        <f>IF(AND(tbl_Case_mins[[#This Row],[NonCoreCase]]=1,tbl_Case_mins[[#This Row],[NoInCoreTime]]=0),1,0)</f>
        <v>#REF!</v>
      </c>
      <c r="AQ274" s="9" t="e">
        <f>IF(tbl_Case_mins[[#This Row],[Rank_AnaEnd]]&lt;tbl_Case_mins[[#This Row],[Rank_AnaSt]],1,0)</f>
        <v>#REF!</v>
      </c>
      <c r="AR274" s="9" t="e">
        <f>IF(AND(tbl_Case_mins[[#This Row],[InCoreCase]]=1,tbl_Case_mins[[#This Row],[Sch]]=1),1,0)</f>
        <v>#REF!</v>
      </c>
      <c r="AS274" s="9" t="e">
        <f>IF(AND(tbl_Case_mins[[#This Row],[InCoreCase]]=1,tbl_Case_mins[[#This Row],[Unsch]]=1),1,0)</f>
        <v>#REF!</v>
      </c>
      <c r="AT27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4" s="9" t="e">
        <f>IF(tbl_Case_mins[[#This Row],[Surgery Status]]=0,(tbl_Case_mins[[#This Row],[Anaesth End]]-tbl_Case_mins[[#This Row],[AnaesthStart]]),0)</f>
        <v>#REF!</v>
      </c>
      <c r="AX274" s="9" t="e">
        <f>IF(tbl_Case_mins[[#This Row],[Surgery Status]]=0,(tbl_Case_mins[[#This Row],[Surgery Finish]]-tbl_Case_mins[[#This Row],[Surgery Start]]),0)</f>
        <v>#REF!</v>
      </c>
      <c r="AY274" s="9" t="e">
        <f>tbl_Case_mins[[#This Row],[Surgery Start]]-tbl_Case_mins[[#This Row],[AnaesthStart]]</f>
        <v>#REF!</v>
      </c>
      <c r="AZ274" s="9" t="e">
        <f>tbl_Case_mins[[#This Row],[Anaesth End]]-tbl_Case_mins[[#This Row],[Surgery Finish]]</f>
        <v>#REF!</v>
      </c>
      <c r="BA27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4" s="16" cm="1">
        <f t="array" ref="BC27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4" s="16" t="e">
        <f>IF(AND(tbl_Case_mins[[#This Row],[FirstAMCase]]=1,tbl_Case_mins[[#This Row],[CancelledCase]]=0,OR(tbl_Case_mins[[#This Row],[EarlyStartAM]]&gt;0,tbl_Case_mins[[#This Row],[AnaesthStart]]=tbl_Case_mins[[#This Row],[ThOpenAm]])),1,0)</f>
        <v>#REF!</v>
      </c>
      <c r="BE274" s="16" t="e">
        <f>IF(AND(tbl_Case_mins[[#This Row],[Rank_AnaSt]]=tbl_Case_mins[[#This Row],[Min_RankAnaSt]],tbl_Case_mins[[#This Row],[Anaesth End]]&gt;=tbl_Case_mins[[#This Row],[ThOpenAm]],tbl_Case_mins[[#This Row],[PmCase]]=0),1,0)</f>
        <v>#REF!</v>
      </c>
      <c r="BF27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4" s="9" t="e" cm="1">
        <f t="array" ref="BH27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4" s="9" t="e">
        <f>IF(AND(tbl_Case_mins[[#This Row],[ThOpenPM]]&gt;0,tbl_Case_mins[[#This Row],[AnaesthStart]]&gt;tbl_Case_mins[[#This Row],[ThOpenPM]],tbl_Case_mins[[#This Row],[First PM Case]]=1),tbl_Case_mins[[#This Row],[AnaesthStart]]-tbl_Case_mins[[#This Row],[ThOpenPM]],0)</f>
        <v>#REF!</v>
      </c>
      <c r="BL27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4" s="9" t="e" cm="1">
        <f t="array" ref="BN27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4" s="9" t="e">
        <f>IF(AND(tbl_Case_mins[[#This Row],[ThClosePm]]&gt;0,tbl_Case_mins[[#This Row],[Anaesth End]]&gt;tbl_Case_mins[[#This Row],[ThClosePm]],tbl_Case_mins[[#This Row],[AnaesthStart]]&gt;tbl_Case_mins[[#This Row],[ThClosePm]]),tbl_Case_mins[[#This Row],[Into Recov]]-tbl_Case_mins[[#This Row],[AnaesthStart]],0)</f>
        <v>#REF!</v>
      </c>
      <c r="BP274" s="9" t="e">
        <f>IF(AND(tbl_Case_mins[[#This Row],[AnaesthStart]]&lt;tbl_Case_mins[[#This Row],[ThClosePm]],tbl_Case_mins[[#This Row],[Anaesth End]]&gt;tbl_Case_mins[[#This Row],[ThClosePm]]),tbl_Case_mins[[#This Row],[Anaesth End]]-tbl_Case_mins[[#This Row],[ThClosePm]],0)</f>
        <v>#REF!</v>
      </c>
      <c r="BQ274" s="9" t="e" cm="1">
        <f t="array" ref="BQ27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4" s="9" t="e" cm="1">
        <f t="array" ref="BR274">IF(tbl_Case_mins[[#This Row],[Rank_Adjust]]=SUMPRODUCT(-(tbl_Case_mins[Surgery Start Date]=tbl_Case_mins[[#This Row],[Surgery Start Date]]),-(tbl_Case_mins[Theatre]=tbl_Case_mins[[#This Row],[Theatre]])),INDEX(Poss_Time,MATCH(TEXT(tbl_Case_mins[[#This Row],[Surgery Start Date]],"ddd"),Day,0)),0)</f>
        <v>#REF!</v>
      </c>
      <c r="BS274" s="9" t="e">
        <f>tbl_Case_mins[[#This Row],[Core_Time]]*Util_Goal</f>
        <v>#REF!</v>
      </c>
      <c r="BT274" s="9" t="e" cm="1">
        <f t="array" ref="BT2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4" s="9" t="e" cm="1">
        <f t="array" ref="BU2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4" s="9" t="e">
        <f>IF(tbl_Case_mins[[#This Row],[Surgery End Date]]&gt;tbl_Case_mins[[#This Row],[Surgery Start Date]],tbl_Case_mins[[#This Row],[Anaesth End]]-1440,0)</f>
        <v>#REF!</v>
      </c>
      <c r="BY274" s="9" t="e">
        <f>tbl_Case_mins[[#This Row],[Total_NonCore]]-tbl_Case_mins[[#This Row],[NextDay_NonCore]]</f>
        <v>#REF!</v>
      </c>
      <c r="BZ274" s="10" t="e">
        <f>tbl_Case_mins[[#This Row],[InCoreUse]]/60</f>
        <v>#REF!</v>
      </c>
      <c r="CA274" s="10" t="e">
        <f>tbl_Case_mins[[#This Row],[Total_NonCore]]/60</f>
        <v>#REF!</v>
      </c>
      <c r="CB274" t="e" cm="1">
        <f t="array" ref="CB2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4" s="9" t="e" cm="1">
        <f t="array" ref="CC27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4" s="9" t="e" cm="1">
        <f t="array" ref="CD2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4" s="9" t="e" cm="1">
        <f t="array" ref="CE27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4" s="9" cm="1">
        <f t="array" ref="CF274">IFERROR(_xlfn.AGGREGATE(14,6,(tbl_Case_mins[Rank_AnaEnd])/((tbl_Case_mins[Surgery Start Date]=tbl_Case_mins[[#This Row],[Surgery Start Date]])*(tbl_Case_mins[Theatre]=tbl_Case_mins[[#This Row],[Theatre]])*(tbl_Case_mins[NoInCoreTime]=0)),1),-1)</f>
        <v>-1</v>
      </c>
      <c r="CG274" s="9" cm="1">
        <f t="array" ref="CG274">IFERROR(_xlfn.AGGREGATE(15,6,(tbl_Case_mins[Rank_AnaSt])/((tbl_Case_mins[Surgery Start Date]=tbl_Case_mins[[#This Row],[Surgery Start Date]])*(tbl_Case_mins[Theatre]=tbl_Case_mins[[#This Row],[Theatre]])*(tbl_Case_mins[NoInCoreTime]=0)),1),-1)</f>
        <v>-1</v>
      </c>
      <c r="CH27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4" t="e" cm="1">
        <f t="array" ref="CJ27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4" s="9" cm="1">
        <f t="array" ref="CO2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4" s="9" cm="1">
        <f t="array" ref="CP2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4" s="9" cm="1">
        <f t="array" ref="CQ274">IFERROR(IF(AND(tbl_Case_mins[[#This Row],[FirstAMCase]]=0,tbl_Case_mins[[#This Row],[Rank]]=_xlfn.AGGREGATE(14,6,(tbl_Case_mins[Rank])/((tbl_Case_mins[Surgery Start Date]=tbl_Case_mins[[#This Row],[Surgery Start Date]])*(tbl_Case_mins[Theatre]=tbl_Case_mins[[#This Row],[Theatre]])*(tbl_Case_mins[AmCase]=1)),1)),1,0),0)</f>
        <v>0</v>
      </c>
      <c r="CR274" s="9" cm="1">
        <f t="array" ref="CR27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4" s="9" t="e" cm="1">
        <f t="array" ref="CS27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4" s="9" cm="1">
        <f t="array" ref="CT274">IFERROR(IF(tbl_Case_mins[[#This Row],[Rank]]=_xlfn.AGGREGATE(15,6,(tbl_Case_mins[Rank])/((tbl_Case_mins[Surgery Start Date]=tbl_Case_mins[[#This Row],[Surgery Start Date]])*(tbl_Case_mins[Theatre]=tbl_Case_mins[[#This Row],[Theatre]])*(tbl_Case_mins[PmCase]=1)),1),1,0),0)</f>
        <v>0</v>
      </c>
      <c r="CU274">
        <f>IFERROR(#REF!,0)</f>
        <v>0</v>
      </c>
      <c r="CV274" s="9" t="e" cm="1">
        <f t="array" ref="CV27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4" s="9">
        <f>IFERROR(IF(ISBLANK(INDEX(Bay_AmClose,MATCH(1,INDEX((tbl_Case_mins[[#This Row],[Bay]]=BayNo)*(tbl_Case_mins[[#This Row],[Surgery Start Date]]=BDate),0,1),0))*1440),0,INDEX(Bay_AmClose,MATCH(1,INDEX((tbl_Case_mins[[#This Row],[Bay]]=BayNo)*(tbl_Case_mins[[#This Row],[Surgery Start Date]]=BDate),0,1),0))*1440),0)</f>
        <v>0</v>
      </c>
      <c r="CX274" s="9" cm="1">
        <f t="array" ref="CX274">IFERROR(IF(ISBLANK(INDEX(Bay_PmOpen,MATCH(1,INDEX((tbl_Case_mins[[#This Row],[Bay]]=BayNo)*(tbl_Case_mins[[#This Row],[Surgery Start Date]]=BDate),0,1),0))*1440),0,INDEX(Bay_PmOpen,MATCH(1,INDEX((tbl_Case_mins[[#This Row],[Bay]]=BayNo)*(tbl_Case_mins[[#This Row],[Surgery Start Date]]=BDate),0,1),0))*1440),0)</f>
        <v>0</v>
      </c>
      <c r="CY27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4" s="9"/>
    </row>
    <row r="275" spans="1:104" x14ac:dyDescent="0.2">
      <c r="A275">
        <v>274</v>
      </c>
      <c r="B275" t="e">
        <f>#REF!</f>
        <v>#REF!</v>
      </c>
      <c r="C275" t="e">
        <f>#REF!</f>
        <v>#REF!</v>
      </c>
      <c r="D275" t="e">
        <f>#REF!</f>
        <v>#REF!</v>
      </c>
      <c r="E275" t="e">
        <f>#REF!</f>
        <v>#REF!</v>
      </c>
      <c r="F275" t="e">
        <f>#REF!</f>
        <v>#REF!</v>
      </c>
      <c r="G275" t="e">
        <f>#REF!</f>
        <v>#REF!</v>
      </c>
      <c r="H275" t="e">
        <f>#REF!</f>
        <v>#REF!</v>
      </c>
      <c r="I275" t="e">
        <f>IF(#REF!="Case Cancelled",1,IF(#REF!="No Cases",2,0))</f>
        <v>#REF!</v>
      </c>
      <c r="J275" t="e">
        <f>#REF!</f>
        <v>#REF!</v>
      </c>
      <c r="K275" s="4" t="e">
        <f>#REF!</f>
        <v>#REF!</v>
      </c>
      <c r="L275" t="e">
        <f>"Wk "&amp;WEEKNUM(tbl_Case_mins[[#This Row],[Surgery Start Date]],21)</f>
        <v>#REF!</v>
      </c>
      <c r="M275" t="e">
        <f>TEXT(tbl_Case_mins[[#This Row],[Surgery Start Date]],"ddd")</f>
        <v>#REF!</v>
      </c>
      <c r="N275" s="9" t="e">
        <f>(#REF!-TIME(0,0,0))*1440</f>
        <v>#REF!</v>
      </c>
      <c r="O275" t="e">
        <f>IF(AND(ROUND((#REF!-TIME(0,0,0))*1440,0)&gt;0,ROUND((#REF!-TIME(0,0,0))*1440,0)&lt;tbl_Case_mins[[#This Row],[Patient Called]],tbl_Case_mins[[#This Row],[Surgery End Date]]&gt;tbl_Case_mins[[#This Row],[Surgery Start Date]]),ROUND((#REF!-TIME(0,0,0))*1440,0)+1440,ROUND((#REF!-TIME(0,0,0))*1440,0))</f>
        <v>#REF!</v>
      </c>
      <c r="P275" s="9" t="e">
        <f>IF(AND(ROUND((#REF!-TIME(0,0,0))*1440,0)&gt;0,ROUND((#REF!-TIME(0,0,0))*1440,0)&lt;tbl_Case_mins[[#This Row],[Arrival]],tbl_Case_mins[[#This Row],[Surgery End Date]]&gt;tbl_Case_mins[[#This Row],[Surgery Start Date]]),ROUND((#REF!-TIME(0,0,0))*1440,0)+1440,ROUND((#REF!-TIME(0,0,0))*1440,0))</f>
        <v>#REF!</v>
      </c>
      <c r="Q275" s="9" t="e">
        <f>IF(AND(ROUND((#REF!-TIME(0,0,0))*1440,0)&gt;0,ROUND((#REF!-TIME(0,0,0))*1440,0)&lt;tbl_Case_mins[[#This Row],[Into Th or AR]],tbl_Case_mins[[#This Row],[Surgery End Date]]&gt;tbl_Case_mins[[#This Row],[Surgery Start Date]]),ROUND((#REF!-TIME(0,0,0))*1440,0)+1440,ROUND((#REF!-TIME(0,0,0))*1440,0))</f>
        <v>#REF!</v>
      </c>
      <c r="R275" s="9" t="e">
        <f>IF(AND(ROUND((#REF!-TIME(0,0,0))*1440,0)&gt;0,ROUND((#REF!-TIME(0,0,0))*1440,0)&lt;tbl_Case_mins[[#This Row],[AnaesthStart]],tbl_Case_mins[[#This Row],[Surgery End Date]]&gt;tbl_Case_mins[[#This Row],[Surgery Start Date]]),ROUND((#REF!-TIME(0,0,0))*1440,0)+1440,ROUND((#REF!-TIME(0,0,0))*1440,0))</f>
        <v>#REF!</v>
      </c>
      <c r="S275" s="9" t="e">
        <f>IF(AND(ROUND((#REF!-TIME(0,0,0))*1440,0),ROUND((#REF!-TIME(0,0,0))*1440,0)&lt;tbl_Case_mins[[#This Row],[Surgery Start]],tbl_Case_mins[[#This Row],[Surgery End Date]]&gt;tbl_Case_mins[[#This Row],[Surgery Start Date]]),ROUND((#REF!-TIME(0,0,0))*1440,0)+1440,ROUND((#REF!-TIME(0,0,0))*1440,0))</f>
        <v>#REF!</v>
      </c>
      <c r="T275" s="9" t="e">
        <f>IF(AND(ROUND((#REF!-TIME(0,0,0))*1440,0)&gt;0,ROUND((#REF!-TIME(0,0,0))*1440,0)&lt;tbl_Case_mins[[#This Row],[Surgery Finish]],tbl_Case_mins[[#This Row],[Surgery End Date]]&gt;tbl_Case_mins[[#This Row],[Surgery Start Date]]),ROUND((#REF!-TIME(0,0,0))*1440,0)+1440,ROUND((#REF!-TIME(0,0,0))*1440,0))</f>
        <v>#REF!</v>
      </c>
      <c r="U275" s="9" t="e">
        <f>IF(AND(ROUND((#REF!-TIME(0,0,0))*1440,0)&gt;0,ROUND((#REF!-TIME(0,0,0))*1440,0)&lt;tbl_Case_mins[[#This Row],[Anaesth End]],tbl_Case_mins[[#This Row],[Surgery End Date]]&gt;tbl_Case_mins[[#This Row],[Surgery Start Date]]),ROUND((#REF!-TIME(0,0,0))*1440,0)+1440,ROUND((#REF!-TIME(0,0,0))*1440,0))</f>
        <v>#REF!</v>
      </c>
      <c r="V275" s="9" t="e">
        <f>IF(AND(ROUND((#REF!-TIME(0,0,0))*1440,0)&gt;0,ROUND((#REF!-TIME(0,0,0))*1440,0)&lt;tbl_Case_mins[[#This Row],[Into Recov]],tbl_Case_mins[[#This Row],[Surgery End Date]]&gt;tbl_Case_mins[[#This Row],[Surgery Start Date]]),ROUND((#REF!-TIME(0,0,0))*1440,0)+1440,ROUND((#REF!-TIME(0,0,0))*1440,0))</f>
        <v>#REF!</v>
      </c>
      <c r="W275" s="9" t="e">
        <f>IF(AND(ROUND((#REF!-TIME(0,0,0))*1440,0)&gt;0,ROUND((#REF!-TIME(0,0,0))*1440,0)&lt;tbl_Case_mins[[#This Row],[Ward Called]],tbl_Case_mins[[#This Row],[Surgery End Date]]&gt;tbl_Case_mins[[#This Row],[Surgery Start Date]]),ROUND((#REF!-TIME(0,0,0))*1440,0)+1440,ROUND((#REF!-TIME(0,0,0))*1440,0))</f>
        <v>#REF!</v>
      </c>
      <c r="X275" s="4" t="e">
        <f>IF(ISBLANK(#REF!),tbl_Case_mins[[#This Row],[Surgery Start Date]],#REF!)</f>
        <v>#REF!</v>
      </c>
      <c r="Y275">
        <f>IFERROR(IF(VLOOKUP(tbl_Case_mins[[#This Row],[Theatre]],'Mng Theatres'!$C$7:$G$12,3,FALSE)="Yes","Yes","No"),0)</f>
        <v>0</v>
      </c>
      <c r="Z275" s="9" t="e" cm="1">
        <f t="array" ref="Z27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5" s="9" t="e" cm="1">
        <f t="array" ref="AA27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5" s="9" t="e">
        <f>IF(tbl_Case_mins[[#This Row],[Case Type]]="Unsch",1,0)</f>
        <v>#REF!</v>
      </c>
      <c r="AD275" s="9" t="e">
        <f>IF(tbl_Case_mins[[#This Row],[Case Type]]="Sch",1,0)</f>
        <v>#REF!</v>
      </c>
      <c r="AE27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5" s="9">
        <f>IFERROR(IF(ISBLANK(INDEX(Am_Close,MATCH(1,INDEX((tbl_Case_mins[[#This Row],[Theatre]]=Theatre_No)*(tbl_Case_mins[[#This Row],[Surgery Start Date]]=Date),0,1),0))*1440),0,INDEX(Am_Close,MATCH(1,INDEX((tbl_Case_mins[[#This Row],[Theatre]]=Theatre_No)*(tbl_Case_mins[[#This Row],[Surgery Start Date]]=Date),0,1),0))*1440),0)</f>
        <v>0</v>
      </c>
      <c r="AG275" s="9">
        <f>IFERROR(IF(ISBLANK(INDEX(PM_Open,MATCH(1,INDEX((tbl_Case_mins[[#This Row],[Theatre]]=Theatre_No)*(tbl_Case_mins[[#This Row],[Surgery Start Date]]=Date),0,1),0))*1440),0,INDEX(PM_Open,MATCH(1,INDEX((tbl_Case_mins[[#This Row],[Theatre]]=Theatre_No)*(tbl_Case_mins[[#This Row],[Surgery Start Date]]=Date),0,1),0))*1440),0)</f>
        <v>0</v>
      </c>
      <c r="AH27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5" s="9" t="e">
        <f>IF(tbl_Case_mins[[#This Row],[ThOpenAm]]=0,tbl_Case_mins[[#This Row],[ThOpenPM]],tbl_Case_mins[[#This Row],[ThOpenAm]])</f>
        <v>#REF!</v>
      </c>
      <c r="AJ275" s="9" t="e">
        <f>IF(tbl_Case_mins[[#This Row],[ThCloseAm]]&gt;0,IF(tbl_Case_mins[[#This Row],[ThOpenPM]]&gt;0,tbl_Case_mins[[#This Row],[ThClosePm]],tbl_Case_mins[[#This Row],[ThCloseAm]]),tbl_Case_mins[[#This Row],[ThClosePm]])</f>
        <v>#REF!</v>
      </c>
      <c r="AK275" s="9" t="e">
        <f>IF(tbl_Case_mins[[#This Row],[TOT]]&gt;0,1,0)</f>
        <v>#REF!</v>
      </c>
      <c r="AL27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5" s="9" t="e">
        <f>IF(AND(tbl_Case_mins[[#This Row],[Surgery Status]]&lt;&gt;2,tbl_Case_mins[[#This Row],[InCoreCase]]=0,tbl_Case_mins[[#This Row],[CancelledCase]]=0),1,0)</f>
        <v>#REF!</v>
      </c>
      <c r="AN275" s="9" t="e">
        <f>IF(tbl_Case_mins[[#This Row],[Surgery Status]]=1,1,0)</f>
        <v>#REF!</v>
      </c>
      <c r="AO27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5" s="9" t="e">
        <f>IF(AND(tbl_Case_mins[[#This Row],[NonCoreCase]]=1,tbl_Case_mins[[#This Row],[NoInCoreTime]]=0),1,0)</f>
        <v>#REF!</v>
      </c>
      <c r="AQ275" s="9" t="e">
        <f>IF(tbl_Case_mins[[#This Row],[Rank_AnaEnd]]&lt;tbl_Case_mins[[#This Row],[Rank_AnaSt]],1,0)</f>
        <v>#REF!</v>
      </c>
      <c r="AR275" s="9" t="e">
        <f>IF(AND(tbl_Case_mins[[#This Row],[InCoreCase]]=1,tbl_Case_mins[[#This Row],[Sch]]=1),1,0)</f>
        <v>#REF!</v>
      </c>
      <c r="AS275" s="9" t="e">
        <f>IF(AND(tbl_Case_mins[[#This Row],[InCoreCase]]=1,tbl_Case_mins[[#This Row],[Unsch]]=1),1,0)</f>
        <v>#REF!</v>
      </c>
      <c r="AT27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5" s="9" t="e">
        <f>IF(tbl_Case_mins[[#This Row],[Surgery Status]]=0,(tbl_Case_mins[[#This Row],[Anaesth End]]-tbl_Case_mins[[#This Row],[AnaesthStart]]),0)</f>
        <v>#REF!</v>
      </c>
      <c r="AX275" s="9" t="e">
        <f>IF(tbl_Case_mins[[#This Row],[Surgery Status]]=0,(tbl_Case_mins[[#This Row],[Surgery Finish]]-tbl_Case_mins[[#This Row],[Surgery Start]]),0)</f>
        <v>#REF!</v>
      </c>
      <c r="AY275" s="9" t="e">
        <f>tbl_Case_mins[[#This Row],[Surgery Start]]-tbl_Case_mins[[#This Row],[AnaesthStart]]</f>
        <v>#REF!</v>
      </c>
      <c r="AZ275" s="9" t="e">
        <f>tbl_Case_mins[[#This Row],[Anaesth End]]-tbl_Case_mins[[#This Row],[Surgery Finish]]</f>
        <v>#REF!</v>
      </c>
      <c r="BA27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5" s="16" cm="1">
        <f t="array" ref="BC27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5" s="16" t="e">
        <f>IF(AND(tbl_Case_mins[[#This Row],[FirstAMCase]]=1,tbl_Case_mins[[#This Row],[CancelledCase]]=0,OR(tbl_Case_mins[[#This Row],[EarlyStartAM]]&gt;0,tbl_Case_mins[[#This Row],[AnaesthStart]]=tbl_Case_mins[[#This Row],[ThOpenAm]])),1,0)</f>
        <v>#REF!</v>
      </c>
      <c r="BE275" s="16" t="e">
        <f>IF(AND(tbl_Case_mins[[#This Row],[Rank_AnaSt]]=tbl_Case_mins[[#This Row],[Min_RankAnaSt]],tbl_Case_mins[[#This Row],[Anaesth End]]&gt;=tbl_Case_mins[[#This Row],[ThOpenAm]],tbl_Case_mins[[#This Row],[PmCase]]=0),1,0)</f>
        <v>#REF!</v>
      </c>
      <c r="BF27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5" s="9" t="e" cm="1">
        <f t="array" ref="BH27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5" s="9" t="e">
        <f>IF(AND(tbl_Case_mins[[#This Row],[ThOpenPM]]&gt;0,tbl_Case_mins[[#This Row],[AnaesthStart]]&gt;tbl_Case_mins[[#This Row],[ThOpenPM]],tbl_Case_mins[[#This Row],[First PM Case]]=1),tbl_Case_mins[[#This Row],[AnaesthStart]]-tbl_Case_mins[[#This Row],[ThOpenPM]],0)</f>
        <v>#REF!</v>
      </c>
      <c r="BL27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5" s="9" t="e" cm="1">
        <f t="array" ref="BN27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5" s="9" t="e">
        <f>IF(AND(tbl_Case_mins[[#This Row],[ThClosePm]]&gt;0,tbl_Case_mins[[#This Row],[Anaesth End]]&gt;tbl_Case_mins[[#This Row],[ThClosePm]],tbl_Case_mins[[#This Row],[AnaesthStart]]&gt;tbl_Case_mins[[#This Row],[ThClosePm]]),tbl_Case_mins[[#This Row],[Into Recov]]-tbl_Case_mins[[#This Row],[AnaesthStart]],0)</f>
        <v>#REF!</v>
      </c>
      <c r="BP275" s="9" t="e">
        <f>IF(AND(tbl_Case_mins[[#This Row],[AnaesthStart]]&lt;tbl_Case_mins[[#This Row],[ThClosePm]],tbl_Case_mins[[#This Row],[Anaesth End]]&gt;tbl_Case_mins[[#This Row],[ThClosePm]]),tbl_Case_mins[[#This Row],[Anaesth End]]-tbl_Case_mins[[#This Row],[ThClosePm]],0)</f>
        <v>#REF!</v>
      </c>
      <c r="BQ275" s="9" t="e" cm="1">
        <f t="array" ref="BQ27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5" s="9" t="e" cm="1">
        <f t="array" ref="BR275">IF(tbl_Case_mins[[#This Row],[Rank_Adjust]]=SUMPRODUCT(-(tbl_Case_mins[Surgery Start Date]=tbl_Case_mins[[#This Row],[Surgery Start Date]]),-(tbl_Case_mins[Theatre]=tbl_Case_mins[[#This Row],[Theatre]])),INDEX(Poss_Time,MATCH(TEXT(tbl_Case_mins[[#This Row],[Surgery Start Date]],"ddd"),Day,0)),0)</f>
        <v>#REF!</v>
      </c>
      <c r="BS275" s="9" t="e">
        <f>tbl_Case_mins[[#This Row],[Core_Time]]*Util_Goal</f>
        <v>#REF!</v>
      </c>
      <c r="BT275" s="9" t="e" cm="1">
        <f t="array" ref="BT2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5" s="9" t="e" cm="1">
        <f t="array" ref="BU2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5" s="9" t="e">
        <f>IF(tbl_Case_mins[[#This Row],[Surgery End Date]]&gt;tbl_Case_mins[[#This Row],[Surgery Start Date]],tbl_Case_mins[[#This Row],[Anaesth End]]-1440,0)</f>
        <v>#REF!</v>
      </c>
      <c r="BY275" s="9" t="e">
        <f>tbl_Case_mins[[#This Row],[Total_NonCore]]-tbl_Case_mins[[#This Row],[NextDay_NonCore]]</f>
        <v>#REF!</v>
      </c>
      <c r="BZ275" s="10" t="e">
        <f>tbl_Case_mins[[#This Row],[InCoreUse]]/60</f>
        <v>#REF!</v>
      </c>
      <c r="CA275" s="10" t="e">
        <f>tbl_Case_mins[[#This Row],[Total_NonCore]]/60</f>
        <v>#REF!</v>
      </c>
      <c r="CB275" t="e" cm="1">
        <f t="array" ref="CB2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5" s="9" t="e" cm="1">
        <f t="array" ref="CC27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5" s="9" t="e" cm="1">
        <f t="array" ref="CD2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5" s="9" t="e" cm="1">
        <f t="array" ref="CE27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5" s="9" cm="1">
        <f t="array" ref="CF275">IFERROR(_xlfn.AGGREGATE(14,6,(tbl_Case_mins[Rank_AnaEnd])/((tbl_Case_mins[Surgery Start Date]=tbl_Case_mins[[#This Row],[Surgery Start Date]])*(tbl_Case_mins[Theatre]=tbl_Case_mins[[#This Row],[Theatre]])*(tbl_Case_mins[NoInCoreTime]=0)),1),-1)</f>
        <v>-1</v>
      </c>
      <c r="CG275" s="9" cm="1">
        <f t="array" ref="CG275">IFERROR(_xlfn.AGGREGATE(15,6,(tbl_Case_mins[Rank_AnaSt])/((tbl_Case_mins[Surgery Start Date]=tbl_Case_mins[[#This Row],[Surgery Start Date]])*(tbl_Case_mins[Theatre]=tbl_Case_mins[[#This Row],[Theatre]])*(tbl_Case_mins[NoInCoreTime]=0)),1),-1)</f>
        <v>-1</v>
      </c>
      <c r="CH27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5" t="e" cm="1">
        <f t="array" ref="CJ27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5" s="9" cm="1">
        <f t="array" ref="CO2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5" s="9" cm="1">
        <f t="array" ref="CP2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5" s="9" cm="1">
        <f t="array" ref="CQ275">IFERROR(IF(AND(tbl_Case_mins[[#This Row],[FirstAMCase]]=0,tbl_Case_mins[[#This Row],[Rank]]=_xlfn.AGGREGATE(14,6,(tbl_Case_mins[Rank])/((tbl_Case_mins[Surgery Start Date]=tbl_Case_mins[[#This Row],[Surgery Start Date]])*(tbl_Case_mins[Theatre]=tbl_Case_mins[[#This Row],[Theatre]])*(tbl_Case_mins[AmCase]=1)),1)),1,0),0)</f>
        <v>0</v>
      </c>
      <c r="CR275" s="9" cm="1">
        <f t="array" ref="CR27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5" s="9" t="e" cm="1">
        <f t="array" ref="CS27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5" s="9" cm="1">
        <f t="array" ref="CT275">IFERROR(IF(tbl_Case_mins[[#This Row],[Rank]]=_xlfn.AGGREGATE(15,6,(tbl_Case_mins[Rank])/((tbl_Case_mins[Surgery Start Date]=tbl_Case_mins[[#This Row],[Surgery Start Date]])*(tbl_Case_mins[Theatre]=tbl_Case_mins[[#This Row],[Theatre]])*(tbl_Case_mins[PmCase]=1)),1),1,0),0)</f>
        <v>0</v>
      </c>
      <c r="CU275">
        <f>IFERROR(#REF!,0)</f>
        <v>0</v>
      </c>
      <c r="CV275" s="9" t="e" cm="1">
        <f t="array" ref="CV27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5" s="9">
        <f>IFERROR(IF(ISBLANK(INDEX(Bay_AmClose,MATCH(1,INDEX((tbl_Case_mins[[#This Row],[Bay]]=BayNo)*(tbl_Case_mins[[#This Row],[Surgery Start Date]]=BDate),0,1),0))*1440),0,INDEX(Bay_AmClose,MATCH(1,INDEX((tbl_Case_mins[[#This Row],[Bay]]=BayNo)*(tbl_Case_mins[[#This Row],[Surgery Start Date]]=BDate),0,1),0))*1440),0)</f>
        <v>0</v>
      </c>
      <c r="CX275" s="9" cm="1">
        <f t="array" ref="CX275">IFERROR(IF(ISBLANK(INDEX(Bay_PmOpen,MATCH(1,INDEX((tbl_Case_mins[[#This Row],[Bay]]=BayNo)*(tbl_Case_mins[[#This Row],[Surgery Start Date]]=BDate),0,1),0))*1440),0,INDEX(Bay_PmOpen,MATCH(1,INDEX((tbl_Case_mins[[#This Row],[Bay]]=BayNo)*(tbl_Case_mins[[#This Row],[Surgery Start Date]]=BDate),0,1),0))*1440),0)</f>
        <v>0</v>
      </c>
      <c r="CY27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5" s="9"/>
    </row>
    <row r="276" spans="1:104" x14ac:dyDescent="0.2">
      <c r="A276">
        <v>275</v>
      </c>
      <c r="B276" t="e">
        <f>#REF!</f>
        <v>#REF!</v>
      </c>
      <c r="C276" t="e">
        <f>#REF!</f>
        <v>#REF!</v>
      </c>
      <c r="D276" t="e">
        <f>#REF!</f>
        <v>#REF!</v>
      </c>
      <c r="E276" t="e">
        <f>#REF!</f>
        <v>#REF!</v>
      </c>
      <c r="F276" t="e">
        <f>#REF!</f>
        <v>#REF!</v>
      </c>
      <c r="G276" t="e">
        <f>#REF!</f>
        <v>#REF!</v>
      </c>
      <c r="H276" t="e">
        <f>#REF!</f>
        <v>#REF!</v>
      </c>
      <c r="I276" t="e">
        <f>IF(#REF!="Case Cancelled",1,IF(#REF!="No Cases",2,0))</f>
        <v>#REF!</v>
      </c>
      <c r="J276" t="e">
        <f>#REF!</f>
        <v>#REF!</v>
      </c>
      <c r="K276" s="4" t="e">
        <f>#REF!</f>
        <v>#REF!</v>
      </c>
      <c r="L276" t="e">
        <f>"Wk "&amp;WEEKNUM(tbl_Case_mins[[#This Row],[Surgery Start Date]],21)</f>
        <v>#REF!</v>
      </c>
      <c r="M276" t="e">
        <f>TEXT(tbl_Case_mins[[#This Row],[Surgery Start Date]],"ddd")</f>
        <v>#REF!</v>
      </c>
      <c r="N276" s="9" t="e">
        <f>(#REF!-TIME(0,0,0))*1440</f>
        <v>#REF!</v>
      </c>
      <c r="O276" t="e">
        <f>IF(AND(ROUND((#REF!-TIME(0,0,0))*1440,0)&gt;0,ROUND((#REF!-TIME(0,0,0))*1440,0)&lt;tbl_Case_mins[[#This Row],[Patient Called]],tbl_Case_mins[[#This Row],[Surgery End Date]]&gt;tbl_Case_mins[[#This Row],[Surgery Start Date]]),ROUND((#REF!-TIME(0,0,0))*1440,0)+1440,ROUND((#REF!-TIME(0,0,0))*1440,0))</f>
        <v>#REF!</v>
      </c>
      <c r="P276" s="9" t="e">
        <f>IF(AND(ROUND((#REF!-TIME(0,0,0))*1440,0)&gt;0,ROUND((#REF!-TIME(0,0,0))*1440,0)&lt;tbl_Case_mins[[#This Row],[Arrival]],tbl_Case_mins[[#This Row],[Surgery End Date]]&gt;tbl_Case_mins[[#This Row],[Surgery Start Date]]),ROUND((#REF!-TIME(0,0,0))*1440,0)+1440,ROUND((#REF!-TIME(0,0,0))*1440,0))</f>
        <v>#REF!</v>
      </c>
      <c r="Q276" s="9" t="e">
        <f>IF(AND(ROUND((#REF!-TIME(0,0,0))*1440,0)&gt;0,ROUND((#REF!-TIME(0,0,0))*1440,0)&lt;tbl_Case_mins[[#This Row],[Into Th or AR]],tbl_Case_mins[[#This Row],[Surgery End Date]]&gt;tbl_Case_mins[[#This Row],[Surgery Start Date]]),ROUND((#REF!-TIME(0,0,0))*1440,0)+1440,ROUND((#REF!-TIME(0,0,0))*1440,0))</f>
        <v>#REF!</v>
      </c>
      <c r="R276" s="9" t="e">
        <f>IF(AND(ROUND((#REF!-TIME(0,0,0))*1440,0)&gt;0,ROUND((#REF!-TIME(0,0,0))*1440,0)&lt;tbl_Case_mins[[#This Row],[AnaesthStart]],tbl_Case_mins[[#This Row],[Surgery End Date]]&gt;tbl_Case_mins[[#This Row],[Surgery Start Date]]),ROUND((#REF!-TIME(0,0,0))*1440,0)+1440,ROUND((#REF!-TIME(0,0,0))*1440,0))</f>
        <v>#REF!</v>
      </c>
      <c r="S276" s="9" t="e">
        <f>IF(AND(ROUND((#REF!-TIME(0,0,0))*1440,0),ROUND((#REF!-TIME(0,0,0))*1440,0)&lt;tbl_Case_mins[[#This Row],[Surgery Start]],tbl_Case_mins[[#This Row],[Surgery End Date]]&gt;tbl_Case_mins[[#This Row],[Surgery Start Date]]),ROUND((#REF!-TIME(0,0,0))*1440,0)+1440,ROUND((#REF!-TIME(0,0,0))*1440,0))</f>
        <v>#REF!</v>
      </c>
      <c r="T276" s="9" t="e">
        <f>IF(AND(ROUND((#REF!-TIME(0,0,0))*1440,0)&gt;0,ROUND((#REF!-TIME(0,0,0))*1440,0)&lt;tbl_Case_mins[[#This Row],[Surgery Finish]],tbl_Case_mins[[#This Row],[Surgery End Date]]&gt;tbl_Case_mins[[#This Row],[Surgery Start Date]]),ROUND((#REF!-TIME(0,0,0))*1440,0)+1440,ROUND((#REF!-TIME(0,0,0))*1440,0))</f>
        <v>#REF!</v>
      </c>
      <c r="U276" s="9" t="e">
        <f>IF(AND(ROUND((#REF!-TIME(0,0,0))*1440,0)&gt;0,ROUND((#REF!-TIME(0,0,0))*1440,0)&lt;tbl_Case_mins[[#This Row],[Anaesth End]],tbl_Case_mins[[#This Row],[Surgery End Date]]&gt;tbl_Case_mins[[#This Row],[Surgery Start Date]]),ROUND((#REF!-TIME(0,0,0))*1440,0)+1440,ROUND((#REF!-TIME(0,0,0))*1440,0))</f>
        <v>#REF!</v>
      </c>
      <c r="V276" s="9" t="e">
        <f>IF(AND(ROUND((#REF!-TIME(0,0,0))*1440,0)&gt;0,ROUND((#REF!-TIME(0,0,0))*1440,0)&lt;tbl_Case_mins[[#This Row],[Into Recov]],tbl_Case_mins[[#This Row],[Surgery End Date]]&gt;tbl_Case_mins[[#This Row],[Surgery Start Date]]),ROUND((#REF!-TIME(0,0,0))*1440,0)+1440,ROUND((#REF!-TIME(0,0,0))*1440,0))</f>
        <v>#REF!</v>
      </c>
      <c r="W276" s="9" t="e">
        <f>IF(AND(ROUND((#REF!-TIME(0,0,0))*1440,0)&gt;0,ROUND((#REF!-TIME(0,0,0))*1440,0)&lt;tbl_Case_mins[[#This Row],[Ward Called]],tbl_Case_mins[[#This Row],[Surgery End Date]]&gt;tbl_Case_mins[[#This Row],[Surgery Start Date]]),ROUND((#REF!-TIME(0,0,0))*1440,0)+1440,ROUND((#REF!-TIME(0,0,0))*1440,0))</f>
        <v>#REF!</v>
      </c>
      <c r="X276" s="4" t="e">
        <f>IF(ISBLANK(#REF!),tbl_Case_mins[[#This Row],[Surgery Start Date]],#REF!)</f>
        <v>#REF!</v>
      </c>
      <c r="Y276">
        <f>IFERROR(IF(VLOOKUP(tbl_Case_mins[[#This Row],[Theatre]],'Mng Theatres'!$C$7:$G$12,3,FALSE)="Yes","Yes","No"),0)</f>
        <v>0</v>
      </c>
      <c r="Z276" s="9" t="e" cm="1">
        <f t="array" ref="Z27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6" s="9" t="e" cm="1">
        <f t="array" ref="AA27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6" s="9" t="e">
        <f>IF(tbl_Case_mins[[#This Row],[Case Type]]="Unsch",1,0)</f>
        <v>#REF!</v>
      </c>
      <c r="AD276" s="9" t="e">
        <f>IF(tbl_Case_mins[[#This Row],[Case Type]]="Sch",1,0)</f>
        <v>#REF!</v>
      </c>
      <c r="AE27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6" s="9">
        <f>IFERROR(IF(ISBLANK(INDEX(Am_Close,MATCH(1,INDEX((tbl_Case_mins[[#This Row],[Theatre]]=Theatre_No)*(tbl_Case_mins[[#This Row],[Surgery Start Date]]=Date),0,1),0))*1440),0,INDEX(Am_Close,MATCH(1,INDEX((tbl_Case_mins[[#This Row],[Theatre]]=Theatre_No)*(tbl_Case_mins[[#This Row],[Surgery Start Date]]=Date),0,1),0))*1440),0)</f>
        <v>0</v>
      </c>
      <c r="AG276" s="9">
        <f>IFERROR(IF(ISBLANK(INDEX(PM_Open,MATCH(1,INDEX((tbl_Case_mins[[#This Row],[Theatre]]=Theatre_No)*(tbl_Case_mins[[#This Row],[Surgery Start Date]]=Date),0,1),0))*1440),0,INDEX(PM_Open,MATCH(1,INDEX((tbl_Case_mins[[#This Row],[Theatre]]=Theatre_No)*(tbl_Case_mins[[#This Row],[Surgery Start Date]]=Date),0,1),0))*1440),0)</f>
        <v>0</v>
      </c>
      <c r="AH27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6" s="9" t="e">
        <f>IF(tbl_Case_mins[[#This Row],[ThOpenAm]]=0,tbl_Case_mins[[#This Row],[ThOpenPM]],tbl_Case_mins[[#This Row],[ThOpenAm]])</f>
        <v>#REF!</v>
      </c>
      <c r="AJ276" s="9" t="e">
        <f>IF(tbl_Case_mins[[#This Row],[ThCloseAm]]&gt;0,IF(tbl_Case_mins[[#This Row],[ThOpenPM]]&gt;0,tbl_Case_mins[[#This Row],[ThClosePm]],tbl_Case_mins[[#This Row],[ThCloseAm]]),tbl_Case_mins[[#This Row],[ThClosePm]])</f>
        <v>#REF!</v>
      </c>
      <c r="AK276" s="9" t="e">
        <f>IF(tbl_Case_mins[[#This Row],[TOT]]&gt;0,1,0)</f>
        <v>#REF!</v>
      </c>
      <c r="AL27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6" s="9" t="e">
        <f>IF(AND(tbl_Case_mins[[#This Row],[Surgery Status]]&lt;&gt;2,tbl_Case_mins[[#This Row],[InCoreCase]]=0,tbl_Case_mins[[#This Row],[CancelledCase]]=0),1,0)</f>
        <v>#REF!</v>
      </c>
      <c r="AN276" s="9" t="e">
        <f>IF(tbl_Case_mins[[#This Row],[Surgery Status]]=1,1,0)</f>
        <v>#REF!</v>
      </c>
      <c r="AO27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6" s="9" t="e">
        <f>IF(AND(tbl_Case_mins[[#This Row],[NonCoreCase]]=1,tbl_Case_mins[[#This Row],[NoInCoreTime]]=0),1,0)</f>
        <v>#REF!</v>
      </c>
      <c r="AQ276" s="9" t="e">
        <f>IF(tbl_Case_mins[[#This Row],[Rank_AnaEnd]]&lt;tbl_Case_mins[[#This Row],[Rank_AnaSt]],1,0)</f>
        <v>#REF!</v>
      </c>
      <c r="AR276" s="9" t="e">
        <f>IF(AND(tbl_Case_mins[[#This Row],[InCoreCase]]=1,tbl_Case_mins[[#This Row],[Sch]]=1),1,0)</f>
        <v>#REF!</v>
      </c>
      <c r="AS276" s="9" t="e">
        <f>IF(AND(tbl_Case_mins[[#This Row],[InCoreCase]]=1,tbl_Case_mins[[#This Row],[Unsch]]=1),1,0)</f>
        <v>#REF!</v>
      </c>
      <c r="AT27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6" s="9" t="e">
        <f>IF(tbl_Case_mins[[#This Row],[Surgery Status]]=0,(tbl_Case_mins[[#This Row],[Anaesth End]]-tbl_Case_mins[[#This Row],[AnaesthStart]]),0)</f>
        <v>#REF!</v>
      </c>
      <c r="AX276" s="9" t="e">
        <f>IF(tbl_Case_mins[[#This Row],[Surgery Status]]=0,(tbl_Case_mins[[#This Row],[Surgery Finish]]-tbl_Case_mins[[#This Row],[Surgery Start]]),0)</f>
        <v>#REF!</v>
      </c>
      <c r="AY276" s="9" t="e">
        <f>tbl_Case_mins[[#This Row],[Surgery Start]]-tbl_Case_mins[[#This Row],[AnaesthStart]]</f>
        <v>#REF!</v>
      </c>
      <c r="AZ276" s="9" t="e">
        <f>tbl_Case_mins[[#This Row],[Anaesth End]]-tbl_Case_mins[[#This Row],[Surgery Finish]]</f>
        <v>#REF!</v>
      </c>
      <c r="BA27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6" s="16" cm="1">
        <f t="array" ref="BC27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6" s="16" t="e">
        <f>IF(AND(tbl_Case_mins[[#This Row],[FirstAMCase]]=1,tbl_Case_mins[[#This Row],[CancelledCase]]=0,OR(tbl_Case_mins[[#This Row],[EarlyStartAM]]&gt;0,tbl_Case_mins[[#This Row],[AnaesthStart]]=tbl_Case_mins[[#This Row],[ThOpenAm]])),1,0)</f>
        <v>#REF!</v>
      </c>
      <c r="BE276" s="16" t="e">
        <f>IF(AND(tbl_Case_mins[[#This Row],[Rank_AnaSt]]=tbl_Case_mins[[#This Row],[Min_RankAnaSt]],tbl_Case_mins[[#This Row],[Anaesth End]]&gt;=tbl_Case_mins[[#This Row],[ThOpenAm]],tbl_Case_mins[[#This Row],[PmCase]]=0),1,0)</f>
        <v>#REF!</v>
      </c>
      <c r="BF27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6" s="9" t="e" cm="1">
        <f t="array" ref="BH27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6" s="9" t="e">
        <f>IF(AND(tbl_Case_mins[[#This Row],[ThOpenPM]]&gt;0,tbl_Case_mins[[#This Row],[AnaesthStart]]&gt;tbl_Case_mins[[#This Row],[ThOpenPM]],tbl_Case_mins[[#This Row],[First PM Case]]=1),tbl_Case_mins[[#This Row],[AnaesthStart]]-tbl_Case_mins[[#This Row],[ThOpenPM]],0)</f>
        <v>#REF!</v>
      </c>
      <c r="BL27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6" s="9" t="e" cm="1">
        <f t="array" ref="BN27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6" s="9" t="e">
        <f>IF(AND(tbl_Case_mins[[#This Row],[ThClosePm]]&gt;0,tbl_Case_mins[[#This Row],[Anaesth End]]&gt;tbl_Case_mins[[#This Row],[ThClosePm]],tbl_Case_mins[[#This Row],[AnaesthStart]]&gt;tbl_Case_mins[[#This Row],[ThClosePm]]),tbl_Case_mins[[#This Row],[Into Recov]]-tbl_Case_mins[[#This Row],[AnaesthStart]],0)</f>
        <v>#REF!</v>
      </c>
      <c r="BP276" s="9" t="e">
        <f>IF(AND(tbl_Case_mins[[#This Row],[AnaesthStart]]&lt;tbl_Case_mins[[#This Row],[ThClosePm]],tbl_Case_mins[[#This Row],[Anaesth End]]&gt;tbl_Case_mins[[#This Row],[ThClosePm]]),tbl_Case_mins[[#This Row],[Anaesth End]]-tbl_Case_mins[[#This Row],[ThClosePm]],0)</f>
        <v>#REF!</v>
      </c>
      <c r="BQ276" s="9" t="e" cm="1">
        <f t="array" ref="BQ27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6" s="9" t="e" cm="1">
        <f t="array" ref="BR276">IF(tbl_Case_mins[[#This Row],[Rank_Adjust]]=SUMPRODUCT(-(tbl_Case_mins[Surgery Start Date]=tbl_Case_mins[[#This Row],[Surgery Start Date]]),-(tbl_Case_mins[Theatre]=tbl_Case_mins[[#This Row],[Theatre]])),INDEX(Poss_Time,MATCH(TEXT(tbl_Case_mins[[#This Row],[Surgery Start Date]],"ddd"),Day,0)),0)</f>
        <v>#REF!</v>
      </c>
      <c r="BS276" s="9" t="e">
        <f>tbl_Case_mins[[#This Row],[Core_Time]]*Util_Goal</f>
        <v>#REF!</v>
      </c>
      <c r="BT276" s="9" t="e" cm="1">
        <f t="array" ref="BT2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6" s="9" t="e" cm="1">
        <f t="array" ref="BU2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6" s="9" t="e">
        <f>IF(tbl_Case_mins[[#This Row],[Surgery End Date]]&gt;tbl_Case_mins[[#This Row],[Surgery Start Date]],tbl_Case_mins[[#This Row],[Anaesth End]]-1440,0)</f>
        <v>#REF!</v>
      </c>
      <c r="BY276" s="9" t="e">
        <f>tbl_Case_mins[[#This Row],[Total_NonCore]]-tbl_Case_mins[[#This Row],[NextDay_NonCore]]</f>
        <v>#REF!</v>
      </c>
      <c r="BZ276" s="10" t="e">
        <f>tbl_Case_mins[[#This Row],[InCoreUse]]/60</f>
        <v>#REF!</v>
      </c>
      <c r="CA276" s="10" t="e">
        <f>tbl_Case_mins[[#This Row],[Total_NonCore]]/60</f>
        <v>#REF!</v>
      </c>
      <c r="CB276" t="e" cm="1">
        <f t="array" ref="CB2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6" s="9" t="e" cm="1">
        <f t="array" ref="CC27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6" s="9" t="e" cm="1">
        <f t="array" ref="CD2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6" s="9" t="e" cm="1">
        <f t="array" ref="CE27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6" s="9" cm="1">
        <f t="array" ref="CF276">IFERROR(_xlfn.AGGREGATE(14,6,(tbl_Case_mins[Rank_AnaEnd])/((tbl_Case_mins[Surgery Start Date]=tbl_Case_mins[[#This Row],[Surgery Start Date]])*(tbl_Case_mins[Theatre]=tbl_Case_mins[[#This Row],[Theatre]])*(tbl_Case_mins[NoInCoreTime]=0)),1),-1)</f>
        <v>-1</v>
      </c>
      <c r="CG276" s="9" cm="1">
        <f t="array" ref="CG276">IFERROR(_xlfn.AGGREGATE(15,6,(tbl_Case_mins[Rank_AnaSt])/((tbl_Case_mins[Surgery Start Date]=tbl_Case_mins[[#This Row],[Surgery Start Date]])*(tbl_Case_mins[Theatre]=tbl_Case_mins[[#This Row],[Theatre]])*(tbl_Case_mins[NoInCoreTime]=0)),1),-1)</f>
        <v>-1</v>
      </c>
      <c r="CH27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6" t="e" cm="1">
        <f t="array" ref="CJ27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6" s="9" cm="1">
        <f t="array" ref="CO2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6" s="9" cm="1">
        <f t="array" ref="CP2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6" s="9" cm="1">
        <f t="array" ref="CQ276">IFERROR(IF(AND(tbl_Case_mins[[#This Row],[FirstAMCase]]=0,tbl_Case_mins[[#This Row],[Rank]]=_xlfn.AGGREGATE(14,6,(tbl_Case_mins[Rank])/((tbl_Case_mins[Surgery Start Date]=tbl_Case_mins[[#This Row],[Surgery Start Date]])*(tbl_Case_mins[Theatre]=tbl_Case_mins[[#This Row],[Theatre]])*(tbl_Case_mins[AmCase]=1)),1)),1,0),0)</f>
        <v>0</v>
      </c>
      <c r="CR276" s="9" cm="1">
        <f t="array" ref="CR27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6" s="9" t="e" cm="1">
        <f t="array" ref="CS27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6" s="9" cm="1">
        <f t="array" ref="CT276">IFERROR(IF(tbl_Case_mins[[#This Row],[Rank]]=_xlfn.AGGREGATE(15,6,(tbl_Case_mins[Rank])/((tbl_Case_mins[Surgery Start Date]=tbl_Case_mins[[#This Row],[Surgery Start Date]])*(tbl_Case_mins[Theatre]=tbl_Case_mins[[#This Row],[Theatre]])*(tbl_Case_mins[PmCase]=1)),1),1,0),0)</f>
        <v>0</v>
      </c>
      <c r="CU276">
        <f>IFERROR(#REF!,0)</f>
        <v>0</v>
      </c>
      <c r="CV276" s="9" t="e" cm="1">
        <f t="array" ref="CV27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6" s="9">
        <f>IFERROR(IF(ISBLANK(INDEX(Bay_AmClose,MATCH(1,INDEX((tbl_Case_mins[[#This Row],[Bay]]=BayNo)*(tbl_Case_mins[[#This Row],[Surgery Start Date]]=BDate),0,1),0))*1440),0,INDEX(Bay_AmClose,MATCH(1,INDEX((tbl_Case_mins[[#This Row],[Bay]]=BayNo)*(tbl_Case_mins[[#This Row],[Surgery Start Date]]=BDate),0,1),0))*1440),0)</f>
        <v>0</v>
      </c>
      <c r="CX276" s="9" cm="1">
        <f t="array" ref="CX276">IFERROR(IF(ISBLANK(INDEX(Bay_PmOpen,MATCH(1,INDEX((tbl_Case_mins[[#This Row],[Bay]]=BayNo)*(tbl_Case_mins[[#This Row],[Surgery Start Date]]=BDate),0,1),0))*1440),0,INDEX(Bay_PmOpen,MATCH(1,INDEX((tbl_Case_mins[[#This Row],[Bay]]=BayNo)*(tbl_Case_mins[[#This Row],[Surgery Start Date]]=BDate),0,1),0))*1440),0)</f>
        <v>0</v>
      </c>
      <c r="CY27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6" s="9"/>
    </row>
    <row r="277" spans="1:104" x14ac:dyDescent="0.2">
      <c r="A277">
        <v>276</v>
      </c>
      <c r="B277" t="e">
        <f>#REF!</f>
        <v>#REF!</v>
      </c>
      <c r="C277" t="e">
        <f>#REF!</f>
        <v>#REF!</v>
      </c>
      <c r="D277" t="e">
        <f>#REF!</f>
        <v>#REF!</v>
      </c>
      <c r="E277" t="e">
        <f>#REF!</f>
        <v>#REF!</v>
      </c>
      <c r="F277" t="e">
        <f>#REF!</f>
        <v>#REF!</v>
      </c>
      <c r="G277" t="e">
        <f>#REF!</f>
        <v>#REF!</v>
      </c>
      <c r="H277" t="e">
        <f>#REF!</f>
        <v>#REF!</v>
      </c>
      <c r="I277" t="e">
        <f>IF(#REF!="Case Cancelled",1,IF(#REF!="No Cases",2,0))</f>
        <v>#REF!</v>
      </c>
      <c r="J277" t="e">
        <f>#REF!</f>
        <v>#REF!</v>
      </c>
      <c r="K277" s="4" t="e">
        <f>#REF!</f>
        <v>#REF!</v>
      </c>
      <c r="L277" t="e">
        <f>"Wk "&amp;WEEKNUM(tbl_Case_mins[[#This Row],[Surgery Start Date]],21)</f>
        <v>#REF!</v>
      </c>
      <c r="M277" t="e">
        <f>TEXT(tbl_Case_mins[[#This Row],[Surgery Start Date]],"ddd")</f>
        <v>#REF!</v>
      </c>
      <c r="N277" s="9" t="e">
        <f>(#REF!-TIME(0,0,0))*1440</f>
        <v>#REF!</v>
      </c>
      <c r="O277" t="e">
        <f>IF(AND(ROUND((#REF!-TIME(0,0,0))*1440,0)&gt;0,ROUND((#REF!-TIME(0,0,0))*1440,0)&lt;tbl_Case_mins[[#This Row],[Patient Called]],tbl_Case_mins[[#This Row],[Surgery End Date]]&gt;tbl_Case_mins[[#This Row],[Surgery Start Date]]),ROUND((#REF!-TIME(0,0,0))*1440,0)+1440,ROUND((#REF!-TIME(0,0,0))*1440,0))</f>
        <v>#REF!</v>
      </c>
      <c r="P277" s="9" t="e">
        <f>IF(AND(ROUND((#REF!-TIME(0,0,0))*1440,0)&gt;0,ROUND((#REF!-TIME(0,0,0))*1440,0)&lt;tbl_Case_mins[[#This Row],[Arrival]],tbl_Case_mins[[#This Row],[Surgery End Date]]&gt;tbl_Case_mins[[#This Row],[Surgery Start Date]]),ROUND((#REF!-TIME(0,0,0))*1440,0)+1440,ROUND((#REF!-TIME(0,0,0))*1440,0))</f>
        <v>#REF!</v>
      </c>
      <c r="Q277" s="9" t="e">
        <f>IF(AND(ROUND((#REF!-TIME(0,0,0))*1440,0)&gt;0,ROUND((#REF!-TIME(0,0,0))*1440,0)&lt;tbl_Case_mins[[#This Row],[Into Th or AR]],tbl_Case_mins[[#This Row],[Surgery End Date]]&gt;tbl_Case_mins[[#This Row],[Surgery Start Date]]),ROUND((#REF!-TIME(0,0,0))*1440,0)+1440,ROUND((#REF!-TIME(0,0,0))*1440,0))</f>
        <v>#REF!</v>
      </c>
      <c r="R277" s="9" t="e">
        <f>IF(AND(ROUND((#REF!-TIME(0,0,0))*1440,0)&gt;0,ROUND((#REF!-TIME(0,0,0))*1440,0)&lt;tbl_Case_mins[[#This Row],[AnaesthStart]],tbl_Case_mins[[#This Row],[Surgery End Date]]&gt;tbl_Case_mins[[#This Row],[Surgery Start Date]]),ROUND((#REF!-TIME(0,0,0))*1440,0)+1440,ROUND((#REF!-TIME(0,0,0))*1440,0))</f>
        <v>#REF!</v>
      </c>
      <c r="S277" s="9" t="e">
        <f>IF(AND(ROUND((#REF!-TIME(0,0,0))*1440,0),ROUND((#REF!-TIME(0,0,0))*1440,0)&lt;tbl_Case_mins[[#This Row],[Surgery Start]],tbl_Case_mins[[#This Row],[Surgery End Date]]&gt;tbl_Case_mins[[#This Row],[Surgery Start Date]]),ROUND((#REF!-TIME(0,0,0))*1440,0)+1440,ROUND((#REF!-TIME(0,0,0))*1440,0))</f>
        <v>#REF!</v>
      </c>
      <c r="T277" s="9" t="e">
        <f>IF(AND(ROUND((#REF!-TIME(0,0,0))*1440,0)&gt;0,ROUND((#REF!-TIME(0,0,0))*1440,0)&lt;tbl_Case_mins[[#This Row],[Surgery Finish]],tbl_Case_mins[[#This Row],[Surgery End Date]]&gt;tbl_Case_mins[[#This Row],[Surgery Start Date]]),ROUND((#REF!-TIME(0,0,0))*1440,0)+1440,ROUND((#REF!-TIME(0,0,0))*1440,0))</f>
        <v>#REF!</v>
      </c>
      <c r="U277" s="9" t="e">
        <f>IF(AND(ROUND((#REF!-TIME(0,0,0))*1440,0)&gt;0,ROUND((#REF!-TIME(0,0,0))*1440,0)&lt;tbl_Case_mins[[#This Row],[Anaesth End]],tbl_Case_mins[[#This Row],[Surgery End Date]]&gt;tbl_Case_mins[[#This Row],[Surgery Start Date]]),ROUND((#REF!-TIME(0,0,0))*1440,0)+1440,ROUND((#REF!-TIME(0,0,0))*1440,0))</f>
        <v>#REF!</v>
      </c>
      <c r="V277" s="9" t="e">
        <f>IF(AND(ROUND((#REF!-TIME(0,0,0))*1440,0)&gt;0,ROUND((#REF!-TIME(0,0,0))*1440,0)&lt;tbl_Case_mins[[#This Row],[Into Recov]],tbl_Case_mins[[#This Row],[Surgery End Date]]&gt;tbl_Case_mins[[#This Row],[Surgery Start Date]]),ROUND((#REF!-TIME(0,0,0))*1440,0)+1440,ROUND((#REF!-TIME(0,0,0))*1440,0))</f>
        <v>#REF!</v>
      </c>
      <c r="W277" s="9" t="e">
        <f>IF(AND(ROUND((#REF!-TIME(0,0,0))*1440,0)&gt;0,ROUND((#REF!-TIME(0,0,0))*1440,0)&lt;tbl_Case_mins[[#This Row],[Ward Called]],tbl_Case_mins[[#This Row],[Surgery End Date]]&gt;tbl_Case_mins[[#This Row],[Surgery Start Date]]),ROUND((#REF!-TIME(0,0,0))*1440,0)+1440,ROUND((#REF!-TIME(0,0,0))*1440,0))</f>
        <v>#REF!</v>
      </c>
      <c r="X277" s="4" t="e">
        <f>IF(ISBLANK(#REF!),tbl_Case_mins[[#This Row],[Surgery Start Date]],#REF!)</f>
        <v>#REF!</v>
      </c>
      <c r="Y277">
        <f>IFERROR(IF(VLOOKUP(tbl_Case_mins[[#This Row],[Theatre]],'Mng Theatres'!$C$7:$G$12,3,FALSE)="Yes","Yes","No"),0)</f>
        <v>0</v>
      </c>
      <c r="Z277" s="9" t="e" cm="1">
        <f t="array" ref="Z27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7" s="9" t="e" cm="1">
        <f t="array" ref="AA27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7" s="9" t="e">
        <f>IF(tbl_Case_mins[[#This Row],[Case Type]]="Unsch",1,0)</f>
        <v>#REF!</v>
      </c>
      <c r="AD277" s="9" t="e">
        <f>IF(tbl_Case_mins[[#This Row],[Case Type]]="Sch",1,0)</f>
        <v>#REF!</v>
      </c>
      <c r="AE27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7" s="9">
        <f>IFERROR(IF(ISBLANK(INDEX(Am_Close,MATCH(1,INDEX((tbl_Case_mins[[#This Row],[Theatre]]=Theatre_No)*(tbl_Case_mins[[#This Row],[Surgery Start Date]]=Date),0,1),0))*1440),0,INDEX(Am_Close,MATCH(1,INDEX((tbl_Case_mins[[#This Row],[Theatre]]=Theatre_No)*(tbl_Case_mins[[#This Row],[Surgery Start Date]]=Date),0,1),0))*1440),0)</f>
        <v>0</v>
      </c>
      <c r="AG277" s="9">
        <f>IFERROR(IF(ISBLANK(INDEX(PM_Open,MATCH(1,INDEX((tbl_Case_mins[[#This Row],[Theatre]]=Theatre_No)*(tbl_Case_mins[[#This Row],[Surgery Start Date]]=Date),0,1),0))*1440),0,INDEX(PM_Open,MATCH(1,INDEX((tbl_Case_mins[[#This Row],[Theatre]]=Theatre_No)*(tbl_Case_mins[[#This Row],[Surgery Start Date]]=Date),0,1),0))*1440),0)</f>
        <v>0</v>
      </c>
      <c r="AH27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7" s="9" t="e">
        <f>IF(tbl_Case_mins[[#This Row],[ThOpenAm]]=0,tbl_Case_mins[[#This Row],[ThOpenPM]],tbl_Case_mins[[#This Row],[ThOpenAm]])</f>
        <v>#REF!</v>
      </c>
      <c r="AJ277" s="9" t="e">
        <f>IF(tbl_Case_mins[[#This Row],[ThCloseAm]]&gt;0,IF(tbl_Case_mins[[#This Row],[ThOpenPM]]&gt;0,tbl_Case_mins[[#This Row],[ThClosePm]],tbl_Case_mins[[#This Row],[ThCloseAm]]),tbl_Case_mins[[#This Row],[ThClosePm]])</f>
        <v>#REF!</v>
      </c>
      <c r="AK277" s="9" t="e">
        <f>IF(tbl_Case_mins[[#This Row],[TOT]]&gt;0,1,0)</f>
        <v>#REF!</v>
      </c>
      <c r="AL27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7" s="9" t="e">
        <f>IF(AND(tbl_Case_mins[[#This Row],[Surgery Status]]&lt;&gt;2,tbl_Case_mins[[#This Row],[InCoreCase]]=0,tbl_Case_mins[[#This Row],[CancelledCase]]=0),1,0)</f>
        <v>#REF!</v>
      </c>
      <c r="AN277" s="9" t="e">
        <f>IF(tbl_Case_mins[[#This Row],[Surgery Status]]=1,1,0)</f>
        <v>#REF!</v>
      </c>
      <c r="AO27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7" s="9" t="e">
        <f>IF(AND(tbl_Case_mins[[#This Row],[NonCoreCase]]=1,tbl_Case_mins[[#This Row],[NoInCoreTime]]=0),1,0)</f>
        <v>#REF!</v>
      </c>
      <c r="AQ277" s="9" t="e">
        <f>IF(tbl_Case_mins[[#This Row],[Rank_AnaEnd]]&lt;tbl_Case_mins[[#This Row],[Rank_AnaSt]],1,0)</f>
        <v>#REF!</v>
      </c>
      <c r="AR277" s="9" t="e">
        <f>IF(AND(tbl_Case_mins[[#This Row],[InCoreCase]]=1,tbl_Case_mins[[#This Row],[Sch]]=1),1,0)</f>
        <v>#REF!</v>
      </c>
      <c r="AS277" s="9" t="e">
        <f>IF(AND(tbl_Case_mins[[#This Row],[InCoreCase]]=1,tbl_Case_mins[[#This Row],[Unsch]]=1),1,0)</f>
        <v>#REF!</v>
      </c>
      <c r="AT27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7" s="9" t="e">
        <f>IF(tbl_Case_mins[[#This Row],[Surgery Status]]=0,(tbl_Case_mins[[#This Row],[Anaesth End]]-tbl_Case_mins[[#This Row],[AnaesthStart]]),0)</f>
        <v>#REF!</v>
      </c>
      <c r="AX277" s="9" t="e">
        <f>IF(tbl_Case_mins[[#This Row],[Surgery Status]]=0,(tbl_Case_mins[[#This Row],[Surgery Finish]]-tbl_Case_mins[[#This Row],[Surgery Start]]),0)</f>
        <v>#REF!</v>
      </c>
      <c r="AY277" s="9" t="e">
        <f>tbl_Case_mins[[#This Row],[Surgery Start]]-tbl_Case_mins[[#This Row],[AnaesthStart]]</f>
        <v>#REF!</v>
      </c>
      <c r="AZ277" s="9" t="e">
        <f>tbl_Case_mins[[#This Row],[Anaesth End]]-tbl_Case_mins[[#This Row],[Surgery Finish]]</f>
        <v>#REF!</v>
      </c>
      <c r="BA27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7" s="16" cm="1">
        <f t="array" ref="BC27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7" s="16" t="e">
        <f>IF(AND(tbl_Case_mins[[#This Row],[FirstAMCase]]=1,tbl_Case_mins[[#This Row],[CancelledCase]]=0,OR(tbl_Case_mins[[#This Row],[EarlyStartAM]]&gt;0,tbl_Case_mins[[#This Row],[AnaesthStart]]=tbl_Case_mins[[#This Row],[ThOpenAm]])),1,0)</f>
        <v>#REF!</v>
      </c>
      <c r="BE277" s="16" t="e">
        <f>IF(AND(tbl_Case_mins[[#This Row],[Rank_AnaSt]]=tbl_Case_mins[[#This Row],[Min_RankAnaSt]],tbl_Case_mins[[#This Row],[Anaesth End]]&gt;=tbl_Case_mins[[#This Row],[ThOpenAm]],tbl_Case_mins[[#This Row],[PmCase]]=0),1,0)</f>
        <v>#REF!</v>
      </c>
      <c r="BF27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7" s="9" t="e" cm="1">
        <f t="array" ref="BH27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7" s="9" t="e">
        <f>IF(AND(tbl_Case_mins[[#This Row],[ThOpenPM]]&gt;0,tbl_Case_mins[[#This Row],[AnaesthStart]]&gt;tbl_Case_mins[[#This Row],[ThOpenPM]],tbl_Case_mins[[#This Row],[First PM Case]]=1),tbl_Case_mins[[#This Row],[AnaesthStart]]-tbl_Case_mins[[#This Row],[ThOpenPM]],0)</f>
        <v>#REF!</v>
      </c>
      <c r="BL27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7" s="9" t="e" cm="1">
        <f t="array" ref="BN27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7" s="9" t="e">
        <f>IF(AND(tbl_Case_mins[[#This Row],[ThClosePm]]&gt;0,tbl_Case_mins[[#This Row],[Anaesth End]]&gt;tbl_Case_mins[[#This Row],[ThClosePm]],tbl_Case_mins[[#This Row],[AnaesthStart]]&gt;tbl_Case_mins[[#This Row],[ThClosePm]]),tbl_Case_mins[[#This Row],[Into Recov]]-tbl_Case_mins[[#This Row],[AnaesthStart]],0)</f>
        <v>#REF!</v>
      </c>
      <c r="BP277" s="9" t="e">
        <f>IF(AND(tbl_Case_mins[[#This Row],[AnaesthStart]]&lt;tbl_Case_mins[[#This Row],[ThClosePm]],tbl_Case_mins[[#This Row],[Anaesth End]]&gt;tbl_Case_mins[[#This Row],[ThClosePm]]),tbl_Case_mins[[#This Row],[Anaesth End]]-tbl_Case_mins[[#This Row],[ThClosePm]],0)</f>
        <v>#REF!</v>
      </c>
      <c r="BQ277" s="9" t="e" cm="1">
        <f t="array" ref="BQ27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7" s="9" t="e" cm="1">
        <f t="array" ref="BR277">IF(tbl_Case_mins[[#This Row],[Rank_Adjust]]=SUMPRODUCT(-(tbl_Case_mins[Surgery Start Date]=tbl_Case_mins[[#This Row],[Surgery Start Date]]),-(tbl_Case_mins[Theatre]=tbl_Case_mins[[#This Row],[Theatre]])),INDEX(Poss_Time,MATCH(TEXT(tbl_Case_mins[[#This Row],[Surgery Start Date]],"ddd"),Day,0)),0)</f>
        <v>#REF!</v>
      </c>
      <c r="BS277" s="9" t="e">
        <f>tbl_Case_mins[[#This Row],[Core_Time]]*Util_Goal</f>
        <v>#REF!</v>
      </c>
      <c r="BT277" s="9" t="e" cm="1">
        <f t="array" ref="BT2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7" s="9" t="e" cm="1">
        <f t="array" ref="BU2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7" s="9" t="e">
        <f>IF(tbl_Case_mins[[#This Row],[Surgery End Date]]&gt;tbl_Case_mins[[#This Row],[Surgery Start Date]],tbl_Case_mins[[#This Row],[Anaesth End]]-1440,0)</f>
        <v>#REF!</v>
      </c>
      <c r="BY277" s="9" t="e">
        <f>tbl_Case_mins[[#This Row],[Total_NonCore]]-tbl_Case_mins[[#This Row],[NextDay_NonCore]]</f>
        <v>#REF!</v>
      </c>
      <c r="BZ277" s="10" t="e">
        <f>tbl_Case_mins[[#This Row],[InCoreUse]]/60</f>
        <v>#REF!</v>
      </c>
      <c r="CA277" s="10" t="e">
        <f>tbl_Case_mins[[#This Row],[Total_NonCore]]/60</f>
        <v>#REF!</v>
      </c>
      <c r="CB277" t="e" cm="1">
        <f t="array" ref="CB2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7" s="9" t="e" cm="1">
        <f t="array" ref="CC27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7" s="9" t="e" cm="1">
        <f t="array" ref="CD2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7" s="9" t="e" cm="1">
        <f t="array" ref="CE27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7" s="9" cm="1">
        <f t="array" ref="CF277">IFERROR(_xlfn.AGGREGATE(14,6,(tbl_Case_mins[Rank_AnaEnd])/((tbl_Case_mins[Surgery Start Date]=tbl_Case_mins[[#This Row],[Surgery Start Date]])*(tbl_Case_mins[Theatre]=tbl_Case_mins[[#This Row],[Theatre]])*(tbl_Case_mins[NoInCoreTime]=0)),1),-1)</f>
        <v>-1</v>
      </c>
      <c r="CG277" s="9" cm="1">
        <f t="array" ref="CG277">IFERROR(_xlfn.AGGREGATE(15,6,(tbl_Case_mins[Rank_AnaSt])/((tbl_Case_mins[Surgery Start Date]=tbl_Case_mins[[#This Row],[Surgery Start Date]])*(tbl_Case_mins[Theatre]=tbl_Case_mins[[#This Row],[Theatre]])*(tbl_Case_mins[NoInCoreTime]=0)),1),-1)</f>
        <v>-1</v>
      </c>
      <c r="CH27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7" t="e" cm="1">
        <f t="array" ref="CJ27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7" s="9" cm="1">
        <f t="array" ref="CO2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7" s="9" cm="1">
        <f t="array" ref="CP2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7" s="9" cm="1">
        <f t="array" ref="CQ277">IFERROR(IF(AND(tbl_Case_mins[[#This Row],[FirstAMCase]]=0,tbl_Case_mins[[#This Row],[Rank]]=_xlfn.AGGREGATE(14,6,(tbl_Case_mins[Rank])/((tbl_Case_mins[Surgery Start Date]=tbl_Case_mins[[#This Row],[Surgery Start Date]])*(tbl_Case_mins[Theatre]=tbl_Case_mins[[#This Row],[Theatre]])*(tbl_Case_mins[AmCase]=1)),1)),1,0),0)</f>
        <v>0</v>
      </c>
      <c r="CR277" s="9" cm="1">
        <f t="array" ref="CR27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7" s="9" t="e" cm="1">
        <f t="array" ref="CS27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7" s="9" cm="1">
        <f t="array" ref="CT277">IFERROR(IF(tbl_Case_mins[[#This Row],[Rank]]=_xlfn.AGGREGATE(15,6,(tbl_Case_mins[Rank])/((tbl_Case_mins[Surgery Start Date]=tbl_Case_mins[[#This Row],[Surgery Start Date]])*(tbl_Case_mins[Theatre]=tbl_Case_mins[[#This Row],[Theatre]])*(tbl_Case_mins[PmCase]=1)),1),1,0),0)</f>
        <v>0</v>
      </c>
      <c r="CU277">
        <f>IFERROR(#REF!,0)</f>
        <v>0</v>
      </c>
      <c r="CV277" s="9" t="e" cm="1">
        <f t="array" ref="CV27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7" s="9">
        <f>IFERROR(IF(ISBLANK(INDEX(Bay_AmClose,MATCH(1,INDEX((tbl_Case_mins[[#This Row],[Bay]]=BayNo)*(tbl_Case_mins[[#This Row],[Surgery Start Date]]=BDate),0,1),0))*1440),0,INDEX(Bay_AmClose,MATCH(1,INDEX((tbl_Case_mins[[#This Row],[Bay]]=BayNo)*(tbl_Case_mins[[#This Row],[Surgery Start Date]]=BDate),0,1),0))*1440),0)</f>
        <v>0</v>
      </c>
      <c r="CX277" s="9" cm="1">
        <f t="array" ref="CX277">IFERROR(IF(ISBLANK(INDEX(Bay_PmOpen,MATCH(1,INDEX((tbl_Case_mins[[#This Row],[Bay]]=BayNo)*(tbl_Case_mins[[#This Row],[Surgery Start Date]]=BDate),0,1),0))*1440),0,INDEX(Bay_PmOpen,MATCH(1,INDEX((tbl_Case_mins[[#This Row],[Bay]]=BayNo)*(tbl_Case_mins[[#This Row],[Surgery Start Date]]=BDate),0,1),0))*1440),0)</f>
        <v>0</v>
      </c>
      <c r="CY27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7" s="9"/>
    </row>
    <row r="278" spans="1:104" x14ac:dyDescent="0.2">
      <c r="A278">
        <v>277</v>
      </c>
      <c r="B278" t="e">
        <f>#REF!</f>
        <v>#REF!</v>
      </c>
      <c r="C278" t="e">
        <f>#REF!</f>
        <v>#REF!</v>
      </c>
      <c r="D278" t="e">
        <f>#REF!</f>
        <v>#REF!</v>
      </c>
      <c r="E278" t="e">
        <f>#REF!</f>
        <v>#REF!</v>
      </c>
      <c r="F278" t="e">
        <f>#REF!</f>
        <v>#REF!</v>
      </c>
      <c r="G278" t="e">
        <f>#REF!</f>
        <v>#REF!</v>
      </c>
      <c r="H278" t="e">
        <f>#REF!</f>
        <v>#REF!</v>
      </c>
      <c r="I278" t="e">
        <f>IF(#REF!="Case Cancelled",1,IF(#REF!="No Cases",2,0))</f>
        <v>#REF!</v>
      </c>
      <c r="J278" t="e">
        <f>#REF!</f>
        <v>#REF!</v>
      </c>
      <c r="K278" s="4" t="e">
        <f>#REF!</f>
        <v>#REF!</v>
      </c>
      <c r="L278" t="e">
        <f>"Wk "&amp;WEEKNUM(tbl_Case_mins[[#This Row],[Surgery Start Date]],21)</f>
        <v>#REF!</v>
      </c>
      <c r="M278" t="e">
        <f>TEXT(tbl_Case_mins[[#This Row],[Surgery Start Date]],"ddd")</f>
        <v>#REF!</v>
      </c>
      <c r="N278" s="9" t="e">
        <f>(#REF!-TIME(0,0,0))*1440</f>
        <v>#REF!</v>
      </c>
      <c r="O278" t="e">
        <f>IF(AND(ROUND((#REF!-TIME(0,0,0))*1440,0)&gt;0,ROUND((#REF!-TIME(0,0,0))*1440,0)&lt;tbl_Case_mins[[#This Row],[Patient Called]],tbl_Case_mins[[#This Row],[Surgery End Date]]&gt;tbl_Case_mins[[#This Row],[Surgery Start Date]]),ROUND((#REF!-TIME(0,0,0))*1440,0)+1440,ROUND((#REF!-TIME(0,0,0))*1440,0))</f>
        <v>#REF!</v>
      </c>
      <c r="P278" s="9" t="e">
        <f>IF(AND(ROUND((#REF!-TIME(0,0,0))*1440,0)&gt;0,ROUND((#REF!-TIME(0,0,0))*1440,0)&lt;tbl_Case_mins[[#This Row],[Arrival]],tbl_Case_mins[[#This Row],[Surgery End Date]]&gt;tbl_Case_mins[[#This Row],[Surgery Start Date]]),ROUND((#REF!-TIME(0,0,0))*1440,0)+1440,ROUND((#REF!-TIME(0,0,0))*1440,0))</f>
        <v>#REF!</v>
      </c>
      <c r="Q278" s="9" t="e">
        <f>IF(AND(ROUND((#REF!-TIME(0,0,0))*1440,0)&gt;0,ROUND((#REF!-TIME(0,0,0))*1440,0)&lt;tbl_Case_mins[[#This Row],[Into Th or AR]],tbl_Case_mins[[#This Row],[Surgery End Date]]&gt;tbl_Case_mins[[#This Row],[Surgery Start Date]]),ROUND((#REF!-TIME(0,0,0))*1440,0)+1440,ROUND((#REF!-TIME(0,0,0))*1440,0))</f>
        <v>#REF!</v>
      </c>
      <c r="R278" s="9" t="e">
        <f>IF(AND(ROUND((#REF!-TIME(0,0,0))*1440,0)&gt;0,ROUND((#REF!-TIME(0,0,0))*1440,0)&lt;tbl_Case_mins[[#This Row],[AnaesthStart]],tbl_Case_mins[[#This Row],[Surgery End Date]]&gt;tbl_Case_mins[[#This Row],[Surgery Start Date]]),ROUND((#REF!-TIME(0,0,0))*1440,0)+1440,ROUND((#REF!-TIME(0,0,0))*1440,0))</f>
        <v>#REF!</v>
      </c>
      <c r="S278" s="9" t="e">
        <f>IF(AND(ROUND((#REF!-TIME(0,0,0))*1440,0),ROUND((#REF!-TIME(0,0,0))*1440,0)&lt;tbl_Case_mins[[#This Row],[Surgery Start]],tbl_Case_mins[[#This Row],[Surgery End Date]]&gt;tbl_Case_mins[[#This Row],[Surgery Start Date]]),ROUND((#REF!-TIME(0,0,0))*1440,0)+1440,ROUND((#REF!-TIME(0,0,0))*1440,0))</f>
        <v>#REF!</v>
      </c>
      <c r="T278" s="9" t="e">
        <f>IF(AND(ROUND((#REF!-TIME(0,0,0))*1440,0)&gt;0,ROUND((#REF!-TIME(0,0,0))*1440,0)&lt;tbl_Case_mins[[#This Row],[Surgery Finish]],tbl_Case_mins[[#This Row],[Surgery End Date]]&gt;tbl_Case_mins[[#This Row],[Surgery Start Date]]),ROUND((#REF!-TIME(0,0,0))*1440,0)+1440,ROUND((#REF!-TIME(0,0,0))*1440,0))</f>
        <v>#REF!</v>
      </c>
      <c r="U278" s="9" t="e">
        <f>IF(AND(ROUND((#REF!-TIME(0,0,0))*1440,0)&gt;0,ROUND((#REF!-TIME(0,0,0))*1440,0)&lt;tbl_Case_mins[[#This Row],[Anaesth End]],tbl_Case_mins[[#This Row],[Surgery End Date]]&gt;tbl_Case_mins[[#This Row],[Surgery Start Date]]),ROUND((#REF!-TIME(0,0,0))*1440,0)+1440,ROUND((#REF!-TIME(0,0,0))*1440,0))</f>
        <v>#REF!</v>
      </c>
      <c r="V278" s="9" t="e">
        <f>IF(AND(ROUND((#REF!-TIME(0,0,0))*1440,0)&gt;0,ROUND((#REF!-TIME(0,0,0))*1440,0)&lt;tbl_Case_mins[[#This Row],[Into Recov]],tbl_Case_mins[[#This Row],[Surgery End Date]]&gt;tbl_Case_mins[[#This Row],[Surgery Start Date]]),ROUND((#REF!-TIME(0,0,0))*1440,0)+1440,ROUND((#REF!-TIME(0,0,0))*1440,0))</f>
        <v>#REF!</v>
      </c>
      <c r="W278" s="9" t="e">
        <f>IF(AND(ROUND((#REF!-TIME(0,0,0))*1440,0)&gt;0,ROUND((#REF!-TIME(0,0,0))*1440,0)&lt;tbl_Case_mins[[#This Row],[Ward Called]],tbl_Case_mins[[#This Row],[Surgery End Date]]&gt;tbl_Case_mins[[#This Row],[Surgery Start Date]]),ROUND((#REF!-TIME(0,0,0))*1440,0)+1440,ROUND((#REF!-TIME(0,0,0))*1440,0))</f>
        <v>#REF!</v>
      </c>
      <c r="X278" s="4" t="e">
        <f>IF(ISBLANK(#REF!),tbl_Case_mins[[#This Row],[Surgery Start Date]],#REF!)</f>
        <v>#REF!</v>
      </c>
      <c r="Y278">
        <f>IFERROR(IF(VLOOKUP(tbl_Case_mins[[#This Row],[Theatre]],'Mng Theatres'!$C$7:$G$12,3,FALSE)="Yes","Yes","No"),0)</f>
        <v>0</v>
      </c>
      <c r="Z278" s="9" t="e" cm="1">
        <f t="array" ref="Z27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8" s="9" t="e" cm="1">
        <f t="array" ref="AA27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8" s="9" t="e">
        <f>IF(tbl_Case_mins[[#This Row],[Case Type]]="Unsch",1,0)</f>
        <v>#REF!</v>
      </c>
      <c r="AD278" s="9" t="e">
        <f>IF(tbl_Case_mins[[#This Row],[Case Type]]="Sch",1,0)</f>
        <v>#REF!</v>
      </c>
      <c r="AE27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8" s="9">
        <f>IFERROR(IF(ISBLANK(INDEX(Am_Close,MATCH(1,INDEX((tbl_Case_mins[[#This Row],[Theatre]]=Theatre_No)*(tbl_Case_mins[[#This Row],[Surgery Start Date]]=Date),0,1),0))*1440),0,INDEX(Am_Close,MATCH(1,INDEX((tbl_Case_mins[[#This Row],[Theatre]]=Theatre_No)*(tbl_Case_mins[[#This Row],[Surgery Start Date]]=Date),0,1),0))*1440),0)</f>
        <v>0</v>
      </c>
      <c r="AG278" s="9">
        <f>IFERROR(IF(ISBLANK(INDEX(PM_Open,MATCH(1,INDEX((tbl_Case_mins[[#This Row],[Theatre]]=Theatre_No)*(tbl_Case_mins[[#This Row],[Surgery Start Date]]=Date),0,1),0))*1440),0,INDEX(PM_Open,MATCH(1,INDEX((tbl_Case_mins[[#This Row],[Theatre]]=Theatre_No)*(tbl_Case_mins[[#This Row],[Surgery Start Date]]=Date),0,1),0))*1440),0)</f>
        <v>0</v>
      </c>
      <c r="AH27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8" s="9" t="e">
        <f>IF(tbl_Case_mins[[#This Row],[ThOpenAm]]=0,tbl_Case_mins[[#This Row],[ThOpenPM]],tbl_Case_mins[[#This Row],[ThOpenAm]])</f>
        <v>#REF!</v>
      </c>
      <c r="AJ278" s="9" t="e">
        <f>IF(tbl_Case_mins[[#This Row],[ThCloseAm]]&gt;0,IF(tbl_Case_mins[[#This Row],[ThOpenPM]]&gt;0,tbl_Case_mins[[#This Row],[ThClosePm]],tbl_Case_mins[[#This Row],[ThCloseAm]]),tbl_Case_mins[[#This Row],[ThClosePm]])</f>
        <v>#REF!</v>
      </c>
      <c r="AK278" s="9" t="e">
        <f>IF(tbl_Case_mins[[#This Row],[TOT]]&gt;0,1,0)</f>
        <v>#REF!</v>
      </c>
      <c r="AL27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8" s="9" t="e">
        <f>IF(AND(tbl_Case_mins[[#This Row],[Surgery Status]]&lt;&gt;2,tbl_Case_mins[[#This Row],[InCoreCase]]=0,tbl_Case_mins[[#This Row],[CancelledCase]]=0),1,0)</f>
        <v>#REF!</v>
      </c>
      <c r="AN278" s="9" t="e">
        <f>IF(tbl_Case_mins[[#This Row],[Surgery Status]]=1,1,0)</f>
        <v>#REF!</v>
      </c>
      <c r="AO27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8" s="9" t="e">
        <f>IF(AND(tbl_Case_mins[[#This Row],[NonCoreCase]]=1,tbl_Case_mins[[#This Row],[NoInCoreTime]]=0),1,0)</f>
        <v>#REF!</v>
      </c>
      <c r="AQ278" s="9" t="e">
        <f>IF(tbl_Case_mins[[#This Row],[Rank_AnaEnd]]&lt;tbl_Case_mins[[#This Row],[Rank_AnaSt]],1,0)</f>
        <v>#REF!</v>
      </c>
      <c r="AR278" s="9" t="e">
        <f>IF(AND(tbl_Case_mins[[#This Row],[InCoreCase]]=1,tbl_Case_mins[[#This Row],[Sch]]=1),1,0)</f>
        <v>#REF!</v>
      </c>
      <c r="AS278" s="9" t="e">
        <f>IF(AND(tbl_Case_mins[[#This Row],[InCoreCase]]=1,tbl_Case_mins[[#This Row],[Unsch]]=1),1,0)</f>
        <v>#REF!</v>
      </c>
      <c r="AT27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8" s="9" t="e">
        <f>IF(tbl_Case_mins[[#This Row],[Surgery Status]]=0,(tbl_Case_mins[[#This Row],[Anaesth End]]-tbl_Case_mins[[#This Row],[AnaesthStart]]),0)</f>
        <v>#REF!</v>
      </c>
      <c r="AX278" s="9" t="e">
        <f>IF(tbl_Case_mins[[#This Row],[Surgery Status]]=0,(tbl_Case_mins[[#This Row],[Surgery Finish]]-tbl_Case_mins[[#This Row],[Surgery Start]]),0)</f>
        <v>#REF!</v>
      </c>
      <c r="AY278" s="9" t="e">
        <f>tbl_Case_mins[[#This Row],[Surgery Start]]-tbl_Case_mins[[#This Row],[AnaesthStart]]</f>
        <v>#REF!</v>
      </c>
      <c r="AZ278" s="9" t="e">
        <f>tbl_Case_mins[[#This Row],[Anaesth End]]-tbl_Case_mins[[#This Row],[Surgery Finish]]</f>
        <v>#REF!</v>
      </c>
      <c r="BA27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8" s="16" cm="1">
        <f t="array" ref="BC27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8" s="16" t="e">
        <f>IF(AND(tbl_Case_mins[[#This Row],[FirstAMCase]]=1,tbl_Case_mins[[#This Row],[CancelledCase]]=0,OR(tbl_Case_mins[[#This Row],[EarlyStartAM]]&gt;0,tbl_Case_mins[[#This Row],[AnaesthStart]]=tbl_Case_mins[[#This Row],[ThOpenAm]])),1,0)</f>
        <v>#REF!</v>
      </c>
      <c r="BE278" s="16" t="e">
        <f>IF(AND(tbl_Case_mins[[#This Row],[Rank_AnaSt]]=tbl_Case_mins[[#This Row],[Min_RankAnaSt]],tbl_Case_mins[[#This Row],[Anaesth End]]&gt;=tbl_Case_mins[[#This Row],[ThOpenAm]],tbl_Case_mins[[#This Row],[PmCase]]=0),1,0)</f>
        <v>#REF!</v>
      </c>
      <c r="BF27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8" s="9" t="e" cm="1">
        <f t="array" ref="BH27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8" s="9" t="e">
        <f>IF(AND(tbl_Case_mins[[#This Row],[ThOpenPM]]&gt;0,tbl_Case_mins[[#This Row],[AnaesthStart]]&gt;tbl_Case_mins[[#This Row],[ThOpenPM]],tbl_Case_mins[[#This Row],[First PM Case]]=1),tbl_Case_mins[[#This Row],[AnaesthStart]]-tbl_Case_mins[[#This Row],[ThOpenPM]],0)</f>
        <v>#REF!</v>
      </c>
      <c r="BL27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8" s="9" t="e" cm="1">
        <f t="array" ref="BN27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8" s="9" t="e">
        <f>IF(AND(tbl_Case_mins[[#This Row],[ThClosePm]]&gt;0,tbl_Case_mins[[#This Row],[Anaesth End]]&gt;tbl_Case_mins[[#This Row],[ThClosePm]],tbl_Case_mins[[#This Row],[AnaesthStart]]&gt;tbl_Case_mins[[#This Row],[ThClosePm]]),tbl_Case_mins[[#This Row],[Into Recov]]-tbl_Case_mins[[#This Row],[AnaesthStart]],0)</f>
        <v>#REF!</v>
      </c>
      <c r="BP278" s="9" t="e">
        <f>IF(AND(tbl_Case_mins[[#This Row],[AnaesthStart]]&lt;tbl_Case_mins[[#This Row],[ThClosePm]],tbl_Case_mins[[#This Row],[Anaesth End]]&gt;tbl_Case_mins[[#This Row],[ThClosePm]]),tbl_Case_mins[[#This Row],[Anaesth End]]-tbl_Case_mins[[#This Row],[ThClosePm]],0)</f>
        <v>#REF!</v>
      </c>
      <c r="BQ278" s="9" t="e" cm="1">
        <f t="array" ref="BQ27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8" s="9" t="e" cm="1">
        <f t="array" ref="BR278">IF(tbl_Case_mins[[#This Row],[Rank_Adjust]]=SUMPRODUCT(-(tbl_Case_mins[Surgery Start Date]=tbl_Case_mins[[#This Row],[Surgery Start Date]]),-(tbl_Case_mins[Theatre]=tbl_Case_mins[[#This Row],[Theatre]])),INDEX(Poss_Time,MATCH(TEXT(tbl_Case_mins[[#This Row],[Surgery Start Date]],"ddd"),Day,0)),0)</f>
        <v>#REF!</v>
      </c>
      <c r="BS278" s="9" t="e">
        <f>tbl_Case_mins[[#This Row],[Core_Time]]*Util_Goal</f>
        <v>#REF!</v>
      </c>
      <c r="BT278" s="9" t="e" cm="1">
        <f t="array" ref="BT2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8" s="9" t="e" cm="1">
        <f t="array" ref="BU2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8" s="9" t="e">
        <f>IF(tbl_Case_mins[[#This Row],[Surgery End Date]]&gt;tbl_Case_mins[[#This Row],[Surgery Start Date]],tbl_Case_mins[[#This Row],[Anaesth End]]-1440,0)</f>
        <v>#REF!</v>
      </c>
      <c r="BY278" s="9" t="e">
        <f>tbl_Case_mins[[#This Row],[Total_NonCore]]-tbl_Case_mins[[#This Row],[NextDay_NonCore]]</f>
        <v>#REF!</v>
      </c>
      <c r="BZ278" s="10" t="e">
        <f>tbl_Case_mins[[#This Row],[InCoreUse]]/60</f>
        <v>#REF!</v>
      </c>
      <c r="CA278" s="10" t="e">
        <f>tbl_Case_mins[[#This Row],[Total_NonCore]]/60</f>
        <v>#REF!</v>
      </c>
      <c r="CB278" t="e" cm="1">
        <f t="array" ref="CB2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8" s="9" t="e" cm="1">
        <f t="array" ref="CC27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8" s="9" t="e" cm="1">
        <f t="array" ref="CD2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8" s="9" t="e" cm="1">
        <f t="array" ref="CE27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8" s="9" cm="1">
        <f t="array" ref="CF278">IFERROR(_xlfn.AGGREGATE(14,6,(tbl_Case_mins[Rank_AnaEnd])/((tbl_Case_mins[Surgery Start Date]=tbl_Case_mins[[#This Row],[Surgery Start Date]])*(tbl_Case_mins[Theatre]=tbl_Case_mins[[#This Row],[Theatre]])*(tbl_Case_mins[NoInCoreTime]=0)),1),-1)</f>
        <v>-1</v>
      </c>
      <c r="CG278" s="9" cm="1">
        <f t="array" ref="CG278">IFERROR(_xlfn.AGGREGATE(15,6,(tbl_Case_mins[Rank_AnaSt])/((tbl_Case_mins[Surgery Start Date]=tbl_Case_mins[[#This Row],[Surgery Start Date]])*(tbl_Case_mins[Theatre]=tbl_Case_mins[[#This Row],[Theatre]])*(tbl_Case_mins[NoInCoreTime]=0)),1),-1)</f>
        <v>-1</v>
      </c>
      <c r="CH27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8" t="e" cm="1">
        <f t="array" ref="CJ27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8" s="9" cm="1">
        <f t="array" ref="CO2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8" s="9" cm="1">
        <f t="array" ref="CP2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8" s="9" cm="1">
        <f t="array" ref="CQ278">IFERROR(IF(AND(tbl_Case_mins[[#This Row],[FirstAMCase]]=0,tbl_Case_mins[[#This Row],[Rank]]=_xlfn.AGGREGATE(14,6,(tbl_Case_mins[Rank])/((tbl_Case_mins[Surgery Start Date]=tbl_Case_mins[[#This Row],[Surgery Start Date]])*(tbl_Case_mins[Theatre]=tbl_Case_mins[[#This Row],[Theatre]])*(tbl_Case_mins[AmCase]=1)),1)),1,0),0)</f>
        <v>0</v>
      </c>
      <c r="CR278" s="9" cm="1">
        <f t="array" ref="CR27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8" s="9" t="e" cm="1">
        <f t="array" ref="CS27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8" s="9" cm="1">
        <f t="array" ref="CT278">IFERROR(IF(tbl_Case_mins[[#This Row],[Rank]]=_xlfn.AGGREGATE(15,6,(tbl_Case_mins[Rank])/((tbl_Case_mins[Surgery Start Date]=tbl_Case_mins[[#This Row],[Surgery Start Date]])*(tbl_Case_mins[Theatre]=tbl_Case_mins[[#This Row],[Theatre]])*(tbl_Case_mins[PmCase]=1)),1),1,0),0)</f>
        <v>0</v>
      </c>
      <c r="CU278">
        <f>IFERROR(#REF!,0)</f>
        <v>0</v>
      </c>
      <c r="CV278" s="9" t="e" cm="1">
        <f t="array" ref="CV27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8" s="9">
        <f>IFERROR(IF(ISBLANK(INDEX(Bay_AmClose,MATCH(1,INDEX((tbl_Case_mins[[#This Row],[Bay]]=BayNo)*(tbl_Case_mins[[#This Row],[Surgery Start Date]]=BDate),0,1),0))*1440),0,INDEX(Bay_AmClose,MATCH(1,INDEX((tbl_Case_mins[[#This Row],[Bay]]=BayNo)*(tbl_Case_mins[[#This Row],[Surgery Start Date]]=BDate),0,1),0))*1440),0)</f>
        <v>0</v>
      </c>
      <c r="CX278" s="9" cm="1">
        <f t="array" ref="CX278">IFERROR(IF(ISBLANK(INDEX(Bay_PmOpen,MATCH(1,INDEX((tbl_Case_mins[[#This Row],[Bay]]=BayNo)*(tbl_Case_mins[[#This Row],[Surgery Start Date]]=BDate),0,1),0))*1440),0,INDEX(Bay_PmOpen,MATCH(1,INDEX((tbl_Case_mins[[#This Row],[Bay]]=BayNo)*(tbl_Case_mins[[#This Row],[Surgery Start Date]]=BDate),0,1),0))*1440),0)</f>
        <v>0</v>
      </c>
      <c r="CY27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8" s="9"/>
    </row>
    <row r="279" spans="1:104" x14ac:dyDescent="0.2">
      <c r="A279">
        <v>278</v>
      </c>
      <c r="B279" t="e">
        <f>#REF!</f>
        <v>#REF!</v>
      </c>
      <c r="C279" t="e">
        <f>#REF!</f>
        <v>#REF!</v>
      </c>
      <c r="D279" t="e">
        <f>#REF!</f>
        <v>#REF!</v>
      </c>
      <c r="E279" t="e">
        <f>#REF!</f>
        <v>#REF!</v>
      </c>
      <c r="F279" t="e">
        <f>#REF!</f>
        <v>#REF!</v>
      </c>
      <c r="G279" t="e">
        <f>#REF!</f>
        <v>#REF!</v>
      </c>
      <c r="H279" t="e">
        <f>#REF!</f>
        <v>#REF!</v>
      </c>
      <c r="I279" t="e">
        <f>IF(#REF!="Case Cancelled",1,IF(#REF!="No Cases",2,0))</f>
        <v>#REF!</v>
      </c>
      <c r="J279" t="e">
        <f>#REF!</f>
        <v>#REF!</v>
      </c>
      <c r="K279" s="4" t="e">
        <f>#REF!</f>
        <v>#REF!</v>
      </c>
      <c r="L279" t="e">
        <f>"Wk "&amp;WEEKNUM(tbl_Case_mins[[#This Row],[Surgery Start Date]],21)</f>
        <v>#REF!</v>
      </c>
      <c r="M279" t="e">
        <f>TEXT(tbl_Case_mins[[#This Row],[Surgery Start Date]],"ddd")</f>
        <v>#REF!</v>
      </c>
      <c r="N279" s="9" t="e">
        <f>(#REF!-TIME(0,0,0))*1440</f>
        <v>#REF!</v>
      </c>
      <c r="O279" t="e">
        <f>IF(AND(ROUND((#REF!-TIME(0,0,0))*1440,0)&gt;0,ROUND((#REF!-TIME(0,0,0))*1440,0)&lt;tbl_Case_mins[[#This Row],[Patient Called]],tbl_Case_mins[[#This Row],[Surgery End Date]]&gt;tbl_Case_mins[[#This Row],[Surgery Start Date]]),ROUND((#REF!-TIME(0,0,0))*1440,0)+1440,ROUND((#REF!-TIME(0,0,0))*1440,0))</f>
        <v>#REF!</v>
      </c>
      <c r="P279" s="9" t="e">
        <f>IF(AND(ROUND((#REF!-TIME(0,0,0))*1440,0)&gt;0,ROUND((#REF!-TIME(0,0,0))*1440,0)&lt;tbl_Case_mins[[#This Row],[Arrival]],tbl_Case_mins[[#This Row],[Surgery End Date]]&gt;tbl_Case_mins[[#This Row],[Surgery Start Date]]),ROUND((#REF!-TIME(0,0,0))*1440,0)+1440,ROUND((#REF!-TIME(0,0,0))*1440,0))</f>
        <v>#REF!</v>
      </c>
      <c r="Q279" s="9" t="e">
        <f>IF(AND(ROUND((#REF!-TIME(0,0,0))*1440,0)&gt;0,ROUND((#REF!-TIME(0,0,0))*1440,0)&lt;tbl_Case_mins[[#This Row],[Into Th or AR]],tbl_Case_mins[[#This Row],[Surgery End Date]]&gt;tbl_Case_mins[[#This Row],[Surgery Start Date]]),ROUND((#REF!-TIME(0,0,0))*1440,0)+1440,ROUND((#REF!-TIME(0,0,0))*1440,0))</f>
        <v>#REF!</v>
      </c>
      <c r="R279" s="9" t="e">
        <f>IF(AND(ROUND((#REF!-TIME(0,0,0))*1440,0)&gt;0,ROUND((#REF!-TIME(0,0,0))*1440,0)&lt;tbl_Case_mins[[#This Row],[AnaesthStart]],tbl_Case_mins[[#This Row],[Surgery End Date]]&gt;tbl_Case_mins[[#This Row],[Surgery Start Date]]),ROUND((#REF!-TIME(0,0,0))*1440,0)+1440,ROUND((#REF!-TIME(0,0,0))*1440,0))</f>
        <v>#REF!</v>
      </c>
      <c r="S279" s="9" t="e">
        <f>IF(AND(ROUND((#REF!-TIME(0,0,0))*1440,0),ROUND((#REF!-TIME(0,0,0))*1440,0)&lt;tbl_Case_mins[[#This Row],[Surgery Start]],tbl_Case_mins[[#This Row],[Surgery End Date]]&gt;tbl_Case_mins[[#This Row],[Surgery Start Date]]),ROUND((#REF!-TIME(0,0,0))*1440,0)+1440,ROUND((#REF!-TIME(0,0,0))*1440,0))</f>
        <v>#REF!</v>
      </c>
      <c r="T279" s="9" t="e">
        <f>IF(AND(ROUND((#REF!-TIME(0,0,0))*1440,0)&gt;0,ROUND((#REF!-TIME(0,0,0))*1440,0)&lt;tbl_Case_mins[[#This Row],[Surgery Finish]],tbl_Case_mins[[#This Row],[Surgery End Date]]&gt;tbl_Case_mins[[#This Row],[Surgery Start Date]]),ROUND((#REF!-TIME(0,0,0))*1440,0)+1440,ROUND((#REF!-TIME(0,0,0))*1440,0))</f>
        <v>#REF!</v>
      </c>
      <c r="U279" s="9" t="e">
        <f>IF(AND(ROUND((#REF!-TIME(0,0,0))*1440,0)&gt;0,ROUND((#REF!-TIME(0,0,0))*1440,0)&lt;tbl_Case_mins[[#This Row],[Anaesth End]],tbl_Case_mins[[#This Row],[Surgery End Date]]&gt;tbl_Case_mins[[#This Row],[Surgery Start Date]]),ROUND((#REF!-TIME(0,0,0))*1440,0)+1440,ROUND((#REF!-TIME(0,0,0))*1440,0))</f>
        <v>#REF!</v>
      </c>
      <c r="V279" s="9" t="e">
        <f>IF(AND(ROUND((#REF!-TIME(0,0,0))*1440,0)&gt;0,ROUND((#REF!-TIME(0,0,0))*1440,0)&lt;tbl_Case_mins[[#This Row],[Into Recov]],tbl_Case_mins[[#This Row],[Surgery End Date]]&gt;tbl_Case_mins[[#This Row],[Surgery Start Date]]),ROUND((#REF!-TIME(0,0,0))*1440,0)+1440,ROUND((#REF!-TIME(0,0,0))*1440,0))</f>
        <v>#REF!</v>
      </c>
      <c r="W279" s="9" t="e">
        <f>IF(AND(ROUND((#REF!-TIME(0,0,0))*1440,0)&gt;0,ROUND((#REF!-TIME(0,0,0))*1440,0)&lt;tbl_Case_mins[[#This Row],[Ward Called]],tbl_Case_mins[[#This Row],[Surgery End Date]]&gt;tbl_Case_mins[[#This Row],[Surgery Start Date]]),ROUND((#REF!-TIME(0,0,0))*1440,0)+1440,ROUND((#REF!-TIME(0,0,0))*1440,0))</f>
        <v>#REF!</v>
      </c>
      <c r="X279" s="4" t="e">
        <f>IF(ISBLANK(#REF!),tbl_Case_mins[[#This Row],[Surgery Start Date]],#REF!)</f>
        <v>#REF!</v>
      </c>
      <c r="Y279">
        <f>IFERROR(IF(VLOOKUP(tbl_Case_mins[[#This Row],[Theatre]],'Mng Theatres'!$C$7:$G$12,3,FALSE)="Yes","Yes","No"),0)</f>
        <v>0</v>
      </c>
      <c r="Z279" s="9" t="e" cm="1">
        <f t="array" ref="Z27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79" s="9" t="e" cm="1">
        <f t="array" ref="AA27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7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79" s="9" t="e">
        <f>IF(tbl_Case_mins[[#This Row],[Case Type]]="Unsch",1,0)</f>
        <v>#REF!</v>
      </c>
      <c r="AD279" s="9" t="e">
        <f>IF(tbl_Case_mins[[#This Row],[Case Type]]="Sch",1,0)</f>
        <v>#REF!</v>
      </c>
      <c r="AE27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79" s="9">
        <f>IFERROR(IF(ISBLANK(INDEX(Am_Close,MATCH(1,INDEX((tbl_Case_mins[[#This Row],[Theatre]]=Theatre_No)*(tbl_Case_mins[[#This Row],[Surgery Start Date]]=Date),0,1),0))*1440),0,INDEX(Am_Close,MATCH(1,INDEX((tbl_Case_mins[[#This Row],[Theatre]]=Theatre_No)*(tbl_Case_mins[[#This Row],[Surgery Start Date]]=Date),0,1),0))*1440),0)</f>
        <v>0</v>
      </c>
      <c r="AG279" s="9">
        <f>IFERROR(IF(ISBLANK(INDEX(PM_Open,MATCH(1,INDEX((tbl_Case_mins[[#This Row],[Theatre]]=Theatre_No)*(tbl_Case_mins[[#This Row],[Surgery Start Date]]=Date),0,1),0))*1440),0,INDEX(PM_Open,MATCH(1,INDEX((tbl_Case_mins[[#This Row],[Theatre]]=Theatre_No)*(tbl_Case_mins[[#This Row],[Surgery Start Date]]=Date),0,1),0))*1440),0)</f>
        <v>0</v>
      </c>
      <c r="AH27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79" s="9" t="e">
        <f>IF(tbl_Case_mins[[#This Row],[ThOpenAm]]=0,tbl_Case_mins[[#This Row],[ThOpenPM]],tbl_Case_mins[[#This Row],[ThOpenAm]])</f>
        <v>#REF!</v>
      </c>
      <c r="AJ279" s="9" t="e">
        <f>IF(tbl_Case_mins[[#This Row],[ThCloseAm]]&gt;0,IF(tbl_Case_mins[[#This Row],[ThOpenPM]]&gt;0,tbl_Case_mins[[#This Row],[ThClosePm]],tbl_Case_mins[[#This Row],[ThCloseAm]]),tbl_Case_mins[[#This Row],[ThClosePm]])</f>
        <v>#REF!</v>
      </c>
      <c r="AK279" s="9" t="e">
        <f>IF(tbl_Case_mins[[#This Row],[TOT]]&gt;0,1,0)</f>
        <v>#REF!</v>
      </c>
      <c r="AL27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79" s="9" t="e">
        <f>IF(AND(tbl_Case_mins[[#This Row],[Surgery Status]]&lt;&gt;2,tbl_Case_mins[[#This Row],[InCoreCase]]=0,tbl_Case_mins[[#This Row],[CancelledCase]]=0),1,0)</f>
        <v>#REF!</v>
      </c>
      <c r="AN279" s="9" t="e">
        <f>IF(tbl_Case_mins[[#This Row],[Surgery Status]]=1,1,0)</f>
        <v>#REF!</v>
      </c>
      <c r="AO27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79" s="9" t="e">
        <f>IF(AND(tbl_Case_mins[[#This Row],[NonCoreCase]]=1,tbl_Case_mins[[#This Row],[NoInCoreTime]]=0),1,0)</f>
        <v>#REF!</v>
      </c>
      <c r="AQ279" s="9" t="e">
        <f>IF(tbl_Case_mins[[#This Row],[Rank_AnaEnd]]&lt;tbl_Case_mins[[#This Row],[Rank_AnaSt]],1,0)</f>
        <v>#REF!</v>
      </c>
      <c r="AR279" s="9" t="e">
        <f>IF(AND(tbl_Case_mins[[#This Row],[InCoreCase]]=1,tbl_Case_mins[[#This Row],[Sch]]=1),1,0)</f>
        <v>#REF!</v>
      </c>
      <c r="AS279" s="9" t="e">
        <f>IF(AND(tbl_Case_mins[[#This Row],[InCoreCase]]=1,tbl_Case_mins[[#This Row],[Unsch]]=1),1,0)</f>
        <v>#REF!</v>
      </c>
      <c r="AT27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7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7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79" s="9" t="e">
        <f>IF(tbl_Case_mins[[#This Row],[Surgery Status]]=0,(tbl_Case_mins[[#This Row],[Anaesth End]]-tbl_Case_mins[[#This Row],[AnaesthStart]]),0)</f>
        <v>#REF!</v>
      </c>
      <c r="AX279" s="9" t="e">
        <f>IF(tbl_Case_mins[[#This Row],[Surgery Status]]=0,(tbl_Case_mins[[#This Row],[Surgery Finish]]-tbl_Case_mins[[#This Row],[Surgery Start]]),0)</f>
        <v>#REF!</v>
      </c>
      <c r="AY279" s="9" t="e">
        <f>tbl_Case_mins[[#This Row],[Surgery Start]]-tbl_Case_mins[[#This Row],[AnaesthStart]]</f>
        <v>#REF!</v>
      </c>
      <c r="AZ279" s="9" t="e">
        <f>tbl_Case_mins[[#This Row],[Anaesth End]]-tbl_Case_mins[[#This Row],[Surgery Finish]]</f>
        <v>#REF!</v>
      </c>
      <c r="BA27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7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79" s="16" cm="1">
        <f t="array" ref="BC27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79" s="16" t="e">
        <f>IF(AND(tbl_Case_mins[[#This Row],[FirstAMCase]]=1,tbl_Case_mins[[#This Row],[CancelledCase]]=0,OR(tbl_Case_mins[[#This Row],[EarlyStartAM]]&gt;0,tbl_Case_mins[[#This Row],[AnaesthStart]]=tbl_Case_mins[[#This Row],[ThOpenAm]])),1,0)</f>
        <v>#REF!</v>
      </c>
      <c r="BE279" s="16" t="e">
        <f>IF(AND(tbl_Case_mins[[#This Row],[Rank_AnaSt]]=tbl_Case_mins[[#This Row],[Min_RankAnaSt]],tbl_Case_mins[[#This Row],[Anaesth End]]&gt;=tbl_Case_mins[[#This Row],[ThOpenAm]],tbl_Case_mins[[#This Row],[PmCase]]=0),1,0)</f>
        <v>#REF!</v>
      </c>
      <c r="BF27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7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79" s="9" t="e" cm="1">
        <f t="array" ref="BH27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7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7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79" s="9" t="e">
        <f>IF(AND(tbl_Case_mins[[#This Row],[ThOpenPM]]&gt;0,tbl_Case_mins[[#This Row],[AnaesthStart]]&gt;tbl_Case_mins[[#This Row],[ThOpenPM]],tbl_Case_mins[[#This Row],[First PM Case]]=1),tbl_Case_mins[[#This Row],[AnaesthStart]]-tbl_Case_mins[[#This Row],[ThOpenPM]],0)</f>
        <v>#REF!</v>
      </c>
      <c r="BL27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7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79" s="9" t="e" cm="1">
        <f t="array" ref="BN27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79" s="9" t="e">
        <f>IF(AND(tbl_Case_mins[[#This Row],[ThClosePm]]&gt;0,tbl_Case_mins[[#This Row],[Anaesth End]]&gt;tbl_Case_mins[[#This Row],[ThClosePm]],tbl_Case_mins[[#This Row],[AnaesthStart]]&gt;tbl_Case_mins[[#This Row],[ThClosePm]]),tbl_Case_mins[[#This Row],[Into Recov]]-tbl_Case_mins[[#This Row],[AnaesthStart]],0)</f>
        <v>#REF!</v>
      </c>
      <c r="BP279" s="9" t="e">
        <f>IF(AND(tbl_Case_mins[[#This Row],[AnaesthStart]]&lt;tbl_Case_mins[[#This Row],[ThClosePm]],tbl_Case_mins[[#This Row],[Anaesth End]]&gt;tbl_Case_mins[[#This Row],[ThClosePm]]),tbl_Case_mins[[#This Row],[Anaesth End]]-tbl_Case_mins[[#This Row],[ThClosePm]],0)</f>
        <v>#REF!</v>
      </c>
      <c r="BQ279" s="9" t="e" cm="1">
        <f t="array" ref="BQ27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79" s="9" t="e" cm="1">
        <f t="array" ref="BR279">IF(tbl_Case_mins[[#This Row],[Rank_Adjust]]=SUMPRODUCT(-(tbl_Case_mins[Surgery Start Date]=tbl_Case_mins[[#This Row],[Surgery Start Date]]),-(tbl_Case_mins[Theatre]=tbl_Case_mins[[#This Row],[Theatre]])),INDEX(Poss_Time,MATCH(TEXT(tbl_Case_mins[[#This Row],[Surgery Start Date]],"ddd"),Day,0)),0)</f>
        <v>#REF!</v>
      </c>
      <c r="BS279" s="9" t="e">
        <f>tbl_Case_mins[[#This Row],[Core_Time]]*Util_Goal</f>
        <v>#REF!</v>
      </c>
      <c r="BT279" s="9" t="e" cm="1">
        <f t="array" ref="BT2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79" s="9" t="e" cm="1">
        <f t="array" ref="BU2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7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7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79" s="9" t="e">
        <f>IF(tbl_Case_mins[[#This Row],[Surgery End Date]]&gt;tbl_Case_mins[[#This Row],[Surgery Start Date]],tbl_Case_mins[[#This Row],[Anaesth End]]-1440,0)</f>
        <v>#REF!</v>
      </c>
      <c r="BY279" s="9" t="e">
        <f>tbl_Case_mins[[#This Row],[Total_NonCore]]-tbl_Case_mins[[#This Row],[NextDay_NonCore]]</f>
        <v>#REF!</v>
      </c>
      <c r="BZ279" s="10" t="e">
        <f>tbl_Case_mins[[#This Row],[InCoreUse]]/60</f>
        <v>#REF!</v>
      </c>
      <c r="CA279" s="10" t="e">
        <f>tbl_Case_mins[[#This Row],[Total_NonCore]]/60</f>
        <v>#REF!</v>
      </c>
      <c r="CB279" t="e" cm="1">
        <f t="array" ref="CB2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79" s="9" t="e" cm="1">
        <f t="array" ref="CC27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79" s="9" t="e" cm="1">
        <f t="array" ref="CD2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79" s="9" t="e" cm="1">
        <f t="array" ref="CE27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79" s="9" cm="1">
        <f t="array" ref="CF279">IFERROR(_xlfn.AGGREGATE(14,6,(tbl_Case_mins[Rank_AnaEnd])/((tbl_Case_mins[Surgery Start Date]=tbl_Case_mins[[#This Row],[Surgery Start Date]])*(tbl_Case_mins[Theatre]=tbl_Case_mins[[#This Row],[Theatre]])*(tbl_Case_mins[NoInCoreTime]=0)),1),-1)</f>
        <v>-1</v>
      </c>
      <c r="CG279" s="9" cm="1">
        <f t="array" ref="CG279">IFERROR(_xlfn.AGGREGATE(15,6,(tbl_Case_mins[Rank_AnaSt])/((tbl_Case_mins[Surgery Start Date]=tbl_Case_mins[[#This Row],[Surgery Start Date]])*(tbl_Case_mins[Theatre]=tbl_Case_mins[[#This Row],[Theatre]])*(tbl_Case_mins[NoInCoreTime]=0)),1),-1)</f>
        <v>-1</v>
      </c>
      <c r="CH27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7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79" t="e" cm="1">
        <f t="array" ref="CJ27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7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7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79" s="9" cm="1">
        <f t="array" ref="CO2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79" s="9" cm="1">
        <f t="array" ref="CP2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79" s="9" cm="1">
        <f t="array" ref="CQ279">IFERROR(IF(AND(tbl_Case_mins[[#This Row],[FirstAMCase]]=0,tbl_Case_mins[[#This Row],[Rank]]=_xlfn.AGGREGATE(14,6,(tbl_Case_mins[Rank])/((tbl_Case_mins[Surgery Start Date]=tbl_Case_mins[[#This Row],[Surgery Start Date]])*(tbl_Case_mins[Theatre]=tbl_Case_mins[[#This Row],[Theatre]])*(tbl_Case_mins[AmCase]=1)),1)),1,0),0)</f>
        <v>0</v>
      </c>
      <c r="CR279" s="9" cm="1">
        <f t="array" ref="CR27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79" s="9" t="e" cm="1">
        <f t="array" ref="CS27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79" s="9" cm="1">
        <f t="array" ref="CT279">IFERROR(IF(tbl_Case_mins[[#This Row],[Rank]]=_xlfn.AGGREGATE(15,6,(tbl_Case_mins[Rank])/((tbl_Case_mins[Surgery Start Date]=tbl_Case_mins[[#This Row],[Surgery Start Date]])*(tbl_Case_mins[Theatre]=tbl_Case_mins[[#This Row],[Theatre]])*(tbl_Case_mins[PmCase]=1)),1),1,0),0)</f>
        <v>0</v>
      </c>
      <c r="CU279">
        <f>IFERROR(#REF!,0)</f>
        <v>0</v>
      </c>
      <c r="CV279" s="9" t="e" cm="1">
        <f t="array" ref="CV27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79" s="9">
        <f>IFERROR(IF(ISBLANK(INDEX(Bay_AmClose,MATCH(1,INDEX((tbl_Case_mins[[#This Row],[Bay]]=BayNo)*(tbl_Case_mins[[#This Row],[Surgery Start Date]]=BDate),0,1),0))*1440),0,INDEX(Bay_AmClose,MATCH(1,INDEX((tbl_Case_mins[[#This Row],[Bay]]=BayNo)*(tbl_Case_mins[[#This Row],[Surgery Start Date]]=BDate),0,1),0))*1440),0)</f>
        <v>0</v>
      </c>
      <c r="CX279" s="9" cm="1">
        <f t="array" ref="CX279">IFERROR(IF(ISBLANK(INDEX(Bay_PmOpen,MATCH(1,INDEX((tbl_Case_mins[[#This Row],[Bay]]=BayNo)*(tbl_Case_mins[[#This Row],[Surgery Start Date]]=BDate),0,1),0))*1440),0,INDEX(Bay_PmOpen,MATCH(1,INDEX((tbl_Case_mins[[#This Row],[Bay]]=BayNo)*(tbl_Case_mins[[#This Row],[Surgery Start Date]]=BDate),0,1),0))*1440),0)</f>
        <v>0</v>
      </c>
      <c r="CY27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79" s="9"/>
    </row>
    <row r="280" spans="1:104" x14ac:dyDescent="0.2">
      <c r="A280">
        <v>279</v>
      </c>
      <c r="B280" t="e">
        <f>#REF!</f>
        <v>#REF!</v>
      </c>
      <c r="C280" t="e">
        <f>#REF!</f>
        <v>#REF!</v>
      </c>
      <c r="D280" t="e">
        <f>#REF!</f>
        <v>#REF!</v>
      </c>
      <c r="E280" t="e">
        <f>#REF!</f>
        <v>#REF!</v>
      </c>
      <c r="F280" t="e">
        <f>#REF!</f>
        <v>#REF!</v>
      </c>
      <c r="G280" t="e">
        <f>#REF!</f>
        <v>#REF!</v>
      </c>
      <c r="H280" t="e">
        <f>#REF!</f>
        <v>#REF!</v>
      </c>
      <c r="I280" t="e">
        <f>IF(#REF!="Case Cancelled",1,IF(#REF!="No Cases",2,0))</f>
        <v>#REF!</v>
      </c>
      <c r="J280" t="e">
        <f>#REF!</f>
        <v>#REF!</v>
      </c>
      <c r="K280" s="4" t="e">
        <f>#REF!</f>
        <v>#REF!</v>
      </c>
      <c r="L280" t="e">
        <f>"Wk "&amp;WEEKNUM(tbl_Case_mins[[#This Row],[Surgery Start Date]],21)</f>
        <v>#REF!</v>
      </c>
      <c r="M280" t="e">
        <f>TEXT(tbl_Case_mins[[#This Row],[Surgery Start Date]],"ddd")</f>
        <v>#REF!</v>
      </c>
      <c r="N280" s="9" t="e">
        <f>(#REF!-TIME(0,0,0))*1440</f>
        <v>#REF!</v>
      </c>
      <c r="O280" t="e">
        <f>IF(AND(ROUND((#REF!-TIME(0,0,0))*1440,0)&gt;0,ROUND((#REF!-TIME(0,0,0))*1440,0)&lt;tbl_Case_mins[[#This Row],[Patient Called]],tbl_Case_mins[[#This Row],[Surgery End Date]]&gt;tbl_Case_mins[[#This Row],[Surgery Start Date]]),ROUND((#REF!-TIME(0,0,0))*1440,0)+1440,ROUND((#REF!-TIME(0,0,0))*1440,0))</f>
        <v>#REF!</v>
      </c>
      <c r="P280" s="9" t="e">
        <f>IF(AND(ROUND((#REF!-TIME(0,0,0))*1440,0)&gt;0,ROUND((#REF!-TIME(0,0,0))*1440,0)&lt;tbl_Case_mins[[#This Row],[Arrival]],tbl_Case_mins[[#This Row],[Surgery End Date]]&gt;tbl_Case_mins[[#This Row],[Surgery Start Date]]),ROUND((#REF!-TIME(0,0,0))*1440,0)+1440,ROUND((#REF!-TIME(0,0,0))*1440,0))</f>
        <v>#REF!</v>
      </c>
      <c r="Q280" s="9" t="e">
        <f>IF(AND(ROUND((#REF!-TIME(0,0,0))*1440,0)&gt;0,ROUND((#REF!-TIME(0,0,0))*1440,0)&lt;tbl_Case_mins[[#This Row],[Into Th or AR]],tbl_Case_mins[[#This Row],[Surgery End Date]]&gt;tbl_Case_mins[[#This Row],[Surgery Start Date]]),ROUND((#REF!-TIME(0,0,0))*1440,0)+1440,ROUND((#REF!-TIME(0,0,0))*1440,0))</f>
        <v>#REF!</v>
      </c>
      <c r="R280" s="9" t="e">
        <f>IF(AND(ROUND((#REF!-TIME(0,0,0))*1440,0)&gt;0,ROUND((#REF!-TIME(0,0,0))*1440,0)&lt;tbl_Case_mins[[#This Row],[AnaesthStart]],tbl_Case_mins[[#This Row],[Surgery End Date]]&gt;tbl_Case_mins[[#This Row],[Surgery Start Date]]),ROUND((#REF!-TIME(0,0,0))*1440,0)+1440,ROUND((#REF!-TIME(0,0,0))*1440,0))</f>
        <v>#REF!</v>
      </c>
      <c r="S280" s="9" t="e">
        <f>IF(AND(ROUND((#REF!-TIME(0,0,0))*1440,0),ROUND((#REF!-TIME(0,0,0))*1440,0)&lt;tbl_Case_mins[[#This Row],[Surgery Start]],tbl_Case_mins[[#This Row],[Surgery End Date]]&gt;tbl_Case_mins[[#This Row],[Surgery Start Date]]),ROUND((#REF!-TIME(0,0,0))*1440,0)+1440,ROUND((#REF!-TIME(0,0,0))*1440,0))</f>
        <v>#REF!</v>
      </c>
      <c r="T280" s="9" t="e">
        <f>IF(AND(ROUND((#REF!-TIME(0,0,0))*1440,0)&gt;0,ROUND((#REF!-TIME(0,0,0))*1440,0)&lt;tbl_Case_mins[[#This Row],[Surgery Finish]],tbl_Case_mins[[#This Row],[Surgery End Date]]&gt;tbl_Case_mins[[#This Row],[Surgery Start Date]]),ROUND((#REF!-TIME(0,0,0))*1440,0)+1440,ROUND((#REF!-TIME(0,0,0))*1440,0))</f>
        <v>#REF!</v>
      </c>
      <c r="U280" s="9" t="e">
        <f>IF(AND(ROUND((#REF!-TIME(0,0,0))*1440,0)&gt;0,ROUND((#REF!-TIME(0,0,0))*1440,0)&lt;tbl_Case_mins[[#This Row],[Anaesth End]],tbl_Case_mins[[#This Row],[Surgery End Date]]&gt;tbl_Case_mins[[#This Row],[Surgery Start Date]]),ROUND((#REF!-TIME(0,0,0))*1440,0)+1440,ROUND((#REF!-TIME(0,0,0))*1440,0))</f>
        <v>#REF!</v>
      </c>
      <c r="V280" s="9" t="e">
        <f>IF(AND(ROUND((#REF!-TIME(0,0,0))*1440,0)&gt;0,ROUND((#REF!-TIME(0,0,0))*1440,0)&lt;tbl_Case_mins[[#This Row],[Into Recov]],tbl_Case_mins[[#This Row],[Surgery End Date]]&gt;tbl_Case_mins[[#This Row],[Surgery Start Date]]),ROUND((#REF!-TIME(0,0,0))*1440,0)+1440,ROUND((#REF!-TIME(0,0,0))*1440,0))</f>
        <v>#REF!</v>
      </c>
      <c r="W280" s="9" t="e">
        <f>IF(AND(ROUND((#REF!-TIME(0,0,0))*1440,0)&gt;0,ROUND((#REF!-TIME(0,0,0))*1440,0)&lt;tbl_Case_mins[[#This Row],[Ward Called]],tbl_Case_mins[[#This Row],[Surgery End Date]]&gt;tbl_Case_mins[[#This Row],[Surgery Start Date]]),ROUND((#REF!-TIME(0,0,0))*1440,0)+1440,ROUND((#REF!-TIME(0,0,0))*1440,0))</f>
        <v>#REF!</v>
      </c>
      <c r="X280" s="4" t="e">
        <f>IF(ISBLANK(#REF!),tbl_Case_mins[[#This Row],[Surgery Start Date]],#REF!)</f>
        <v>#REF!</v>
      </c>
      <c r="Y280">
        <f>IFERROR(IF(VLOOKUP(tbl_Case_mins[[#This Row],[Theatre]],'Mng Theatres'!$C$7:$G$12,3,FALSE)="Yes","Yes","No"),0)</f>
        <v>0</v>
      </c>
      <c r="Z280" s="9" t="e" cm="1">
        <f t="array" ref="Z28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0" s="9" t="e" cm="1">
        <f t="array" ref="AA28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0" s="9" t="e">
        <f>IF(tbl_Case_mins[[#This Row],[Case Type]]="Unsch",1,0)</f>
        <v>#REF!</v>
      </c>
      <c r="AD280" s="9" t="e">
        <f>IF(tbl_Case_mins[[#This Row],[Case Type]]="Sch",1,0)</f>
        <v>#REF!</v>
      </c>
      <c r="AE28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0" s="9">
        <f>IFERROR(IF(ISBLANK(INDEX(Am_Close,MATCH(1,INDEX((tbl_Case_mins[[#This Row],[Theatre]]=Theatre_No)*(tbl_Case_mins[[#This Row],[Surgery Start Date]]=Date),0,1),0))*1440),0,INDEX(Am_Close,MATCH(1,INDEX((tbl_Case_mins[[#This Row],[Theatre]]=Theatre_No)*(tbl_Case_mins[[#This Row],[Surgery Start Date]]=Date),0,1),0))*1440),0)</f>
        <v>0</v>
      </c>
      <c r="AG280" s="9">
        <f>IFERROR(IF(ISBLANK(INDEX(PM_Open,MATCH(1,INDEX((tbl_Case_mins[[#This Row],[Theatre]]=Theatre_No)*(tbl_Case_mins[[#This Row],[Surgery Start Date]]=Date),0,1),0))*1440),0,INDEX(PM_Open,MATCH(1,INDEX((tbl_Case_mins[[#This Row],[Theatre]]=Theatre_No)*(tbl_Case_mins[[#This Row],[Surgery Start Date]]=Date),0,1),0))*1440),0)</f>
        <v>0</v>
      </c>
      <c r="AH28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0" s="9" t="e">
        <f>IF(tbl_Case_mins[[#This Row],[ThOpenAm]]=0,tbl_Case_mins[[#This Row],[ThOpenPM]],tbl_Case_mins[[#This Row],[ThOpenAm]])</f>
        <v>#REF!</v>
      </c>
      <c r="AJ280" s="9" t="e">
        <f>IF(tbl_Case_mins[[#This Row],[ThCloseAm]]&gt;0,IF(tbl_Case_mins[[#This Row],[ThOpenPM]]&gt;0,tbl_Case_mins[[#This Row],[ThClosePm]],tbl_Case_mins[[#This Row],[ThCloseAm]]),tbl_Case_mins[[#This Row],[ThClosePm]])</f>
        <v>#REF!</v>
      </c>
      <c r="AK280" s="9" t="e">
        <f>IF(tbl_Case_mins[[#This Row],[TOT]]&gt;0,1,0)</f>
        <v>#REF!</v>
      </c>
      <c r="AL28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0" s="9" t="e">
        <f>IF(AND(tbl_Case_mins[[#This Row],[Surgery Status]]&lt;&gt;2,tbl_Case_mins[[#This Row],[InCoreCase]]=0,tbl_Case_mins[[#This Row],[CancelledCase]]=0),1,0)</f>
        <v>#REF!</v>
      </c>
      <c r="AN280" s="9" t="e">
        <f>IF(tbl_Case_mins[[#This Row],[Surgery Status]]=1,1,0)</f>
        <v>#REF!</v>
      </c>
      <c r="AO28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0" s="9" t="e">
        <f>IF(AND(tbl_Case_mins[[#This Row],[NonCoreCase]]=1,tbl_Case_mins[[#This Row],[NoInCoreTime]]=0),1,0)</f>
        <v>#REF!</v>
      </c>
      <c r="AQ280" s="9" t="e">
        <f>IF(tbl_Case_mins[[#This Row],[Rank_AnaEnd]]&lt;tbl_Case_mins[[#This Row],[Rank_AnaSt]],1,0)</f>
        <v>#REF!</v>
      </c>
      <c r="AR280" s="9" t="e">
        <f>IF(AND(tbl_Case_mins[[#This Row],[InCoreCase]]=1,tbl_Case_mins[[#This Row],[Sch]]=1),1,0)</f>
        <v>#REF!</v>
      </c>
      <c r="AS280" s="9" t="e">
        <f>IF(AND(tbl_Case_mins[[#This Row],[InCoreCase]]=1,tbl_Case_mins[[#This Row],[Unsch]]=1),1,0)</f>
        <v>#REF!</v>
      </c>
      <c r="AT28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0" s="9" t="e">
        <f>IF(tbl_Case_mins[[#This Row],[Surgery Status]]=0,(tbl_Case_mins[[#This Row],[Anaesth End]]-tbl_Case_mins[[#This Row],[AnaesthStart]]),0)</f>
        <v>#REF!</v>
      </c>
      <c r="AX280" s="9" t="e">
        <f>IF(tbl_Case_mins[[#This Row],[Surgery Status]]=0,(tbl_Case_mins[[#This Row],[Surgery Finish]]-tbl_Case_mins[[#This Row],[Surgery Start]]),0)</f>
        <v>#REF!</v>
      </c>
      <c r="AY280" s="9" t="e">
        <f>tbl_Case_mins[[#This Row],[Surgery Start]]-tbl_Case_mins[[#This Row],[AnaesthStart]]</f>
        <v>#REF!</v>
      </c>
      <c r="AZ280" s="9" t="e">
        <f>tbl_Case_mins[[#This Row],[Anaesth End]]-tbl_Case_mins[[#This Row],[Surgery Finish]]</f>
        <v>#REF!</v>
      </c>
      <c r="BA28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0" s="16" cm="1">
        <f t="array" ref="BC28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0" s="16" t="e">
        <f>IF(AND(tbl_Case_mins[[#This Row],[FirstAMCase]]=1,tbl_Case_mins[[#This Row],[CancelledCase]]=0,OR(tbl_Case_mins[[#This Row],[EarlyStartAM]]&gt;0,tbl_Case_mins[[#This Row],[AnaesthStart]]=tbl_Case_mins[[#This Row],[ThOpenAm]])),1,0)</f>
        <v>#REF!</v>
      </c>
      <c r="BE280" s="16" t="e">
        <f>IF(AND(tbl_Case_mins[[#This Row],[Rank_AnaSt]]=tbl_Case_mins[[#This Row],[Min_RankAnaSt]],tbl_Case_mins[[#This Row],[Anaesth End]]&gt;=tbl_Case_mins[[#This Row],[ThOpenAm]],tbl_Case_mins[[#This Row],[PmCase]]=0),1,0)</f>
        <v>#REF!</v>
      </c>
      <c r="BF28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0" s="9" t="e" cm="1">
        <f t="array" ref="BH28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0" s="9" t="e">
        <f>IF(AND(tbl_Case_mins[[#This Row],[ThOpenPM]]&gt;0,tbl_Case_mins[[#This Row],[AnaesthStart]]&gt;tbl_Case_mins[[#This Row],[ThOpenPM]],tbl_Case_mins[[#This Row],[First PM Case]]=1),tbl_Case_mins[[#This Row],[AnaesthStart]]-tbl_Case_mins[[#This Row],[ThOpenPM]],0)</f>
        <v>#REF!</v>
      </c>
      <c r="BL28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0" s="9" t="e" cm="1">
        <f t="array" ref="BN28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0" s="9" t="e">
        <f>IF(AND(tbl_Case_mins[[#This Row],[ThClosePm]]&gt;0,tbl_Case_mins[[#This Row],[Anaesth End]]&gt;tbl_Case_mins[[#This Row],[ThClosePm]],tbl_Case_mins[[#This Row],[AnaesthStart]]&gt;tbl_Case_mins[[#This Row],[ThClosePm]]),tbl_Case_mins[[#This Row],[Into Recov]]-tbl_Case_mins[[#This Row],[AnaesthStart]],0)</f>
        <v>#REF!</v>
      </c>
      <c r="BP280" s="9" t="e">
        <f>IF(AND(tbl_Case_mins[[#This Row],[AnaesthStart]]&lt;tbl_Case_mins[[#This Row],[ThClosePm]],tbl_Case_mins[[#This Row],[Anaesth End]]&gt;tbl_Case_mins[[#This Row],[ThClosePm]]),tbl_Case_mins[[#This Row],[Anaesth End]]-tbl_Case_mins[[#This Row],[ThClosePm]],0)</f>
        <v>#REF!</v>
      </c>
      <c r="BQ280" s="9" t="e" cm="1">
        <f t="array" ref="BQ28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0" s="9" t="e" cm="1">
        <f t="array" ref="BR280">IF(tbl_Case_mins[[#This Row],[Rank_Adjust]]=SUMPRODUCT(-(tbl_Case_mins[Surgery Start Date]=tbl_Case_mins[[#This Row],[Surgery Start Date]]),-(tbl_Case_mins[Theatre]=tbl_Case_mins[[#This Row],[Theatre]])),INDEX(Poss_Time,MATCH(TEXT(tbl_Case_mins[[#This Row],[Surgery Start Date]],"ddd"),Day,0)),0)</f>
        <v>#REF!</v>
      </c>
      <c r="BS280" s="9" t="e">
        <f>tbl_Case_mins[[#This Row],[Core_Time]]*Util_Goal</f>
        <v>#REF!</v>
      </c>
      <c r="BT280" s="9" t="e" cm="1">
        <f t="array" ref="BT2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0" s="9" t="e" cm="1">
        <f t="array" ref="BU2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0" s="9" t="e">
        <f>IF(tbl_Case_mins[[#This Row],[Surgery End Date]]&gt;tbl_Case_mins[[#This Row],[Surgery Start Date]],tbl_Case_mins[[#This Row],[Anaesth End]]-1440,0)</f>
        <v>#REF!</v>
      </c>
      <c r="BY280" s="9" t="e">
        <f>tbl_Case_mins[[#This Row],[Total_NonCore]]-tbl_Case_mins[[#This Row],[NextDay_NonCore]]</f>
        <v>#REF!</v>
      </c>
      <c r="BZ280" s="10" t="e">
        <f>tbl_Case_mins[[#This Row],[InCoreUse]]/60</f>
        <v>#REF!</v>
      </c>
      <c r="CA280" s="10" t="e">
        <f>tbl_Case_mins[[#This Row],[Total_NonCore]]/60</f>
        <v>#REF!</v>
      </c>
      <c r="CB280" t="e" cm="1">
        <f t="array" ref="CB2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0" s="9" t="e" cm="1">
        <f t="array" ref="CC28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0" s="9" t="e" cm="1">
        <f t="array" ref="CD2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0" s="9" t="e" cm="1">
        <f t="array" ref="CE28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0" s="9" cm="1">
        <f t="array" ref="CF280">IFERROR(_xlfn.AGGREGATE(14,6,(tbl_Case_mins[Rank_AnaEnd])/((tbl_Case_mins[Surgery Start Date]=tbl_Case_mins[[#This Row],[Surgery Start Date]])*(tbl_Case_mins[Theatre]=tbl_Case_mins[[#This Row],[Theatre]])*(tbl_Case_mins[NoInCoreTime]=0)),1),-1)</f>
        <v>-1</v>
      </c>
      <c r="CG280" s="9" cm="1">
        <f t="array" ref="CG280">IFERROR(_xlfn.AGGREGATE(15,6,(tbl_Case_mins[Rank_AnaSt])/((tbl_Case_mins[Surgery Start Date]=tbl_Case_mins[[#This Row],[Surgery Start Date]])*(tbl_Case_mins[Theatre]=tbl_Case_mins[[#This Row],[Theatre]])*(tbl_Case_mins[NoInCoreTime]=0)),1),-1)</f>
        <v>-1</v>
      </c>
      <c r="CH28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0" t="e" cm="1">
        <f t="array" ref="CJ28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0" s="9" cm="1">
        <f t="array" ref="CO2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0" s="9" cm="1">
        <f t="array" ref="CP2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0" s="9" cm="1">
        <f t="array" ref="CQ280">IFERROR(IF(AND(tbl_Case_mins[[#This Row],[FirstAMCase]]=0,tbl_Case_mins[[#This Row],[Rank]]=_xlfn.AGGREGATE(14,6,(tbl_Case_mins[Rank])/((tbl_Case_mins[Surgery Start Date]=tbl_Case_mins[[#This Row],[Surgery Start Date]])*(tbl_Case_mins[Theatre]=tbl_Case_mins[[#This Row],[Theatre]])*(tbl_Case_mins[AmCase]=1)),1)),1,0),0)</f>
        <v>0</v>
      </c>
      <c r="CR280" s="9" cm="1">
        <f t="array" ref="CR28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0" s="9" t="e" cm="1">
        <f t="array" ref="CS28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0" s="9" cm="1">
        <f t="array" ref="CT280">IFERROR(IF(tbl_Case_mins[[#This Row],[Rank]]=_xlfn.AGGREGATE(15,6,(tbl_Case_mins[Rank])/((tbl_Case_mins[Surgery Start Date]=tbl_Case_mins[[#This Row],[Surgery Start Date]])*(tbl_Case_mins[Theatre]=tbl_Case_mins[[#This Row],[Theatre]])*(tbl_Case_mins[PmCase]=1)),1),1,0),0)</f>
        <v>0</v>
      </c>
      <c r="CU280">
        <f>IFERROR(#REF!,0)</f>
        <v>0</v>
      </c>
      <c r="CV280" s="9" t="e" cm="1">
        <f t="array" ref="CV28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0" s="9">
        <f>IFERROR(IF(ISBLANK(INDEX(Bay_AmClose,MATCH(1,INDEX((tbl_Case_mins[[#This Row],[Bay]]=BayNo)*(tbl_Case_mins[[#This Row],[Surgery Start Date]]=BDate),0,1),0))*1440),0,INDEX(Bay_AmClose,MATCH(1,INDEX((tbl_Case_mins[[#This Row],[Bay]]=BayNo)*(tbl_Case_mins[[#This Row],[Surgery Start Date]]=BDate),0,1),0))*1440),0)</f>
        <v>0</v>
      </c>
      <c r="CX280" s="9" cm="1">
        <f t="array" ref="CX280">IFERROR(IF(ISBLANK(INDEX(Bay_PmOpen,MATCH(1,INDEX((tbl_Case_mins[[#This Row],[Bay]]=BayNo)*(tbl_Case_mins[[#This Row],[Surgery Start Date]]=BDate),0,1),0))*1440),0,INDEX(Bay_PmOpen,MATCH(1,INDEX((tbl_Case_mins[[#This Row],[Bay]]=BayNo)*(tbl_Case_mins[[#This Row],[Surgery Start Date]]=BDate),0,1),0))*1440),0)</f>
        <v>0</v>
      </c>
      <c r="CY28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0" s="9"/>
    </row>
    <row r="281" spans="1:104" x14ac:dyDescent="0.2">
      <c r="A281">
        <v>280</v>
      </c>
      <c r="B281" t="e">
        <f>#REF!</f>
        <v>#REF!</v>
      </c>
      <c r="C281" t="e">
        <f>#REF!</f>
        <v>#REF!</v>
      </c>
      <c r="D281" t="e">
        <f>#REF!</f>
        <v>#REF!</v>
      </c>
      <c r="E281" t="e">
        <f>#REF!</f>
        <v>#REF!</v>
      </c>
      <c r="F281" t="e">
        <f>#REF!</f>
        <v>#REF!</v>
      </c>
      <c r="G281" t="e">
        <f>#REF!</f>
        <v>#REF!</v>
      </c>
      <c r="H281" t="e">
        <f>#REF!</f>
        <v>#REF!</v>
      </c>
      <c r="I281" t="e">
        <f>IF(#REF!="Case Cancelled",1,IF(#REF!="No Cases",2,0))</f>
        <v>#REF!</v>
      </c>
      <c r="J281" t="e">
        <f>#REF!</f>
        <v>#REF!</v>
      </c>
      <c r="K281" s="4" t="e">
        <f>#REF!</f>
        <v>#REF!</v>
      </c>
      <c r="L281" t="e">
        <f>"Wk "&amp;WEEKNUM(tbl_Case_mins[[#This Row],[Surgery Start Date]],21)</f>
        <v>#REF!</v>
      </c>
      <c r="M281" t="e">
        <f>TEXT(tbl_Case_mins[[#This Row],[Surgery Start Date]],"ddd")</f>
        <v>#REF!</v>
      </c>
      <c r="N281" s="9" t="e">
        <f>(#REF!-TIME(0,0,0))*1440</f>
        <v>#REF!</v>
      </c>
      <c r="O281" t="e">
        <f>IF(AND(ROUND((#REF!-TIME(0,0,0))*1440,0)&gt;0,ROUND((#REF!-TIME(0,0,0))*1440,0)&lt;tbl_Case_mins[[#This Row],[Patient Called]],tbl_Case_mins[[#This Row],[Surgery End Date]]&gt;tbl_Case_mins[[#This Row],[Surgery Start Date]]),ROUND((#REF!-TIME(0,0,0))*1440,0)+1440,ROUND((#REF!-TIME(0,0,0))*1440,0))</f>
        <v>#REF!</v>
      </c>
      <c r="P281" s="9" t="e">
        <f>IF(AND(ROUND((#REF!-TIME(0,0,0))*1440,0)&gt;0,ROUND((#REF!-TIME(0,0,0))*1440,0)&lt;tbl_Case_mins[[#This Row],[Arrival]],tbl_Case_mins[[#This Row],[Surgery End Date]]&gt;tbl_Case_mins[[#This Row],[Surgery Start Date]]),ROUND((#REF!-TIME(0,0,0))*1440,0)+1440,ROUND((#REF!-TIME(0,0,0))*1440,0))</f>
        <v>#REF!</v>
      </c>
      <c r="Q281" s="9" t="e">
        <f>IF(AND(ROUND((#REF!-TIME(0,0,0))*1440,0)&gt;0,ROUND((#REF!-TIME(0,0,0))*1440,0)&lt;tbl_Case_mins[[#This Row],[Into Th or AR]],tbl_Case_mins[[#This Row],[Surgery End Date]]&gt;tbl_Case_mins[[#This Row],[Surgery Start Date]]),ROUND((#REF!-TIME(0,0,0))*1440,0)+1440,ROUND((#REF!-TIME(0,0,0))*1440,0))</f>
        <v>#REF!</v>
      </c>
      <c r="R281" s="9" t="e">
        <f>IF(AND(ROUND((#REF!-TIME(0,0,0))*1440,0)&gt;0,ROUND((#REF!-TIME(0,0,0))*1440,0)&lt;tbl_Case_mins[[#This Row],[AnaesthStart]],tbl_Case_mins[[#This Row],[Surgery End Date]]&gt;tbl_Case_mins[[#This Row],[Surgery Start Date]]),ROUND((#REF!-TIME(0,0,0))*1440,0)+1440,ROUND((#REF!-TIME(0,0,0))*1440,0))</f>
        <v>#REF!</v>
      </c>
      <c r="S281" s="9" t="e">
        <f>IF(AND(ROUND((#REF!-TIME(0,0,0))*1440,0),ROUND((#REF!-TIME(0,0,0))*1440,0)&lt;tbl_Case_mins[[#This Row],[Surgery Start]],tbl_Case_mins[[#This Row],[Surgery End Date]]&gt;tbl_Case_mins[[#This Row],[Surgery Start Date]]),ROUND((#REF!-TIME(0,0,0))*1440,0)+1440,ROUND((#REF!-TIME(0,0,0))*1440,0))</f>
        <v>#REF!</v>
      </c>
      <c r="T281" s="9" t="e">
        <f>IF(AND(ROUND((#REF!-TIME(0,0,0))*1440,0)&gt;0,ROUND((#REF!-TIME(0,0,0))*1440,0)&lt;tbl_Case_mins[[#This Row],[Surgery Finish]],tbl_Case_mins[[#This Row],[Surgery End Date]]&gt;tbl_Case_mins[[#This Row],[Surgery Start Date]]),ROUND((#REF!-TIME(0,0,0))*1440,0)+1440,ROUND((#REF!-TIME(0,0,0))*1440,0))</f>
        <v>#REF!</v>
      </c>
      <c r="U281" s="9" t="e">
        <f>IF(AND(ROUND((#REF!-TIME(0,0,0))*1440,0)&gt;0,ROUND((#REF!-TIME(0,0,0))*1440,0)&lt;tbl_Case_mins[[#This Row],[Anaesth End]],tbl_Case_mins[[#This Row],[Surgery End Date]]&gt;tbl_Case_mins[[#This Row],[Surgery Start Date]]),ROUND((#REF!-TIME(0,0,0))*1440,0)+1440,ROUND((#REF!-TIME(0,0,0))*1440,0))</f>
        <v>#REF!</v>
      </c>
      <c r="V281" s="9" t="e">
        <f>IF(AND(ROUND((#REF!-TIME(0,0,0))*1440,0)&gt;0,ROUND((#REF!-TIME(0,0,0))*1440,0)&lt;tbl_Case_mins[[#This Row],[Into Recov]],tbl_Case_mins[[#This Row],[Surgery End Date]]&gt;tbl_Case_mins[[#This Row],[Surgery Start Date]]),ROUND((#REF!-TIME(0,0,0))*1440,0)+1440,ROUND((#REF!-TIME(0,0,0))*1440,0))</f>
        <v>#REF!</v>
      </c>
      <c r="W281" s="9" t="e">
        <f>IF(AND(ROUND((#REF!-TIME(0,0,0))*1440,0)&gt;0,ROUND((#REF!-TIME(0,0,0))*1440,0)&lt;tbl_Case_mins[[#This Row],[Ward Called]],tbl_Case_mins[[#This Row],[Surgery End Date]]&gt;tbl_Case_mins[[#This Row],[Surgery Start Date]]),ROUND((#REF!-TIME(0,0,0))*1440,0)+1440,ROUND((#REF!-TIME(0,0,0))*1440,0))</f>
        <v>#REF!</v>
      </c>
      <c r="X281" s="4" t="e">
        <f>IF(ISBLANK(#REF!),tbl_Case_mins[[#This Row],[Surgery Start Date]],#REF!)</f>
        <v>#REF!</v>
      </c>
      <c r="Y281">
        <f>IFERROR(IF(VLOOKUP(tbl_Case_mins[[#This Row],[Theatre]],'Mng Theatres'!$C$7:$G$12,3,FALSE)="Yes","Yes","No"),0)</f>
        <v>0</v>
      </c>
      <c r="Z281" s="9" t="e" cm="1">
        <f t="array" ref="Z28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1" s="9" t="e" cm="1">
        <f t="array" ref="AA28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1" s="9" t="e">
        <f>IF(tbl_Case_mins[[#This Row],[Case Type]]="Unsch",1,0)</f>
        <v>#REF!</v>
      </c>
      <c r="AD281" s="9" t="e">
        <f>IF(tbl_Case_mins[[#This Row],[Case Type]]="Sch",1,0)</f>
        <v>#REF!</v>
      </c>
      <c r="AE28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1" s="9">
        <f>IFERROR(IF(ISBLANK(INDEX(Am_Close,MATCH(1,INDEX((tbl_Case_mins[[#This Row],[Theatre]]=Theatre_No)*(tbl_Case_mins[[#This Row],[Surgery Start Date]]=Date),0,1),0))*1440),0,INDEX(Am_Close,MATCH(1,INDEX((tbl_Case_mins[[#This Row],[Theatre]]=Theatre_No)*(tbl_Case_mins[[#This Row],[Surgery Start Date]]=Date),0,1),0))*1440),0)</f>
        <v>0</v>
      </c>
      <c r="AG281" s="9">
        <f>IFERROR(IF(ISBLANK(INDEX(PM_Open,MATCH(1,INDEX((tbl_Case_mins[[#This Row],[Theatre]]=Theatre_No)*(tbl_Case_mins[[#This Row],[Surgery Start Date]]=Date),0,1),0))*1440),0,INDEX(PM_Open,MATCH(1,INDEX((tbl_Case_mins[[#This Row],[Theatre]]=Theatre_No)*(tbl_Case_mins[[#This Row],[Surgery Start Date]]=Date),0,1),0))*1440),0)</f>
        <v>0</v>
      </c>
      <c r="AH28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1" s="9" t="e">
        <f>IF(tbl_Case_mins[[#This Row],[ThOpenAm]]=0,tbl_Case_mins[[#This Row],[ThOpenPM]],tbl_Case_mins[[#This Row],[ThOpenAm]])</f>
        <v>#REF!</v>
      </c>
      <c r="AJ281" s="9" t="e">
        <f>IF(tbl_Case_mins[[#This Row],[ThCloseAm]]&gt;0,IF(tbl_Case_mins[[#This Row],[ThOpenPM]]&gt;0,tbl_Case_mins[[#This Row],[ThClosePm]],tbl_Case_mins[[#This Row],[ThCloseAm]]),tbl_Case_mins[[#This Row],[ThClosePm]])</f>
        <v>#REF!</v>
      </c>
      <c r="AK281" s="9" t="e">
        <f>IF(tbl_Case_mins[[#This Row],[TOT]]&gt;0,1,0)</f>
        <v>#REF!</v>
      </c>
      <c r="AL28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1" s="9" t="e">
        <f>IF(AND(tbl_Case_mins[[#This Row],[Surgery Status]]&lt;&gt;2,tbl_Case_mins[[#This Row],[InCoreCase]]=0,tbl_Case_mins[[#This Row],[CancelledCase]]=0),1,0)</f>
        <v>#REF!</v>
      </c>
      <c r="AN281" s="9" t="e">
        <f>IF(tbl_Case_mins[[#This Row],[Surgery Status]]=1,1,0)</f>
        <v>#REF!</v>
      </c>
      <c r="AO28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1" s="9" t="e">
        <f>IF(AND(tbl_Case_mins[[#This Row],[NonCoreCase]]=1,tbl_Case_mins[[#This Row],[NoInCoreTime]]=0),1,0)</f>
        <v>#REF!</v>
      </c>
      <c r="AQ281" s="9" t="e">
        <f>IF(tbl_Case_mins[[#This Row],[Rank_AnaEnd]]&lt;tbl_Case_mins[[#This Row],[Rank_AnaSt]],1,0)</f>
        <v>#REF!</v>
      </c>
      <c r="AR281" s="9" t="e">
        <f>IF(AND(tbl_Case_mins[[#This Row],[InCoreCase]]=1,tbl_Case_mins[[#This Row],[Sch]]=1),1,0)</f>
        <v>#REF!</v>
      </c>
      <c r="AS281" s="9" t="e">
        <f>IF(AND(tbl_Case_mins[[#This Row],[InCoreCase]]=1,tbl_Case_mins[[#This Row],[Unsch]]=1),1,0)</f>
        <v>#REF!</v>
      </c>
      <c r="AT28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1" s="9" t="e">
        <f>IF(tbl_Case_mins[[#This Row],[Surgery Status]]=0,(tbl_Case_mins[[#This Row],[Anaesth End]]-tbl_Case_mins[[#This Row],[AnaesthStart]]),0)</f>
        <v>#REF!</v>
      </c>
      <c r="AX281" s="9" t="e">
        <f>IF(tbl_Case_mins[[#This Row],[Surgery Status]]=0,(tbl_Case_mins[[#This Row],[Surgery Finish]]-tbl_Case_mins[[#This Row],[Surgery Start]]),0)</f>
        <v>#REF!</v>
      </c>
      <c r="AY281" s="9" t="e">
        <f>tbl_Case_mins[[#This Row],[Surgery Start]]-tbl_Case_mins[[#This Row],[AnaesthStart]]</f>
        <v>#REF!</v>
      </c>
      <c r="AZ281" s="9" t="e">
        <f>tbl_Case_mins[[#This Row],[Anaesth End]]-tbl_Case_mins[[#This Row],[Surgery Finish]]</f>
        <v>#REF!</v>
      </c>
      <c r="BA28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1" s="16" cm="1">
        <f t="array" ref="BC28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1" s="16" t="e">
        <f>IF(AND(tbl_Case_mins[[#This Row],[FirstAMCase]]=1,tbl_Case_mins[[#This Row],[CancelledCase]]=0,OR(tbl_Case_mins[[#This Row],[EarlyStartAM]]&gt;0,tbl_Case_mins[[#This Row],[AnaesthStart]]=tbl_Case_mins[[#This Row],[ThOpenAm]])),1,0)</f>
        <v>#REF!</v>
      </c>
      <c r="BE281" s="16" t="e">
        <f>IF(AND(tbl_Case_mins[[#This Row],[Rank_AnaSt]]=tbl_Case_mins[[#This Row],[Min_RankAnaSt]],tbl_Case_mins[[#This Row],[Anaesth End]]&gt;=tbl_Case_mins[[#This Row],[ThOpenAm]],tbl_Case_mins[[#This Row],[PmCase]]=0),1,0)</f>
        <v>#REF!</v>
      </c>
      <c r="BF28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1" s="9" t="e" cm="1">
        <f t="array" ref="BH28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1" s="9" t="e">
        <f>IF(AND(tbl_Case_mins[[#This Row],[ThOpenPM]]&gt;0,tbl_Case_mins[[#This Row],[AnaesthStart]]&gt;tbl_Case_mins[[#This Row],[ThOpenPM]],tbl_Case_mins[[#This Row],[First PM Case]]=1),tbl_Case_mins[[#This Row],[AnaesthStart]]-tbl_Case_mins[[#This Row],[ThOpenPM]],0)</f>
        <v>#REF!</v>
      </c>
      <c r="BL28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1" s="9" t="e" cm="1">
        <f t="array" ref="BN28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1" s="9" t="e">
        <f>IF(AND(tbl_Case_mins[[#This Row],[ThClosePm]]&gt;0,tbl_Case_mins[[#This Row],[Anaesth End]]&gt;tbl_Case_mins[[#This Row],[ThClosePm]],tbl_Case_mins[[#This Row],[AnaesthStart]]&gt;tbl_Case_mins[[#This Row],[ThClosePm]]),tbl_Case_mins[[#This Row],[Into Recov]]-tbl_Case_mins[[#This Row],[AnaesthStart]],0)</f>
        <v>#REF!</v>
      </c>
      <c r="BP281" s="9" t="e">
        <f>IF(AND(tbl_Case_mins[[#This Row],[AnaesthStart]]&lt;tbl_Case_mins[[#This Row],[ThClosePm]],tbl_Case_mins[[#This Row],[Anaesth End]]&gt;tbl_Case_mins[[#This Row],[ThClosePm]]),tbl_Case_mins[[#This Row],[Anaesth End]]-tbl_Case_mins[[#This Row],[ThClosePm]],0)</f>
        <v>#REF!</v>
      </c>
      <c r="BQ281" s="9" t="e" cm="1">
        <f t="array" ref="BQ28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1" s="9" t="e" cm="1">
        <f t="array" ref="BR281">IF(tbl_Case_mins[[#This Row],[Rank_Adjust]]=SUMPRODUCT(-(tbl_Case_mins[Surgery Start Date]=tbl_Case_mins[[#This Row],[Surgery Start Date]]),-(tbl_Case_mins[Theatre]=tbl_Case_mins[[#This Row],[Theatre]])),INDEX(Poss_Time,MATCH(TEXT(tbl_Case_mins[[#This Row],[Surgery Start Date]],"ddd"),Day,0)),0)</f>
        <v>#REF!</v>
      </c>
      <c r="BS281" s="9" t="e">
        <f>tbl_Case_mins[[#This Row],[Core_Time]]*Util_Goal</f>
        <v>#REF!</v>
      </c>
      <c r="BT281" s="9" t="e" cm="1">
        <f t="array" ref="BT2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1" s="9" t="e" cm="1">
        <f t="array" ref="BU2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1" s="9" t="e">
        <f>IF(tbl_Case_mins[[#This Row],[Surgery End Date]]&gt;tbl_Case_mins[[#This Row],[Surgery Start Date]],tbl_Case_mins[[#This Row],[Anaesth End]]-1440,0)</f>
        <v>#REF!</v>
      </c>
      <c r="BY281" s="9" t="e">
        <f>tbl_Case_mins[[#This Row],[Total_NonCore]]-tbl_Case_mins[[#This Row],[NextDay_NonCore]]</f>
        <v>#REF!</v>
      </c>
      <c r="BZ281" s="10" t="e">
        <f>tbl_Case_mins[[#This Row],[InCoreUse]]/60</f>
        <v>#REF!</v>
      </c>
      <c r="CA281" s="10" t="e">
        <f>tbl_Case_mins[[#This Row],[Total_NonCore]]/60</f>
        <v>#REF!</v>
      </c>
      <c r="CB281" t="e" cm="1">
        <f t="array" ref="CB2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1" s="9" t="e" cm="1">
        <f t="array" ref="CC28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1" s="9" t="e" cm="1">
        <f t="array" ref="CD2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1" s="9" t="e" cm="1">
        <f t="array" ref="CE28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1" s="9" cm="1">
        <f t="array" ref="CF281">IFERROR(_xlfn.AGGREGATE(14,6,(tbl_Case_mins[Rank_AnaEnd])/((tbl_Case_mins[Surgery Start Date]=tbl_Case_mins[[#This Row],[Surgery Start Date]])*(tbl_Case_mins[Theatre]=tbl_Case_mins[[#This Row],[Theatre]])*(tbl_Case_mins[NoInCoreTime]=0)),1),-1)</f>
        <v>-1</v>
      </c>
      <c r="CG281" s="9" cm="1">
        <f t="array" ref="CG281">IFERROR(_xlfn.AGGREGATE(15,6,(tbl_Case_mins[Rank_AnaSt])/((tbl_Case_mins[Surgery Start Date]=tbl_Case_mins[[#This Row],[Surgery Start Date]])*(tbl_Case_mins[Theatre]=tbl_Case_mins[[#This Row],[Theatre]])*(tbl_Case_mins[NoInCoreTime]=0)),1),-1)</f>
        <v>-1</v>
      </c>
      <c r="CH28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1" t="e" cm="1">
        <f t="array" ref="CJ28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1" s="9" cm="1">
        <f t="array" ref="CO2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1" s="9" cm="1">
        <f t="array" ref="CP2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1" s="9" cm="1">
        <f t="array" ref="CQ281">IFERROR(IF(AND(tbl_Case_mins[[#This Row],[FirstAMCase]]=0,tbl_Case_mins[[#This Row],[Rank]]=_xlfn.AGGREGATE(14,6,(tbl_Case_mins[Rank])/((tbl_Case_mins[Surgery Start Date]=tbl_Case_mins[[#This Row],[Surgery Start Date]])*(tbl_Case_mins[Theatre]=tbl_Case_mins[[#This Row],[Theatre]])*(tbl_Case_mins[AmCase]=1)),1)),1,0),0)</f>
        <v>0</v>
      </c>
      <c r="CR281" s="9" cm="1">
        <f t="array" ref="CR28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1" s="9" t="e" cm="1">
        <f t="array" ref="CS28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1" s="9" cm="1">
        <f t="array" ref="CT281">IFERROR(IF(tbl_Case_mins[[#This Row],[Rank]]=_xlfn.AGGREGATE(15,6,(tbl_Case_mins[Rank])/((tbl_Case_mins[Surgery Start Date]=tbl_Case_mins[[#This Row],[Surgery Start Date]])*(tbl_Case_mins[Theatre]=tbl_Case_mins[[#This Row],[Theatre]])*(tbl_Case_mins[PmCase]=1)),1),1,0),0)</f>
        <v>0</v>
      </c>
      <c r="CU281">
        <f>IFERROR(#REF!,0)</f>
        <v>0</v>
      </c>
      <c r="CV281" s="9" t="e" cm="1">
        <f t="array" ref="CV28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1" s="9">
        <f>IFERROR(IF(ISBLANK(INDEX(Bay_AmClose,MATCH(1,INDEX((tbl_Case_mins[[#This Row],[Bay]]=BayNo)*(tbl_Case_mins[[#This Row],[Surgery Start Date]]=BDate),0,1),0))*1440),0,INDEX(Bay_AmClose,MATCH(1,INDEX((tbl_Case_mins[[#This Row],[Bay]]=BayNo)*(tbl_Case_mins[[#This Row],[Surgery Start Date]]=BDate),0,1),0))*1440),0)</f>
        <v>0</v>
      </c>
      <c r="CX281" s="9" cm="1">
        <f t="array" ref="CX281">IFERROR(IF(ISBLANK(INDEX(Bay_PmOpen,MATCH(1,INDEX((tbl_Case_mins[[#This Row],[Bay]]=BayNo)*(tbl_Case_mins[[#This Row],[Surgery Start Date]]=BDate),0,1),0))*1440),0,INDEX(Bay_PmOpen,MATCH(1,INDEX((tbl_Case_mins[[#This Row],[Bay]]=BayNo)*(tbl_Case_mins[[#This Row],[Surgery Start Date]]=BDate),0,1),0))*1440),0)</f>
        <v>0</v>
      </c>
      <c r="CY28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1" s="9"/>
    </row>
    <row r="282" spans="1:104" x14ac:dyDescent="0.2">
      <c r="A282">
        <v>281</v>
      </c>
      <c r="B282" t="e">
        <f>#REF!</f>
        <v>#REF!</v>
      </c>
      <c r="C282" t="e">
        <f>#REF!</f>
        <v>#REF!</v>
      </c>
      <c r="D282" t="e">
        <f>#REF!</f>
        <v>#REF!</v>
      </c>
      <c r="E282" t="e">
        <f>#REF!</f>
        <v>#REF!</v>
      </c>
      <c r="F282" t="e">
        <f>#REF!</f>
        <v>#REF!</v>
      </c>
      <c r="G282" t="e">
        <f>#REF!</f>
        <v>#REF!</v>
      </c>
      <c r="H282" t="e">
        <f>#REF!</f>
        <v>#REF!</v>
      </c>
      <c r="I282" t="e">
        <f>IF(#REF!="Case Cancelled",1,IF(#REF!="No Cases",2,0))</f>
        <v>#REF!</v>
      </c>
      <c r="J282" t="e">
        <f>#REF!</f>
        <v>#REF!</v>
      </c>
      <c r="K282" s="4" t="e">
        <f>#REF!</f>
        <v>#REF!</v>
      </c>
      <c r="L282" t="e">
        <f>"Wk "&amp;WEEKNUM(tbl_Case_mins[[#This Row],[Surgery Start Date]],21)</f>
        <v>#REF!</v>
      </c>
      <c r="M282" t="e">
        <f>TEXT(tbl_Case_mins[[#This Row],[Surgery Start Date]],"ddd")</f>
        <v>#REF!</v>
      </c>
      <c r="N282" s="9" t="e">
        <f>(#REF!-TIME(0,0,0))*1440</f>
        <v>#REF!</v>
      </c>
      <c r="O282" t="e">
        <f>IF(AND(ROUND((#REF!-TIME(0,0,0))*1440,0)&gt;0,ROUND((#REF!-TIME(0,0,0))*1440,0)&lt;tbl_Case_mins[[#This Row],[Patient Called]],tbl_Case_mins[[#This Row],[Surgery End Date]]&gt;tbl_Case_mins[[#This Row],[Surgery Start Date]]),ROUND((#REF!-TIME(0,0,0))*1440,0)+1440,ROUND((#REF!-TIME(0,0,0))*1440,0))</f>
        <v>#REF!</v>
      </c>
      <c r="P282" s="9" t="e">
        <f>IF(AND(ROUND((#REF!-TIME(0,0,0))*1440,0)&gt;0,ROUND((#REF!-TIME(0,0,0))*1440,0)&lt;tbl_Case_mins[[#This Row],[Arrival]],tbl_Case_mins[[#This Row],[Surgery End Date]]&gt;tbl_Case_mins[[#This Row],[Surgery Start Date]]),ROUND((#REF!-TIME(0,0,0))*1440,0)+1440,ROUND((#REF!-TIME(0,0,0))*1440,0))</f>
        <v>#REF!</v>
      </c>
      <c r="Q282" s="9" t="e">
        <f>IF(AND(ROUND((#REF!-TIME(0,0,0))*1440,0)&gt;0,ROUND((#REF!-TIME(0,0,0))*1440,0)&lt;tbl_Case_mins[[#This Row],[Into Th or AR]],tbl_Case_mins[[#This Row],[Surgery End Date]]&gt;tbl_Case_mins[[#This Row],[Surgery Start Date]]),ROUND((#REF!-TIME(0,0,0))*1440,0)+1440,ROUND((#REF!-TIME(0,0,0))*1440,0))</f>
        <v>#REF!</v>
      </c>
      <c r="R282" s="9" t="e">
        <f>IF(AND(ROUND((#REF!-TIME(0,0,0))*1440,0)&gt;0,ROUND((#REF!-TIME(0,0,0))*1440,0)&lt;tbl_Case_mins[[#This Row],[AnaesthStart]],tbl_Case_mins[[#This Row],[Surgery End Date]]&gt;tbl_Case_mins[[#This Row],[Surgery Start Date]]),ROUND((#REF!-TIME(0,0,0))*1440,0)+1440,ROUND((#REF!-TIME(0,0,0))*1440,0))</f>
        <v>#REF!</v>
      </c>
      <c r="S282" s="9" t="e">
        <f>IF(AND(ROUND((#REF!-TIME(0,0,0))*1440,0),ROUND((#REF!-TIME(0,0,0))*1440,0)&lt;tbl_Case_mins[[#This Row],[Surgery Start]],tbl_Case_mins[[#This Row],[Surgery End Date]]&gt;tbl_Case_mins[[#This Row],[Surgery Start Date]]),ROUND((#REF!-TIME(0,0,0))*1440,0)+1440,ROUND((#REF!-TIME(0,0,0))*1440,0))</f>
        <v>#REF!</v>
      </c>
      <c r="T282" s="9" t="e">
        <f>IF(AND(ROUND((#REF!-TIME(0,0,0))*1440,0)&gt;0,ROUND((#REF!-TIME(0,0,0))*1440,0)&lt;tbl_Case_mins[[#This Row],[Surgery Finish]],tbl_Case_mins[[#This Row],[Surgery End Date]]&gt;tbl_Case_mins[[#This Row],[Surgery Start Date]]),ROUND((#REF!-TIME(0,0,0))*1440,0)+1440,ROUND((#REF!-TIME(0,0,0))*1440,0))</f>
        <v>#REF!</v>
      </c>
      <c r="U282" s="9" t="e">
        <f>IF(AND(ROUND((#REF!-TIME(0,0,0))*1440,0)&gt;0,ROUND((#REF!-TIME(0,0,0))*1440,0)&lt;tbl_Case_mins[[#This Row],[Anaesth End]],tbl_Case_mins[[#This Row],[Surgery End Date]]&gt;tbl_Case_mins[[#This Row],[Surgery Start Date]]),ROUND((#REF!-TIME(0,0,0))*1440,0)+1440,ROUND((#REF!-TIME(0,0,0))*1440,0))</f>
        <v>#REF!</v>
      </c>
      <c r="V282" s="9" t="e">
        <f>IF(AND(ROUND((#REF!-TIME(0,0,0))*1440,0)&gt;0,ROUND((#REF!-TIME(0,0,0))*1440,0)&lt;tbl_Case_mins[[#This Row],[Into Recov]],tbl_Case_mins[[#This Row],[Surgery End Date]]&gt;tbl_Case_mins[[#This Row],[Surgery Start Date]]),ROUND((#REF!-TIME(0,0,0))*1440,0)+1440,ROUND((#REF!-TIME(0,0,0))*1440,0))</f>
        <v>#REF!</v>
      </c>
      <c r="W282" s="9" t="e">
        <f>IF(AND(ROUND((#REF!-TIME(0,0,0))*1440,0)&gt;0,ROUND((#REF!-TIME(0,0,0))*1440,0)&lt;tbl_Case_mins[[#This Row],[Ward Called]],tbl_Case_mins[[#This Row],[Surgery End Date]]&gt;tbl_Case_mins[[#This Row],[Surgery Start Date]]),ROUND((#REF!-TIME(0,0,0))*1440,0)+1440,ROUND((#REF!-TIME(0,0,0))*1440,0))</f>
        <v>#REF!</v>
      </c>
      <c r="X282" s="4" t="e">
        <f>IF(ISBLANK(#REF!),tbl_Case_mins[[#This Row],[Surgery Start Date]],#REF!)</f>
        <v>#REF!</v>
      </c>
      <c r="Y282">
        <f>IFERROR(IF(VLOOKUP(tbl_Case_mins[[#This Row],[Theatre]],'Mng Theatres'!$C$7:$G$12,3,FALSE)="Yes","Yes","No"),0)</f>
        <v>0</v>
      </c>
      <c r="Z282" s="9" t="e" cm="1">
        <f t="array" ref="Z28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2" s="9" t="e" cm="1">
        <f t="array" ref="AA28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2" s="9" t="e">
        <f>IF(tbl_Case_mins[[#This Row],[Case Type]]="Unsch",1,0)</f>
        <v>#REF!</v>
      </c>
      <c r="AD282" s="9" t="e">
        <f>IF(tbl_Case_mins[[#This Row],[Case Type]]="Sch",1,0)</f>
        <v>#REF!</v>
      </c>
      <c r="AE28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2" s="9">
        <f>IFERROR(IF(ISBLANK(INDEX(Am_Close,MATCH(1,INDEX((tbl_Case_mins[[#This Row],[Theatre]]=Theatre_No)*(tbl_Case_mins[[#This Row],[Surgery Start Date]]=Date),0,1),0))*1440),0,INDEX(Am_Close,MATCH(1,INDEX((tbl_Case_mins[[#This Row],[Theatre]]=Theatre_No)*(tbl_Case_mins[[#This Row],[Surgery Start Date]]=Date),0,1),0))*1440),0)</f>
        <v>0</v>
      </c>
      <c r="AG282" s="9">
        <f>IFERROR(IF(ISBLANK(INDEX(PM_Open,MATCH(1,INDEX((tbl_Case_mins[[#This Row],[Theatre]]=Theatre_No)*(tbl_Case_mins[[#This Row],[Surgery Start Date]]=Date),0,1),0))*1440),0,INDEX(PM_Open,MATCH(1,INDEX((tbl_Case_mins[[#This Row],[Theatre]]=Theatre_No)*(tbl_Case_mins[[#This Row],[Surgery Start Date]]=Date),0,1),0))*1440),0)</f>
        <v>0</v>
      </c>
      <c r="AH28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2" s="9" t="e">
        <f>IF(tbl_Case_mins[[#This Row],[ThOpenAm]]=0,tbl_Case_mins[[#This Row],[ThOpenPM]],tbl_Case_mins[[#This Row],[ThOpenAm]])</f>
        <v>#REF!</v>
      </c>
      <c r="AJ282" s="9" t="e">
        <f>IF(tbl_Case_mins[[#This Row],[ThCloseAm]]&gt;0,IF(tbl_Case_mins[[#This Row],[ThOpenPM]]&gt;0,tbl_Case_mins[[#This Row],[ThClosePm]],tbl_Case_mins[[#This Row],[ThCloseAm]]),tbl_Case_mins[[#This Row],[ThClosePm]])</f>
        <v>#REF!</v>
      </c>
      <c r="AK282" s="9" t="e">
        <f>IF(tbl_Case_mins[[#This Row],[TOT]]&gt;0,1,0)</f>
        <v>#REF!</v>
      </c>
      <c r="AL28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2" s="9" t="e">
        <f>IF(AND(tbl_Case_mins[[#This Row],[Surgery Status]]&lt;&gt;2,tbl_Case_mins[[#This Row],[InCoreCase]]=0,tbl_Case_mins[[#This Row],[CancelledCase]]=0),1,0)</f>
        <v>#REF!</v>
      </c>
      <c r="AN282" s="9" t="e">
        <f>IF(tbl_Case_mins[[#This Row],[Surgery Status]]=1,1,0)</f>
        <v>#REF!</v>
      </c>
      <c r="AO28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2" s="9" t="e">
        <f>IF(AND(tbl_Case_mins[[#This Row],[NonCoreCase]]=1,tbl_Case_mins[[#This Row],[NoInCoreTime]]=0),1,0)</f>
        <v>#REF!</v>
      </c>
      <c r="AQ282" s="9" t="e">
        <f>IF(tbl_Case_mins[[#This Row],[Rank_AnaEnd]]&lt;tbl_Case_mins[[#This Row],[Rank_AnaSt]],1,0)</f>
        <v>#REF!</v>
      </c>
      <c r="AR282" s="9" t="e">
        <f>IF(AND(tbl_Case_mins[[#This Row],[InCoreCase]]=1,tbl_Case_mins[[#This Row],[Sch]]=1),1,0)</f>
        <v>#REF!</v>
      </c>
      <c r="AS282" s="9" t="e">
        <f>IF(AND(tbl_Case_mins[[#This Row],[InCoreCase]]=1,tbl_Case_mins[[#This Row],[Unsch]]=1),1,0)</f>
        <v>#REF!</v>
      </c>
      <c r="AT28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2" s="9" t="e">
        <f>IF(tbl_Case_mins[[#This Row],[Surgery Status]]=0,(tbl_Case_mins[[#This Row],[Anaesth End]]-tbl_Case_mins[[#This Row],[AnaesthStart]]),0)</f>
        <v>#REF!</v>
      </c>
      <c r="AX282" s="9" t="e">
        <f>IF(tbl_Case_mins[[#This Row],[Surgery Status]]=0,(tbl_Case_mins[[#This Row],[Surgery Finish]]-tbl_Case_mins[[#This Row],[Surgery Start]]),0)</f>
        <v>#REF!</v>
      </c>
      <c r="AY282" s="9" t="e">
        <f>tbl_Case_mins[[#This Row],[Surgery Start]]-tbl_Case_mins[[#This Row],[AnaesthStart]]</f>
        <v>#REF!</v>
      </c>
      <c r="AZ282" s="9" t="e">
        <f>tbl_Case_mins[[#This Row],[Anaesth End]]-tbl_Case_mins[[#This Row],[Surgery Finish]]</f>
        <v>#REF!</v>
      </c>
      <c r="BA28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2" s="16" cm="1">
        <f t="array" ref="BC28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2" s="16" t="e">
        <f>IF(AND(tbl_Case_mins[[#This Row],[FirstAMCase]]=1,tbl_Case_mins[[#This Row],[CancelledCase]]=0,OR(tbl_Case_mins[[#This Row],[EarlyStartAM]]&gt;0,tbl_Case_mins[[#This Row],[AnaesthStart]]=tbl_Case_mins[[#This Row],[ThOpenAm]])),1,0)</f>
        <v>#REF!</v>
      </c>
      <c r="BE282" s="16" t="e">
        <f>IF(AND(tbl_Case_mins[[#This Row],[Rank_AnaSt]]=tbl_Case_mins[[#This Row],[Min_RankAnaSt]],tbl_Case_mins[[#This Row],[Anaesth End]]&gt;=tbl_Case_mins[[#This Row],[ThOpenAm]],tbl_Case_mins[[#This Row],[PmCase]]=0),1,0)</f>
        <v>#REF!</v>
      </c>
      <c r="BF28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2" s="9" t="e" cm="1">
        <f t="array" ref="BH28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2" s="9" t="e">
        <f>IF(AND(tbl_Case_mins[[#This Row],[ThOpenPM]]&gt;0,tbl_Case_mins[[#This Row],[AnaesthStart]]&gt;tbl_Case_mins[[#This Row],[ThOpenPM]],tbl_Case_mins[[#This Row],[First PM Case]]=1),tbl_Case_mins[[#This Row],[AnaesthStart]]-tbl_Case_mins[[#This Row],[ThOpenPM]],0)</f>
        <v>#REF!</v>
      </c>
      <c r="BL28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2" s="9" t="e" cm="1">
        <f t="array" ref="BN28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2" s="9" t="e">
        <f>IF(AND(tbl_Case_mins[[#This Row],[ThClosePm]]&gt;0,tbl_Case_mins[[#This Row],[Anaesth End]]&gt;tbl_Case_mins[[#This Row],[ThClosePm]],tbl_Case_mins[[#This Row],[AnaesthStart]]&gt;tbl_Case_mins[[#This Row],[ThClosePm]]),tbl_Case_mins[[#This Row],[Into Recov]]-tbl_Case_mins[[#This Row],[AnaesthStart]],0)</f>
        <v>#REF!</v>
      </c>
      <c r="BP282" s="9" t="e">
        <f>IF(AND(tbl_Case_mins[[#This Row],[AnaesthStart]]&lt;tbl_Case_mins[[#This Row],[ThClosePm]],tbl_Case_mins[[#This Row],[Anaesth End]]&gt;tbl_Case_mins[[#This Row],[ThClosePm]]),tbl_Case_mins[[#This Row],[Anaesth End]]-tbl_Case_mins[[#This Row],[ThClosePm]],0)</f>
        <v>#REF!</v>
      </c>
      <c r="BQ282" s="9" t="e" cm="1">
        <f t="array" ref="BQ28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2" s="9" t="e" cm="1">
        <f t="array" ref="BR282">IF(tbl_Case_mins[[#This Row],[Rank_Adjust]]=SUMPRODUCT(-(tbl_Case_mins[Surgery Start Date]=tbl_Case_mins[[#This Row],[Surgery Start Date]]),-(tbl_Case_mins[Theatre]=tbl_Case_mins[[#This Row],[Theatre]])),INDEX(Poss_Time,MATCH(TEXT(tbl_Case_mins[[#This Row],[Surgery Start Date]],"ddd"),Day,0)),0)</f>
        <v>#REF!</v>
      </c>
      <c r="BS282" s="9" t="e">
        <f>tbl_Case_mins[[#This Row],[Core_Time]]*Util_Goal</f>
        <v>#REF!</v>
      </c>
      <c r="BT282" s="9" t="e" cm="1">
        <f t="array" ref="BT2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2" s="9" t="e" cm="1">
        <f t="array" ref="BU2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2" s="9" t="e">
        <f>IF(tbl_Case_mins[[#This Row],[Surgery End Date]]&gt;tbl_Case_mins[[#This Row],[Surgery Start Date]],tbl_Case_mins[[#This Row],[Anaesth End]]-1440,0)</f>
        <v>#REF!</v>
      </c>
      <c r="BY282" s="9" t="e">
        <f>tbl_Case_mins[[#This Row],[Total_NonCore]]-tbl_Case_mins[[#This Row],[NextDay_NonCore]]</f>
        <v>#REF!</v>
      </c>
      <c r="BZ282" s="10" t="e">
        <f>tbl_Case_mins[[#This Row],[InCoreUse]]/60</f>
        <v>#REF!</v>
      </c>
      <c r="CA282" s="10" t="e">
        <f>tbl_Case_mins[[#This Row],[Total_NonCore]]/60</f>
        <v>#REF!</v>
      </c>
      <c r="CB282" t="e" cm="1">
        <f t="array" ref="CB2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2" s="9" t="e" cm="1">
        <f t="array" ref="CC28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2" s="9" t="e" cm="1">
        <f t="array" ref="CD2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2" s="9" t="e" cm="1">
        <f t="array" ref="CE28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2" s="9" cm="1">
        <f t="array" ref="CF282">IFERROR(_xlfn.AGGREGATE(14,6,(tbl_Case_mins[Rank_AnaEnd])/((tbl_Case_mins[Surgery Start Date]=tbl_Case_mins[[#This Row],[Surgery Start Date]])*(tbl_Case_mins[Theatre]=tbl_Case_mins[[#This Row],[Theatre]])*(tbl_Case_mins[NoInCoreTime]=0)),1),-1)</f>
        <v>-1</v>
      </c>
      <c r="CG282" s="9" cm="1">
        <f t="array" ref="CG282">IFERROR(_xlfn.AGGREGATE(15,6,(tbl_Case_mins[Rank_AnaSt])/((tbl_Case_mins[Surgery Start Date]=tbl_Case_mins[[#This Row],[Surgery Start Date]])*(tbl_Case_mins[Theatre]=tbl_Case_mins[[#This Row],[Theatre]])*(tbl_Case_mins[NoInCoreTime]=0)),1),-1)</f>
        <v>-1</v>
      </c>
      <c r="CH28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2" t="e" cm="1">
        <f t="array" ref="CJ28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2" s="9" cm="1">
        <f t="array" ref="CO2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2" s="9" cm="1">
        <f t="array" ref="CP2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2" s="9" cm="1">
        <f t="array" ref="CQ282">IFERROR(IF(AND(tbl_Case_mins[[#This Row],[FirstAMCase]]=0,tbl_Case_mins[[#This Row],[Rank]]=_xlfn.AGGREGATE(14,6,(tbl_Case_mins[Rank])/((tbl_Case_mins[Surgery Start Date]=tbl_Case_mins[[#This Row],[Surgery Start Date]])*(tbl_Case_mins[Theatre]=tbl_Case_mins[[#This Row],[Theatre]])*(tbl_Case_mins[AmCase]=1)),1)),1,0),0)</f>
        <v>0</v>
      </c>
      <c r="CR282" s="9" cm="1">
        <f t="array" ref="CR28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2" s="9" t="e" cm="1">
        <f t="array" ref="CS28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2" s="9" cm="1">
        <f t="array" ref="CT282">IFERROR(IF(tbl_Case_mins[[#This Row],[Rank]]=_xlfn.AGGREGATE(15,6,(tbl_Case_mins[Rank])/((tbl_Case_mins[Surgery Start Date]=tbl_Case_mins[[#This Row],[Surgery Start Date]])*(tbl_Case_mins[Theatre]=tbl_Case_mins[[#This Row],[Theatre]])*(tbl_Case_mins[PmCase]=1)),1),1,0),0)</f>
        <v>0</v>
      </c>
      <c r="CU282">
        <f>IFERROR(#REF!,0)</f>
        <v>0</v>
      </c>
      <c r="CV282" s="9" t="e" cm="1">
        <f t="array" ref="CV28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2" s="9">
        <f>IFERROR(IF(ISBLANK(INDEX(Bay_AmClose,MATCH(1,INDEX((tbl_Case_mins[[#This Row],[Bay]]=BayNo)*(tbl_Case_mins[[#This Row],[Surgery Start Date]]=BDate),0,1),0))*1440),0,INDEX(Bay_AmClose,MATCH(1,INDEX((tbl_Case_mins[[#This Row],[Bay]]=BayNo)*(tbl_Case_mins[[#This Row],[Surgery Start Date]]=BDate),0,1),0))*1440),0)</f>
        <v>0</v>
      </c>
      <c r="CX282" s="9" cm="1">
        <f t="array" ref="CX282">IFERROR(IF(ISBLANK(INDEX(Bay_PmOpen,MATCH(1,INDEX((tbl_Case_mins[[#This Row],[Bay]]=BayNo)*(tbl_Case_mins[[#This Row],[Surgery Start Date]]=BDate),0,1),0))*1440),0,INDEX(Bay_PmOpen,MATCH(1,INDEX((tbl_Case_mins[[#This Row],[Bay]]=BayNo)*(tbl_Case_mins[[#This Row],[Surgery Start Date]]=BDate),0,1),0))*1440),0)</f>
        <v>0</v>
      </c>
      <c r="CY28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2" s="9"/>
    </row>
    <row r="283" spans="1:104" x14ac:dyDescent="0.2">
      <c r="A283">
        <v>282</v>
      </c>
      <c r="B283" t="e">
        <f>#REF!</f>
        <v>#REF!</v>
      </c>
      <c r="C283" t="e">
        <f>#REF!</f>
        <v>#REF!</v>
      </c>
      <c r="D283" t="e">
        <f>#REF!</f>
        <v>#REF!</v>
      </c>
      <c r="E283" t="e">
        <f>#REF!</f>
        <v>#REF!</v>
      </c>
      <c r="F283" t="e">
        <f>#REF!</f>
        <v>#REF!</v>
      </c>
      <c r="G283" t="e">
        <f>#REF!</f>
        <v>#REF!</v>
      </c>
      <c r="H283" t="e">
        <f>#REF!</f>
        <v>#REF!</v>
      </c>
      <c r="I283" t="e">
        <f>IF(#REF!="Case Cancelled",1,IF(#REF!="No Cases",2,0))</f>
        <v>#REF!</v>
      </c>
      <c r="J283" t="e">
        <f>#REF!</f>
        <v>#REF!</v>
      </c>
      <c r="K283" s="4" t="e">
        <f>#REF!</f>
        <v>#REF!</v>
      </c>
      <c r="L283" t="e">
        <f>"Wk "&amp;WEEKNUM(tbl_Case_mins[[#This Row],[Surgery Start Date]],21)</f>
        <v>#REF!</v>
      </c>
      <c r="M283" t="e">
        <f>TEXT(tbl_Case_mins[[#This Row],[Surgery Start Date]],"ddd")</f>
        <v>#REF!</v>
      </c>
      <c r="N283" s="9" t="e">
        <f>(#REF!-TIME(0,0,0))*1440</f>
        <v>#REF!</v>
      </c>
      <c r="O283" t="e">
        <f>IF(AND(ROUND((#REF!-TIME(0,0,0))*1440,0)&gt;0,ROUND((#REF!-TIME(0,0,0))*1440,0)&lt;tbl_Case_mins[[#This Row],[Patient Called]],tbl_Case_mins[[#This Row],[Surgery End Date]]&gt;tbl_Case_mins[[#This Row],[Surgery Start Date]]),ROUND((#REF!-TIME(0,0,0))*1440,0)+1440,ROUND((#REF!-TIME(0,0,0))*1440,0))</f>
        <v>#REF!</v>
      </c>
      <c r="P283" s="9" t="e">
        <f>IF(AND(ROUND((#REF!-TIME(0,0,0))*1440,0)&gt;0,ROUND((#REF!-TIME(0,0,0))*1440,0)&lt;tbl_Case_mins[[#This Row],[Arrival]],tbl_Case_mins[[#This Row],[Surgery End Date]]&gt;tbl_Case_mins[[#This Row],[Surgery Start Date]]),ROUND((#REF!-TIME(0,0,0))*1440,0)+1440,ROUND((#REF!-TIME(0,0,0))*1440,0))</f>
        <v>#REF!</v>
      </c>
      <c r="Q283" s="9" t="e">
        <f>IF(AND(ROUND((#REF!-TIME(0,0,0))*1440,0)&gt;0,ROUND((#REF!-TIME(0,0,0))*1440,0)&lt;tbl_Case_mins[[#This Row],[Into Th or AR]],tbl_Case_mins[[#This Row],[Surgery End Date]]&gt;tbl_Case_mins[[#This Row],[Surgery Start Date]]),ROUND((#REF!-TIME(0,0,0))*1440,0)+1440,ROUND((#REF!-TIME(0,0,0))*1440,0))</f>
        <v>#REF!</v>
      </c>
      <c r="R283" s="9" t="e">
        <f>IF(AND(ROUND((#REF!-TIME(0,0,0))*1440,0)&gt;0,ROUND((#REF!-TIME(0,0,0))*1440,0)&lt;tbl_Case_mins[[#This Row],[AnaesthStart]],tbl_Case_mins[[#This Row],[Surgery End Date]]&gt;tbl_Case_mins[[#This Row],[Surgery Start Date]]),ROUND((#REF!-TIME(0,0,0))*1440,0)+1440,ROUND((#REF!-TIME(0,0,0))*1440,0))</f>
        <v>#REF!</v>
      </c>
      <c r="S283" s="9" t="e">
        <f>IF(AND(ROUND((#REF!-TIME(0,0,0))*1440,0),ROUND((#REF!-TIME(0,0,0))*1440,0)&lt;tbl_Case_mins[[#This Row],[Surgery Start]],tbl_Case_mins[[#This Row],[Surgery End Date]]&gt;tbl_Case_mins[[#This Row],[Surgery Start Date]]),ROUND((#REF!-TIME(0,0,0))*1440,0)+1440,ROUND((#REF!-TIME(0,0,0))*1440,0))</f>
        <v>#REF!</v>
      </c>
      <c r="T283" s="9" t="e">
        <f>IF(AND(ROUND((#REF!-TIME(0,0,0))*1440,0)&gt;0,ROUND((#REF!-TIME(0,0,0))*1440,0)&lt;tbl_Case_mins[[#This Row],[Surgery Finish]],tbl_Case_mins[[#This Row],[Surgery End Date]]&gt;tbl_Case_mins[[#This Row],[Surgery Start Date]]),ROUND((#REF!-TIME(0,0,0))*1440,0)+1440,ROUND((#REF!-TIME(0,0,0))*1440,0))</f>
        <v>#REF!</v>
      </c>
      <c r="U283" s="9" t="e">
        <f>IF(AND(ROUND((#REF!-TIME(0,0,0))*1440,0)&gt;0,ROUND((#REF!-TIME(0,0,0))*1440,0)&lt;tbl_Case_mins[[#This Row],[Anaesth End]],tbl_Case_mins[[#This Row],[Surgery End Date]]&gt;tbl_Case_mins[[#This Row],[Surgery Start Date]]),ROUND((#REF!-TIME(0,0,0))*1440,0)+1440,ROUND((#REF!-TIME(0,0,0))*1440,0))</f>
        <v>#REF!</v>
      </c>
      <c r="V283" s="9" t="e">
        <f>IF(AND(ROUND((#REF!-TIME(0,0,0))*1440,0)&gt;0,ROUND((#REF!-TIME(0,0,0))*1440,0)&lt;tbl_Case_mins[[#This Row],[Into Recov]],tbl_Case_mins[[#This Row],[Surgery End Date]]&gt;tbl_Case_mins[[#This Row],[Surgery Start Date]]),ROUND((#REF!-TIME(0,0,0))*1440,0)+1440,ROUND((#REF!-TIME(0,0,0))*1440,0))</f>
        <v>#REF!</v>
      </c>
      <c r="W283" s="9" t="e">
        <f>IF(AND(ROUND((#REF!-TIME(0,0,0))*1440,0)&gt;0,ROUND((#REF!-TIME(0,0,0))*1440,0)&lt;tbl_Case_mins[[#This Row],[Ward Called]],tbl_Case_mins[[#This Row],[Surgery End Date]]&gt;tbl_Case_mins[[#This Row],[Surgery Start Date]]),ROUND((#REF!-TIME(0,0,0))*1440,0)+1440,ROUND((#REF!-TIME(0,0,0))*1440,0))</f>
        <v>#REF!</v>
      </c>
      <c r="X283" s="4" t="e">
        <f>IF(ISBLANK(#REF!),tbl_Case_mins[[#This Row],[Surgery Start Date]],#REF!)</f>
        <v>#REF!</v>
      </c>
      <c r="Y283">
        <f>IFERROR(IF(VLOOKUP(tbl_Case_mins[[#This Row],[Theatre]],'Mng Theatres'!$C$7:$G$12,3,FALSE)="Yes","Yes","No"),0)</f>
        <v>0</v>
      </c>
      <c r="Z283" s="9" t="e" cm="1">
        <f t="array" ref="Z28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3" s="9" t="e" cm="1">
        <f t="array" ref="AA28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3" s="9" t="e">
        <f>IF(tbl_Case_mins[[#This Row],[Case Type]]="Unsch",1,0)</f>
        <v>#REF!</v>
      </c>
      <c r="AD283" s="9" t="e">
        <f>IF(tbl_Case_mins[[#This Row],[Case Type]]="Sch",1,0)</f>
        <v>#REF!</v>
      </c>
      <c r="AE28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3" s="9">
        <f>IFERROR(IF(ISBLANK(INDEX(Am_Close,MATCH(1,INDEX((tbl_Case_mins[[#This Row],[Theatre]]=Theatre_No)*(tbl_Case_mins[[#This Row],[Surgery Start Date]]=Date),0,1),0))*1440),0,INDEX(Am_Close,MATCH(1,INDEX((tbl_Case_mins[[#This Row],[Theatre]]=Theatre_No)*(tbl_Case_mins[[#This Row],[Surgery Start Date]]=Date),0,1),0))*1440),0)</f>
        <v>0</v>
      </c>
      <c r="AG283" s="9">
        <f>IFERROR(IF(ISBLANK(INDEX(PM_Open,MATCH(1,INDEX((tbl_Case_mins[[#This Row],[Theatre]]=Theatre_No)*(tbl_Case_mins[[#This Row],[Surgery Start Date]]=Date),0,1),0))*1440),0,INDEX(PM_Open,MATCH(1,INDEX((tbl_Case_mins[[#This Row],[Theatre]]=Theatre_No)*(tbl_Case_mins[[#This Row],[Surgery Start Date]]=Date),0,1),0))*1440),0)</f>
        <v>0</v>
      </c>
      <c r="AH28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3" s="9" t="e">
        <f>IF(tbl_Case_mins[[#This Row],[ThOpenAm]]=0,tbl_Case_mins[[#This Row],[ThOpenPM]],tbl_Case_mins[[#This Row],[ThOpenAm]])</f>
        <v>#REF!</v>
      </c>
      <c r="AJ283" s="9" t="e">
        <f>IF(tbl_Case_mins[[#This Row],[ThCloseAm]]&gt;0,IF(tbl_Case_mins[[#This Row],[ThOpenPM]]&gt;0,tbl_Case_mins[[#This Row],[ThClosePm]],tbl_Case_mins[[#This Row],[ThCloseAm]]),tbl_Case_mins[[#This Row],[ThClosePm]])</f>
        <v>#REF!</v>
      </c>
      <c r="AK283" s="9" t="e">
        <f>IF(tbl_Case_mins[[#This Row],[TOT]]&gt;0,1,0)</f>
        <v>#REF!</v>
      </c>
      <c r="AL28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3" s="9" t="e">
        <f>IF(AND(tbl_Case_mins[[#This Row],[Surgery Status]]&lt;&gt;2,tbl_Case_mins[[#This Row],[InCoreCase]]=0,tbl_Case_mins[[#This Row],[CancelledCase]]=0),1,0)</f>
        <v>#REF!</v>
      </c>
      <c r="AN283" s="9" t="e">
        <f>IF(tbl_Case_mins[[#This Row],[Surgery Status]]=1,1,0)</f>
        <v>#REF!</v>
      </c>
      <c r="AO28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3" s="9" t="e">
        <f>IF(AND(tbl_Case_mins[[#This Row],[NonCoreCase]]=1,tbl_Case_mins[[#This Row],[NoInCoreTime]]=0),1,0)</f>
        <v>#REF!</v>
      </c>
      <c r="AQ283" s="9" t="e">
        <f>IF(tbl_Case_mins[[#This Row],[Rank_AnaEnd]]&lt;tbl_Case_mins[[#This Row],[Rank_AnaSt]],1,0)</f>
        <v>#REF!</v>
      </c>
      <c r="AR283" s="9" t="e">
        <f>IF(AND(tbl_Case_mins[[#This Row],[InCoreCase]]=1,tbl_Case_mins[[#This Row],[Sch]]=1),1,0)</f>
        <v>#REF!</v>
      </c>
      <c r="AS283" s="9" t="e">
        <f>IF(AND(tbl_Case_mins[[#This Row],[InCoreCase]]=1,tbl_Case_mins[[#This Row],[Unsch]]=1),1,0)</f>
        <v>#REF!</v>
      </c>
      <c r="AT28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3" s="9" t="e">
        <f>IF(tbl_Case_mins[[#This Row],[Surgery Status]]=0,(tbl_Case_mins[[#This Row],[Anaesth End]]-tbl_Case_mins[[#This Row],[AnaesthStart]]),0)</f>
        <v>#REF!</v>
      </c>
      <c r="AX283" s="9" t="e">
        <f>IF(tbl_Case_mins[[#This Row],[Surgery Status]]=0,(tbl_Case_mins[[#This Row],[Surgery Finish]]-tbl_Case_mins[[#This Row],[Surgery Start]]),0)</f>
        <v>#REF!</v>
      </c>
      <c r="AY283" s="9" t="e">
        <f>tbl_Case_mins[[#This Row],[Surgery Start]]-tbl_Case_mins[[#This Row],[AnaesthStart]]</f>
        <v>#REF!</v>
      </c>
      <c r="AZ283" s="9" t="e">
        <f>tbl_Case_mins[[#This Row],[Anaesth End]]-tbl_Case_mins[[#This Row],[Surgery Finish]]</f>
        <v>#REF!</v>
      </c>
      <c r="BA28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3" s="16" cm="1">
        <f t="array" ref="BC28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3" s="16" t="e">
        <f>IF(AND(tbl_Case_mins[[#This Row],[FirstAMCase]]=1,tbl_Case_mins[[#This Row],[CancelledCase]]=0,OR(tbl_Case_mins[[#This Row],[EarlyStartAM]]&gt;0,tbl_Case_mins[[#This Row],[AnaesthStart]]=tbl_Case_mins[[#This Row],[ThOpenAm]])),1,0)</f>
        <v>#REF!</v>
      </c>
      <c r="BE283" s="16" t="e">
        <f>IF(AND(tbl_Case_mins[[#This Row],[Rank_AnaSt]]=tbl_Case_mins[[#This Row],[Min_RankAnaSt]],tbl_Case_mins[[#This Row],[Anaesth End]]&gt;=tbl_Case_mins[[#This Row],[ThOpenAm]],tbl_Case_mins[[#This Row],[PmCase]]=0),1,0)</f>
        <v>#REF!</v>
      </c>
      <c r="BF28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3" s="9" t="e" cm="1">
        <f t="array" ref="BH28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3" s="9" t="e">
        <f>IF(AND(tbl_Case_mins[[#This Row],[ThOpenPM]]&gt;0,tbl_Case_mins[[#This Row],[AnaesthStart]]&gt;tbl_Case_mins[[#This Row],[ThOpenPM]],tbl_Case_mins[[#This Row],[First PM Case]]=1),tbl_Case_mins[[#This Row],[AnaesthStart]]-tbl_Case_mins[[#This Row],[ThOpenPM]],0)</f>
        <v>#REF!</v>
      </c>
      <c r="BL28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3" s="9" t="e" cm="1">
        <f t="array" ref="BN28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3" s="9" t="e">
        <f>IF(AND(tbl_Case_mins[[#This Row],[ThClosePm]]&gt;0,tbl_Case_mins[[#This Row],[Anaesth End]]&gt;tbl_Case_mins[[#This Row],[ThClosePm]],tbl_Case_mins[[#This Row],[AnaesthStart]]&gt;tbl_Case_mins[[#This Row],[ThClosePm]]),tbl_Case_mins[[#This Row],[Into Recov]]-tbl_Case_mins[[#This Row],[AnaesthStart]],0)</f>
        <v>#REF!</v>
      </c>
      <c r="BP283" s="9" t="e">
        <f>IF(AND(tbl_Case_mins[[#This Row],[AnaesthStart]]&lt;tbl_Case_mins[[#This Row],[ThClosePm]],tbl_Case_mins[[#This Row],[Anaesth End]]&gt;tbl_Case_mins[[#This Row],[ThClosePm]]),tbl_Case_mins[[#This Row],[Anaesth End]]-tbl_Case_mins[[#This Row],[ThClosePm]],0)</f>
        <v>#REF!</v>
      </c>
      <c r="BQ283" s="9" t="e" cm="1">
        <f t="array" ref="BQ28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3" s="9" t="e" cm="1">
        <f t="array" ref="BR283">IF(tbl_Case_mins[[#This Row],[Rank_Adjust]]=SUMPRODUCT(-(tbl_Case_mins[Surgery Start Date]=tbl_Case_mins[[#This Row],[Surgery Start Date]]),-(tbl_Case_mins[Theatre]=tbl_Case_mins[[#This Row],[Theatre]])),INDEX(Poss_Time,MATCH(TEXT(tbl_Case_mins[[#This Row],[Surgery Start Date]],"ddd"),Day,0)),0)</f>
        <v>#REF!</v>
      </c>
      <c r="BS283" s="9" t="e">
        <f>tbl_Case_mins[[#This Row],[Core_Time]]*Util_Goal</f>
        <v>#REF!</v>
      </c>
      <c r="BT283" s="9" t="e" cm="1">
        <f t="array" ref="BT2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3" s="9" t="e" cm="1">
        <f t="array" ref="BU2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3" s="9" t="e">
        <f>IF(tbl_Case_mins[[#This Row],[Surgery End Date]]&gt;tbl_Case_mins[[#This Row],[Surgery Start Date]],tbl_Case_mins[[#This Row],[Anaesth End]]-1440,0)</f>
        <v>#REF!</v>
      </c>
      <c r="BY283" s="9" t="e">
        <f>tbl_Case_mins[[#This Row],[Total_NonCore]]-tbl_Case_mins[[#This Row],[NextDay_NonCore]]</f>
        <v>#REF!</v>
      </c>
      <c r="BZ283" s="10" t="e">
        <f>tbl_Case_mins[[#This Row],[InCoreUse]]/60</f>
        <v>#REF!</v>
      </c>
      <c r="CA283" s="10" t="e">
        <f>tbl_Case_mins[[#This Row],[Total_NonCore]]/60</f>
        <v>#REF!</v>
      </c>
      <c r="CB283" t="e" cm="1">
        <f t="array" ref="CB2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3" s="9" t="e" cm="1">
        <f t="array" ref="CC28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3" s="9" t="e" cm="1">
        <f t="array" ref="CD2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3" s="9" t="e" cm="1">
        <f t="array" ref="CE28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3" s="9" cm="1">
        <f t="array" ref="CF283">IFERROR(_xlfn.AGGREGATE(14,6,(tbl_Case_mins[Rank_AnaEnd])/((tbl_Case_mins[Surgery Start Date]=tbl_Case_mins[[#This Row],[Surgery Start Date]])*(tbl_Case_mins[Theatre]=tbl_Case_mins[[#This Row],[Theatre]])*(tbl_Case_mins[NoInCoreTime]=0)),1),-1)</f>
        <v>-1</v>
      </c>
      <c r="CG283" s="9" cm="1">
        <f t="array" ref="CG283">IFERROR(_xlfn.AGGREGATE(15,6,(tbl_Case_mins[Rank_AnaSt])/((tbl_Case_mins[Surgery Start Date]=tbl_Case_mins[[#This Row],[Surgery Start Date]])*(tbl_Case_mins[Theatre]=tbl_Case_mins[[#This Row],[Theatre]])*(tbl_Case_mins[NoInCoreTime]=0)),1),-1)</f>
        <v>-1</v>
      </c>
      <c r="CH28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3" t="e" cm="1">
        <f t="array" ref="CJ28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3" s="9" cm="1">
        <f t="array" ref="CO2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3" s="9" cm="1">
        <f t="array" ref="CP2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3" s="9" cm="1">
        <f t="array" ref="CQ283">IFERROR(IF(AND(tbl_Case_mins[[#This Row],[FirstAMCase]]=0,tbl_Case_mins[[#This Row],[Rank]]=_xlfn.AGGREGATE(14,6,(tbl_Case_mins[Rank])/((tbl_Case_mins[Surgery Start Date]=tbl_Case_mins[[#This Row],[Surgery Start Date]])*(tbl_Case_mins[Theatre]=tbl_Case_mins[[#This Row],[Theatre]])*(tbl_Case_mins[AmCase]=1)),1)),1,0),0)</f>
        <v>0</v>
      </c>
      <c r="CR283" s="9" cm="1">
        <f t="array" ref="CR28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3" s="9" t="e" cm="1">
        <f t="array" ref="CS28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3" s="9" cm="1">
        <f t="array" ref="CT283">IFERROR(IF(tbl_Case_mins[[#This Row],[Rank]]=_xlfn.AGGREGATE(15,6,(tbl_Case_mins[Rank])/((tbl_Case_mins[Surgery Start Date]=tbl_Case_mins[[#This Row],[Surgery Start Date]])*(tbl_Case_mins[Theatre]=tbl_Case_mins[[#This Row],[Theatre]])*(tbl_Case_mins[PmCase]=1)),1),1,0),0)</f>
        <v>0</v>
      </c>
      <c r="CU283">
        <f>IFERROR(#REF!,0)</f>
        <v>0</v>
      </c>
      <c r="CV283" s="9" t="e" cm="1">
        <f t="array" ref="CV28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3" s="9">
        <f>IFERROR(IF(ISBLANK(INDEX(Bay_AmClose,MATCH(1,INDEX((tbl_Case_mins[[#This Row],[Bay]]=BayNo)*(tbl_Case_mins[[#This Row],[Surgery Start Date]]=BDate),0,1),0))*1440),0,INDEX(Bay_AmClose,MATCH(1,INDEX((tbl_Case_mins[[#This Row],[Bay]]=BayNo)*(tbl_Case_mins[[#This Row],[Surgery Start Date]]=BDate),0,1),0))*1440),0)</f>
        <v>0</v>
      </c>
      <c r="CX283" s="9" cm="1">
        <f t="array" ref="CX283">IFERROR(IF(ISBLANK(INDEX(Bay_PmOpen,MATCH(1,INDEX((tbl_Case_mins[[#This Row],[Bay]]=BayNo)*(tbl_Case_mins[[#This Row],[Surgery Start Date]]=BDate),0,1),0))*1440),0,INDEX(Bay_PmOpen,MATCH(1,INDEX((tbl_Case_mins[[#This Row],[Bay]]=BayNo)*(tbl_Case_mins[[#This Row],[Surgery Start Date]]=BDate),0,1),0))*1440),0)</f>
        <v>0</v>
      </c>
      <c r="CY28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3" s="9"/>
    </row>
    <row r="284" spans="1:104" x14ac:dyDescent="0.2">
      <c r="A284">
        <v>283</v>
      </c>
      <c r="B284" t="e">
        <f>#REF!</f>
        <v>#REF!</v>
      </c>
      <c r="C284" t="e">
        <f>#REF!</f>
        <v>#REF!</v>
      </c>
      <c r="D284" t="e">
        <f>#REF!</f>
        <v>#REF!</v>
      </c>
      <c r="E284" t="e">
        <f>#REF!</f>
        <v>#REF!</v>
      </c>
      <c r="F284" t="e">
        <f>#REF!</f>
        <v>#REF!</v>
      </c>
      <c r="G284" t="e">
        <f>#REF!</f>
        <v>#REF!</v>
      </c>
      <c r="H284" t="e">
        <f>#REF!</f>
        <v>#REF!</v>
      </c>
      <c r="I284" t="e">
        <f>IF(#REF!="Case Cancelled",1,IF(#REF!="No Cases",2,0))</f>
        <v>#REF!</v>
      </c>
      <c r="J284" t="e">
        <f>#REF!</f>
        <v>#REF!</v>
      </c>
      <c r="K284" s="4" t="e">
        <f>#REF!</f>
        <v>#REF!</v>
      </c>
      <c r="L284" t="e">
        <f>"Wk "&amp;WEEKNUM(tbl_Case_mins[[#This Row],[Surgery Start Date]],21)</f>
        <v>#REF!</v>
      </c>
      <c r="M284" t="e">
        <f>TEXT(tbl_Case_mins[[#This Row],[Surgery Start Date]],"ddd")</f>
        <v>#REF!</v>
      </c>
      <c r="N284" s="9" t="e">
        <f>(#REF!-TIME(0,0,0))*1440</f>
        <v>#REF!</v>
      </c>
      <c r="O284" t="e">
        <f>IF(AND(ROUND((#REF!-TIME(0,0,0))*1440,0)&gt;0,ROUND((#REF!-TIME(0,0,0))*1440,0)&lt;tbl_Case_mins[[#This Row],[Patient Called]],tbl_Case_mins[[#This Row],[Surgery End Date]]&gt;tbl_Case_mins[[#This Row],[Surgery Start Date]]),ROUND((#REF!-TIME(0,0,0))*1440,0)+1440,ROUND((#REF!-TIME(0,0,0))*1440,0))</f>
        <v>#REF!</v>
      </c>
      <c r="P284" s="9" t="e">
        <f>IF(AND(ROUND((#REF!-TIME(0,0,0))*1440,0)&gt;0,ROUND((#REF!-TIME(0,0,0))*1440,0)&lt;tbl_Case_mins[[#This Row],[Arrival]],tbl_Case_mins[[#This Row],[Surgery End Date]]&gt;tbl_Case_mins[[#This Row],[Surgery Start Date]]),ROUND((#REF!-TIME(0,0,0))*1440,0)+1440,ROUND((#REF!-TIME(0,0,0))*1440,0))</f>
        <v>#REF!</v>
      </c>
      <c r="Q284" s="9" t="e">
        <f>IF(AND(ROUND((#REF!-TIME(0,0,0))*1440,0)&gt;0,ROUND((#REF!-TIME(0,0,0))*1440,0)&lt;tbl_Case_mins[[#This Row],[Into Th or AR]],tbl_Case_mins[[#This Row],[Surgery End Date]]&gt;tbl_Case_mins[[#This Row],[Surgery Start Date]]),ROUND((#REF!-TIME(0,0,0))*1440,0)+1440,ROUND((#REF!-TIME(0,0,0))*1440,0))</f>
        <v>#REF!</v>
      </c>
      <c r="R284" s="9" t="e">
        <f>IF(AND(ROUND((#REF!-TIME(0,0,0))*1440,0)&gt;0,ROUND((#REF!-TIME(0,0,0))*1440,0)&lt;tbl_Case_mins[[#This Row],[AnaesthStart]],tbl_Case_mins[[#This Row],[Surgery End Date]]&gt;tbl_Case_mins[[#This Row],[Surgery Start Date]]),ROUND((#REF!-TIME(0,0,0))*1440,0)+1440,ROUND((#REF!-TIME(0,0,0))*1440,0))</f>
        <v>#REF!</v>
      </c>
      <c r="S284" s="9" t="e">
        <f>IF(AND(ROUND((#REF!-TIME(0,0,0))*1440,0),ROUND((#REF!-TIME(0,0,0))*1440,0)&lt;tbl_Case_mins[[#This Row],[Surgery Start]],tbl_Case_mins[[#This Row],[Surgery End Date]]&gt;tbl_Case_mins[[#This Row],[Surgery Start Date]]),ROUND((#REF!-TIME(0,0,0))*1440,0)+1440,ROUND((#REF!-TIME(0,0,0))*1440,0))</f>
        <v>#REF!</v>
      </c>
      <c r="T284" s="9" t="e">
        <f>IF(AND(ROUND((#REF!-TIME(0,0,0))*1440,0)&gt;0,ROUND((#REF!-TIME(0,0,0))*1440,0)&lt;tbl_Case_mins[[#This Row],[Surgery Finish]],tbl_Case_mins[[#This Row],[Surgery End Date]]&gt;tbl_Case_mins[[#This Row],[Surgery Start Date]]),ROUND((#REF!-TIME(0,0,0))*1440,0)+1440,ROUND((#REF!-TIME(0,0,0))*1440,0))</f>
        <v>#REF!</v>
      </c>
      <c r="U284" s="9" t="e">
        <f>IF(AND(ROUND((#REF!-TIME(0,0,0))*1440,0)&gt;0,ROUND((#REF!-TIME(0,0,0))*1440,0)&lt;tbl_Case_mins[[#This Row],[Anaesth End]],tbl_Case_mins[[#This Row],[Surgery End Date]]&gt;tbl_Case_mins[[#This Row],[Surgery Start Date]]),ROUND((#REF!-TIME(0,0,0))*1440,0)+1440,ROUND((#REF!-TIME(0,0,0))*1440,0))</f>
        <v>#REF!</v>
      </c>
      <c r="V284" s="9" t="e">
        <f>IF(AND(ROUND((#REF!-TIME(0,0,0))*1440,0)&gt;0,ROUND((#REF!-TIME(0,0,0))*1440,0)&lt;tbl_Case_mins[[#This Row],[Into Recov]],tbl_Case_mins[[#This Row],[Surgery End Date]]&gt;tbl_Case_mins[[#This Row],[Surgery Start Date]]),ROUND((#REF!-TIME(0,0,0))*1440,0)+1440,ROUND((#REF!-TIME(0,0,0))*1440,0))</f>
        <v>#REF!</v>
      </c>
      <c r="W284" s="9" t="e">
        <f>IF(AND(ROUND((#REF!-TIME(0,0,0))*1440,0)&gt;0,ROUND((#REF!-TIME(0,0,0))*1440,0)&lt;tbl_Case_mins[[#This Row],[Ward Called]],tbl_Case_mins[[#This Row],[Surgery End Date]]&gt;tbl_Case_mins[[#This Row],[Surgery Start Date]]),ROUND((#REF!-TIME(0,0,0))*1440,0)+1440,ROUND((#REF!-TIME(0,0,0))*1440,0))</f>
        <v>#REF!</v>
      </c>
      <c r="X284" s="4" t="e">
        <f>IF(ISBLANK(#REF!),tbl_Case_mins[[#This Row],[Surgery Start Date]],#REF!)</f>
        <v>#REF!</v>
      </c>
      <c r="Y284">
        <f>IFERROR(IF(VLOOKUP(tbl_Case_mins[[#This Row],[Theatre]],'Mng Theatres'!$C$7:$G$12,3,FALSE)="Yes","Yes","No"),0)</f>
        <v>0</v>
      </c>
      <c r="Z284" s="9" t="e" cm="1">
        <f t="array" ref="Z28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4" s="9" t="e" cm="1">
        <f t="array" ref="AA28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4" s="9" t="e">
        <f>IF(tbl_Case_mins[[#This Row],[Case Type]]="Unsch",1,0)</f>
        <v>#REF!</v>
      </c>
      <c r="AD284" s="9" t="e">
        <f>IF(tbl_Case_mins[[#This Row],[Case Type]]="Sch",1,0)</f>
        <v>#REF!</v>
      </c>
      <c r="AE28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4" s="9">
        <f>IFERROR(IF(ISBLANK(INDEX(Am_Close,MATCH(1,INDEX((tbl_Case_mins[[#This Row],[Theatre]]=Theatre_No)*(tbl_Case_mins[[#This Row],[Surgery Start Date]]=Date),0,1),0))*1440),0,INDEX(Am_Close,MATCH(1,INDEX((tbl_Case_mins[[#This Row],[Theatre]]=Theatre_No)*(tbl_Case_mins[[#This Row],[Surgery Start Date]]=Date),0,1),0))*1440),0)</f>
        <v>0</v>
      </c>
      <c r="AG284" s="9">
        <f>IFERROR(IF(ISBLANK(INDEX(PM_Open,MATCH(1,INDEX((tbl_Case_mins[[#This Row],[Theatre]]=Theatre_No)*(tbl_Case_mins[[#This Row],[Surgery Start Date]]=Date),0,1),0))*1440),0,INDEX(PM_Open,MATCH(1,INDEX((tbl_Case_mins[[#This Row],[Theatre]]=Theatre_No)*(tbl_Case_mins[[#This Row],[Surgery Start Date]]=Date),0,1),0))*1440),0)</f>
        <v>0</v>
      </c>
      <c r="AH28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4" s="9" t="e">
        <f>IF(tbl_Case_mins[[#This Row],[ThOpenAm]]=0,tbl_Case_mins[[#This Row],[ThOpenPM]],tbl_Case_mins[[#This Row],[ThOpenAm]])</f>
        <v>#REF!</v>
      </c>
      <c r="AJ284" s="9" t="e">
        <f>IF(tbl_Case_mins[[#This Row],[ThCloseAm]]&gt;0,IF(tbl_Case_mins[[#This Row],[ThOpenPM]]&gt;0,tbl_Case_mins[[#This Row],[ThClosePm]],tbl_Case_mins[[#This Row],[ThCloseAm]]),tbl_Case_mins[[#This Row],[ThClosePm]])</f>
        <v>#REF!</v>
      </c>
      <c r="AK284" s="9" t="e">
        <f>IF(tbl_Case_mins[[#This Row],[TOT]]&gt;0,1,0)</f>
        <v>#REF!</v>
      </c>
      <c r="AL28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4" s="9" t="e">
        <f>IF(AND(tbl_Case_mins[[#This Row],[Surgery Status]]&lt;&gt;2,tbl_Case_mins[[#This Row],[InCoreCase]]=0,tbl_Case_mins[[#This Row],[CancelledCase]]=0),1,0)</f>
        <v>#REF!</v>
      </c>
      <c r="AN284" s="9" t="e">
        <f>IF(tbl_Case_mins[[#This Row],[Surgery Status]]=1,1,0)</f>
        <v>#REF!</v>
      </c>
      <c r="AO28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4" s="9" t="e">
        <f>IF(AND(tbl_Case_mins[[#This Row],[NonCoreCase]]=1,tbl_Case_mins[[#This Row],[NoInCoreTime]]=0),1,0)</f>
        <v>#REF!</v>
      </c>
      <c r="AQ284" s="9" t="e">
        <f>IF(tbl_Case_mins[[#This Row],[Rank_AnaEnd]]&lt;tbl_Case_mins[[#This Row],[Rank_AnaSt]],1,0)</f>
        <v>#REF!</v>
      </c>
      <c r="AR284" s="9" t="e">
        <f>IF(AND(tbl_Case_mins[[#This Row],[InCoreCase]]=1,tbl_Case_mins[[#This Row],[Sch]]=1),1,0)</f>
        <v>#REF!</v>
      </c>
      <c r="AS284" s="9" t="e">
        <f>IF(AND(tbl_Case_mins[[#This Row],[InCoreCase]]=1,tbl_Case_mins[[#This Row],[Unsch]]=1),1,0)</f>
        <v>#REF!</v>
      </c>
      <c r="AT28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4" s="9" t="e">
        <f>IF(tbl_Case_mins[[#This Row],[Surgery Status]]=0,(tbl_Case_mins[[#This Row],[Anaesth End]]-tbl_Case_mins[[#This Row],[AnaesthStart]]),0)</f>
        <v>#REF!</v>
      </c>
      <c r="AX284" s="9" t="e">
        <f>IF(tbl_Case_mins[[#This Row],[Surgery Status]]=0,(tbl_Case_mins[[#This Row],[Surgery Finish]]-tbl_Case_mins[[#This Row],[Surgery Start]]),0)</f>
        <v>#REF!</v>
      </c>
      <c r="AY284" s="9" t="e">
        <f>tbl_Case_mins[[#This Row],[Surgery Start]]-tbl_Case_mins[[#This Row],[AnaesthStart]]</f>
        <v>#REF!</v>
      </c>
      <c r="AZ284" s="9" t="e">
        <f>tbl_Case_mins[[#This Row],[Anaesth End]]-tbl_Case_mins[[#This Row],[Surgery Finish]]</f>
        <v>#REF!</v>
      </c>
      <c r="BA28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4" s="16" cm="1">
        <f t="array" ref="BC28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4" s="16" t="e">
        <f>IF(AND(tbl_Case_mins[[#This Row],[FirstAMCase]]=1,tbl_Case_mins[[#This Row],[CancelledCase]]=0,OR(tbl_Case_mins[[#This Row],[EarlyStartAM]]&gt;0,tbl_Case_mins[[#This Row],[AnaesthStart]]=tbl_Case_mins[[#This Row],[ThOpenAm]])),1,0)</f>
        <v>#REF!</v>
      </c>
      <c r="BE284" s="16" t="e">
        <f>IF(AND(tbl_Case_mins[[#This Row],[Rank_AnaSt]]=tbl_Case_mins[[#This Row],[Min_RankAnaSt]],tbl_Case_mins[[#This Row],[Anaesth End]]&gt;=tbl_Case_mins[[#This Row],[ThOpenAm]],tbl_Case_mins[[#This Row],[PmCase]]=0),1,0)</f>
        <v>#REF!</v>
      </c>
      <c r="BF28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4" s="9" t="e" cm="1">
        <f t="array" ref="BH28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4" s="9" t="e">
        <f>IF(AND(tbl_Case_mins[[#This Row],[ThOpenPM]]&gt;0,tbl_Case_mins[[#This Row],[AnaesthStart]]&gt;tbl_Case_mins[[#This Row],[ThOpenPM]],tbl_Case_mins[[#This Row],[First PM Case]]=1),tbl_Case_mins[[#This Row],[AnaesthStart]]-tbl_Case_mins[[#This Row],[ThOpenPM]],0)</f>
        <v>#REF!</v>
      </c>
      <c r="BL28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4" s="9" t="e" cm="1">
        <f t="array" ref="BN28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4" s="9" t="e">
        <f>IF(AND(tbl_Case_mins[[#This Row],[ThClosePm]]&gt;0,tbl_Case_mins[[#This Row],[Anaesth End]]&gt;tbl_Case_mins[[#This Row],[ThClosePm]],tbl_Case_mins[[#This Row],[AnaesthStart]]&gt;tbl_Case_mins[[#This Row],[ThClosePm]]),tbl_Case_mins[[#This Row],[Into Recov]]-tbl_Case_mins[[#This Row],[AnaesthStart]],0)</f>
        <v>#REF!</v>
      </c>
      <c r="BP284" s="9" t="e">
        <f>IF(AND(tbl_Case_mins[[#This Row],[AnaesthStart]]&lt;tbl_Case_mins[[#This Row],[ThClosePm]],tbl_Case_mins[[#This Row],[Anaesth End]]&gt;tbl_Case_mins[[#This Row],[ThClosePm]]),tbl_Case_mins[[#This Row],[Anaesth End]]-tbl_Case_mins[[#This Row],[ThClosePm]],0)</f>
        <v>#REF!</v>
      </c>
      <c r="BQ284" s="9" t="e" cm="1">
        <f t="array" ref="BQ28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4" s="9" t="e" cm="1">
        <f t="array" ref="BR284">IF(tbl_Case_mins[[#This Row],[Rank_Adjust]]=SUMPRODUCT(-(tbl_Case_mins[Surgery Start Date]=tbl_Case_mins[[#This Row],[Surgery Start Date]]),-(tbl_Case_mins[Theatre]=tbl_Case_mins[[#This Row],[Theatre]])),INDEX(Poss_Time,MATCH(TEXT(tbl_Case_mins[[#This Row],[Surgery Start Date]],"ddd"),Day,0)),0)</f>
        <v>#REF!</v>
      </c>
      <c r="BS284" s="9" t="e">
        <f>tbl_Case_mins[[#This Row],[Core_Time]]*Util_Goal</f>
        <v>#REF!</v>
      </c>
      <c r="BT284" s="9" t="e" cm="1">
        <f t="array" ref="BT2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4" s="9" t="e" cm="1">
        <f t="array" ref="BU2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4" s="9" t="e">
        <f>IF(tbl_Case_mins[[#This Row],[Surgery End Date]]&gt;tbl_Case_mins[[#This Row],[Surgery Start Date]],tbl_Case_mins[[#This Row],[Anaesth End]]-1440,0)</f>
        <v>#REF!</v>
      </c>
      <c r="BY284" s="9" t="e">
        <f>tbl_Case_mins[[#This Row],[Total_NonCore]]-tbl_Case_mins[[#This Row],[NextDay_NonCore]]</f>
        <v>#REF!</v>
      </c>
      <c r="BZ284" s="10" t="e">
        <f>tbl_Case_mins[[#This Row],[InCoreUse]]/60</f>
        <v>#REF!</v>
      </c>
      <c r="CA284" s="10" t="e">
        <f>tbl_Case_mins[[#This Row],[Total_NonCore]]/60</f>
        <v>#REF!</v>
      </c>
      <c r="CB284" t="e" cm="1">
        <f t="array" ref="CB2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4" s="9" t="e" cm="1">
        <f t="array" ref="CC28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4" s="9" t="e" cm="1">
        <f t="array" ref="CD2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4" s="9" t="e" cm="1">
        <f t="array" ref="CE28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4" s="9" cm="1">
        <f t="array" ref="CF284">IFERROR(_xlfn.AGGREGATE(14,6,(tbl_Case_mins[Rank_AnaEnd])/((tbl_Case_mins[Surgery Start Date]=tbl_Case_mins[[#This Row],[Surgery Start Date]])*(tbl_Case_mins[Theatre]=tbl_Case_mins[[#This Row],[Theatre]])*(tbl_Case_mins[NoInCoreTime]=0)),1),-1)</f>
        <v>-1</v>
      </c>
      <c r="CG284" s="9" cm="1">
        <f t="array" ref="CG284">IFERROR(_xlfn.AGGREGATE(15,6,(tbl_Case_mins[Rank_AnaSt])/((tbl_Case_mins[Surgery Start Date]=tbl_Case_mins[[#This Row],[Surgery Start Date]])*(tbl_Case_mins[Theatre]=tbl_Case_mins[[#This Row],[Theatre]])*(tbl_Case_mins[NoInCoreTime]=0)),1),-1)</f>
        <v>-1</v>
      </c>
      <c r="CH28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4" t="e" cm="1">
        <f t="array" ref="CJ28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4" s="9" cm="1">
        <f t="array" ref="CO2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4" s="9" cm="1">
        <f t="array" ref="CP2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4" s="9" cm="1">
        <f t="array" ref="CQ284">IFERROR(IF(AND(tbl_Case_mins[[#This Row],[FirstAMCase]]=0,tbl_Case_mins[[#This Row],[Rank]]=_xlfn.AGGREGATE(14,6,(tbl_Case_mins[Rank])/((tbl_Case_mins[Surgery Start Date]=tbl_Case_mins[[#This Row],[Surgery Start Date]])*(tbl_Case_mins[Theatre]=tbl_Case_mins[[#This Row],[Theatre]])*(tbl_Case_mins[AmCase]=1)),1)),1,0),0)</f>
        <v>0</v>
      </c>
      <c r="CR284" s="9" cm="1">
        <f t="array" ref="CR28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4" s="9" t="e" cm="1">
        <f t="array" ref="CS28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4" s="9" cm="1">
        <f t="array" ref="CT284">IFERROR(IF(tbl_Case_mins[[#This Row],[Rank]]=_xlfn.AGGREGATE(15,6,(tbl_Case_mins[Rank])/((tbl_Case_mins[Surgery Start Date]=tbl_Case_mins[[#This Row],[Surgery Start Date]])*(tbl_Case_mins[Theatre]=tbl_Case_mins[[#This Row],[Theatre]])*(tbl_Case_mins[PmCase]=1)),1),1,0),0)</f>
        <v>0</v>
      </c>
      <c r="CU284">
        <f>IFERROR(#REF!,0)</f>
        <v>0</v>
      </c>
      <c r="CV284" s="9" t="e" cm="1">
        <f t="array" ref="CV28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4" s="9">
        <f>IFERROR(IF(ISBLANK(INDEX(Bay_AmClose,MATCH(1,INDEX((tbl_Case_mins[[#This Row],[Bay]]=BayNo)*(tbl_Case_mins[[#This Row],[Surgery Start Date]]=BDate),0,1),0))*1440),0,INDEX(Bay_AmClose,MATCH(1,INDEX((tbl_Case_mins[[#This Row],[Bay]]=BayNo)*(tbl_Case_mins[[#This Row],[Surgery Start Date]]=BDate),0,1),0))*1440),0)</f>
        <v>0</v>
      </c>
      <c r="CX284" s="9" cm="1">
        <f t="array" ref="CX284">IFERROR(IF(ISBLANK(INDEX(Bay_PmOpen,MATCH(1,INDEX((tbl_Case_mins[[#This Row],[Bay]]=BayNo)*(tbl_Case_mins[[#This Row],[Surgery Start Date]]=BDate),0,1),0))*1440),0,INDEX(Bay_PmOpen,MATCH(1,INDEX((tbl_Case_mins[[#This Row],[Bay]]=BayNo)*(tbl_Case_mins[[#This Row],[Surgery Start Date]]=BDate),0,1),0))*1440),0)</f>
        <v>0</v>
      </c>
      <c r="CY28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4" s="9"/>
    </row>
    <row r="285" spans="1:104" x14ac:dyDescent="0.2">
      <c r="A285">
        <v>284</v>
      </c>
      <c r="B285" t="e">
        <f>#REF!</f>
        <v>#REF!</v>
      </c>
      <c r="C285" t="e">
        <f>#REF!</f>
        <v>#REF!</v>
      </c>
      <c r="D285" t="e">
        <f>#REF!</f>
        <v>#REF!</v>
      </c>
      <c r="E285" t="e">
        <f>#REF!</f>
        <v>#REF!</v>
      </c>
      <c r="F285" t="e">
        <f>#REF!</f>
        <v>#REF!</v>
      </c>
      <c r="G285" t="e">
        <f>#REF!</f>
        <v>#REF!</v>
      </c>
      <c r="H285" t="e">
        <f>#REF!</f>
        <v>#REF!</v>
      </c>
      <c r="I285" t="e">
        <f>IF(#REF!="Case Cancelled",1,IF(#REF!="No Cases",2,0))</f>
        <v>#REF!</v>
      </c>
      <c r="J285" t="e">
        <f>#REF!</f>
        <v>#REF!</v>
      </c>
      <c r="K285" s="4" t="e">
        <f>#REF!</f>
        <v>#REF!</v>
      </c>
      <c r="L285" t="e">
        <f>"Wk "&amp;WEEKNUM(tbl_Case_mins[[#This Row],[Surgery Start Date]],21)</f>
        <v>#REF!</v>
      </c>
      <c r="M285" t="e">
        <f>TEXT(tbl_Case_mins[[#This Row],[Surgery Start Date]],"ddd")</f>
        <v>#REF!</v>
      </c>
      <c r="N285" s="9" t="e">
        <f>(#REF!-TIME(0,0,0))*1440</f>
        <v>#REF!</v>
      </c>
      <c r="O285" t="e">
        <f>IF(AND(ROUND((#REF!-TIME(0,0,0))*1440,0)&gt;0,ROUND((#REF!-TIME(0,0,0))*1440,0)&lt;tbl_Case_mins[[#This Row],[Patient Called]],tbl_Case_mins[[#This Row],[Surgery End Date]]&gt;tbl_Case_mins[[#This Row],[Surgery Start Date]]),ROUND((#REF!-TIME(0,0,0))*1440,0)+1440,ROUND((#REF!-TIME(0,0,0))*1440,0))</f>
        <v>#REF!</v>
      </c>
      <c r="P285" s="9" t="e">
        <f>IF(AND(ROUND((#REF!-TIME(0,0,0))*1440,0)&gt;0,ROUND((#REF!-TIME(0,0,0))*1440,0)&lt;tbl_Case_mins[[#This Row],[Arrival]],tbl_Case_mins[[#This Row],[Surgery End Date]]&gt;tbl_Case_mins[[#This Row],[Surgery Start Date]]),ROUND((#REF!-TIME(0,0,0))*1440,0)+1440,ROUND((#REF!-TIME(0,0,0))*1440,0))</f>
        <v>#REF!</v>
      </c>
      <c r="Q285" s="9" t="e">
        <f>IF(AND(ROUND((#REF!-TIME(0,0,0))*1440,0)&gt;0,ROUND((#REF!-TIME(0,0,0))*1440,0)&lt;tbl_Case_mins[[#This Row],[Into Th or AR]],tbl_Case_mins[[#This Row],[Surgery End Date]]&gt;tbl_Case_mins[[#This Row],[Surgery Start Date]]),ROUND((#REF!-TIME(0,0,0))*1440,0)+1440,ROUND((#REF!-TIME(0,0,0))*1440,0))</f>
        <v>#REF!</v>
      </c>
      <c r="R285" s="9" t="e">
        <f>IF(AND(ROUND((#REF!-TIME(0,0,0))*1440,0)&gt;0,ROUND((#REF!-TIME(0,0,0))*1440,0)&lt;tbl_Case_mins[[#This Row],[AnaesthStart]],tbl_Case_mins[[#This Row],[Surgery End Date]]&gt;tbl_Case_mins[[#This Row],[Surgery Start Date]]),ROUND((#REF!-TIME(0,0,0))*1440,0)+1440,ROUND((#REF!-TIME(0,0,0))*1440,0))</f>
        <v>#REF!</v>
      </c>
      <c r="S285" s="9" t="e">
        <f>IF(AND(ROUND((#REF!-TIME(0,0,0))*1440,0),ROUND((#REF!-TIME(0,0,0))*1440,0)&lt;tbl_Case_mins[[#This Row],[Surgery Start]],tbl_Case_mins[[#This Row],[Surgery End Date]]&gt;tbl_Case_mins[[#This Row],[Surgery Start Date]]),ROUND((#REF!-TIME(0,0,0))*1440,0)+1440,ROUND((#REF!-TIME(0,0,0))*1440,0))</f>
        <v>#REF!</v>
      </c>
      <c r="T285" s="9" t="e">
        <f>IF(AND(ROUND((#REF!-TIME(0,0,0))*1440,0)&gt;0,ROUND((#REF!-TIME(0,0,0))*1440,0)&lt;tbl_Case_mins[[#This Row],[Surgery Finish]],tbl_Case_mins[[#This Row],[Surgery End Date]]&gt;tbl_Case_mins[[#This Row],[Surgery Start Date]]),ROUND((#REF!-TIME(0,0,0))*1440,0)+1440,ROUND((#REF!-TIME(0,0,0))*1440,0))</f>
        <v>#REF!</v>
      </c>
      <c r="U285" s="9" t="e">
        <f>IF(AND(ROUND((#REF!-TIME(0,0,0))*1440,0)&gt;0,ROUND((#REF!-TIME(0,0,0))*1440,0)&lt;tbl_Case_mins[[#This Row],[Anaesth End]],tbl_Case_mins[[#This Row],[Surgery End Date]]&gt;tbl_Case_mins[[#This Row],[Surgery Start Date]]),ROUND((#REF!-TIME(0,0,0))*1440,0)+1440,ROUND((#REF!-TIME(0,0,0))*1440,0))</f>
        <v>#REF!</v>
      </c>
      <c r="V285" s="9" t="e">
        <f>IF(AND(ROUND((#REF!-TIME(0,0,0))*1440,0)&gt;0,ROUND((#REF!-TIME(0,0,0))*1440,0)&lt;tbl_Case_mins[[#This Row],[Into Recov]],tbl_Case_mins[[#This Row],[Surgery End Date]]&gt;tbl_Case_mins[[#This Row],[Surgery Start Date]]),ROUND((#REF!-TIME(0,0,0))*1440,0)+1440,ROUND((#REF!-TIME(0,0,0))*1440,0))</f>
        <v>#REF!</v>
      </c>
      <c r="W285" s="9" t="e">
        <f>IF(AND(ROUND((#REF!-TIME(0,0,0))*1440,0)&gt;0,ROUND((#REF!-TIME(0,0,0))*1440,0)&lt;tbl_Case_mins[[#This Row],[Ward Called]],tbl_Case_mins[[#This Row],[Surgery End Date]]&gt;tbl_Case_mins[[#This Row],[Surgery Start Date]]),ROUND((#REF!-TIME(0,0,0))*1440,0)+1440,ROUND((#REF!-TIME(0,0,0))*1440,0))</f>
        <v>#REF!</v>
      </c>
      <c r="X285" s="4" t="e">
        <f>IF(ISBLANK(#REF!),tbl_Case_mins[[#This Row],[Surgery Start Date]],#REF!)</f>
        <v>#REF!</v>
      </c>
      <c r="Y285">
        <f>IFERROR(IF(VLOOKUP(tbl_Case_mins[[#This Row],[Theatre]],'Mng Theatres'!$C$7:$G$12,3,FALSE)="Yes","Yes","No"),0)</f>
        <v>0</v>
      </c>
      <c r="Z285" s="9" t="e" cm="1">
        <f t="array" ref="Z28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5" s="9" t="e" cm="1">
        <f t="array" ref="AA28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5" s="9" t="e">
        <f>IF(tbl_Case_mins[[#This Row],[Case Type]]="Unsch",1,0)</f>
        <v>#REF!</v>
      </c>
      <c r="AD285" s="9" t="e">
        <f>IF(tbl_Case_mins[[#This Row],[Case Type]]="Sch",1,0)</f>
        <v>#REF!</v>
      </c>
      <c r="AE28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5" s="9">
        <f>IFERROR(IF(ISBLANK(INDEX(Am_Close,MATCH(1,INDEX((tbl_Case_mins[[#This Row],[Theatre]]=Theatre_No)*(tbl_Case_mins[[#This Row],[Surgery Start Date]]=Date),0,1),0))*1440),0,INDEX(Am_Close,MATCH(1,INDEX((tbl_Case_mins[[#This Row],[Theatre]]=Theatre_No)*(tbl_Case_mins[[#This Row],[Surgery Start Date]]=Date),0,1),0))*1440),0)</f>
        <v>0</v>
      </c>
      <c r="AG285" s="9">
        <f>IFERROR(IF(ISBLANK(INDEX(PM_Open,MATCH(1,INDEX((tbl_Case_mins[[#This Row],[Theatre]]=Theatre_No)*(tbl_Case_mins[[#This Row],[Surgery Start Date]]=Date),0,1),0))*1440),0,INDEX(PM_Open,MATCH(1,INDEX((tbl_Case_mins[[#This Row],[Theatre]]=Theatre_No)*(tbl_Case_mins[[#This Row],[Surgery Start Date]]=Date),0,1),0))*1440),0)</f>
        <v>0</v>
      </c>
      <c r="AH28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5" s="9" t="e">
        <f>IF(tbl_Case_mins[[#This Row],[ThOpenAm]]=0,tbl_Case_mins[[#This Row],[ThOpenPM]],tbl_Case_mins[[#This Row],[ThOpenAm]])</f>
        <v>#REF!</v>
      </c>
      <c r="AJ285" s="9" t="e">
        <f>IF(tbl_Case_mins[[#This Row],[ThCloseAm]]&gt;0,IF(tbl_Case_mins[[#This Row],[ThOpenPM]]&gt;0,tbl_Case_mins[[#This Row],[ThClosePm]],tbl_Case_mins[[#This Row],[ThCloseAm]]),tbl_Case_mins[[#This Row],[ThClosePm]])</f>
        <v>#REF!</v>
      </c>
      <c r="AK285" s="9" t="e">
        <f>IF(tbl_Case_mins[[#This Row],[TOT]]&gt;0,1,0)</f>
        <v>#REF!</v>
      </c>
      <c r="AL28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5" s="9" t="e">
        <f>IF(AND(tbl_Case_mins[[#This Row],[Surgery Status]]&lt;&gt;2,tbl_Case_mins[[#This Row],[InCoreCase]]=0,tbl_Case_mins[[#This Row],[CancelledCase]]=0),1,0)</f>
        <v>#REF!</v>
      </c>
      <c r="AN285" s="9" t="e">
        <f>IF(tbl_Case_mins[[#This Row],[Surgery Status]]=1,1,0)</f>
        <v>#REF!</v>
      </c>
      <c r="AO28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5" s="9" t="e">
        <f>IF(AND(tbl_Case_mins[[#This Row],[NonCoreCase]]=1,tbl_Case_mins[[#This Row],[NoInCoreTime]]=0),1,0)</f>
        <v>#REF!</v>
      </c>
      <c r="AQ285" s="9" t="e">
        <f>IF(tbl_Case_mins[[#This Row],[Rank_AnaEnd]]&lt;tbl_Case_mins[[#This Row],[Rank_AnaSt]],1,0)</f>
        <v>#REF!</v>
      </c>
      <c r="AR285" s="9" t="e">
        <f>IF(AND(tbl_Case_mins[[#This Row],[InCoreCase]]=1,tbl_Case_mins[[#This Row],[Sch]]=1),1,0)</f>
        <v>#REF!</v>
      </c>
      <c r="AS285" s="9" t="e">
        <f>IF(AND(tbl_Case_mins[[#This Row],[InCoreCase]]=1,tbl_Case_mins[[#This Row],[Unsch]]=1),1,0)</f>
        <v>#REF!</v>
      </c>
      <c r="AT28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5" s="9" t="e">
        <f>IF(tbl_Case_mins[[#This Row],[Surgery Status]]=0,(tbl_Case_mins[[#This Row],[Anaesth End]]-tbl_Case_mins[[#This Row],[AnaesthStart]]),0)</f>
        <v>#REF!</v>
      </c>
      <c r="AX285" s="9" t="e">
        <f>IF(tbl_Case_mins[[#This Row],[Surgery Status]]=0,(tbl_Case_mins[[#This Row],[Surgery Finish]]-tbl_Case_mins[[#This Row],[Surgery Start]]),0)</f>
        <v>#REF!</v>
      </c>
      <c r="AY285" s="9" t="e">
        <f>tbl_Case_mins[[#This Row],[Surgery Start]]-tbl_Case_mins[[#This Row],[AnaesthStart]]</f>
        <v>#REF!</v>
      </c>
      <c r="AZ285" s="9" t="e">
        <f>tbl_Case_mins[[#This Row],[Anaesth End]]-tbl_Case_mins[[#This Row],[Surgery Finish]]</f>
        <v>#REF!</v>
      </c>
      <c r="BA28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5" s="16" cm="1">
        <f t="array" ref="BC28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5" s="16" t="e">
        <f>IF(AND(tbl_Case_mins[[#This Row],[FirstAMCase]]=1,tbl_Case_mins[[#This Row],[CancelledCase]]=0,OR(tbl_Case_mins[[#This Row],[EarlyStartAM]]&gt;0,tbl_Case_mins[[#This Row],[AnaesthStart]]=tbl_Case_mins[[#This Row],[ThOpenAm]])),1,0)</f>
        <v>#REF!</v>
      </c>
      <c r="BE285" s="16" t="e">
        <f>IF(AND(tbl_Case_mins[[#This Row],[Rank_AnaSt]]=tbl_Case_mins[[#This Row],[Min_RankAnaSt]],tbl_Case_mins[[#This Row],[Anaesth End]]&gt;=tbl_Case_mins[[#This Row],[ThOpenAm]],tbl_Case_mins[[#This Row],[PmCase]]=0),1,0)</f>
        <v>#REF!</v>
      </c>
      <c r="BF28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5" s="9" t="e" cm="1">
        <f t="array" ref="BH28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5" s="9" t="e">
        <f>IF(AND(tbl_Case_mins[[#This Row],[ThOpenPM]]&gt;0,tbl_Case_mins[[#This Row],[AnaesthStart]]&gt;tbl_Case_mins[[#This Row],[ThOpenPM]],tbl_Case_mins[[#This Row],[First PM Case]]=1),tbl_Case_mins[[#This Row],[AnaesthStart]]-tbl_Case_mins[[#This Row],[ThOpenPM]],0)</f>
        <v>#REF!</v>
      </c>
      <c r="BL28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5" s="9" t="e" cm="1">
        <f t="array" ref="BN28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5" s="9" t="e">
        <f>IF(AND(tbl_Case_mins[[#This Row],[ThClosePm]]&gt;0,tbl_Case_mins[[#This Row],[Anaesth End]]&gt;tbl_Case_mins[[#This Row],[ThClosePm]],tbl_Case_mins[[#This Row],[AnaesthStart]]&gt;tbl_Case_mins[[#This Row],[ThClosePm]]),tbl_Case_mins[[#This Row],[Into Recov]]-tbl_Case_mins[[#This Row],[AnaesthStart]],0)</f>
        <v>#REF!</v>
      </c>
      <c r="BP285" s="9" t="e">
        <f>IF(AND(tbl_Case_mins[[#This Row],[AnaesthStart]]&lt;tbl_Case_mins[[#This Row],[ThClosePm]],tbl_Case_mins[[#This Row],[Anaesth End]]&gt;tbl_Case_mins[[#This Row],[ThClosePm]]),tbl_Case_mins[[#This Row],[Anaesth End]]-tbl_Case_mins[[#This Row],[ThClosePm]],0)</f>
        <v>#REF!</v>
      </c>
      <c r="BQ285" s="9" t="e" cm="1">
        <f t="array" ref="BQ28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5" s="9" t="e" cm="1">
        <f t="array" ref="BR285">IF(tbl_Case_mins[[#This Row],[Rank_Adjust]]=SUMPRODUCT(-(tbl_Case_mins[Surgery Start Date]=tbl_Case_mins[[#This Row],[Surgery Start Date]]),-(tbl_Case_mins[Theatre]=tbl_Case_mins[[#This Row],[Theatre]])),INDEX(Poss_Time,MATCH(TEXT(tbl_Case_mins[[#This Row],[Surgery Start Date]],"ddd"),Day,0)),0)</f>
        <v>#REF!</v>
      </c>
      <c r="BS285" s="9" t="e">
        <f>tbl_Case_mins[[#This Row],[Core_Time]]*Util_Goal</f>
        <v>#REF!</v>
      </c>
      <c r="BT285" s="9" t="e" cm="1">
        <f t="array" ref="BT2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5" s="9" t="e" cm="1">
        <f t="array" ref="BU2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5" s="9" t="e">
        <f>IF(tbl_Case_mins[[#This Row],[Surgery End Date]]&gt;tbl_Case_mins[[#This Row],[Surgery Start Date]],tbl_Case_mins[[#This Row],[Anaesth End]]-1440,0)</f>
        <v>#REF!</v>
      </c>
      <c r="BY285" s="9" t="e">
        <f>tbl_Case_mins[[#This Row],[Total_NonCore]]-tbl_Case_mins[[#This Row],[NextDay_NonCore]]</f>
        <v>#REF!</v>
      </c>
      <c r="BZ285" s="10" t="e">
        <f>tbl_Case_mins[[#This Row],[InCoreUse]]/60</f>
        <v>#REF!</v>
      </c>
      <c r="CA285" s="10" t="e">
        <f>tbl_Case_mins[[#This Row],[Total_NonCore]]/60</f>
        <v>#REF!</v>
      </c>
      <c r="CB285" t="e" cm="1">
        <f t="array" ref="CB2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5" s="9" t="e" cm="1">
        <f t="array" ref="CC28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5" s="9" t="e" cm="1">
        <f t="array" ref="CD2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5" s="9" t="e" cm="1">
        <f t="array" ref="CE28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5" s="9" cm="1">
        <f t="array" ref="CF285">IFERROR(_xlfn.AGGREGATE(14,6,(tbl_Case_mins[Rank_AnaEnd])/((tbl_Case_mins[Surgery Start Date]=tbl_Case_mins[[#This Row],[Surgery Start Date]])*(tbl_Case_mins[Theatre]=tbl_Case_mins[[#This Row],[Theatre]])*(tbl_Case_mins[NoInCoreTime]=0)),1),-1)</f>
        <v>-1</v>
      </c>
      <c r="CG285" s="9" cm="1">
        <f t="array" ref="CG285">IFERROR(_xlfn.AGGREGATE(15,6,(tbl_Case_mins[Rank_AnaSt])/((tbl_Case_mins[Surgery Start Date]=tbl_Case_mins[[#This Row],[Surgery Start Date]])*(tbl_Case_mins[Theatre]=tbl_Case_mins[[#This Row],[Theatre]])*(tbl_Case_mins[NoInCoreTime]=0)),1),-1)</f>
        <v>-1</v>
      </c>
      <c r="CH28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5" t="e" cm="1">
        <f t="array" ref="CJ28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5" s="9" cm="1">
        <f t="array" ref="CO2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5" s="9" cm="1">
        <f t="array" ref="CP2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5" s="9" cm="1">
        <f t="array" ref="CQ285">IFERROR(IF(AND(tbl_Case_mins[[#This Row],[FirstAMCase]]=0,tbl_Case_mins[[#This Row],[Rank]]=_xlfn.AGGREGATE(14,6,(tbl_Case_mins[Rank])/((tbl_Case_mins[Surgery Start Date]=tbl_Case_mins[[#This Row],[Surgery Start Date]])*(tbl_Case_mins[Theatre]=tbl_Case_mins[[#This Row],[Theatre]])*(tbl_Case_mins[AmCase]=1)),1)),1,0),0)</f>
        <v>0</v>
      </c>
      <c r="CR285" s="9" cm="1">
        <f t="array" ref="CR28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5" s="9" t="e" cm="1">
        <f t="array" ref="CS28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5" s="9" cm="1">
        <f t="array" ref="CT285">IFERROR(IF(tbl_Case_mins[[#This Row],[Rank]]=_xlfn.AGGREGATE(15,6,(tbl_Case_mins[Rank])/((tbl_Case_mins[Surgery Start Date]=tbl_Case_mins[[#This Row],[Surgery Start Date]])*(tbl_Case_mins[Theatre]=tbl_Case_mins[[#This Row],[Theatre]])*(tbl_Case_mins[PmCase]=1)),1),1,0),0)</f>
        <v>0</v>
      </c>
      <c r="CU285">
        <f>IFERROR(#REF!,0)</f>
        <v>0</v>
      </c>
      <c r="CV285" s="9" t="e" cm="1">
        <f t="array" ref="CV28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5" s="9">
        <f>IFERROR(IF(ISBLANK(INDEX(Bay_AmClose,MATCH(1,INDEX((tbl_Case_mins[[#This Row],[Bay]]=BayNo)*(tbl_Case_mins[[#This Row],[Surgery Start Date]]=BDate),0,1),0))*1440),0,INDEX(Bay_AmClose,MATCH(1,INDEX((tbl_Case_mins[[#This Row],[Bay]]=BayNo)*(tbl_Case_mins[[#This Row],[Surgery Start Date]]=BDate),0,1),0))*1440),0)</f>
        <v>0</v>
      </c>
      <c r="CX285" s="9" cm="1">
        <f t="array" ref="CX285">IFERROR(IF(ISBLANK(INDEX(Bay_PmOpen,MATCH(1,INDEX((tbl_Case_mins[[#This Row],[Bay]]=BayNo)*(tbl_Case_mins[[#This Row],[Surgery Start Date]]=BDate),0,1),0))*1440),0,INDEX(Bay_PmOpen,MATCH(1,INDEX((tbl_Case_mins[[#This Row],[Bay]]=BayNo)*(tbl_Case_mins[[#This Row],[Surgery Start Date]]=BDate),0,1),0))*1440),0)</f>
        <v>0</v>
      </c>
      <c r="CY28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5" s="9"/>
    </row>
    <row r="286" spans="1:104" x14ac:dyDescent="0.2">
      <c r="A286">
        <v>285</v>
      </c>
      <c r="B286" t="e">
        <f>#REF!</f>
        <v>#REF!</v>
      </c>
      <c r="C286" t="e">
        <f>#REF!</f>
        <v>#REF!</v>
      </c>
      <c r="D286" t="e">
        <f>#REF!</f>
        <v>#REF!</v>
      </c>
      <c r="E286" t="e">
        <f>#REF!</f>
        <v>#REF!</v>
      </c>
      <c r="F286" t="e">
        <f>#REF!</f>
        <v>#REF!</v>
      </c>
      <c r="G286" t="e">
        <f>#REF!</f>
        <v>#REF!</v>
      </c>
      <c r="H286" t="e">
        <f>#REF!</f>
        <v>#REF!</v>
      </c>
      <c r="I286" t="e">
        <f>IF(#REF!="Case Cancelled",1,IF(#REF!="No Cases",2,0))</f>
        <v>#REF!</v>
      </c>
      <c r="J286" t="e">
        <f>#REF!</f>
        <v>#REF!</v>
      </c>
      <c r="K286" s="4" t="e">
        <f>#REF!</f>
        <v>#REF!</v>
      </c>
      <c r="L286" t="e">
        <f>"Wk "&amp;WEEKNUM(tbl_Case_mins[[#This Row],[Surgery Start Date]],21)</f>
        <v>#REF!</v>
      </c>
      <c r="M286" t="e">
        <f>TEXT(tbl_Case_mins[[#This Row],[Surgery Start Date]],"ddd")</f>
        <v>#REF!</v>
      </c>
      <c r="N286" s="9" t="e">
        <f>(#REF!-TIME(0,0,0))*1440</f>
        <v>#REF!</v>
      </c>
      <c r="O286" t="e">
        <f>IF(AND(ROUND((#REF!-TIME(0,0,0))*1440,0)&gt;0,ROUND((#REF!-TIME(0,0,0))*1440,0)&lt;tbl_Case_mins[[#This Row],[Patient Called]],tbl_Case_mins[[#This Row],[Surgery End Date]]&gt;tbl_Case_mins[[#This Row],[Surgery Start Date]]),ROUND((#REF!-TIME(0,0,0))*1440,0)+1440,ROUND((#REF!-TIME(0,0,0))*1440,0))</f>
        <v>#REF!</v>
      </c>
      <c r="P286" s="9" t="e">
        <f>IF(AND(ROUND((#REF!-TIME(0,0,0))*1440,0)&gt;0,ROUND((#REF!-TIME(0,0,0))*1440,0)&lt;tbl_Case_mins[[#This Row],[Arrival]],tbl_Case_mins[[#This Row],[Surgery End Date]]&gt;tbl_Case_mins[[#This Row],[Surgery Start Date]]),ROUND((#REF!-TIME(0,0,0))*1440,0)+1440,ROUND((#REF!-TIME(0,0,0))*1440,0))</f>
        <v>#REF!</v>
      </c>
      <c r="Q286" s="9" t="e">
        <f>IF(AND(ROUND((#REF!-TIME(0,0,0))*1440,0)&gt;0,ROUND((#REF!-TIME(0,0,0))*1440,0)&lt;tbl_Case_mins[[#This Row],[Into Th or AR]],tbl_Case_mins[[#This Row],[Surgery End Date]]&gt;tbl_Case_mins[[#This Row],[Surgery Start Date]]),ROUND((#REF!-TIME(0,0,0))*1440,0)+1440,ROUND((#REF!-TIME(0,0,0))*1440,0))</f>
        <v>#REF!</v>
      </c>
      <c r="R286" s="9" t="e">
        <f>IF(AND(ROUND((#REF!-TIME(0,0,0))*1440,0)&gt;0,ROUND((#REF!-TIME(0,0,0))*1440,0)&lt;tbl_Case_mins[[#This Row],[AnaesthStart]],tbl_Case_mins[[#This Row],[Surgery End Date]]&gt;tbl_Case_mins[[#This Row],[Surgery Start Date]]),ROUND((#REF!-TIME(0,0,0))*1440,0)+1440,ROUND((#REF!-TIME(0,0,0))*1440,0))</f>
        <v>#REF!</v>
      </c>
      <c r="S286" s="9" t="e">
        <f>IF(AND(ROUND((#REF!-TIME(0,0,0))*1440,0),ROUND((#REF!-TIME(0,0,0))*1440,0)&lt;tbl_Case_mins[[#This Row],[Surgery Start]],tbl_Case_mins[[#This Row],[Surgery End Date]]&gt;tbl_Case_mins[[#This Row],[Surgery Start Date]]),ROUND((#REF!-TIME(0,0,0))*1440,0)+1440,ROUND((#REF!-TIME(0,0,0))*1440,0))</f>
        <v>#REF!</v>
      </c>
      <c r="T286" s="9" t="e">
        <f>IF(AND(ROUND((#REF!-TIME(0,0,0))*1440,0)&gt;0,ROUND((#REF!-TIME(0,0,0))*1440,0)&lt;tbl_Case_mins[[#This Row],[Surgery Finish]],tbl_Case_mins[[#This Row],[Surgery End Date]]&gt;tbl_Case_mins[[#This Row],[Surgery Start Date]]),ROUND((#REF!-TIME(0,0,0))*1440,0)+1440,ROUND((#REF!-TIME(0,0,0))*1440,0))</f>
        <v>#REF!</v>
      </c>
      <c r="U286" s="9" t="e">
        <f>IF(AND(ROUND((#REF!-TIME(0,0,0))*1440,0)&gt;0,ROUND((#REF!-TIME(0,0,0))*1440,0)&lt;tbl_Case_mins[[#This Row],[Anaesth End]],tbl_Case_mins[[#This Row],[Surgery End Date]]&gt;tbl_Case_mins[[#This Row],[Surgery Start Date]]),ROUND((#REF!-TIME(0,0,0))*1440,0)+1440,ROUND((#REF!-TIME(0,0,0))*1440,0))</f>
        <v>#REF!</v>
      </c>
      <c r="V286" s="9" t="e">
        <f>IF(AND(ROUND((#REF!-TIME(0,0,0))*1440,0)&gt;0,ROUND((#REF!-TIME(0,0,0))*1440,0)&lt;tbl_Case_mins[[#This Row],[Into Recov]],tbl_Case_mins[[#This Row],[Surgery End Date]]&gt;tbl_Case_mins[[#This Row],[Surgery Start Date]]),ROUND((#REF!-TIME(0,0,0))*1440,0)+1440,ROUND((#REF!-TIME(0,0,0))*1440,0))</f>
        <v>#REF!</v>
      </c>
      <c r="W286" s="9" t="e">
        <f>IF(AND(ROUND((#REF!-TIME(0,0,0))*1440,0)&gt;0,ROUND((#REF!-TIME(0,0,0))*1440,0)&lt;tbl_Case_mins[[#This Row],[Ward Called]],tbl_Case_mins[[#This Row],[Surgery End Date]]&gt;tbl_Case_mins[[#This Row],[Surgery Start Date]]),ROUND((#REF!-TIME(0,0,0))*1440,0)+1440,ROUND((#REF!-TIME(0,0,0))*1440,0))</f>
        <v>#REF!</v>
      </c>
      <c r="X286" s="4" t="e">
        <f>IF(ISBLANK(#REF!),tbl_Case_mins[[#This Row],[Surgery Start Date]],#REF!)</f>
        <v>#REF!</v>
      </c>
      <c r="Y286">
        <f>IFERROR(IF(VLOOKUP(tbl_Case_mins[[#This Row],[Theatre]],'Mng Theatres'!$C$7:$G$12,3,FALSE)="Yes","Yes","No"),0)</f>
        <v>0</v>
      </c>
      <c r="Z286" s="9" t="e" cm="1">
        <f t="array" ref="Z28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6" s="9" t="e" cm="1">
        <f t="array" ref="AA28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6" s="9" t="e">
        <f>IF(tbl_Case_mins[[#This Row],[Case Type]]="Unsch",1,0)</f>
        <v>#REF!</v>
      </c>
      <c r="AD286" s="9" t="e">
        <f>IF(tbl_Case_mins[[#This Row],[Case Type]]="Sch",1,0)</f>
        <v>#REF!</v>
      </c>
      <c r="AE28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6" s="9">
        <f>IFERROR(IF(ISBLANK(INDEX(Am_Close,MATCH(1,INDEX((tbl_Case_mins[[#This Row],[Theatre]]=Theatre_No)*(tbl_Case_mins[[#This Row],[Surgery Start Date]]=Date),0,1),0))*1440),0,INDEX(Am_Close,MATCH(1,INDEX((tbl_Case_mins[[#This Row],[Theatre]]=Theatre_No)*(tbl_Case_mins[[#This Row],[Surgery Start Date]]=Date),0,1),0))*1440),0)</f>
        <v>0</v>
      </c>
      <c r="AG286" s="9">
        <f>IFERROR(IF(ISBLANK(INDEX(PM_Open,MATCH(1,INDEX((tbl_Case_mins[[#This Row],[Theatre]]=Theatre_No)*(tbl_Case_mins[[#This Row],[Surgery Start Date]]=Date),0,1),0))*1440),0,INDEX(PM_Open,MATCH(1,INDEX((tbl_Case_mins[[#This Row],[Theatre]]=Theatre_No)*(tbl_Case_mins[[#This Row],[Surgery Start Date]]=Date),0,1),0))*1440),0)</f>
        <v>0</v>
      </c>
      <c r="AH28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6" s="9" t="e">
        <f>IF(tbl_Case_mins[[#This Row],[ThOpenAm]]=0,tbl_Case_mins[[#This Row],[ThOpenPM]],tbl_Case_mins[[#This Row],[ThOpenAm]])</f>
        <v>#REF!</v>
      </c>
      <c r="AJ286" s="9" t="e">
        <f>IF(tbl_Case_mins[[#This Row],[ThCloseAm]]&gt;0,IF(tbl_Case_mins[[#This Row],[ThOpenPM]]&gt;0,tbl_Case_mins[[#This Row],[ThClosePm]],tbl_Case_mins[[#This Row],[ThCloseAm]]),tbl_Case_mins[[#This Row],[ThClosePm]])</f>
        <v>#REF!</v>
      </c>
      <c r="AK286" s="9" t="e">
        <f>IF(tbl_Case_mins[[#This Row],[TOT]]&gt;0,1,0)</f>
        <v>#REF!</v>
      </c>
      <c r="AL28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6" s="9" t="e">
        <f>IF(AND(tbl_Case_mins[[#This Row],[Surgery Status]]&lt;&gt;2,tbl_Case_mins[[#This Row],[InCoreCase]]=0,tbl_Case_mins[[#This Row],[CancelledCase]]=0),1,0)</f>
        <v>#REF!</v>
      </c>
      <c r="AN286" s="9" t="e">
        <f>IF(tbl_Case_mins[[#This Row],[Surgery Status]]=1,1,0)</f>
        <v>#REF!</v>
      </c>
      <c r="AO28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6" s="9" t="e">
        <f>IF(AND(tbl_Case_mins[[#This Row],[NonCoreCase]]=1,tbl_Case_mins[[#This Row],[NoInCoreTime]]=0),1,0)</f>
        <v>#REF!</v>
      </c>
      <c r="AQ286" s="9" t="e">
        <f>IF(tbl_Case_mins[[#This Row],[Rank_AnaEnd]]&lt;tbl_Case_mins[[#This Row],[Rank_AnaSt]],1,0)</f>
        <v>#REF!</v>
      </c>
      <c r="AR286" s="9" t="e">
        <f>IF(AND(tbl_Case_mins[[#This Row],[InCoreCase]]=1,tbl_Case_mins[[#This Row],[Sch]]=1),1,0)</f>
        <v>#REF!</v>
      </c>
      <c r="AS286" s="9" t="e">
        <f>IF(AND(tbl_Case_mins[[#This Row],[InCoreCase]]=1,tbl_Case_mins[[#This Row],[Unsch]]=1),1,0)</f>
        <v>#REF!</v>
      </c>
      <c r="AT28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6" s="9" t="e">
        <f>IF(tbl_Case_mins[[#This Row],[Surgery Status]]=0,(tbl_Case_mins[[#This Row],[Anaesth End]]-tbl_Case_mins[[#This Row],[AnaesthStart]]),0)</f>
        <v>#REF!</v>
      </c>
      <c r="AX286" s="9" t="e">
        <f>IF(tbl_Case_mins[[#This Row],[Surgery Status]]=0,(tbl_Case_mins[[#This Row],[Surgery Finish]]-tbl_Case_mins[[#This Row],[Surgery Start]]),0)</f>
        <v>#REF!</v>
      </c>
      <c r="AY286" s="9" t="e">
        <f>tbl_Case_mins[[#This Row],[Surgery Start]]-tbl_Case_mins[[#This Row],[AnaesthStart]]</f>
        <v>#REF!</v>
      </c>
      <c r="AZ286" s="9" t="e">
        <f>tbl_Case_mins[[#This Row],[Anaesth End]]-tbl_Case_mins[[#This Row],[Surgery Finish]]</f>
        <v>#REF!</v>
      </c>
      <c r="BA28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6" s="16" cm="1">
        <f t="array" ref="BC28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6" s="16" t="e">
        <f>IF(AND(tbl_Case_mins[[#This Row],[FirstAMCase]]=1,tbl_Case_mins[[#This Row],[CancelledCase]]=0,OR(tbl_Case_mins[[#This Row],[EarlyStartAM]]&gt;0,tbl_Case_mins[[#This Row],[AnaesthStart]]=tbl_Case_mins[[#This Row],[ThOpenAm]])),1,0)</f>
        <v>#REF!</v>
      </c>
      <c r="BE286" s="16" t="e">
        <f>IF(AND(tbl_Case_mins[[#This Row],[Rank_AnaSt]]=tbl_Case_mins[[#This Row],[Min_RankAnaSt]],tbl_Case_mins[[#This Row],[Anaesth End]]&gt;=tbl_Case_mins[[#This Row],[ThOpenAm]],tbl_Case_mins[[#This Row],[PmCase]]=0),1,0)</f>
        <v>#REF!</v>
      </c>
      <c r="BF28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6" s="9" t="e" cm="1">
        <f t="array" ref="BH28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6" s="9" t="e">
        <f>IF(AND(tbl_Case_mins[[#This Row],[ThOpenPM]]&gt;0,tbl_Case_mins[[#This Row],[AnaesthStart]]&gt;tbl_Case_mins[[#This Row],[ThOpenPM]],tbl_Case_mins[[#This Row],[First PM Case]]=1),tbl_Case_mins[[#This Row],[AnaesthStart]]-tbl_Case_mins[[#This Row],[ThOpenPM]],0)</f>
        <v>#REF!</v>
      </c>
      <c r="BL28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6" s="9" t="e" cm="1">
        <f t="array" ref="BN28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6" s="9" t="e">
        <f>IF(AND(tbl_Case_mins[[#This Row],[ThClosePm]]&gt;0,tbl_Case_mins[[#This Row],[Anaesth End]]&gt;tbl_Case_mins[[#This Row],[ThClosePm]],tbl_Case_mins[[#This Row],[AnaesthStart]]&gt;tbl_Case_mins[[#This Row],[ThClosePm]]),tbl_Case_mins[[#This Row],[Into Recov]]-tbl_Case_mins[[#This Row],[AnaesthStart]],0)</f>
        <v>#REF!</v>
      </c>
      <c r="BP286" s="9" t="e">
        <f>IF(AND(tbl_Case_mins[[#This Row],[AnaesthStart]]&lt;tbl_Case_mins[[#This Row],[ThClosePm]],tbl_Case_mins[[#This Row],[Anaesth End]]&gt;tbl_Case_mins[[#This Row],[ThClosePm]]),tbl_Case_mins[[#This Row],[Anaesth End]]-tbl_Case_mins[[#This Row],[ThClosePm]],0)</f>
        <v>#REF!</v>
      </c>
      <c r="BQ286" s="9" t="e" cm="1">
        <f t="array" ref="BQ28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6" s="9" t="e" cm="1">
        <f t="array" ref="BR286">IF(tbl_Case_mins[[#This Row],[Rank_Adjust]]=SUMPRODUCT(-(tbl_Case_mins[Surgery Start Date]=tbl_Case_mins[[#This Row],[Surgery Start Date]]),-(tbl_Case_mins[Theatre]=tbl_Case_mins[[#This Row],[Theatre]])),INDEX(Poss_Time,MATCH(TEXT(tbl_Case_mins[[#This Row],[Surgery Start Date]],"ddd"),Day,0)),0)</f>
        <v>#REF!</v>
      </c>
      <c r="BS286" s="9" t="e">
        <f>tbl_Case_mins[[#This Row],[Core_Time]]*Util_Goal</f>
        <v>#REF!</v>
      </c>
      <c r="BT286" s="9" t="e" cm="1">
        <f t="array" ref="BT2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6" s="9" t="e" cm="1">
        <f t="array" ref="BU2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6" s="9" t="e">
        <f>IF(tbl_Case_mins[[#This Row],[Surgery End Date]]&gt;tbl_Case_mins[[#This Row],[Surgery Start Date]],tbl_Case_mins[[#This Row],[Anaesth End]]-1440,0)</f>
        <v>#REF!</v>
      </c>
      <c r="BY286" s="9" t="e">
        <f>tbl_Case_mins[[#This Row],[Total_NonCore]]-tbl_Case_mins[[#This Row],[NextDay_NonCore]]</f>
        <v>#REF!</v>
      </c>
      <c r="BZ286" s="10" t="e">
        <f>tbl_Case_mins[[#This Row],[InCoreUse]]/60</f>
        <v>#REF!</v>
      </c>
      <c r="CA286" s="10" t="e">
        <f>tbl_Case_mins[[#This Row],[Total_NonCore]]/60</f>
        <v>#REF!</v>
      </c>
      <c r="CB286" t="e" cm="1">
        <f t="array" ref="CB2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6" s="9" t="e" cm="1">
        <f t="array" ref="CC28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6" s="9" t="e" cm="1">
        <f t="array" ref="CD2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6" s="9" t="e" cm="1">
        <f t="array" ref="CE28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6" s="9" cm="1">
        <f t="array" ref="CF286">IFERROR(_xlfn.AGGREGATE(14,6,(tbl_Case_mins[Rank_AnaEnd])/((tbl_Case_mins[Surgery Start Date]=tbl_Case_mins[[#This Row],[Surgery Start Date]])*(tbl_Case_mins[Theatre]=tbl_Case_mins[[#This Row],[Theatre]])*(tbl_Case_mins[NoInCoreTime]=0)),1),-1)</f>
        <v>-1</v>
      </c>
      <c r="CG286" s="9" cm="1">
        <f t="array" ref="CG286">IFERROR(_xlfn.AGGREGATE(15,6,(tbl_Case_mins[Rank_AnaSt])/((tbl_Case_mins[Surgery Start Date]=tbl_Case_mins[[#This Row],[Surgery Start Date]])*(tbl_Case_mins[Theatre]=tbl_Case_mins[[#This Row],[Theatre]])*(tbl_Case_mins[NoInCoreTime]=0)),1),-1)</f>
        <v>-1</v>
      </c>
      <c r="CH28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6" t="e" cm="1">
        <f t="array" ref="CJ28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6" s="9" cm="1">
        <f t="array" ref="CO2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6" s="9" cm="1">
        <f t="array" ref="CP2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6" s="9" cm="1">
        <f t="array" ref="CQ286">IFERROR(IF(AND(tbl_Case_mins[[#This Row],[FirstAMCase]]=0,tbl_Case_mins[[#This Row],[Rank]]=_xlfn.AGGREGATE(14,6,(tbl_Case_mins[Rank])/((tbl_Case_mins[Surgery Start Date]=tbl_Case_mins[[#This Row],[Surgery Start Date]])*(tbl_Case_mins[Theatre]=tbl_Case_mins[[#This Row],[Theatre]])*(tbl_Case_mins[AmCase]=1)),1)),1,0),0)</f>
        <v>0</v>
      </c>
      <c r="CR286" s="9" cm="1">
        <f t="array" ref="CR28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6" s="9" t="e" cm="1">
        <f t="array" ref="CS28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6" s="9" cm="1">
        <f t="array" ref="CT286">IFERROR(IF(tbl_Case_mins[[#This Row],[Rank]]=_xlfn.AGGREGATE(15,6,(tbl_Case_mins[Rank])/((tbl_Case_mins[Surgery Start Date]=tbl_Case_mins[[#This Row],[Surgery Start Date]])*(tbl_Case_mins[Theatre]=tbl_Case_mins[[#This Row],[Theatre]])*(tbl_Case_mins[PmCase]=1)),1),1,0),0)</f>
        <v>0</v>
      </c>
      <c r="CU286">
        <f>IFERROR(#REF!,0)</f>
        <v>0</v>
      </c>
      <c r="CV286" s="9" t="e" cm="1">
        <f t="array" ref="CV28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6" s="9">
        <f>IFERROR(IF(ISBLANK(INDEX(Bay_AmClose,MATCH(1,INDEX((tbl_Case_mins[[#This Row],[Bay]]=BayNo)*(tbl_Case_mins[[#This Row],[Surgery Start Date]]=BDate),0,1),0))*1440),0,INDEX(Bay_AmClose,MATCH(1,INDEX((tbl_Case_mins[[#This Row],[Bay]]=BayNo)*(tbl_Case_mins[[#This Row],[Surgery Start Date]]=BDate),0,1),0))*1440),0)</f>
        <v>0</v>
      </c>
      <c r="CX286" s="9" cm="1">
        <f t="array" ref="CX286">IFERROR(IF(ISBLANK(INDEX(Bay_PmOpen,MATCH(1,INDEX((tbl_Case_mins[[#This Row],[Bay]]=BayNo)*(tbl_Case_mins[[#This Row],[Surgery Start Date]]=BDate),0,1),0))*1440),0,INDEX(Bay_PmOpen,MATCH(1,INDEX((tbl_Case_mins[[#This Row],[Bay]]=BayNo)*(tbl_Case_mins[[#This Row],[Surgery Start Date]]=BDate),0,1),0))*1440),0)</f>
        <v>0</v>
      </c>
      <c r="CY28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6" s="9"/>
    </row>
    <row r="287" spans="1:104" x14ac:dyDescent="0.2">
      <c r="A287">
        <v>286</v>
      </c>
      <c r="B287" t="e">
        <f>#REF!</f>
        <v>#REF!</v>
      </c>
      <c r="C287" t="e">
        <f>#REF!</f>
        <v>#REF!</v>
      </c>
      <c r="D287" t="e">
        <f>#REF!</f>
        <v>#REF!</v>
      </c>
      <c r="E287" t="e">
        <f>#REF!</f>
        <v>#REF!</v>
      </c>
      <c r="F287" t="e">
        <f>#REF!</f>
        <v>#REF!</v>
      </c>
      <c r="G287" t="e">
        <f>#REF!</f>
        <v>#REF!</v>
      </c>
      <c r="H287" t="e">
        <f>#REF!</f>
        <v>#REF!</v>
      </c>
      <c r="I287" t="e">
        <f>IF(#REF!="Case Cancelled",1,IF(#REF!="No Cases",2,0))</f>
        <v>#REF!</v>
      </c>
      <c r="J287" t="e">
        <f>#REF!</f>
        <v>#REF!</v>
      </c>
      <c r="K287" s="4" t="e">
        <f>#REF!</f>
        <v>#REF!</v>
      </c>
      <c r="L287" t="e">
        <f>"Wk "&amp;WEEKNUM(tbl_Case_mins[[#This Row],[Surgery Start Date]],21)</f>
        <v>#REF!</v>
      </c>
      <c r="M287" t="e">
        <f>TEXT(tbl_Case_mins[[#This Row],[Surgery Start Date]],"ddd")</f>
        <v>#REF!</v>
      </c>
      <c r="N287" s="9" t="e">
        <f>(#REF!-TIME(0,0,0))*1440</f>
        <v>#REF!</v>
      </c>
      <c r="O287" t="e">
        <f>IF(AND(ROUND((#REF!-TIME(0,0,0))*1440,0)&gt;0,ROUND((#REF!-TIME(0,0,0))*1440,0)&lt;tbl_Case_mins[[#This Row],[Patient Called]],tbl_Case_mins[[#This Row],[Surgery End Date]]&gt;tbl_Case_mins[[#This Row],[Surgery Start Date]]),ROUND((#REF!-TIME(0,0,0))*1440,0)+1440,ROUND((#REF!-TIME(0,0,0))*1440,0))</f>
        <v>#REF!</v>
      </c>
      <c r="P287" s="9" t="e">
        <f>IF(AND(ROUND((#REF!-TIME(0,0,0))*1440,0)&gt;0,ROUND((#REF!-TIME(0,0,0))*1440,0)&lt;tbl_Case_mins[[#This Row],[Arrival]],tbl_Case_mins[[#This Row],[Surgery End Date]]&gt;tbl_Case_mins[[#This Row],[Surgery Start Date]]),ROUND((#REF!-TIME(0,0,0))*1440,0)+1440,ROUND((#REF!-TIME(0,0,0))*1440,0))</f>
        <v>#REF!</v>
      </c>
      <c r="Q287" s="9" t="e">
        <f>IF(AND(ROUND((#REF!-TIME(0,0,0))*1440,0)&gt;0,ROUND((#REF!-TIME(0,0,0))*1440,0)&lt;tbl_Case_mins[[#This Row],[Into Th or AR]],tbl_Case_mins[[#This Row],[Surgery End Date]]&gt;tbl_Case_mins[[#This Row],[Surgery Start Date]]),ROUND((#REF!-TIME(0,0,0))*1440,0)+1440,ROUND((#REF!-TIME(0,0,0))*1440,0))</f>
        <v>#REF!</v>
      </c>
      <c r="R287" s="9" t="e">
        <f>IF(AND(ROUND((#REF!-TIME(0,0,0))*1440,0)&gt;0,ROUND((#REF!-TIME(0,0,0))*1440,0)&lt;tbl_Case_mins[[#This Row],[AnaesthStart]],tbl_Case_mins[[#This Row],[Surgery End Date]]&gt;tbl_Case_mins[[#This Row],[Surgery Start Date]]),ROUND((#REF!-TIME(0,0,0))*1440,0)+1440,ROUND((#REF!-TIME(0,0,0))*1440,0))</f>
        <v>#REF!</v>
      </c>
      <c r="S287" s="9" t="e">
        <f>IF(AND(ROUND((#REF!-TIME(0,0,0))*1440,0),ROUND((#REF!-TIME(0,0,0))*1440,0)&lt;tbl_Case_mins[[#This Row],[Surgery Start]],tbl_Case_mins[[#This Row],[Surgery End Date]]&gt;tbl_Case_mins[[#This Row],[Surgery Start Date]]),ROUND((#REF!-TIME(0,0,0))*1440,0)+1440,ROUND((#REF!-TIME(0,0,0))*1440,0))</f>
        <v>#REF!</v>
      </c>
      <c r="T287" s="9" t="e">
        <f>IF(AND(ROUND((#REF!-TIME(0,0,0))*1440,0)&gt;0,ROUND((#REF!-TIME(0,0,0))*1440,0)&lt;tbl_Case_mins[[#This Row],[Surgery Finish]],tbl_Case_mins[[#This Row],[Surgery End Date]]&gt;tbl_Case_mins[[#This Row],[Surgery Start Date]]),ROUND((#REF!-TIME(0,0,0))*1440,0)+1440,ROUND((#REF!-TIME(0,0,0))*1440,0))</f>
        <v>#REF!</v>
      </c>
      <c r="U287" s="9" t="e">
        <f>IF(AND(ROUND((#REF!-TIME(0,0,0))*1440,0)&gt;0,ROUND((#REF!-TIME(0,0,0))*1440,0)&lt;tbl_Case_mins[[#This Row],[Anaesth End]],tbl_Case_mins[[#This Row],[Surgery End Date]]&gt;tbl_Case_mins[[#This Row],[Surgery Start Date]]),ROUND((#REF!-TIME(0,0,0))*1440,0)+1440,ROUND((#REF!-TIME(0,0,0))*1440,0))</f>
        <v>#REF!</v>
      </c>
      <c r="V287" s="9" t="e">
        <f>IF(AND(ROUND((#REF!-TIME(0,0,0))*1440,0)&gt;0,ROUND((#REF!-TIME(0,0,0))*1440,0)&lt;tbl_Case_mins[[#This Row],[Into Recov]],tbl_Case_mins[[#This Row],[Surgery End Date]]&gt;tbl_Case_mins[[#This Row],[Surgery Start Date]]),ROUND((#REF!-TIME(0,0,0))*1440,0)+1440,ROUND((#REF!-TIME(0,0,0))*1440,0))</f>
        <v>#REF!</v>
      </c>
      <c r="W287" s="9" t="e">
        <f>IF(AND(ROUND((#REF!-TIME(0,0,0))*1440,0)&gt;0,ROUND((#REF!-TIME(0,0,0))*1440,0)&lt;tbl_Case_mins[[#This Row],[Ward Called]],tbl_Case_mins[[#This Row],[Surgery End Date]]&gt;tbl_Case_mins[[#This Row],[Surgery Start Date]]),ROUND((#REF!-TIME(0,0,0))*1440,0)+1440,ROUND((#REF!-TIME(0,0,0))*1440,0))</f>
        <v>#REF!</v>
      </c>
      <c r="X287" s="4" t="e">
        <f>IF(ISBLANK(#REF!),tbl_Case_mins[[#This Row],[Surgery Start Date]],#REF!)</f>
        <v>#REF!</v>
      </c>
      <c r="Y287">
        <f>IFERROR(IF(VLOOKUP(tbl_Case_mins[[#This Row],[Theatre]],'Mng Theatres'!$C$7:$G$12,3,FALSE)="Yes","Yes","No"),0)</f>
        <v>0</v>
      </c>
      <c r="Z287" s="9" t="e" cm="1">
        <f t="array" ref="Z28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7" s="9" t="e" cm="1">
        <f t="array" ref="AA28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7" s="9" t="e">
        <f>IF(tbl_Case_mins[[#This Row],[Case Type]]="Unsch",1,0)</f>
        <v>#REF!</v>
      </c>
      <c r="AD287" s="9" t="e">
        <f>IF(tbl_Case_mins[[#This Row],[Case Type]]="Sch",1,0)</f>
        <v>#REF!</v>
      </c>
      <c r="AE28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7" s="9">
        <f>IFERROR(IF(ISBLANK(INDEX(Am_Close,MATCH(1,INDEX((tbl_Case_mins[[#This Row],[Theatre]]=Theatre_No)*(tbl_Case_mins[[#This Row],[Surgery Start Date]]=Date),0,1),0))*1440),0,INDEX(Am_Close,MATCH(1,INDEX((tbl_Case_mins[[#This Row],[Theatre]]=Theatre_No)*(tbl_Case_mins[[#This Row],[Surgery Start Date]]=Date),0,1),0))*1440),0)</f>
        <v>0</v>
      </c>
      <c r="AG287" s="9">
        <f>IFERROR(IF(ISBLANK(INDEX(PM_Open,MATCH(1,INDEX((tbl_Case_mins[[#This Row],[Theatre]]=Theatre_No)*(tbl_Case_mins[[#This Row],[Surgery Start Date]]=Date),0,1),0))*1440),0,INDEX(PM_Open,MATCH(1,INDEX((tbl_Case_mins[[#This Row],[Theatre]]=Theatre_No)*(tbl_Case_mins[[#This Row],[Surgery Start Date]]=Date),0,1),0))*1440),0)</f>
        <v>0</v>
      </c>
      <c r="AH28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7" s="9" t="e">
        <f>IF(tbl_Case_mins[[#This Row],[ThOpenAm]]=0,tbl_Case_mins[[#This Row],[ThOpenPM]],tbl_Case_mins[[#This Row],[ThOpenAm]])</f>
        <v>#REF!</v>
      </c>
      <c r="AJ287" s="9" t="e">
        <f>IF(tbl_Case_mins[[#This Row],[ThCloseAm]]&gt;0,IF(tbl_Case_mins[[#This Row],[ThOpenPM]]&gt;0,tbl_Case_mins[[#This Row],[ThClosePm]],tbl_Case_mins[[#This Row],[ThCloseAm]]),tbl_Case_mins[[#This Row],[ThClosePm]])</f>
        <v>#REF!</v>
      </c>
      <c r="AK287" s="9" t="e">
        <f>IF(tbl_Case_mins[[#This Row],[TOT]]&gt;0,1,0)</f>
        <v>#REF!</v>
      </c>
      <c r="AL28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7" s="9" t="e">
        <f>IF(AND(tbl_Case_mins[[#This Row],[Surgery Status]]&lt;&gt;2,tbl_Case_mins[[#This Row],[InCoreCase]]=0,tbl_Case_mins[[#This Row],[CancelledCase]]=0),1,0)</f>
        <v>#REF!</v>
      </c>
      <c r="AN287" s="9" t="e">
        <f>IF(tbl_Case_mins[[#This Row],[Surgery Status]]=1,1,0)</f>
        <v>#REF!</v>
      </c>
      <c r="AO28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7" s="9" t="e">
        <f>IF(AND(tbl_Case_mins[[#This Row],[NonCoreCase]]=1,tbl_Case_mins[[#This Row],[NoInCoreTime]]=0),1,0)</f>
        <v>#REF!</v>
      </c>
      <c r="AQ287" s="9" t="e">
        <f>IF(tbl_Case_mins[[#This Row],[Rank_AnaEnd]]&lt;tbl_Case_mins[[#This Row],[Rank_AnaSt]],1,0)</f>
        <v>#REF!</v>
      </c>
      <c r="AR287" s="9" t="e">
        <f>IF(AND(tbl_Case_mins[[#This Row],[InCoreCase]]=1,tbl_Case_mins[[#This Row],[Sch]]=1),1,0)</f>
        <v>#REF!</v>
      </c>
      <c r="AS287" s="9" t="e">
        <f>IF(AND(tbl_Case_mins[[#This Row],[InCoreCase]]=1,tbl_Case_mins[[#This Row],[Unsch]]=1),1,0)</f>
        <v>#REF!</v>
      </c>
      <c r="AT28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7" s="9" t="e">
        <f>IF(tbl_Case_mins[[#This Row],[Surgery Status]]=0,(tbl_Case_mins[[#This Row],[Anaesth End]]-tbl_Case_mins[[#This Row],[AnaesthStart]]),0)</f>
        <v>#REF!</v>
      </c>
      <c r="AX287" s="9" t="e">
        <f>IF(tbl_Case_mins[[#This Row],[Surgery Status]]=0,(tbl_Case_mins[[#This Row],[Surgery Finish]]-tbl_Case_mins[[#This Row],[Surgery Start]]),0)</f>
        <v>#REF!</v>
      </c>
      <c r="AY287" s="9" t="e">
        <f>tbl_Case_mins[[#This Row],[Surgery Start]]-tbl_Case_mins[[#This Row],[AnaesthStart]]</f>
        <v>#REF!</v>
      </c>
      <c r="AZ287" s="9" t="e">
        <f>tbl_Case_mins[[#This Row],[Anaesth End]]-tbl_Case_mins[[#This Row],[Surgery Finish]]</f>
        <v>#REF!</v>
      </c>
      <c r="BA28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7" s="16" cm="1">
        <f t="array" ref="BC28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7" s="16" t="e">
        <f>IF(AND(tbl_Case_mins[[#This Row],[FirstAMCase]]=1,tbl_Case_mins[[#This Row],[CancelledCase]]=0,OR(tbl_Case_mins[[#This Row],[EarlyStartAM]]&gt;0,tbl_Case_mins[[#This Row],[AnaesthStart]]=tbl_Case_mins[[#This Row],[ThOpenAm]])),1,0)</f>
        <v>#REF!</v>
      </c>
      <c r="BE287" s="16" t="e">
        <f>IF(AND(tbl_Case_mins[[#This Row],[Rank_AnaSt]]=tbl_Case_mins[[#This Row],[Min_RankAnaSt]],tbl_Case_mins[[#This Row],[Anaesth End]]&gt;=tbl_Case_mins[[#This Row],[ThOpenAm]],tbl_Case_mins[[#This Row],[PmCase]]=0),1,0)</f>
        <v>#REF!</v>
      </c>
      <c r="BF28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7" s="9" t="e" cm="1">
        <f t="array" ref="BH28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7" s="9" t="e">
        <f>IF(AND(tbl_Case_mins[[#This Row],[ThOpenPM]]&gt;0,tbl_Case_mins[[#This Row],[AnaesthStart]]&gt;tbl_Case_mins[[#This Row],[ThOpenPM]],tbl_Case_mins[[#This Row],[First PM Case]]=1),tbl_Case_mins[[#This Row],[AnaesthStart]]-tbl_Case_mins[[#This Row],[ThOpenPM]],0)</f>
        <v>#REF!</v>
      </c>
      <c r="BL28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7" s="9" t="e" cm="1">
        <f t="array" ref="BN28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7" s="9" t="e">
        <f>IF(AND(tbl_Case_mins[[#This Row],[ThClosePm]]&gt;0,tbl_Case_mins[[#This Row],[Anaesth End]]&gt;tbl_Case_mins[[#This Row],[ThClosePm]],tbl_Case_mins[[#This Row],[AnaesthStart]]&gt;tbl_Case_mins[[#This Row],[ThClosePm]]),tbl_Case_mins[[#This Row],[Into Recov]]-tbl_Case_mins[[#This Row],[AnaesthStart]],0)</f>
        <v>#REF!</v>
      </c>
      <c r="BP287" s="9" t="e">
        <f>IF(AND(tbl_Case_mins[[#This Row],[AnaesthStart]]&lt;tbl_Case_mins[[#This Row],[ThClosePm]],tbl_Case_mins[[#This Row],[Anaesth End]]&gt;tbl_Case_mins[[#This Row],[ThClosePm]]),tbl_Case_mins[[#This Row],[Anaesth End]]-tbl_Case_mins[[#This Row],[ThClosePm]],0)</f>
        <v>#REF!</v>
      </c>
      <c r="BQ287" s="9" t="e" cm="1">
        <f t="array" ref="BQ28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7" s="9" t="e" cm="1">
        <f t="array" ref="BR287">IF(tbl_Case_mins[[#This Row],[Rank_Adjust]]=SUMPRODUCT(-(tbl_Case_mins[Surgery Start Date]=tbl_Case_mins[[#This Row],[Surgery Start Date]]),-(tbl_Case_mins[Theatre]=tbl_Case_mins[[#This Row],[Theatre]])),INDEX(Poss_Time,MATCH(TEXT(tbl_Case_mins[[#This Row],[Surgery Start Date]],"ddd"),Day,0)),0)</f>
        <v>#REF!</v>
      </c>
      <c r="BS287" s="9" t="e">
        <f>tbl_Case_mins[[#This Row],[Core_Time]]*Util_Goal</f>
        <v>#REF!</v>
      </c>
      <c r="BT287" s="9" t="e" cm="1">
        <f t="array" ref="BT2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7" s="9" t="e" cm="1">
        <f t="array" ref="BU2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7" s="9" t="e">
        <f>IF(tbl_Case_mins[[#This Row],[Surgery End Date]]&gt;tbl_Case_mins[[#This Row],[Surgery Start Date]],tbl_Case_mins[[#This Row],[Anaesth End]]-1440,0)</f>
        <v>#REF!</v>
      </c>
      <c r="BY287" s="9" t="e">
        <f>tbl_Case_mins[[#This Row],[Total_NonCore]]-tbl_Case_mins[[#This Row],[NextDay_NonCore]]</f>
        <v>#REF!</v>
      </c>
      <c r="BZ287" s="10" t="e">
        <f>tbl_Case_mins[[#This Row],[InCoreUse]]/60</f>
        <v>#REF!</v>
      </c>
      <c r="CA287" s="10" t="e">
        <f>tbl_Case_mins[[#This Row],[Total_NonCore]]/60</f>
        <v>#REF!</v>
      </c>
      <c r="CB287" t="e" cm="1">
        <f t="array" ref="CB2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7" s="9" t="e" cm="1">
        <f t="array" ref="CC28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7" s="9" t="e" cm="1">
        <f t="array" ref="CD2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7" s="9" t="e" cm="1">
        <f t="array" ref="CE28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7" s="9" cm="1">
        <f t="array" ref="CF287">IFERROR(_xlfn.AGGREGATE(14,6,(tbl_Case_mins[Rank_AnaEnd])/((tbl_Case_mins[Surgery Start Date]=tbl_Case_mins[[#This Row],[Surgery Start Date]])*(tbl_Case_mins[Theatre]=tbl_Case_mins[[#This Row],[Theatre]])*(tbl_Case_mins[NoInCoreTime]=0)),1),-1)</f>
        <v>-1</v>
      </c>
      <c r="CG287" s="9" cm="1">
        <f t="array" ref="CG287">IFERROR(_xlfn.AGGREGATE(15,6,(tbl_Case_mins[Rank_AnaSt])/((tbl_Case_mins[Surgery Start Date]=tbl_Case_mins[[#This Row],[Surgery Start Date]])*(tbl_Case_mins[Theatre]=tbl_Case_mins[[#This Row],[Theatre]])*(tbl_Case_mins[NoInCoreTime]=0)),1),-1)</f>
        <v>-1</v>
      </c>
      <c r="CH28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7" t="e" cm="1">
        <f t="array" ref="CJ28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7" s="9" cm="1">
        <f t="array" ref="CO2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7" s="9" cm="1">
        <f t="array" ref="CP2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7" s="9" cm="1">
        <f t="array" ref="CQ287">IFERROR(IF(AND(tbl_Case_mins[[#This Row],[FirstAMCase]]=0,tbl_Case_mins[[#This Row],[Rank]]=_xlfn.AGGREGATE(14,6,(tbl_Case_mins[Rank])/((tbl_Case_mins[Surgery Start Date]=tbl_Case_mins[[#This Row],[Surgery Start Date]])*(tbl_Case_mins[Theatre]=tbl_Case_mins[[#This Row],[Theatre]])*(tbl_Case_mins[AmCase]=1)),1)),1,0),0)</f>
        <v>0</v>
      </c>
      <c r="CR287" s="9" cm="1">
        <f t="array" ref="CR28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7" s="9" t="e" cm="1">
        <f t="array" ref="CS28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7" s="9" cm="1">
        <f t="array" ref="CT287">IFERROR(IF(tbl_Case_mins[[#This Row],[Rank]]=_xlfn.AGGREGATE(15,6,(tbl_Case_mins[Rank])/((tbl_Case_mins[Surgery Start Date]=tbl_Case_mins[[#This Row],[Surgery Start Date]])*(tbl_Case_mins[Theatre]=tbl_Case_mins[[#This Row],[Theatre]])*(tbl_Case_mins[PmCase]=1)),1),1,0),0)</f>
        <v>0</v>
      </c>
      <c r="CU287">
        <f>IFERROR(#REF!,0)</f>
        <v>0</v>
      </c>
      <c r="CV287" s="9" t="e" cm="1">
        <f t="array" ref="CV28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7" s="9">
        <f>IFERROR(IF(ISBLANK(INDEX(Bay_AmClose,MATCH(1,INDEX((tbl_Case_mins[[#This Row],[Bay]]=BayNo)*(tbl_Case_mins[[#This Row],[Surgery Start Date]]=BDate),0,1),0))*1440),0,INDEX(Bay_AmClose,MATCH(1,INDEX((tbl_Case_mins[[#This Row],[Bay]]=BayNo)*(tbl_Case_mins[[#This Row],[Surgery Start Date]]=BDate),0,1),0))*1440),0)</f>
        <v>0</v>
      </c>
      <c r="CX287" s="9" cm="1">
        <f t="array" ref="CX287">IFERROR(IF(ISBLANK(INDEX(Bay_PmOpen,MATCH(1,INDEX((tbl_Case_mins[[#This Row],[Bay]]=BayNo)*(tbl_Case_mins[[#This Row],[Surgery Start Date]]=BDate),0,1),0))*1440),0,INDEX(Bay_PmOpen,MATCH(1,INDEX((tbl_Case_mins[[#This Row],[Bay]]=BayNo)*(tbl_Case_mins[[#This Row],[Surgery Start Date]]=BDate),0,1),0))*1440),0)</f>
        <v>0</v>
      </c>
      <c r="CY28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7" s="9"/>
    </row>
    <row r="288" spans="1:104" x14ac:dyDescent="0.2">
      <c r="A288">
        <v>287</v>
      </c>
      <c r="B288" t="e">
        <f>#REF!</f>
        <v>#REF!</v>
      </c>
      <c r="C288" t="e">
        <f>#REF!</f>
        <v>#REF!</v>
      </c>
      <c r="D288" t="e">
        <f>#REF!</f>
        <v>#REF!</v>
      </c>
      <c r="E288" t="e">
        <f>#REF!</f>
        <v>#REF!</v>
      </c>
      <c r="F288" t="e">
        <f>#REF!</f>
        <v>#REF!</v>
      </c>
      <c r="G288" t="e">
        <f>#REF!</f>
        <v>#REF!</v>
      </c>
      <c r="H288" t="e">
        <f>#REF!</f>
        <v>#REF!</v>
      </c>
      <c r="I288" t="e">
        <f>IF(#REF!="Case Cancelled",1,IF(#REF!="No Cases",2,0))</f>
        <v>#REF!</v>
      </c>
      <c r="J288" t="e">
        <f>#REF!</f>
        <v>#REF!</v>
      </c>
      <c r="K288" s="4" t="e">
        <f>#REF!</f>
        <v>#REF!</v>
      </c>
      <c r="L288" t="e">
        <f>"Wk "&amp;WEEKNUM(tbl_Case_mins[[#This Row],[Surgery Start Date]],21)</f>
        <v>#REF!</v>
      </c>
      <c r="M288" t="e">
        <f>TEXT(tbl_Case_mins[[#This Row],[Surgery Start Date]],"ddd")</f>
        <v>#REF!</v>
      </c>
      <c r="N288" s="9" t="e">
        <f>(#REF!-TIME(0,0,0))*1440</f>
        <v>#REF!</v>
      </c>
      <c r="O288" t="e">
        <f>IF(AND(ROUND((#REF!-TIME(0,0,0))*1440,0)&gt;0,ROUND((#REF!-TIME(0,0,0))*1440,0)&lt;tbl_Case_mins[[#This Row],[Patient Called]],tbl_Case_mins[[#This Row],[Surgery End Date]]&gt;tbl_Case_mins[[#This Row],[Surgery Start Date]]),ROUND((#REF!-TIME(0,0,0))*1440,0)+1440,ROUND((#REF!-TIME(0,0,0))*1440,0))</f>
        <v>#REF!</v>
      </c>
      <c r="P288" s="9" t="e">
        <f>IF(AND(ROUND((#REF!-TIME(0,0,0))*1440,0)&gt;0,ROUND((#REF!-TIME(0,0,0))*1440,0)&lt;tbl_Case_mins[[#This Row],[Arrival]],tbl_Case_mins[[#This Row],[Surgery End Date]]&gt;tbl_Case_mins[[#This Row],[Surgery Start Date]]),ROUND((#REF!-TIME(0,0,0))*1440,0)+1440,ROUND((#REF!-TIME(0,0,0))*1440,0))</f>
        <v>#REF!</v>
      </c>
      <c r="Q288" s="9" t="e">
        <f>IF(AND(ROUND((#REF!-TIME(0,0,0))*1440,0)&gt;0,ROUND((#REF!-TIME(0,0,0))*1440,0)&lt;tbl_Case_mins[[#This Row],[Into Th or AR]],tbl_Case_mins[[#This Row],[Surgery End Date]]&gt;tbl_Case_mins[[#This Row],[Surgery Start Date]]),ROUND((#REF!-TIME(0,0,0))*1440,0)+1440,ROUND((#REF!-TIME(0,0,0))*1440,0))</f>
        <v>#REF!</v>
      </c>
      <c r="R288" s="9" t="e">
        <f>IF(AND(ROUND((#REF!-TIME(0,0,0))*1440,0)&gt;0,ROUND((#REF!-TIME(0,0,0))*1440,0)&lt;tbl_Case_mins[[#This Row],[AnaesthStart]],tbl_Case_mins[[#This Row],[Surgery End Date]]&gt;tbl_Case_mins[[#This Row],[Surgery Start Date]]),ROUND((#REF!-TIME(0,0,0))*1440,0)+1440,ROUND((#REF!-TIME(0,0,0))*1440,0))</f>
        <v>#REF!</v>
      </c>
      <c r="S288" s="9" t="e">
        <f>IF(AND(ROUND((#REF!-TIME(0,0,0))*1440,0),ROUND((#REF!-TIME(0,0,0))*1440,0)&lt;tbl_Case_mins[[#This Row],[Surgery Start]],tbl_Case_mins[[#This Row],[Surgery End Date]]&gt;tbl_Case_mins[[#This Row],[Surgery Start Date]]),ROUND((#REF!-TIME(0,0,0))*1440,0)+1440,ROUND((#REF!-TIME(0,0,0))*1440,0))</f>
        <v>#REF!</v>
      </c>
      <c r="T288" s="9" t="e">
        <f>IF(AND(ROUND((#REF!-TIME(0,0,0))*1440,0)&gt;0,ROUND((#REF!-TIME(0,0,0))*1440,0)&lt;tbl_Case_mins[[#This Row],[Surgery Finish]],tbl_Case_mins[[#This Row],[Surgery End Date]]&gt;tbl_Case_mins[[#This Row],[Surgery Start Date]]),ROUND((#REF!-TIME(0,0,0))*1440,0)+1440,ROUND((#REF!-TIME(0,0,0))*1440,0))</f>
        <v>#REF!</v>
      </c>
      <c r="U288" s="9" t="e">
        <f>IF(AND(ROUND((#REF!-TIME(0,0,0))*1440,0)&gt;0,ROUND((#REF!-TIME(0,0,0))*1440,0)&lt;tbl_Case_mins[[#This Row],[Anaesth End]],tbl_Case_mins[[#This Row],[Surgery End Date]]&gt;tbl_Case_mins[[#This Row],[Surgery Start Date]]),ROUND((#REF!-TIME(0,0,0))*1440,0)+1440,ROUND((#REF!-TIME(0,0,0))*1440,0))</f>
        <v>#REF!</v>
      </c>
      <c r="V288" s="9" t="e">
        <f>IF(AND(ROUND((#REF!-TIME(0,0,0))*1440,0)&gt;0,ROUND((#REF!-TIME(0,0,0))*1440,0)&lt;tbl_Case_mins[[#This Row],[Into Recov]],tbl_Case_mins[[#This Row],[Surgery End Date]]&gt;tbl_Case_mins[[#This Row],[Surgery Start Date]]),ROUND((#REF!-TIME(0,0,0))*1440,0)+1440,ROUND((#REF!-TIME(0,0,0))*1440,0))</f>
        <v>#REF!</v>
      </c>
      <c r="W288" s="9" t="e">
        <f>IF(AND(ROUND((#REF!-TIME(0,0,0))*1440,0)&gt;0,ROUND((#REF!-TIME(0,0,0))*1440,0)&lt;tbl_Case_mins[[#This Row],[Ward Called]],tbl_Case_mins[[#This Row],[Surgery End Date]]&gt;tbl_Case_mins[[#This Row],[Surgery Start Date]]),ROUND((#REF!-TIME(0,0,0))*1440,0)+1440,ROUND((#REF!-TIME(0,0,0))*1440,0))</f>
        <v>#REF!</v>
      </c>
      <c r="X288" s="4" t="e">
        <f>IF(ISBLANK(#REF!),tbl_Case_mins[[#This Row],[Surgery Start Date]],#REF!)</f>
        <v>#REF!</v>
      </c>
      <c r="Y288">
        <f>IFERROR(IF(VLOOKUP(tbl_Case_mins[[#This Row],[Theatre]],'Mng Theatres'!$C$7:$G$12,3,FALSE)="Yes","Yes","No"),0)</f>
        <v>0</v>
      </c>
      <c r="Z288" s="9" t="e" cm="1">
        <f t="array" ref="Z28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8" s="9" t="e" cm="1">
        <f t="array" ref="AA28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8" s="9" t="e">
        <f>IF(tbl_Case_mins[[#This Row],[Case Type]]="Unsch",1,0)</f>
        <v>#REF!</v>
      </c>
      <c r="AD288" s="9" t="e">
        <f>IF(tbl_Case_mins[[#This Row],[Case Type]]="Sch",1,0)</f>
        <v>#REF!</v>
      </c>
      <c r="AE28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8" s="9">
        <f>IFERROR(IF(ISBLANK(INDEX(Am_Close,MATCH(1,INDEX((tbl_Case_mins[[#This Row],[Theatre]]=Theatre_No)*(tbl_Case_mins[[#This Row],[Surgery Start Date]]=Date),0,1),0))*1440),0,INDEX(Am_Close,MATCH(1,INDEX((tbl_Case_mins[[#This Row],[Theatre]]=Theatre_No)*(tbl_Case_mins[[#This Row],[Surgery Start Date]]=Date),0,1),0))*1440),0)</f>
        <v>0</v>
      </c>
      <c r="AG288" s="9">
        <f>IFERROR(IF(ISBLANK(INDEX(PM_Open,MATCH(1,INDEX((tbl_Case_mins[[#This Row],[Theatre]]=Theatre_No)*(tbl_Case_mins[[#This Row],[Surgery Start Date]]=Date),0,1),0))*1440),0,INDEX(PM_Open,MATCH(1,INDEX((tbl_Case_mins[[#This Row],[Theatre]]=Theatre_No)*(tbl_Case_mins[[#This Row],[Surgery Start Date]]=Date),0,1),0))*1440),0)</f>
        <v>0</v>
      </c>
      <c r="AH28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8" s="9" t="e">
        <f>IF(tbl_Case_mins[[#This Row],[ThOpenAm]]=0,tbl_Case_mins[[#This Row],[ThOpenPM]],tbl_Case_mins[[#This Row],[ThOpenAm]])</f>
        <v>#REF!</v>
      </c>
      <c r="AJ288" s="9" t="e">
        <f>IF(tbl_Case_mins[[#This Row],[ThCloseAm]]&gt;0,IF(tbl_Case_mins[[#This Row],[ThOpenPM]]&gt;0,tbl_Case_mins[[#This Row],[ThClosePm]],tbl_Case_mins[[#This Row],[ThCloseAm]]),tbl_Case_mins[[#This Row],[ThClosePm]])</f>
        <v>#REF!</v>
      </c>
      <c r="AK288" s="9" t="e">
        <f>IF(tbl_Case_mins[[#This Row],[TOT]]&gt;0,1,0)</f>
        <v>#REF!</v>
      </c>
      <c r="AL28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8" s="9" t="e">
        <f>IF(AND(tbl_Case_mins[[#This Row],[Surgery Status]]&lt;&gt;2,tbl_Case_mins[[#This Row],[InCoreCase]]=0,tbl_Case_mins[[#This Row],[CancelledCase]]=0),1,0)</f>
        <v>#REF!</v>
      </c>
      <c r="AN288" s="9" t="e">
        <f>IF(tbl_Case_mins[[#This Row],[Surgery Status]]=1,1,0)</f>
        <v>#REF!</v>
      </c>
      <c r="AO28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8" s="9" t="e">
        <f>IF(AND(tbl_Case_mins[[#This Row],[NonCoreCase]]=1,tbl_Case_mins[[#This Row],[NoInCoreTime]]=0),1,0)</f>
        <v>#REF!</v>
      </c>
      <c r="AQ288" s="9" t="e">
        <f>IF(tbl_Case_mins[[#This Row],[Rank_AnaEnd]]&lt;tbl_Case_mins[[#This Row],[Rank_AnaSt]],1,0)</f>
        <v>#REF!</v>
      </c>
      <c r="AR288" s="9" t="e">
        <f>IF(AND(tbl_Case_mins[[#This Row],[InCoreCase]]=1,tbl_Case_mins[[#This Row],[Sch]]=1),1,0)</f>
        <v>#REF!</v>
      </c>
      <c r="AS288" s="9" t="e">
        <f>IF(AND(tbl_Case_mins[[#This Row],[InCoreCase]]=1,tbl_Case_mins[[#This Row],[Unsch]]=1),1,0)</f>
        <v>#REF!</v>
      </c>
      <c r="AT28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8" s="9" t="e">
        <f>IF(tbl_Case_mins[[#This Row],[Surgery Status]]=0,(tbl_Case_mins[[#This Row],[Anaesth End]]-tbl_Case_mins[[#This Row],[AnaesthStart]]),0)</f>
        <v>#REF!</v>
      </c>
      <c r="AX288" s="9" t="e">
        <f>IF(tbl_Case_mins[[#This Row],[Surgery Status]]=0,(tbl_Case_mins[[#This Row],[Surgery Finish]]-tbl_Case_mins[[#This Row],[Surgery Start]]),0)</f>
        <v>#REF!</v>
      </c>
      <c r="AY288" s="9" t="e">
        <f>tbl_Case_mins[[#This Row],[Surgery Start]]-tbl_Case_mins[[#This Row],[AnaesthStart]]</f>
        <v>#REF!</v>
      </c>
      <c r="AZ288" s="9" t="e">
        <f>tbl_Case_mins[[#This Row],[Anaesth End]]-tbl_Case_mins[[#This Row],[Surgery Finish]]</f>
        <v>#REF!</v>
      </c>
      <c r="BA28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8" s="16" cm="1">
        <f t="array" ref="BC28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8" s="16" t="e">
        <f>IF(AND(tbl_Case_mins[[#This Row],[FirstAMCase]]=1,tbl_Case_mins[[#This Row],[CancelledCase]]=0,OR(tbl_Case_mins[[#This Row],[EarlyStartAM]]&gt;0,tbl_Case_mins[[#This Row],[AnaesthStart]]=tbl_Case_mins[[#This Row],[ThOpenAm]])),1,0)</f>
        <v>#REF!</v>
      </c>
      <c r="BE288" s="16" t="e">
        <f>IF(AND(tbl_Case_mins[[#This Row],[Rank_AnaSt]]=tbl_Case_mins[[#This Row],[Min_RankAnaSt]],tbl_Case_mins[[#This Row],[Anaesth End]]&gt;=tbl_Case_mins[[#This Row],[ThOpenAm]],tbl_Case_mins[[#This Row],[PmCase]]=0),1,0)</f>
        <v>#REF!</v>
      </c>
      <c r="BF28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8" s="9" t="e" cm="1">
        <f t="array" ref="BH28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8" s="9" t="e">
        <f>IF(AND(tbl_Case_mins[[#This Row],[ThOpenPM]]&gt;0,tbl_Case_mins[[#This Row],[AnaesthStart]]&gt;tbl_Case_mins[[#This Row],[ThOpenPM]],tbl_Case_mins[[#This Row],[First PM Case]]=1),tbl_Case_mins[[#This Row],[AnaesthStart]]-tbl_Case_mins[[#This Row],[ThOpenPM]],0)</f>
        <v>#REF!</v>
      </c>
      <c r="BL28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8" s="9" t="e" cm="1">
        <f t="array" ref="BN28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8" s="9" t="e">
        <f>IF(AND(tbl_Case_mins[[#This Row],[ThClosePm]]&gt;0,tbl_Case_mins[[#This Row],[Anaesth End]]&gt;tbl_Case_mins[[#This Row],[ThClosePm]],tbl_Case_mins[[#This Row],[AnaesthStart]]&gt;tbl_Case_mins[[#This Row],[ThClosePm]]),tbl_Case_mins[[#This Row],[Into Recov]]-tbl_Case_mins[[#This Row],[AnaesthStart]],0)</f>
        <v>#REF!</v>
      </c>
      <c r="BP288" s="9" t="e">
        <f>IF(AND(tbl_Case_mins[[#This Row],[AnaesthStart]]&lt;tbl_Case_mins[[#This Row],[ThClosePm]],tbl_Case_mins[[#This Row],[Anaesth End]]&gt;tbl_Case_mins[[#This Row],[ThClosePm]]),tbl_Case_mins[[#This Row],[Anaesth End]]-tbl_Case_mins[[#This Row],[ThClosePm]],0)</f>
        <v>#REF!</v>
      </c>
      <c r="BQ288" s="9" t="e" cm="1">
        <f t="array" ref="BQ28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8" s="9" t="e" cm="1">
        <f t="array" ref="BR288">IF(tbl_Case_mins[[#This Row],[Rank_Adjust]]=SUMPRODUCT(-(tbl_Case_mins[Surgery Start Date]=tbl_Case_mins[[#This Row],[Surgery Start Date]]),-(tbl_Case_mins[Theatre]=tbl_Case_mins[[#This Row],[Theatre]])),INDEX(Poss_Time,MATCH(TEXT(tbl_Case_mins[[#This Row],[Surgery Start Date]],"ddd"),Day,0)),0)</f>
        <v>#REF!</v>
      </c>
      <c r="BS288" s="9" t="e">
        <f>tbl_Case_mins[[#This Row],[Core_Time]]*Util_Goal</f>
        <v>#REF!</v>
      </c>
      <c r="BT288" s="9" t="e" cm="1">
        <f t="array" ref="BT2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8" s="9" t="e" cm="1">
        <f t="array" ref="BU2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8" s="9" t="e">
        <f>IF(tbl_Case_mins[[#This Row],[Surgery End Date]]&gt;tbl_Case_mins[[#This Row],[Surgery Start Date]],tbl_Case_mins[[#This Row],[Anaesth End]]-1440,0)</f>
        <v>#REF!</v>
      </c>
      <c r="BY288" s="9" t="e">
        <f>tbl_Case_mins[[#This Row],[Total_NonCore]]-tbl_Case_mins[[#This Row],[NextDay_NonCore]]</f>
        <v>#REF!</v>
      </c>
      <c r="BZ288" s="10" t="e">
        <f>tbl_Case_mins[[#This Row],[InCoreUse]]/60</f>
        <v>#REF!</v>
      </c>
      <c r="CA288" s="10" t="e">
        <f>tbl_Case_mins[[#This Row],[Total_NonCore]]/60</f>
        <v>#REF!</v>
      </c>
      <c r="CB288" t="e" cm="1">
        <f t="array" ref="CB2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8" s="9" t="e" cm="1">
        <f t="array" ref="CC28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8" s="9" t="e" cm="1">
        <f t="array" ref="CD2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8" s="9" t="e" cm="1">
        <f t="array" ref="CE28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8" s="9" cm="1">
        <f t="array" ref="CF288">IFERROR(_xlfn.AGGREGATE(14,6,(tbl_Case_mins[Rank_AnaEnd])/((tbl_Case_mins[Surgery Start Date]=tbl_Case_mins[[#This Row],[Surgery Start Date]])*(tbl_Case_mins[Theatre]=tbl_Case_mins[[#This Row],[Theatre]])*(tbl_Case_mins[NoInCoreTime]=0)),1),-1)</f>
        <v>-1</v>
      </c>
      <c r="CG288" s="9" cm="1">
        <f t="array" ref="CG288">IFERROR(_xlfn.AGGREGATE(15,6,(tbl_Case_mins[Rank_AnaSt])/((tbl_Case_mins[Surgery Start Date]=tbl_Case_mins[[#This Row],[Surgery Start Date]])*(tbl_Case_mins[Theatre]=tbl_Case_mins[[#This Row],[Theatre]])*(tbl_Case_mins[NoInCoreTime]=0)),1),-1)</f>
        <v>-1</v>
      </c>
      <c r="CH28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8" t="e" cm="1">
        <f t="array" ref="CJ28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8" s="9" cm="1">
        <f t="array" ref="CO2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8" s="9" cm="1">
        <f t="array" ref="CP2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8" s="9" cm="1">
        <f t="array" ref="CQ288">IFERROR(IF(AND(tbl_Case_mins[[#This Row],[FirstAMCase]]=0,tbl_Case_mins[[#This Row],[Rank]]=_xlfn.AGGREGATE(14,6,(tbl_Case_mins[Rank])/((tbl_Case_mins[Surgery Start Date]=tbl_Case_mins[[#This Row],[Surgery Start Date]])*(tbl_Case_mins[Theatre]=tbl_Case_mins[[#This Row],[Theatre]])*(tbl_Case_mins[AmCase]=1)),1)),1,0),0)</f>
        <v>0</v>
      </c>
      <c r="CR288" s="9" cm="1">
        <f t="array" ref="CR28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8" s="9" t="e" cm="1">
        <f t="array" ref="CS28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8" s="9" cm="1">
        <f t="array" ref="CT288">IFERROR(IF(tbl_Case_mins[[#This Row],[Rank]]=_xlfn.AGGREGATE(15,6,(tbl_Case_mins[Rank])/((tbl_Case_mins[Surgery Start Date]=tbl_Case_mins[[#This Row],[Surgery Start Date]])*(tbl_Case_mins[Theatre]=tbl_Case_mins[[#This Row],[Theatre]])*(tbl_Case_mins[PmCase]=1)),1),1,0),0)</f>
        <v>0</v>
      </c>
      <c r="CU288">
        <f>IFERROR(#REF!,0)</f>
        <v>0</v>
      </c>
      <c r="CV288" s="9" t="e" cm="1">
        <f t="array" ref="CV28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8" s="9">
        <f>IFERROR(IF(ISBLANK(INDEX(Bay_AmClose,MATCH(1,INDEX((tbl_Case_mins[[#This Row],[Bay]]=BayNo)*(tbl_Case_mins[[#This Row],[Surgery Start Date]]=BDate),0,1),0))*1440),0,INDEX(Bay_AmClose,MATCH(1,INDEX((tbl_Case_mins[[#This Row],[Bay]]=BayNo)*(tbl_Case_mins[[#This Row],[Surgery Start Date]]=BDate),0,1),0))*1440),0)</f>
        <v>0</v>
      </c>
      <c r="CX288" s="9" cm="1">
        <f t="array" ref="CX288">IFERROR(IF(ISBLANK(INDEX(Bay_PmOpen,MATCH(1,INDEX((tbl_Case_mins[[#This Row],[Bay]]=BayNo)*(tbl_Case_mins[[#This Row],[Surgery Start Date]]=BDate),0,1),0))*1440),0,INDEX(Bay_PmOpen,MATCH(1,INDEX((tbl_Case_mins[[#This Row],[Bay]]=BayNo)*(tbl_Case_mins[[#This Row],[Surgery Start Date]]=BDate),0,1),0))*1440),0)</f>
        <v>0</v>
      </c>
      <c r="CY28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8" s="9"/>
    </row>
    <row r="289" spans="1:104" x14ac:dyDescent="0.2">
      <c r="A289">
        <v>288</v>
      </c>
      <c r="B289" t="e">
        <f>#REF!</f>
        <v>#REF!</v>
      </c>
      <c r="C289" t="e">
        <f>#REF!</f>
        <v>#REF!</v>
      </c>
      <c r="D289" t="e">
        <f>#REF!</f>
        <v>#REF!</v>
      </c>
      <c r="E289" t="e">
        <f>#REF!</f>
        <v>#REF!</v>
      </c>
      <c r="F289" t="e">
        <f>#REF!</f>
        <v>#REF!</v>
      </c>
      <c r="G289" t="e">
        <f>#REF!</f>
        <v>#REF!</v>
      </c>
      <c r="H289" t="e">
        <f>#REF!</f>
        <v>#REF!</v>
      </c>
      <c r="I289" t="e">
        <f>IF(#REF!="Case Cancelled",1,IF(#REF!="No Cases",2,0))</f>
        <v>#REF!</v>
      </c>
      <c r="J289" t="e">
        <f>#REF!</f>
        <v>#REF!</v>
      </c>
      <c r="K289" s="4" t="e">
        <f>#REF!</f>
        <v>#REF!</v>
      </c>
      <c r="L289" t="e">
        <f>"Wk "&amp;WEEKNUM(tbl_Case_mins[[#This Row],[Surgery Start Date]],21)</f>
        <v>#REF!</v>
      </c>
      <c r="M289" t="e">
        <f>TEXT(tbl_Case_mins[[#This Row],[Surgery Start Date]],"ddd")</f>
        <v>#REF!</v>
      </c>
      <c r="N289" s="9" t="e">
        <f>(#REF!-TIME(0,0,0))*1440</f>
        <v>#REF!</v>
      </c>
      <c r="O289" t="e">
        <f>IF(AND(ROUND((#REF!-TIME(0,0,0))*1440,0)&gt;0,ROUND((#REF!-TIME(0,0,0))*1440,0)&lt;tbl_Case_mins[[#This Row],[Patient Called]],tbl_Case_mins[[#This Row],[Surgery End Date]]&gt;tbl_Case_mins[[#This Row],[Surgery Start Date]]),ROUND((#REF!-TIME(0,0,0))*1440,0)+1440,ROUND((#REF!-TIME(0,0,0))*1440,0))</f>
        <v>#REF!</v>
      </c>
      <c r="P289" s="9" t="e">
        <f>IF(AND(ROUND((#REF!-TIME(0,0,0))*1440,0)&gt;0,ROUND((#REF!-TIME(0,0,0))*1440,0)&lt;tbl_Case_mins[[#This Row],[Arrival]],tbl_Case_mins[[#This Row],[Surgery End Date]]&gt;tbl_Case_mins[[#This Row],[Surgery Start Date]]),ROUND((#REF!-TIME(0,0,0))*1440,0)+1440,ROUND((#REF!-TIME(0,0,0))*1440,0))</f>
        <v>#REF!</v>
      </c>
      <c r="Q289" s="9" t="e">
        <f>IF(AND(ROUND((#REF!-TIME(0,0,0))*1440,0)&gt;0,ROUND((#REF!-TIME(0,0,0))*1440,0)&lt;tbl_Case_mins[[#This Row],[Into Th or AR]],tbl_Case_mins[[#This Row],[Surgery End Date]]&gt;tbl_Case_mins[[#This Row],[Surgery Start Date]]),ROUND((#REF!-TIME(0,0,0))*1440,0)+1440,ROUND((#REF!-TIME(0,0,0))*1440,0))</f>
        <v>#REF!</v>
      </c>
      <c r="R289" s="9" t="e">
        <f>IF(AND(ROUND((#REF!-TIME(0,0,0))*1440,0)&gt;0,ROUND((#REF!-TIME(0,0,0))*1440,0)&lt;tbl_Case_mins[[#This Row],[AnaesthStart]],tbl_Case_mins[[#This Row],[Surgery End Date]]&gt;tbl_Case_mins[[#This Row],[Surgery Start Date]]),ROUND((#REF!-TIME(0,0,0))*1440,0)+1440,ROUND((#REF!-TIME(0,0,0))*1440,0))</f>
        <v>#REF!</v>
      </c>
      <c r="S289" s="9" t="e">
        <f>IF(AND(ROUND((#REF!-TIME(0,0,0))*1440,0),ROUND((#REF!-TIME(0,0,0))*1440,0)&lt;tbl_Case_mins[[#This Row],[Surgery Start]],tbl_Case_mins[[#This Row],[Surgery End Date]]&gt;tbl_Case_mins[[#This Row],[Surgery Start Date]]),ROUND((#REF!-TIME(0,0,0))*1440,0)+1440,ROUND((#REF!-TIME(0,0,0))*1440,0))</f>
        <v>#REF!</v>
      </c>
      <c r="T289" s="9" t="e">
        <f>IF(AND(ROUND((#REF!-TIME(0,0,0))*1440,0)&gt;0,ROUND((#REF!-TIME(0,0,0))*1440,0)&lt;tbl_Case_mins[[#This Row],[Surgery Finish]],tbl_Case_mins[[#This Row],[Surgery End Date]]&gt;tbl_Case_mins[[#This Row],[Surgery Start Date]]),ROUND((#REF!-TIME(0,0,0))*1440,0)+1440,ROUND((#REF!-TIME(0,0,0))*1440,0))</f>
        <v>#REF!</v>
      </c>
      <c r="U289" s="9" t="e">
        <f>IF(AND(ROUND((#REF!-TIME(0,0,0))*1440,0)&gt;0,ROUND((#REF!-TIME(0,0,0))*1440,0)&lt;tbl_Case_mins[[#This Row],[Anaesth End]],tbl_Case_mins[[#This Row],[Surgery End Date]]&gt;tbl_Case_mins[[#This Row],[Surgery Start Date]]),ROUND((#REF!-TIME(0,0,0))*1440,0)+1440,ROUND((#REF!-TIME(0,0,0))*1440,0))</f>
        <v>#REF!</v>
      </c>
      <c r="V289" s="9" t="e">
        <f>IF(AND(ROUND((#REF!-TIME(0,0,0))*1440,0)&gt;0,ROUND((#REF!-TIME(0,0,0))*1440,0)&lt;tbl_Case_mins[[#This Row],[Into Recov]],tbl_Case_mins[[#This Row],[Surgery End Date]]&gt;tbl_Case_mins[[#This Row],[Surgery Start Date]]),ROUND((#REF!-TIME(0,0,0))*1440,0)+1440,ROUND((#REF!-TIME(0,0,0))*1440,0))</f>
        <v>#REF!</v>
      </c>
      <c r="W289" s="9" t="e">
        <f>IF(AND(ROUND((#REF!-TIME(0,0,0))*1440,0)&gt;0,ROUND((#REF!-TIME(0,0,0))*1440,0)&lt;tbl_Case_mins[[#This Row],[Ward Called]],tbl_Case_mins[[#This Row],[Surgery End Date]]&gt;tbl_Case_mins[[#This Row],[Surgery Start Date]]),ROUND((#REF!-TIME(0,0,0))*1440,0)+1440,ROUND((#REF!-TIME(0,0,0))*1440,0))</f>
        <v>#REF!</v>
      </c>
      <c r="X289" s="4" t="e">
        <f>IF(ISBLANK(#REF!),tbl_Case_mins[[#This Row],[Surgery Start Date]],#REF!)</f>
        <v>#REF!</v>
      </c>
      <c r="Y289">
        <f>IFERROR(IF(VLOOKUP(tbl_Case_mins[[#This Row],[Theatre]],'Mng Theatres'!$C$7:$G$12,3,FALSE)="Yes","Yes","No"),0)</f>
        <v>0</v>
      </c>
      <c r="Z289" s="9" t="e" cm="1">
        <f t="array" ref="Z28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89" s="9" t="e" cm="1">
        <f t="array" ref="AA28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8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89" s="9" t="e">
        <f>IF(tbl_Case_mins[[#This Row],[Case Type]]="Unsch",1,0)</f>
        <v>#REF!</v>
      </c>
      <c r="AD289" s="9" t="e">
        <f>IF(tbl_Case_mins[[#This Row],[Case Type]]="Sch",1,0)</f>
        <v>#REF!</v>
      </c>
      <c r="AE28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89" s="9">
        <f>IFERROR(IF(ISBLANK(INDEX(Am_Close,MATCH(1,INDEX((tbl_Case_mins[[#This Row],[Theatre]]=Theatre_No)*(tbl_Case_mins[[#This Row],[Surgery Start Date]]=Date),0,1),0))*1440),0,INDEX(Am_Close,MATCH(1,INDEX((tbl_Case_mins[[#This Row],[Theatre]]=Theatre_No)*(tbl_Case_mins[[#This Row],[Surgery Start Date]]=Date),0,1),0))*1440),0)</f>
        <v>0</v>
      </c>
      <c r="AG289" s="9">
        <f>IFERROR(IF(ISBLANK(INDEX(PM_Open,MATCH(1,INDEX((tbl_Case_mins[[#This Row],[Theatre]]=Theatre_No)*(tbl_Case_mins[[#This Row],[Surgery Start Date]]=Date),0,1),0))*1440),0,INDEX(PM_Open,MATCH(1,INDEX((tbl_Case_mins[[#This Row],[Theatre]]=Theatre_No)*(tbl_Case_mins[[#This Row],[Surgery Start Date]]=Date),0,1),0))*1440),0)</f>
        <v>0</v>
      </c>
      <c r="AH28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89" s="9" t="e">
        <f>IF(tbl_Case_mins[[#This Row],[ThOpenAm]]=0,tbl_Case_mins[[#This Row],[ThOpenPM]],tbl_Case_mins[[#This Row],[ThOpenAm]])</f>
        <v>#REF!</v>
      </c>
      <c r="AJ289" s="9" t="e">
        <f>IF(tbl_Case_mins[[#This Row],[ThCloseAm]]&gt;0,IF(tbl_Case_mins[[#This Row],[ThOpenPM]]&gt;0,tbl_Case_mins[[#This Row],[ThClosePm]],tbl_Case_mins[[#This Row],[ThCloseAm]]),tbl_Case_mins[[#This Row],[ThClosePm]])</f>
        <v>#REF!</v>
      </c>
      <c r="AK289" s="9" t="e">
        <f>IF(tbl_Case_mins[[#This Row],[TOT]]&gt;0,1,0)</f>
        <v>#REF!</v>
      </c>
      <c r="AL28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89" s="9" t="e">
        <f>IF(AND(tbl_Case_mins[[#This Row],[Surgery Status]]&lt;&gt;2,tbl_Case_mins[[#This Row],[InCoreCase]]=0,tbl_Case_mins[[#This Row],[CancelledCase]]=0),1,0)</f>
        <v>#REF!</v>
      </c>
      <c r="AN289" s="9" t="e">
        <f>IF(tbl_Case_mins[[#This Row],[Surgery Status]]=1,1,0)</f>
        <v>#REF!</v>
      </c>
      <c r="AO28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89" s="9" t="e">
        <f>IF(AND(tbl_Case_mins[[#This Row],[NonCoreCase]]=1,tbl_Case_mins[[#This Row],[NoInCoreTime]]=0),1,0)</f>
        <v>#REF!</v>
      </c>
      <c r="AQ289" s="9" t="e">
        <f>IF(tbl_Case_mins[[#This Row],[Rank_AnaEnd]]&lt;tbl_Case_mins[[#This Row],[Rank_AnaSt]],1,0)</f>
        <v>#REF!</v>
      </c>
      <c r="AR289" s="9" t="e">
        <f>IF(AND(tbl_Case_mins[[#This Row],[InCoreCase]]=1,tbl_Case_mins[[#This Row],[Sch]]=1),1,0)</f>
        <v>#REF!</v>
      </c>
      <c r="AS289" s="9" t="e">
        <f>IF(AND(tbl_Case_mins[[#This Row],[InCoreCase]]=1,tbl_Case_mins[[#This Row],[Unsch]]=1),1,0)</f>
        <v>#REF!</v>
      </c>
      <c r="AT28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8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8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89" s="9" t="e">
        <f>IF(tbl_Case_mins[[#This Row],[Surgery Status]]=0,(tbl_Case_mins[[#This Row],[Anaesth End]]-tbl_Case_mins[[#This Row],[AnaesthStart]]),0)</f>
        <v>#REF!</v>
      </c>
      <c r="AX289" s="9" t="e">
        <f>IF(tbl_Case_mins[[#This Row],[Surgery Status]]=0,(tbl_Case_mins[[#This Row],[Surgery Finish]]-tbl_Case_mins[[#This Row],[Surgery Start]]),0)</f>
        <v>#REF!</v>
      </c>
      <c r="AY289" s="9" t="e">
        <f>tbl_Case_mins[[#This Row],[Surgery Start]]-tbl_Case_mins[[#This Row],[AnaesthStart]]</f>
        <v>#REF!</v>
      </c>
      <c r="AZ289" s="9" t="e">
        <f>tbl_Case_mins[[#This Row],[Anaesth End]]-tbl_Case_mins[[#This Row],[Surgery Finish]]</f>
        <v>#REF!</v>
      </c>
      <c r="BA28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8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89" s="16" cm="1">
        <f t="array" ref="BC28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89" s="16" t="e">
        <f>IF(AND(tbl_Case_mins[[#This Row],[FirstAMCase]]=1,tbl_Case_mins[[#This Row],[CancelledCase]]=0,OR(tbl_Case_mins[[#This Row],[EarlyStartAM]]&gt;0,tbl_Case_mins[[#This Row],[AnaesthStart]]=tbl_Case_mins[[#This Row],[ThOpenAm]])),1,0)</f>
        <v>#REF!</v>
      </c>
      <c r="BE289" s="16" t="e">
        <f>IF(AND(tbl_Case_mins[[#This Row],[Rank_AnaSt]]=tbl_Case_mins[[#This Row],[Min_RankAnaSt]],tbl_Case_mins[[#This Row],[Anaesth End]]&gt;=tbl_Case_mins[[#This Row],[ThOpenAm]],tbl_Case_mins[[#This Row],[PmCase]]=0),1,0)</f>
        <v>#REF!</v>
      </c>
      <c r="BF28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8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89" s="9" t="e" cm="1">
        <f t="array" ref="BH28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8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8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89" s="9" t="e">
        <f>IF(AND(tbl_Case_mins[[#This Row],[ThOpenPM]]&gt;0,tbl_Case_mins[[#This Row],[AnaesthStart]]&gt;tbl_Case_mins[[#This Row],[ThOpenPM]],tbl_Case_mins[[#This Row],[First PM Case]]=1),tbl_Case_mins[[#This Row],[AnaesthStart]]-tbl_Case_mins[[#This Row],[ThOpenPM]],0)</f>
        <v>#REF!</v>
      </c>
      <c r="BL28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8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89" s="9" t="e" cm="1">
        <f t="array" ref="BN28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89" s="9" t="e">
        <f>IF(AND(tbl_Case_mins[[#This Row],[ThClosePm]]&gt;0,tbl_Case_mins[[#This Row],[Anaesth End]]&gt;tbl_Case_mins[[#This Row],[ThClosePm]],tbl_Case_mins[[#This Row],[AnaesthStart]]&gt;tbl_Case_mins[[#This Row],[ThClosePm]]),tbl_Case_mins[[#This Row],[Into Recov]]-tbl_Case_mins[[#This Row],[AnaesthStart]],0)</f>
        <v>#REF!</v>
      </c>
      <c r="BP289" s="9" t="e">
        <f>IF(AND(tbl_Case_mins[[#This Row],[AnaesthStart]]&lt;tbl_Case_mins[[#This Row],[ThClosePm]],tbl_Case_mins[[#This Row],[Anaesth End]]&gt;tbl_Case_mins[[#This Row],[ThClosePm]]),tbl_Case_mins[[#This Row],[Anaesth End]]-tbl_Case_mins[[#This Row],[ThClosePm]],0)</f>
        <v>#REF!</v>
      </c>
      <c r="BQ289" s="9" t="e" cm="1">
        <f t="array" ref="BQ28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89" s="9" t="e" cm="1">
        <f t="array" ref="BR289">IF(tbl_Case_mins[[#This Row],[Rank_Adjust]]=SUMPRODUCT(-(tbl_Case_mins[Surgery Start Date]=tbl_Case_mins[[#This Row],[Surgery Start Date]]),-(tbl_Case_mins[Theatre]=tbl_Case_mins[[#This Row],[Theatre]])),INDEX(Poss_Time,MATCH(TEXT(tbl_Case_mins[[#This Row],[Surgery Start Date]],"ddd"),Day,0)),0)</f>
        <v>#REF!</v>
      </c>
      <c r="BS289" s="9" t="e">
        <f>tbl_Case_mins[[#This Row],[Core_Time]]*Util_Goal</f>
        <v>#REF!</v>
      </c>
      <c r="BT289" s="9" t="e" cm="1">
        <f t="array" ref="BT2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89" s="9" t="e" cm="1">
        <f t="array" ref="BU2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8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8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89" s="9" t="e">
        <f>IF(tbl_Case_mins[[#This Row],[Surgery End Date]]&gt;tbl_Case_mins[[#This Row],[Surgery Start Date]],tbl_Case_mins[[#This Row],[Anaesth End]]-1440,0)</f>
        <v>#REF!</v>
      </c>
      <c r="BY289" s="9" t="e">
        <f>tbl_Case_mins[[#This Row],[Total_NonCore]]-tbl_Case_mins[[#This Row],[NextDay_NonCore]]</f>
        <v>#REF!</v>
      </c>
      <c r="BZ289" s="10" t="e">
        <f>tbl_Case_mins[[#This Row],[InCoreUse]]/60</f>
        <v>#REF!</v>
      </c>
      <c r="CA289" s="10" t="e">
        <f>tbl_Case_mins[[#This Row],[Total_NonCore]]/60</f>
        <v>#REF!</v>
      </c>
      <c r="CB289" t="e" cm="1">
        <f t="array" ref="CB2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89" s="9" t="e" cm="1">
        <f t="array" ref="CC28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89" s="9" t="e" cm="1">
        <f t="array" ref="CD2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89" s="9" t="e" cm="1">
        <f t="array" ref="CE28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89" s="9" cm="1">
        <f t="array" ref="CF289">IFERROR(_xlfn.AGGREGATE(14,6,(tbl_Case_mins[Rank_AnaEnd])/((tbl_Case_mins[Surgery Start Date]=tbl_Case_mins[[#This Row],[Surgery Start Date]])*(tbl_Case_mins[Theatre]=tbl_Case_mins[[#This Row],[Theatre]])*(tbl_Case_mins[NoInCoreTime]=0)),1),-1)</f>
        <v>-1</v>
      </c>
      <c r="CG289" s="9" cm="1">
        <f t="array" ref="CG289">IFERROR(_xlfn.AGGREGATE(15,6,(tbl_Case_mins[Rank_AnaSt])/((tbl_Case_mins[Surgery Start Date]=tbl_Case_mins[[#This Row],[Surgery Start Date]])*(tbl_Case_mins[Theatre]=tbl_Case_mins[[#This Row],[Theatre]])*(tbl_Case_mins[NoInCoreTime]=0)),1),-1)</f>
        <v>-1</v>
      </c>
      <c r="CH28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8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89" t="e" cm="1">
        <f t="array" ref="CJ28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8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8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89" s="9" cm="1">
        <f t="array" ref="CO2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89" s="9" cm="1">
        <f t="array" ref="CP2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89" s="9" cm="1">
        <f t="array" ref="CQ289">IFERROR(IF(AND(tbl_Case_mins[[#This Row],[FirstAMCase]]=0,tbl_Case_mins[[#This Row],[Rank]]=_xlfn.AGGREGATE(14,6,(tbl_Case_mins[Rank])/((tbl_Case_mins[Surgery Start Date]=tbl_Case_mins[[#This Row],[Surgery Start Date]])*(tbl_Case_mins[Theatre]=tbl_Case_mins[[#This Row],[Theatre]])*(tbl_Case_mins[AmCase]=1)),1)),1,0),0)</f>
        <v>0</v>
      </c>
      <c r="CR289" s="9" cm="1">
        <f t="array" ref="CR28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89" s="9" t="e" cm="1">
        <f t="array" ref="CS28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89" s="9" cm="1">
        <f t="array" ref="CT289">IFERROR(IF(tbl_Case_mins[[#This Row],[Rank]]=_xlfn.AGGREGATE(15,6,(tbl_Case_mins[Rank])/((tbl_Case_mins[Surgery Start Date]=tbl_Case_mins[[#This Row],[Surgery Start Date]])*(tbl_Case_mins[Theatre]=tbl_Case_mins[[#This Row],[Theatre]])*(tbl_Case_mins[PmCase]=1)),1),1,0),0)</f>
        <v>0</v>
      </c>
      <c r="CU289">
        <f>IFERROR(#REF!,0)</f>
        <v>0</v>
      </c>
      <c r="CV289" s="9" t="e" cm="1">
        <f t="array" ref="CV28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89" s="9">
        <f>IFERROR(IF(ISBLANK(INDEX(Bay_AmClose,MATCH(1,INDEX((tbl_Case_mins[[#This Row],[Bay]]=BayNo)*(tbl_Case_mins[[#This Row],[Surgery Start Date]]=BDate),0,1),0))*1440),0,INDEX(Bay_AmClose,MATCH(1,INDEX((tbl_Case_mins[[#This Row],[Bay]]=BayNo)*(tbl_Case_mins[[#This Row],[Surgery Start Date]]=BDate),0,1),0))*1440),0)</f>
        <v>0</v>
      </c>
      <c r="CX289" s="9" cm="1">
        <f t="array" ref="CX289">IFERROR(IF(ISBLANK(INDEX(Bay_PmOpen,MATCH(1,INDEX((tbl_Case_mins[[#This Row],[Bay]]=BayNo)*(tbl_Case_mins[[#This Row],[Surgery Start Date]]=BDate),0,1),0))*1440),0,INDEX(Bay_PmOpen,MATCH(1,INDEX((tbl_Case_mins[[#This Row],[Bay]]=BayNo)*(tbl_Case_mins[[#This Row],[Surgery Start Date]]=BDate),0,1),0))*1440),0)</f>
        <v>0</v>
      </c>
      <c r="CY28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89" s="9"/>
    </row>
    <row r="290" spans="1:104" x14ac:dyDescent="0.2">
      <c r="A290">
        <v>289</v>
      </c>
      <c r="B290" t="e">
        <f>#REF!</f>
        <v>#REF!</v>
      </c>
      <c r="C290" t="e">
        <f>#REF!</f>
        <v>#REF!</v>
      </c>
      <c r="D290" t="e">
        <f>#REF!</f>
        <v>#REF!</v>
      </c>
      <c r="E290" t="e">
        <f>#REF!</f>
        <v>#REF!</v>
      </c>
      <c r="F290" t="e">
        <f>#REF!</f>
        <v>#REF!</v>
      </c>
      <c r="G290" t="e">
        <f>#REF!</f>
        <v>#REF!</v>
      </c>
      <c r="H290" t="e">
        <f>#REF!</f>
        <v>#REF!</v>
      </c>
      <c r="I290" t="e">
        <f>IF(#REF!="Case Cancelled",1,IF(#REF!="No Cases",2,0))</f>
        <v>#REF!</v>
      </c>
      <c r="J290" t="e">
        <f>#REF!</f>
        <v>#REF!</v>
      </c>
      <c r="K290" s="4" t="e">
        <f>#REF!</f>
        <v>#REF!</v>
      </c>
      <c r="L290" t="e">
        <f>"Wk "&amp;WEEKNUM(tbl_Case_mins[[#This Row],[Surgery Start Date]],21)</f>
        <v>#REF!</v>
      </c>
      <c r="M290" t="e">
        <f>TEXT(tbl_Case_mins[[#This Row],[Surgery Start Date]],"ddd")</f>
        <v>#REF!</v>
      </c>
      <c r="N290" s="9" t="e">
        <f>(#REF!-TIME(0,0,0))*1440</f>
        <v>#REF!</v>
      </c>
      <c r="O290" t="e">
        <f>IF(AND(ROUND((#REF!-TIME(0,0,0))*1440,0)&gt;0,ROUND((#REF!-TIME(0,0,0))*1440,0)&lt;tbl_Case_mins[[#This Row],[Patient Called]],tbl_Case_mins[[#This Row],[Surgery End Date]]&gt;tbl_Case_mins[[#This Row],[Surgery Start Date]]),ROUND((#REF!-TIME(0,0,0))*1440,0)+1440,ROUND((#REF!-TIME(0,0,0))*1440,0))</f>
        <v>#REF!</v>
      </c>
      <c r="P290" s="9" t="e">
        <f>IF(AND(ROUND((#REF!-TIME(0,0,0))*1440,0)&gt;0,ROUND((#REF!-TIME(0,0,0))*1440,0)&lt;tbl_Case_mins[[#This Row],[Arrival]],tbl_Case_mins[[#This Row],[Surgery End Date]]&gt;tbl_Case_mins[[#This Row],[Surgery Start Date]]),ROUND((#REF!-TIME(0,0,0))*1440,0)+1440,ROUND((#REF!-TIME(0,0,0))*1440,0))</f>
        <v>#REF!</v>
      </c>
      <c r="Q290" s="9" t="e">
        <f>IF(AND(ROUND((#REF!-TIME(0,0,0))*1440,0)&gt;0,ROUND((#REF!-TIME(0,0,0))*1440,0)&lt;tbl_Case_mins[[#This Row],[Into Th or AR]],tbl_Case_mins[[#This Row],[Surgery End Date]]&gt;tbl_Case_mins[[#This Row],[Surgery Start Date]]),ROUND((#REF!-TIME(0,0,0))*1440,0)+1440,ROUND((#REF!-TIME(0,0,0))*1440,0))</f>
        <v>#REF!</v>
      </c>
      <c r="R290" s="9" t="e">
        <f>IF(AND(ROUND((#REF!-TIME(0,0,0))*1440,0)&gt;0,ROUND((#REF!-TIME(0,0,0))*1440,0)&lt;tbl_Case_mins[[#This Row],[AnaesthStart]],tbl_Case_mins[[#This Row],[Surgery End Date]]&gt;tbl_Case_mins[[#This Row],[Surgery Start Date]]),ROUND((#REF!-TIME(0,0,0))*1440,0)+1440,ROUND((#REF!-TIME(0,0,0))*1440,0))</f>
        <v>#REF!</v>
      </c>
      <c r="S290" s="9" t="e">
        <f>IF(AND(ROUND((#REF!-TIME(0,0,0))*1440,0),ROUND((#REF!-TIME(0,0,0))*1440,0)&lt;tbl_Case_mins[[#This Row],[Surgery Start]],tbl_Case_mins[[#This Row],[Surgery End Date]]&gt;tbl_Case_mins[[#This Row],[Surgery Start Date]]),ROUND((#REF!-TIME(0,0,0))*1440,0)+1440,ROUND((#REF!-TIME(0,0,0))*1440,0))</f>
        <v>#REF!</v>
      </c>
      <c r="T290" s="9" t="e">
        <f>IF(AND(ROUND((#REF!-TIME(0,0,0))*1440,0)&gt;0,ROUND((#REF!-TIME(0,0,0))*1440,0)&lt;tbl_Case_mins[[#This Row],[Surgery Finish]],tbl_Case_mins[[#This Row],[Surgery End Date]]&gt;tbl_Case_mins[[#This Row],[Surgery Start Date]]),ROUND((#REF!-TIME(0,0,0))*1440,0)+1440,ROUND((#REF!-TIME(0,0,0))*1440,0))</f>
        <v>#REF!</v>
      </c>
      <c r="U290" s="9" t="e">
        <f>IF(AND(ROUND((#REF!-TIME(0,0,0))*1440,0)&gt;0,ROUND((#REF!-TIME(0,0,0))*1440,0)&lt;tbl_Case_mins[[#This Row],[Anaesth End]],tbl_Case_mins[[#This Row],[Surgery End Date]]&gt;tbl_Case_mins[[#This Row],[Surgery Start Date]]),ROUND((#REF!-TIME(0,0,0))*1440,0)+1440,ROUND((#REF!-TIME(0,0,0))*1440,0))</f>
        <v>#REF!</v>
      </c>
      <c r="V290" s="9" t="e">
        <f>IF(AND(ROUND((#REF!-TIME(0,0,0))*1440,0)&gt;0,ROUND((#REF!-TIME(0,0,0))*1440,0)&lt;tbl_Case_mins[[#This Row],[Into Recov]],tbl_Case_mins[[#This Row],[Surgery End Date]]&gt;tbl_Case_mins[[#This Row],[Surgery Start Date]]),ROUND((#REF!-TIME(0,0,0))*1440,0)+1440,ROUND((#REF!-TIME(0,0,0))*1440,0))</f>
        <v>#REF!</v>
      </c>
      <c r="W290" s="9" t="e">
        <f>IF(AND(ROUND((#REF!-TIME(0,0,0))*1440,0)&gt;0,ROUND((#REF!-TIME(0,0,0))*1440,0)&lt;tbl_Case_mins[[#This Row],[Ward Called]],tbl_Case_mins[[#This Row],[Surgery End Date]]&gt;tbl_Case_mins[[#This Row],[Surgery Start Date]]),ROUND((#REF!-TIME(0,0,0))*1440,0)+1440,ROUND((#REF!-TIME(0,0,0))*1440,0))</f>
        <v>#REF!</v>
      </c>
      <c r="X290" s="4" t="e">
        <f>IF(ISBLANK(#REF!),tbl_Case_mins[[#This Row],[Surgery Start Date]],#REF!)</f>
        <v>#REF!</v>
      </c>
      <c r="Y290">
        <f>IFERROR(IF(VLOOKUP(tbl_Case_mins[[#This Row],[Theatre]],'Mng Theatres'!$C$7:$G$12,3,FALSE)="Yes","Yes","No"),0)</f>
        <v>0</v>
      </c>
      <c r="Z290" s="9" t="e" cm="1">
        <f t="array" ref="Z29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0" s="9" t="e" cm="1">
        <f t="array" ref="AA29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0" s="9" t="e">
        <f>IF(tbl_Case_mins[[#This Row],[Case Type]]="Unsch",1,0)</f>
        <v>#REF!</v>
      </c>
      <c r="AD290" s="9" t="e">
        <f>IF(tbl_Case_mins[[#This Row],[Case Type]]="Sch",1,0)</f>
        <v>#REF!</v>
      </c>
      <c r="AE29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0" s="9">
        <f>IFERROR(IF(ISBLANK(INDEX(Am_Close,MATCH(1,INDEX((tbl_Case_mins[[#This Row],[Theatre]]=Theatre_No)*(tbl_Case_mins[[#This Row],[Surgery Start Date]]=Date),0,1),0))*1440),0,INDEX(Am_Close,MATCH(1,INDEX((tbl_Case_mins[[#This Row],[Theatre]]=Theatre_No)*(tbl_Case_mins[[#This Row],[Surgery Start Date]]=Date),0,1),0))*1440),0)</f>
        <v>0</v>
      </c>
      <c r="AG290" s="9">
        <f>IFERROR(IF(ISBLANK(INDEX(PM_Open,MATCH(1,INDEX((tbl_Case_mins[[#This Row],[Theatre]]=Theatre_No)*(tbl_Case_mins[[#This Row],[Surgery Start Date]]=Date),0,1),0))*1440),0,INDEX(PM_Open,MATCH(1,INDEX((tbl_Case_mins[[#This Row],[Theatre]]=Theatre_No)*(tbl_Case_mins[[#This Row],[Surgery Start Date]]=Date),0,1),0))*1440),0)</f>
        <v>0</v>
      </c>
      <c r="AH29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0" s="9" t="e">
        <f>IF(tbl_Case_mins[[#This Row],[ThOpenAm]]=0,tbl_Case_mins[[#This Row],[ThOpenPM]],tbl_Case_mins[[#This Row],[ThOpenAm]])</f>
        <v>#REF!</v>
      </c>
      <c r="AJ290" s="9" t="e">
        <f>IF(tbl_Case_mins[[#This Row],[ThCloseAm]]&gt;0,IF(tbl_Case_mins[[#This Row],[ThOpenPM]]&gt;0,tbl_Case_mins[[#This Row],[ThClosePm]],tbl_Case_mins[[#This Row],[ThCloseAm]]),tbl_Case_mins[[#This Row],[ThClosePm]])</f>
        <v>#REF!</v>
      </c>
      <c r="AK290" s="9" t="e">
        <f>IF(tbl_Case_mins[[#This Row],[TOT]]&gt;0,1,0)</f>
        <v>#REF!</v>
      </c>
      <c r="AL29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0" s="9" t="e">
        <f>IF(AND(tbl_Case_mins[[#This Row],[Surgery Status]]&lt;&gt;2,tbl_Case_mins[[#This Row],[InCoreCase]]=0,tbl_Case_mins[[#This Row],[CancelledCase]]=0),1,0)</f>
        <v>#REF!</v>
      </c>
      <c r="AN290" s="9" t="e">
        <f>IF(tbl_Case_mins[[#This Row],[Surgery Status]]=1,1,0)</f>
        <v>#REF!</v>
      </c>
      <c r="AO29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0" s="9" t="e">
        <f>IF(AND(tbl_Case_mins[[#This Row],[NonCoreCase]]=1,tbl_Case_mins[[#This Row],[NoInCoreTime]]=0),1,0)</f>
        <v>#REF!</v>
      </c>
      <c r="AQ290" s="9" t="e">
        <f>IF(tbl_Case_mins[[#This Row],[Rank_AnaEnd]]&lt;tbl_Case_mins[[#This Row],[Rank_AnaSt]],1,0)</f>
        <v>#REF!</v>
      </c>
      <c r="AR290" s="9" t="e">
        <f>IF(AND(tbl_Case_mins[[#This Row],[InCoreCase]]=1,tbl_Case_mins[[#This Row],[Sch]]=1),1,0)</f>
        <v>#REF!</v>
      </c>
      <c r="AS290" s="9" t="e">
        <f>IF(AND(tbl_Case_mins[[#This Row],[InCoreCase]]=1,tbl_Case_mins[[#This Row],[Unsch]]=1),1,0)</f>
        <v>#REF!</v>
      </c>
      <c r="AT29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0" s="9" t="e">
        <f>IF(tbl_Case_mins[[#This Row],[Surgery Status]]=0,(tbl_Case_mins[[#This Row],[Anaesth End]]-tbl_Case_mins[[#This Row],[AnaesthStart]]),0)</f>
        <v>#REF!</v>
      </c>
      <c r="AX290" s="9" t="e">
        <f>IF(tbl_Case_mins[[#This Row],[Surgery Status]]=0,(tbl_Case_mins[[#This Row],[Surgery Finish]]-tbl_Case_mins[[#This Row],[Surgery Start]]),0)</f>
        <v>#REF!</v>
      </c>
      <c r="AY290" s="9" t="e">
        <f>tbl_Case_mins[[#This Row],[Surgery Start]]-tbl_Case_mins[[#This Row],[AnaesthStart]]</f>
        <v>#REF!</v>
      </c>
      <c r="AZ290" s="9" t="e">
        <f>tbl_Case_mins[[#This Row],[Anaesth End]]-tbl_Case_mins[[#This Row],[Surgery Finish]]</f>
        <v>#REF!</v>
      </c>
      <c r="BA29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0" s="16" cm="1">
        <f t="array" ref="BC29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0" s="16" t="e">
        <f>IF(AND(tbl_Case_mins[[#This Row],[FirstAMCase]]=1,tbl_Case_mins[[#This Row],[CancelledCase]]=0,OR(tbl_Case_mins[[#This Row],[EarlyStartAM]]&gt;0,tbl_Case_mins[[#This Row],[AnaesthStart]]=tbl_Case_mins[[#This Row],[ThOpenAm]])),1,0)</f>
        <v>#REF!</v>
      </c>
      <c r="BE290" s="16" t="e">
        <f>IF(AND(tbl_Case_mins[[#This Row],[Rank_AnaSt]]=tbl_Case_mins[[#This Row],[Min_RankAnaSt]],tbl_Case_mins[[#This Row],[Anaesth End]]&gt;=tbl_Case_mins[[#This Row],[ThOpenAm]],tbl_Case_mins[[#This Row],[PmCase]]=0),1,0)</f>
        <v>#REF!</v>
      </c>
      <c r="BF29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0" s="9" t="e" cm="1">
        <f t="array" ref="BH29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0" s="9" t="e">
        <f>IF(AND(tbl_Case_mins[[#This Row],[ThOpenPM]]&gt;0,tbl_Case_mins[[#This Row],[AnaesthStart]]&gt;tbl_Case_mins[[#This Row],[ThOpenPM]],tbl_Case_mins[[#This Row],[First PM Case]]=1),tbl_Case_mins[[#This Row],[AnaesthStart]]-tbl_Case_mins[[#This Row],[ThOpenPM]],0)</f>
        <v>#REF!</v>
      </c>
      <c r="BL29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0" s="9" t="e" cm="1">
        <f t="array" ref="BN29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0" s="9" t="e">
        <f>IF(AND(tbl_Case_mins[[#This Row],[ThClosePm]]&gt;0,tbl_Case_mins[[#This Row],[Anaesth End]]&gt;tbl_Case_mins[[#This Row],[ThClosePm]],tbl_Case_mins[[#This Row],[AnaesthStart]]&gt;tbl_Case_mins[[#This Row],[ThClosePm]]),tbl_Case_mins[[#This Row],[Into Recov]]-tbl_Case_mins[[#This Row],[AnaesthStart]],0)</f>
        <v>#REF!</v>
      </c>
      <c r="BP290" s="9" t="e">
        <f>IF(AND(tbl_Case_mins[[#This Row],[AnaesthStart]]&lt;tbl_Case_mins[[#This Row],[ThClosePm]],tbl_Case_mins[[#This Row],[Anaesth End]]&gt;tbl_Case_mins[[#This Row],[ThClosePm]]),tbl_Case_mins[[#This Row],[Anaesth End]]-tbl_Case_mins[[#This Row],[ThClosePm]],0)</f>
        <v>#REF!</v>
      </c>
      <c r="BQ290" s="9" t="e" cm="1">
        <f t="array" ref="BQ29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0" s="9" t="e" cm="1">
        <f t="array" ref="BR290">IF(tbl_Case_mins[[#This Row],[Rank_Adjust]]=SUMPRODUCT(-(tbl_Case_mins[Surgery Start Date]=tbl_Case_mins[[#This Row],[Surgery Start Date]]),-(tbl_Case_mins[Theatre]=tbl_Case_mins[[#This Row],[Theatre]])),INDEX(Poss_Time,MATCH(TEXT(tbl_Case_mins[[#This Row],[Surgery Start Date]],"ddd"),Day,0)),0)</f>
        <v>#REF!</v>
      </c>
      <c r="BS290" s="9" t="e">
        <f>tbl_Case_mins[[#This Row],[Core_Time]]*Util_Goal</f>
        <v>#REF!</v>
      </c>
      <c r="BT290" s="9" t="e" cm="1">
        <f t="array" ref="BT2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0" s="9" t="e" cm="1">
        <f t="array" ref="BU2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0" s="9" t="e">
        <f>IF(tbl_Case_mins[[#This Row],[Surgery End Date]]&gt;tbl_Case_mins[[#This Row],[Surgery Start Date]],tbl_Case_mins[[#This Row],[Anaesth End]]-1440,0)</f>
        <v>#REF!</v>
      </c>
      <c r="BY290" s="9" t="e">
        <f>tbl_Case_mins[[#This Row],[Total_NonCore]]-tbl_Case_mins[[#This Row],[NextDay_NonCore]]</f>
        <v>#REF!</v>
      </c>
      <c r="BZ290" s="10" t="e">
        <f>tbl_Case_mins[[#This Row],[InCoreUse]]/60</f>
        <v>#REF!</v>
      </c>
      <c r="CA290" s="10" t="e">
        <f>tbl_Case_mins[[#This Row],[Total_NonCore]]/60</f>
        <v>#REF!</v>
      </c>
      <c r="CB290" t="e" cm="1">
        <f t="array" ref="CB2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0" s="9" t="e" cm="1">
        <f t="array" ref="CC29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0" s="9" t="e" cm="1">
        <f t="array" ref="CD2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0" s="9" t="e" cm="1">
        <f t="array" ref="CE29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0" s="9" cm="1">
        <f t="array" ref="CF290">IFERROR(_xlfn.AGGREGATE(14,6,(tbl_Case_mins[Rank_AnaEnd])/((tbl_Case_mins[Surgery Start Date]=tbl_Case_mins[[#This Row],[Surgery Start Date]])*(tbl_Case_mins[Theatre]=tbl_Case_mins[[#This Row],[Theatre]])*(tbl_Case_mins[NoInCoreTime]=0)),1),-1)</f>
        <v>-1</v>
      </c>
      <c r="CG290" s="9" cm="1">
        <f t="array" ref="CG290">IFERROR(_xlfn.AGGREGATE(15,6,(tbl_Case_mins[Rank_AnaSt])/((tbl_Case_mins[Surgery Start Date]=tbl_Case_mins[[#This Row],[Surgery Start Date]])*(tbl_Case_mins[Theatre]=tbl_Case_mins[[#This Row],[Theatre]])*(tbl_Case_mins[NoInCoreTime]=0)),1),-1)</f>
        <v>-1</v>
      </c>
      <c r="CH29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0" t="e" cm="1">
        <f t="array" ref="CJ29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0" s="9" cm="1">
        <f t="array" ref="CO2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0" s="9" cm="1">
        <f t="array" ref="CP2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0" s="9" cm="1">
        <f t="array" ref="CQ290">IFERROR(IF(AND(tbl_Case_mins[[#This Row],[FirstAMCase]]=0,tbl_Case_mins[[#This Row],[Rank]]=_xlfn.AGGREGATE(14,6,(tbl_Case_mins[Rank])/((tbl_Case_mins[Surgery Start Date]=tbl_Case_mins[[#This Row],[Surgery Start Date]])*(tbl_Case_mins[Theatre]=tbl_Case_mins[[#This Row],[Theatre]])*(tbl_Case_mins[AmCase]=1)),1)),1,0),0)</f>
        <v>0</v>
      </c>
      <c r="CR290" s="9" cm="1">
        <f t="array" ref="CR29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0" s="9" t="e" cm="1">
        <f t="array" ref="CS29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0" s="9" cm="1">
        <f t="array" ref="CT290">IFERROR(IF(tbl_Case_mins[[#This Row],[Rank]]=_xlfn.AGGREGATE(15,6,(tbl_Case_mins[Rank])/((tbl_Case_mins[Surgery Start Date]=tbl_Case_mins[[#This Row],[Surgery Start Date]])*(tbl_Case_mins[Theatre]=tbl_Case_mins[[#This Row],[Theatre]])*(tbl_Case_mins[PmCase]=1)),1),1,0),0)</f>
        <v>0</v>
      </c>
      <c r="CU290">
        <f>IFERROR(#REF!,0)</f>
        <v>0</v>
      </c>
      <c r="CV290" s="9" t="e" cm="1">
        <f t="array" ref="CV29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0" s="9">
        <f>IFERROR(IF(ISBLANK(INDEX(Bay_AmClose,MATCH(1,INDEX((tbl_Case_mins[[#This Row],[Bay]]=BayNo)*(tbl_Case_mins[[#This Row],[Surgery Start Date]]=BDate),0,1),0))*1440),0,INDEX(Bay_AmClose,MATCH(1,INDEX((tbl_Case_mins[[#This Row],[Bay]]=BayNo)*(tbl_Case_mins[[#This Row],[Surgery Start Date]]=BDate),0,1),0))*1440),0)</f>
        <v>0</v>
      </c>
      <c r="CX290" s="9" cm="1">
        <f t="array" ref="CX290">IFERROR(IF(ISBLANK(INDEX(Bay_PmOpen,MATCH(1,INDEX((tbl_Case_mins[[#This Row],[Bay]]=BayNo)*(tbl_Case_mins[[#This Row],[Surgery Start Date]]=BDate),0,1),0))*1440),0,INDEX(Bay_PmOpen,MATCH(1,INDEX((tbl_Case_mins[[#This Row],[Bay]]=BayNo)*(tbl_Case_mins[[#This Row],[Surgery Start Date]]=BDate),0,1),0))*1440),0)</f>
        <v>0</v>
      </c>
      <c r="CY29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0" s="9"/>
    </row>
    <row r="291" spans="1:104" x14ac:dyDescent="0.2">
      <c r="A291">
        <v>290</v>
      </c>
      <c r="B291" t="e">
        <f>#REF!</f>
        <v>#REF!</v>
      </c>
      <c r="C291" t="e">
        <f>#REF!</f>
        <v>#REF!</v>
      </c>
      <c r="D291" t="e">
        <f>#REF!</f>
        <v>#REF!</v>
      </c>
      <c r="E291" t="e">
        <f>#REF!</f>
        <v>#REF!</v>
      </c>
      <c r="F291" t="e">
        <f>#REF!</f>
        <v>#REF!</v>
      </c>
      <c r="G291" t="e">
        <f>#REF!</f>
        <v>#REF!</v>
      </c>
      <c r="H291" t="e">
        <f>#REF!</f>
        <v>#REF!</v>
      </c>
      <c r="I291" t="e">
        <f>IF(#REF!="Case Cancelled",1,IF(#REF!="No Cases",2,0))</f>
        <v>#REF!</v>
      </c>
      <c r="J291" t="e">
        <f>#REF!</f>
        <v>#REF!</v>
      </c>
      <c r="K291" s="4" t="e">
        <f>#REF!</f>
        <v>#REF!</v>
      </c>
      <c r="L291" t="e">
        <f>"Wk "&amp;WEEKNUM(tbl_Case_mins[[#This Row],[Surgery Start Date]],21)</f>
        <v>#REF!</v>
      </c>
      <c r="M291" t="e">
        <f>TEXT(tbl_Case_mins[[#This Row],[Surgery Start Date]],"ddd")</f>
        <v>#REF!</v>
      </c>
      <c r="N291" s="9" t="e">
        <f>(#REF!-TIME(0,0,0))*1440</f>
        <v>#REF!</v>
      </c>
      <c r="O291" t="e">
        <f>IF(AND(ROUND((#REF!-TIME(0,0,0))*1440,0)&gt;0,ROUND((#REF!-TIME(0,0,0))*1440,0)&lt;tbl_Case_mins[[#This Row],[Patient Called]],tbl_Case_mins[[#This Row],[Surgery End Date]]&gt;tbl_Case_mins[[#This Row],[Surgery Start Date]]),ROUND((#REF!-TIME(0,0,0))*1440,0)+1440,ROUND((#REF!-TIME(0,0,0))*1440,0))</f>
        <v>#REF!</v>
      </c>
      <c r="P291" s="9" t="e">
        <f>IF(AND(ROUND((#REF!-TIME(0,0,0))*1440,0)&gt;0,ROUND((#REF!-TIME(0,0,0))*1440,0)&lt;tbl_Case_mins[[#This Row],[Arrival]],tbl_Case_mins[[#This Row],[Surgery End Date]]&gt;tbl_Case_mins[[#This Row],[Surgery Start Date]]),ROUND((#REF!-TIME(0,0,0))*1440,0)+1440,ROUND((#REF!-TIME(0,0,0))*1440,0))</f>
        <v>#REF!</v>
      </c>
      <c r="Q291" s="9" t="e">
        <f>IF(AND(ROUND((#REF!-TIME(0,0,0))*1440,0)&gt;0,ROUND((#REF!-TIME(0,0,0))*1440,0)&lt;tbl_Case_mins[[#This Row],[Into Th or AR]],tbl_Case_mins[[#This Row],[Surgery End Date]]&gt;tbl_Case_mins[[#This Row],[Surgery Start Date]]),ROUND((#REF!-TIME(0,0,0))*1440,0)+1440,ROUND((#REF!-TIME(0,0,0))*1440,0))</f>
        <v>#REF!</v>
      </c>
      <c r="R291" s="9" t="e">
        <f>IF(AND(ROUND((#REF!-TIME(0,0,0))*1440,0)&gt;0,ROUND((#REF!-TIME(0,0,0))*1440,0)&lt;tbl_Case_mins[[#This Row],[AnaesthStart]],tbl_Case_mins[[#This Row],[Surgery End Date]]&gt;tbl_Case_mins[[#This Row],[Surgery Start Date]]),ROUND((#REF!-TIME(0,0,0))*1440,0)+1440,ROUND((#REF!-TIME(0,0,0))*1440,0))</f>
        <v>#REF!</v>
      </c>
      <c r="S291" s="9" t="e">
        <f>IF(AND(ROUND((#REF!-TIME(0,0,0))*1440,0),ROUND((#REF!-TIME(0,0,0))*1440,0)&lt;tbl_Case_mins[[#This Row],[Surgery Start]],tbl_Case_mins[[#This Row],[Surgery End Date]]&gt;tbl_Case_mins[[#This Row],[Surgery Start Date]]),ROUND((#REF!-TIME(0,0,0))*1440,0)+1440,ROUND((#REF!-TIME(0,0,0))*1440,0))</f>
        <v>#REF!</v>
      </c>
      <c r="T291" s="9" t="e">
        <f>IF(AND(ROUND((#REF!-TIME(0,0,0))*1440,0)&gt;0,ROUND((#REF!-TIME(0,0,0))*1440,0)&lt;tbl_Case_mins[[#This Row],[Surgery Finish]],tbl_Case_mins[[#This Row],[Surgery End Date]]&gt;tbl_Case_mins[[#This Row],[Surgery Start Date]]),ROUND((#REF!-TIME(0,0,0))*1440,0)+1440,ROUND((#REF!-TIME(0,0,0))*1440,0))</f>
        <v>#REF!</v>
      </c>
      <c r="U291" s="9" t="e">
        <f>IF(AND(ROUND((#REF!-TIME(0,0,0))*1440,0)&gt;0,ROUND((#REF!-TIME(0,0,0))*1440,0)&lt;tbl_Case_mins[[#This Row],[Anaesth End]],tbl_Case_mins[[#This Row],[Surgery End Date]]&gt;tbl_Case_mins[[#This Row],[Surgery Start Date]]),ROUND((#REF!-TIME(0,0,0))*1440,0)+1440,ROUND((#REF!-TIME(0,0,0))*1440,0))</f>
        <v>#REF!</v>
      </c>
      <c r="V291" s="9" t="e">
        <f>IF(AND(ROUND((#REF!-TIME(0,0,0))*1440,0)&gt;0,ROUND((#REF!-TIME(0,0,0))*1440,0)&lt;tbl_Case_mins[[#This Row],[Into Recov]],tbl_Case_mins[[#This Row],[Surgery End Date]]&gt;tbl_Case_mins[[#This Row],[Surgery Start Date]]),ROUND((#REF!-TIME(0,0,0))*1440,0)+1440,ROUND((#REF!-TIME(0,0,0))*1440,0))</f>
        <v>#REF!</v>
      </c>
      <c r="W291" s="9" t="e">
        <f>IF(AND(ROUND((#REF!-TIME(0,0,0))*1440,0)&gt;0,ROUND((#REF!-TIME(0,0,0))*1440,0)&lt;tbl_Case_mins[[#This Row],[Ward Called]],tbl_Case_mins[[#This Row],[Surgery End Date]]&gt;tbl_Case_mins[[#This Row],[Surgery Start Date]]),ROUND((#REF!-TIME(0,0,0))*1440,0)+1440,ROUND((#REF!-TIME(0,0,0))*1440,0))</f>
        <v>#REF!</v>
      </c>
      <c r="X291" s="4" t="e">
        <f>IF(ISBLANK(#REF!),tbl_Case_mins[[#This Row],[Surgery Start Date]],#REF!)</f>
        <v>#REF!</v>
      </c>
      <c r="Y291">
        <f>IFERROR(IF(VLOOKUP(tbl_Case_mins[[#This Row],[Theatre]],'Mng Theatres'!$C$7:$G$12,3,FALSE)="Yes","Yes","No"),0)</f>
        <v>0</v>
      </c>
      <c r="Z291" s="9" t="e" cm="1">
        <f t="array" ref="Z29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1" s="9" t="e" cm="1">
        <f t="array" ref="AA29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1" s="9" t="e">
        <f>IF(tbl_Case_mins[[#This Row],[Case Type]]="Unsch",1,0)</f>
        <v>#REF!</v>
      </c>
      <c r="AD291" s="9" t="e">
        <f>IF(tbl_Case_mins[[#This Row],[Case Type]]="Sch",1,0)</f>
        <v>#REF!</v>
      </c>
      <c r="AE29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1" s="9">
        <f>IFERROR(IF(ISBLANK(INDEX(Am_Close,MATCH(1,INDEX((tbl_Case_mins[[#This Row],[Theatre]]=Theatre_No)*(tbl_Case_mins[[#This Row],[Surgery Start Date]]=Date),0,1),0))*1440),0,INDEX(Am_Close,MATCH(1,INDEX((tbl_Case_mins[[#This Row],[Theatre]]=Theatre_No)*(tbl_Case_mins[[#This Row],[Surgery Start Date]]=Date),0,1),0))*1440),0)</f>
        <v>0</v>
      </c>
      <c r="AG291" s="9">
        <f>IFERROR(IF(ISBLANK(INDEX(PM_Open,MATCH(1,INDEX((tbl_Case_mins[[#This Row],[Theatre]]=Theatre_No)*(tbl_Case_mins[[#This Row],[Surgery Start Date]]=Date),0,1),0))*1440),0,INDEX(PM_Open,MATCH(1,INDEX((tbl_Case_mins[[#This Row],[Theatre]]=Theatre_No)*(tbl_Case_mins[[#This Row],[Surgery Start Date]]=Date),0,1),0))*1440),0)</f>
        <v>0</v>
      </c>
      <c r="AH29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1" s="9" t="e">
        <f>IF(tbl_Case_mins[[#This Row],[ThOpenAm]]=0,tbl_Case_mins[[#This Row],[ThOpenPM]],tbl_Case_mins[[#This Row],[ThOpenAm]])</f>
        <v>#REF!</v>
      </c>
      <c r="AJ291" s="9" t="e">
        <f>IF(tbl_Case_mins[[#This Row],[ThCloseAm]]&gt;0,IF(tbl_Case_mins[[#This Row],[ThOpenPM]]&gt;0,tbl_Case_mins[[#This Row],[ThClosePm]],tbl_Case_mins[[#This Row],[ThCloseAm]]),tbl_Case_mins[[#This Row],[ThClosePm]])</f>
        <v>#REF!</v>
      </c>
      <c r="AK291" s="9" t="e">
        <f>IF(tbl_Case_mins[[#This Row],[TOT]]&gt;0,1,0)</f>
        <v>#REF!</v>
      </c>
      <c r="AL29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1" s="9" t="e">
        <f>IF(AND(tbl_Case_mins[[#This Row],[Surgery Status]]&lt;&gt;2,tbl_Case_mins[[#This Row],[InCoreCase]]=0,tbl_Case_mins[[#This Row],[CancelledCase]]=0),1,0)</f>
        <v>#REF!</v>
      </c>
      <c r="AN291" s="9" t="e">
        <f>IF(tbl_Case_mins[[#This Row],[Surgery Status]]=1,1,0)</f>
        <v>#REF!</v>
      </c>
      <c r="AO29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1" s="9" t="e">
        <f>IF(AND(tbl_Case_mins[[#This Row],[NonCoreCase]]=1,tbl_Case_mins[[#This Row],[NoInCoreTime]]=0),1,0)</f>
        <v>#REF!</v>
      </c>
      <c r="AQ291" s="9" t="e">
        <f>IF(tbl_Case_mins[[#This Row],[Rank_AnaEnd]]&lt;tbl_Case_mins[[#This Row],[Rank_AnaSt]],1,0)</f>
        <v>#REF!</v>
      </c>
      <c r="AR291" s="9" t="e">
        <f>IF(AND(tbl_Case_mins[[#This Row],[InCoreCase]]=1,tbl_Case_mins[[#This Row],[Sch]]=1),1,0)</f>
        <v>#REF!</v>
      </c>
      <c r="AS291" s="9" t="e">
        <f>IF(AND(tbl_Case_mins[[#This Row],[InCoreCase]]=1,tbl_Case_mins[[#This Row],[Unsch]]=1),1,0)</f>
        <v>#REF!</v>
      </c>
      <c r="AT29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1" s="9" t="e">
        <f>IF(tbl_Case_mins[[#This Row],[Surgery Status]]=0,(tbl_Case_mins[[#This Row],[Anaesth End]]-tbl_Case_mins[[#This Row],[AnaesthStart]]),0)</f>
        <v>#REF!</v>
      </c>
      <c r="AX291" s="9" t="e">
        <f>IF(tbl_Case_mins[[#This Row],[Surgery Status]]=0,(tbl_Case_mins[[#This Row],[Surgery Finish]]-tbl_Case_mins[[#This Row],[Surgery Start]]),0)</f>
        <v>#REF!</v>
      </c>
      <c r="AY291" s="9" t="e">
        <f>tbl_Case_mins[[#This Row],[Surgery Start]]-tbl_Case_mins[[#This Row],[AnaesthStart]]</f>
        <v>#REF!</v>
      </c>
      <c r="AZ291" s="9" t="e">
        <f>tbl_Case_mins[[#This Row],[Anaesth End]]-tbl_Case_mins[[#This Row],[Surgery Finish]]</f>
        <v>#REF!</v>
      </c>
      <c r="BA29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1" s="16" cm="1">
        <f t="array" ref="BC29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1" s="16" t="e">
        <f>IF(AND(tbl_Case_mins[[#This Row],[FirstAMCase]]=1,tbl_Case_mins[[#This Row],[CancelledCase]]=0,OR(tbl_Case_mins[[#This Row],[EarlyStartAM]]&gt;0,tbl_Case_mins[[#This Row],[AnaesthStart]]=tbl_Case_mins[[#This Row],[ThOpenAm]])),1,0)</f>
        <v>#REF!</v>
      </c>
      <c r="BE291" s="16" t="e">
        <f>IF(AND(tbl_Case_mins[[#This Row],[Rank_AnaSt]]=tbl_Case_mins[[#This Row],[Min_RankAnaSt]],tbl_Case_mins[[#This Row],[Anaesth End]]&gt;=tbl_Case_mins[[#This Row],[ThOpenAm]],tbl_Case_mins[[#This Row],[PmCase]]=0),1,0)</f>
        <v>#REF!</v>
      </c>
      <c r="BF29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1" s="9" t="e" cm="1">
        <f t="array" ref="BH29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1" s="9" t="e">
        <f>IF(AND(tbl_Case_mins[[#This Row],[ThOpenPM]]&gt;0,tbl_Case_mins[[#This Row],[AnaesthStart]]&gt;tbl_Case_mins[[#This Row],[ThOpenPM]],tbl_Case_mins[[#This Row],[First PM Case]]=1),tbl_Case_mins[[#This Row],[AnaesthStart]]-tbl_Case_mins[[#This Row],[ThOpenPM]],0)</f>
        <v>#REF!</v>
      </c>
      <c r="BL29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1" s="9" t="e" cm="1">
        <f t="array" ref="BN29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1" s="9" t="e">
        <f>IF(AND(tbl_Case_mins[[#This Row],[ThClosePm]]&gt;0,tbl_Case_mins[[#This Row],[Anaesth End]]&gt;tbl_Case_mins[[#This Row],[ThClosePm]],tbl_Case_mins[[#This Row],[AnaesthStart]]&gt;tbl_Case_mins[[#This Row],[ThClosePm]]),tbl_Case_mins[[#This Row],[Into Recov]]-tbl_Case_mins[[#This Row],[AnaesthStart]],0)</f>
        <v>#REF!</v>
      </c>
      <c r="BP291" s="9" t="e">
        <f>IF(AND(tbl_Case_mins[[#This Row],[AnaesthStart]]&lt;tbl_Case_mins[[#This Row],[ThClosePm]],tbl_Case_mins[[#This Row],[Anaesth End]]&gt;tbl_Case_mins[[#This Row],[ThClosePm]]),tbl_Case_mins[[#This Row],[Anaesth End]]-tbl_Case_mins[[#This Row],[ThClosePm]],0)</f>
        <v>#REF!</v>
      </c>
      <c r="BQ291" s="9" t="e" cm="1">
        <f t="array" ref="BQ29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1" s="9" t="e" cm="1">
        <f t="array" ref="BR291">IF(tbl_Case_mins[[#This Row],[Rank_Adjust]]=SUMPRODUCT(-(tbl_Case_mins[Surgery Start Date]=tbl_Case_mins[[#This Row],[Surgery Start Date]]),-(tbl_Case_mins[Theatre]=tbl_Case_mins[[#This Row],[Theatre]])),INDEX(Poss_Time,MATCH(TEXT(tbl_Case_mins[[#This Row],[Surgery Start Date]],"ddd"),Day,0)),0)</f>
        <v>#REF!</v>
      </c>
      <c r="BS291" s="9" t="e">
        <f>tbl_Case_mins[[#This Row],[Core_Time]]*Util_Goal</f>
        <v>#REF!</v>
      </c>
      <c r="BT291" s="9" t="e" cm="1">
        <f t="array" ref="BT2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1" s="9" t="e" cm="1">
        <f t="array" ref="BU2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1" s="9" t="e">
        <f>IF(tbl_Case_mins[[#This Row],[Surgery End Date]]&gt;tbl_Case_mins[[#This Row],[Surgery Start Date]],tbl_Case_mins[[#This Row],[Anaesth End]]-1440,0)</f>
        <v>#REF!</v>
      </c>
      <c r="BY291" s="9" t="e">
        <f>tbl_Case_mins[[#This Row],[Total_NonCore]]-tbl_Case_mins[[#This Row],[NextDay_NonCore]]</f>
        <v>#REF!</v>
      </c>
      <c r="BZ291" s="10" t="e">
        <f>tbl_Case_mins[[#This Row],[InCoreUse]]/60</f>
        <v>#REF!</v>
      </c>
      <c r="CA291" s="10" t="e">
        <f>tbl_Case_mins[[#This Row],[Total_NonCore]]/60</f>
        <v>#REF!</v>
      </c>
      <c r="CB291" t="e" cm="1">
        <f t="array" ref="CB2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1" s="9" t="e" cm="1">
        <f t="array" ref="CC29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1" s="9" t="e" cm="1">
        <f t="array" ref="CD2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1" s="9" t="e" cm="1">
        <f t="array" ref="CE29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1" s="9" cm="1">
        <f t="array" ref="CF291">IFERROR(_xlfn.AGGREGATE(14,6,(tbl_Case_mins[Rank_AnaEnd])/((tbl_Case_mins[Surgery Start Date]=tbl_Case_mins[[#This Row],[Surgery Start Date]])*(tbl_Case_mins[Theatre]=tbl_Case_mins[[#This Row],[Theatre]])*(tbl_Case_mins[NoInCoreTime]=0)),1),-1)</f>
        <v>-1</v>
      </c>
      <c r="CG291" s="9" cm="1">
        <f t="array" ref="CG291">IFERROR(_xlfn.AGGREGATE(15,6,(tbl_Case_mins[Rank_AnaSt])/((tbl_Case_mins[Surgery Start Date]=tbl_Case_mins[[#This Row],[Surgery Start Date]])*(tbl_Case_mins[Theatre]=tbl_Case_mins[[#This Row],[Theatre]])*(tbl_Case_mins[NoInCoreTime]=0)),1),-1)</f>
        <v>-1</v>
      </c>
      <c r="CH29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1" t="e" cm="1">
        <f t="array" ref="CJ29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1" s="9" cm="1">
        <f t="array" ref="CO2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1" s="9" cm="1">
        <f t="array" ref="CP2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1" s="9" cm="1">
        <f t="array" ref="CQ291">IFERROR(IF(AND(tbl_Case_mins[[#This Row],[FirstAMCase]]=0,tbl_Case_mins[[#This Row],[Rank]]=_xlfn.AGGREGATE(14,6,(tbl_Case_mins[Rank])/((tbl_Case_mins[Surgery Start Date]=tbl_Case_mins[[#This Row],[Surgery Start Date]])*(tbl_Case_mins[Theatre]=tbl_Case_mins[[#This Row],[Theatre]])*(tbl_Case_mins[AmCase]=1)),1)),1,0),0)</f>
        <v>0</v>
      </c>
      <c r="CR291" s="9" cm="1">
        <f t="array" ref="CR29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1" s="9" t="e" cm="1">
        <f t="array" ref="CS29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1" s="9" cm="1">
        <f t="array" ref="CT291">IFERROR(IF(tbl_Case_mins[[#This Row],[Rank]]=_xlfn.AGGREGATE(15,6,(tbl_Case_mins[Rank])/((tbl_Case_mins[Surgery Start Date]=tbl_Case_mins[[#This Row],[Surgery Start Date]])*(tbl_Case_mins[Theatre]=tbl_Case_mins[[#This Row],[Theatre]])*(tbl_Case_mins[PmCase]=1)),1),1,0),0)</f>
        <v>0</v>
      </c>
      <c r="CU291">
        <f>IFERROR(#REF!,0)</f>
        <v>0</v>
      </c>
      <c r="CV291" s="9" t="e" cm="1">
        <f t="array" ref="CV29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1" s="9">
        <f>IFERROR(IF(ISBLANK(INDEX(Bay_AmClose,MATCH(1,INDEX((tbl_Case_mins[[#This Row],[Bay]]=BayNo)*(tbl_Case_mins[[#This Row],[Surgery Start Date]]=BDate),0,1),0))*1440),0,INDEX(Bay_AmClose,MATCH(1,INDEX((tbl_Case_mins[[#This Row],[Bay]]=BayNo)*(tbl_Case_mins[[#This Row],[Surgery Start Date]]=BDate),0,1),0))*1440),0)</f>
        <v>0</v>
      </c>
      <c r="CX291" s="9" cm="1">
        <f t="array" ref="CX291">IFERROR(IF(ISBLANK(INDEX(Bay_PmOpen,MATCH(1,INDEX((tbl_Case_mins[[#This Row],[Bay]]=BayNo)*(tbl_Case_mins[[#This Row],[Surgery Start Date]]=BDate),0,1),0))*1440),0,INDEX(Bay_PmOpen,MATCH(1,INDEX((tbl_Case_mins[[#This Row],[Bay]]=BayNo)*(tbl_Case_mins[[#This Row],[Surgery Start Date]]=BDate),0,1),0))*1440),0)</f>
        <v>0</v>
      </c>
      <c r="CY29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1" s="9"/>
    </row>
    <row r="292" spans="1:104" x14ac:dyDescent="0.2">
      <c r="A292">
        <v>291</v>
      </c>
      <c r="B292" t="e">
        <f>#REF!</f>
        <v>#REF!</v>
      </c>
      <c r="C292" t="e">
        <f>#REF!</f>
        <v>#REF!</v>
      </c>
      <c r="D292" t="e">
        <f>#REF!</f>
        <v>#REF!</v>
      </c>
      <c r="E292" t="e">
        <f>#REF!</f>
        <v>#REF!</v>
      </c>
      <c r="F292" t="e">
        <f>#REF!</f>
        <v>#REF!</v>
      </c>
      <c r="G292" t="e">
        <f>#REF!</f>
        <v>#REF!</v>
      </c>
      <c r="H292" t="e">
        <f>#REF!</f>
        <v>#REF!</v>
      </c>
      <c r="I292" t="e">
        <f>IF(#REF!="Case Cancelled",1,IF(#REF!="No Cases",2,0))</f>
        <v>#REF!</v>
      </c>
      <c r="J292" t="e">
        <f>#REF!</f>
        <v>#REF!</v>
      </c>
      <c r="K292" s="4" t="e">
        <f>#REF!</f>
        <v>#REF!</v>
      </c>
      <c r="L292" t="e">
        <f>"Wk "&amp;WEEKNUM(tbl_Case_mins[[#This Row],[Surgery Start Date]],21)</f>
        <v>#REF!</v>
      </c>
      <c r="M292" t="e">
        <f>TEXT(tbl_Case_mins[[#This Row],[Surgery Start Date]],"ddd")</f>
        <v>#REF!</v>
      </c>
      <c r="N292" s="9" t="e">
        <f>(#REF!-TIME(0,0,0))*1440</f>
        <v>#REF!</v>
      </c>
      <c r="O292" t="e">
        <f>IF(AND(ROUND((#REF!-TIME(0,0,0))*1440,0)&gt;0,ROUND((#REF!-TIME(0,0,0))*1440,0)&lt;tbl_Case_mins[[#This Row],[Patient Called]],tbl_Case_mins[[#This Row],[Surgery End Date]]&gt;tbl_Case_mins[[#This Row],[Surgery Start Date]]),ROUND((#REF!-TIME(0,0,0))*1440,0)+1440,ROUND((#REF!-TIME(0,0,0))*1440,0))</f>
        <v>#REF!</v>
      </c>
      <c r="P292" s="9" t="e">
        <f>IF(AND(ROUND((#REF!-TIME(0,0,0))*1440,0)&gt;0,ROUND((#REF!-TIME(0,0,0))*1440,0)&lt;tbl_Case_mins[[#This Row],[Arrival]],tbl_Case_mins[[#This Row],[Surgery End Date]]&gt;tbl_Case_mins[[#This Row],[Surgery Start Date]]),ROUND((#REF!-TIME(0,0,0))*1440,0)+1440,ROUND((#REF!-TIME(0,0,0))*1440,0))</f>
        <v>#REF!</v>
      </c>
      <c r="Q292" s="9" t="e">
        <f>IF(AND(ROUND((#REF!-TIME(0,0,0))*1440,0)&gt;0,ROUND((#REF!-TIME(0,0,0))*1440,0)&lt;tbl_Case_mins[[#This Row],[Into Th or AR]],tbl_Case_mins[[#This Row],[Surgery End Date]]&gt;tbl_Case_mins[[#This Row],[Surgery Start Date]]),ROUND((#REF!-TIME(0,0,0))*1440,0)+1440,ROUND((#REF!-TIME(0,0,0))*1440,0))</f>
        <v>#REF!</v>
      </c>
      <c r="R292" s="9" t="e">
        <f>IF(AND(ROUND((#REF!-TIME(0,0,0))*1440,0)&gt;0,ROUND((#REF!-TIME(0,0,0))*1440,0)&lt;tbl_Case_mins[[#This Row],[AnaesthStart]],tbl_Case_mins[[#This Row],[Surgery End Date]]&gt;tbl_Case_mins[[#This Row],[Surgery Start Date]]),ROUND((#REF!-TIME(0,0,0))*1440,0)+1440,ROUND((#REF!-TIME(0,0,0))*1440,0))</f>
        <v>#REF!</v>
      </c>
      <c r="S292" s="9" t="e">
        <f>IF(AND(ROUND((#REF!-TIME(0,0,0))*1440,0),ROUND((#REF!-TIME(0,0,0))*1440,0)&lt;tbl_Case_mins[[#This Row],[Surgery Start]],tbl_Case_mins[[#This Row],[Surgery End Date]]&gt;tbl_Case_mins[[#This Row],[Surgery Start Date]]),ROUND((#REF!-TIME(0,0,0))*1440,0)+1440,ROUND((#REF!-TIME(0,0,0))*1440,0))</f>
        <v>#REF!</v>
      </c>
      <c r="T292" s="9" t="e">
        <f>IF(AND(ROUND((#REF!-TIME(0,0,0))*1440,0)&gt;0,ROUND((#REF!-TIME(0,0,0))*1440,0)&lt;tbl_Case_mins[[#This Row],[Surgery Finish]],tbl_Case_mins[[#This Row],[Surgery End Date]]&gt;tbl_Case_mins[[#This Row],[Surgery Start Date]]),ROUND((#REF!-TIME(0,0,0))*1440,0)+1440,ROUND((#REF!-TIME(0,0,0))*1440,0))</f>
        <v>#REF!</v>
      </c>
      <c r="U292" s="9" t="e">
        <f>IF(AND(ROUND((#REF!-TIME(0,0,0))*1440,0)&gt;0,ROUND((#REF!-TIME(0,0,0))*1440,0)&lt;tbl_Case_mins[[#This Row],[Anaesth End]],tbl_Case_mins[[#This Row],[Surgery End Date]]&gt;tbl_Case_mins[[#This Row],[Surgery Start Date]]),ROUND((#REF!-TIME(0,0,0))*1440,0)+1440,ROUND((#REF!-TIME(0,0,0))*1440,0))</f>
        <v>#REF!</v>
      </c>
      <c r="V292" s="9" t="e">
        <f>IF(AND(ROUND((#REF!-TIME(0,0,0))*1440,0)&gt;0,ROUND((#REF!-TIME(0,0,0))*1440,0)&lt;tbl_Case_mins[[#This Row],[Into Recov]],tbl_Case_mins[[#This Row],[Surgery End Date]]&gt;tbl_Case_mins[[#This Row],[Surgery Start Date]]),ROUND((#REF!-TIME(0,0,0))*1440,0)+1440,ROUND((#REF!-TIME(0,0,0))*1440,0))</f>
        <v>#REF!</v>
      </c>
      <c r="W292" s="9" t="e">
        <f>IF(AND(ROUND((#REF!-TIME(0,0,0))*1440,0)&gt;0,ROUND((#REF!-TIME(0,0,0))*1440,0)&lt;tbl_Case_mins[[#This Row],[Ward Called]],tbl_Case_mins[[#This Row],[Surgery End Date]]&gt;tbl_Case_mins[[#This Row],[Surgery Start Date]]),ROUND((#REF!-TIME(0,0,0))*1440,0)+1440,ROUND((#REF!-TIME(0,0,0))*1440,0))</f>
        <v>#REF!</v>
      </c>
      <c r="X292" s="4" t="e">
        <f>IF(ISBLANK(#REF!),tbl_Case_mins[[#This Row],[Surgery Start Date]],#REF!)</f>
        <v>#REF!</v>
      </c>
      <c r="Y292">
        <f>IFERROR(IF(VLOOKUP(tbl_Case_mins[[#This Row],[Theatre]],'Mng Theatres'!$C$7:$G$12,3,FALSE)="Yes","Yes","No"),0)</f>
        <v>0</v>
      </c>
      <c r="Z292" s="9" t="e" cm="1">
        <f t="array" ref="Z29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2" s="9" t="e" cm="1">
        <f t="array" ref="AA29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2" s="9" t="e">
        <f>IF(tbl_Case_mins[[#This Row],[Case Type]]="Unsch",1,0)</f>
        <v>#REF!</v>
      </c>
      <c r="AD292" s="9" t="e">
        <f>IF(tbl_Case_mins[[#This Row],[Case Type]]="Sch",1,0)</f>
        <v>#REF!</v>
      </c>
      <c r="AE29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2" s="9">
        <f>IFERROR(IF(ISBLANK(INDEX(Am_Close,MATCH(1,INDEX((tbl_Case_mins[[#This Row],[Theatre]]=Theatre_No)*(tbl_Case_mins[[#This Row],[Surgery Start Date]]=Date),0,1),0))*1440),0,INDEX(Am_Close,MATCH(1,INDEX((tbl_Case_mins[[#This Row],[Theatre]]=Theatre_No)*(tbl_Case_mins[[#This Row],[Surgery Start Date]]=Date),0,1),0))*1440),0)</f>
        <v>0</v>
      </c>
      <c r="AG292" s="9">
        <f>IFERROR(IF(ISBLANK(INDEX(PM_Open,MATCH(1,INDEX((tbl_Case_mins[[#This Row],[Theatre]]=Theatre_No)*(tbl_Case_mins[[#This Row],[Surgery Start Date]]=Date),0,1),0))*1440),0,INDEX(PM_Open,MATCH(1,INDEX((tbl_Case_mins[[#This Row],[Theatre]]=Theatre_No)*(tbl_Case_mins[[#This Row],[Surgery Start Date]]=Date),0,1),0))*1440),0)</f>
        <v>0</v>
      </c>
      <c r="AH29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2" s="9" t="e">
        <f>IF(tbl_Case_mins[[#This Row],[ThOpenAm]]=0,tbl_Case_mins[[#This Row],[ThOpenPM]],tbl_Case_mins[[#This Row],[ThOpenAm]])</f>
        <v>#REF!</v>
      </c>
      <c r="AJ292" s="9" t="e">
        <f>IF(tbl_Case_mins[[#This Row],[ThCloseAm]]&gt;0,IF(tbl_Case_mins[[#This Row],[ThOpenPM]]&gt;0,tbl_Case_mins[[#This Row],[ThClosePm]],tbl_Case_mins[[#This Row],[ThCloseAm]]),tbl_Case_mins[[#This Row],[ThClosePm]])</f>
        <v>#REF!</v>
      </c>
      <c r="AK292" s="9" t="e">
        <f>IF(tbl_Case_mins[[#This Row],[TOT]]&gt;0,1,0)</f>
        <v>#REF!</v>
      </c>
      <c r="AL29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2" s="9" t="e">
        <f>IF(AND(tbl_Case_mins[[#This Row],[Surgery Status]]&lt;&gt;2,tbl_Case_mins[[#This Row],[InCoreCase]]=0,tbl_Case_mins[[#This Row],[CancelledCase]]=0),1,0)</f>
        <v>#REF!</v>
      </c>
      <c r="AN292" s="9" t="e">
        <f>IF(tbl_Case_mins[[#This Row],[Surgery Status]]=1,1,0)</f>
        <v>#REF!</v>
      </c>
      <c r="AO29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2" s="9" t="e">
        <f>IF(AND(tbl_Case_mins[[#This Row],[NonCoreCase]]=1,tbl_Case_mins[[#This Row],[NoInCoreTime]]=0),1,0)</f>
        <v>#REF!</v>
      </c>
      <c r="AQ292" s="9" t="e">
        <f>IF(tbl_Case_mins[[#This Row],[Rank_AnaEnd]]&lt;tbl_Case_mins[[#This Row],[Rank_AnaSt]],1,0)</f>
        <v>#REF!</v>
      </c>
      <c r="AR292" s="9" t="e">
        <f>IF(AND(tbl_Case_mins[[#This Row],[InCoreCase]]=1,tbl_Case_mins[[#This Row],[Sch]]=1),1,0)</f>
        <v>#REF!</v>
      </c>
      <c r="AS292" s="9" t="e">
        <f>IF(AND(tbl_Case_mins[[#This Row],[InCoreCase]]=1,tbl_Case_mins[[#This Row],[Unsch]]=1),1,0)</f>
        <v>#REF!</v>
      </c>
      <c r="AT29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2" s="9" t="e">
        <f>IF(tbl_Case_mins[[#This Row],[Surgery Status]]=0,(tbl_Case_mins[[#This Row],[Anaesth End]]-tbl_Case_mins[[#This Row],[AnaesthStart]]),0)</f>
        <v>#REF!</v>
      </c>
      <c r="AX292" s="9" t="e">
        <f>IF(tbl_Case_mins[[#This Row],[Surgery Status]]=0,(tbl_Case_mins[[#This Row],[Surgery Finish]]-tbl_Case_mins[[#This Row],[Surgery Start]]),0)</f>
        <v>#REF!</v>
      </c>
      <c r="AY292" s="9" t="e">
        <f>tbl_Case_mins[[#This Row],[Surgery Start]]-tbl_Case_mins[[#This Row],[AnaesthStart]]</f>
        <v>#REF!</v>
      </c>
      <c r="AZ292" s="9" t="e">
        <f>tbl_Case_mins[[#This Row],[Anaesth End]]-tbl_Case_mins[[#This Row],[Surgery Finish]]</f>
        <v>#REF!</v>
      </c>
      <c r="BA29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2" s="16" cm="1">
        <f t="array" ref="BC29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2" s="16" t="e">
        <f>IF(AND(tbl_Case_mins[[#This Row],[FirstAMCase]]=1,tbl_Case_mins[[#This Row],[CancelledCase]]=0,OR(tbl_Case_mins[[#This Row],[EarlyStartAM]]&gt;0,tbl_Case_mins[[#This Row],[AnaesthStart]]=tbl_Case_mins[[#This Row],[ThOpenAm]])),1,0)</f>
        <v>#REF!</v>
      </c>
      <c r="BE292" s="16" t="e">
        <f>IF(AND(tbl_Case_mins[[#This Row],[Rank_AnaSt]]=tbl_Case_mins[[#This Row],[Min_RankAnaSt]],tbl_Case_mins[[#This Row],[Anaesth End]]&gt;=tbl_Case_mins[[#This Row],[ThOpenAm]],tbl_Case_mins[[#This Row],[PmCase]]=0),1,0)</f>
        <v>#REF!</v>
      </c>
      <c r="BF29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2" s="9" t="e" cm="1">
        <f t="array" ref="BH29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2" s="9" t="e">
        <f>IF(AND(tbl_Case_mins[[#This Row],[ThOpenPM]]&gt;0,tbl_Case_mins[[#This Row],[AnaesthStart]]&gt;tbl_Case_mins[[#This Row],[ThOpenPM]],tbl_Case_mins[[#This Row],[First PM Case]]=1),tbl_Case_mins[[#This Row],[AnaesthStart]]-tbl_Case_mins[[#This Row],[ThOpenPM]],0)</f>
        <v>#REF!</v>
      </c>
      <c r="BL29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2" s="9" t="e" cm="1">
        <f t="array" ref="BN29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2" s="9" t="e">
        <f>IF(AND(tbl_Case_mins[[#This Row],[ThClosePm]]&gt;0,tbl_Case_mins[[#This Row],[Anaesth End]]&gt;tbl_Case_mins[[#This Row],[ThClosePm]],tbl_Case_mins[[#This Row],[AnaesthStart]]&gt;tbl_Case_mins[[#This Row],[ThClosePm]]),tbl_Case_mins[[#This Row],[Into Recov]]-tbl_Case_mins[[#This Row],[AnaesthStart]],0)</f>
        <v>#REF!</v>
      </c>
      <c r="BP292" s="9" t="e">
        <f>IF(AND(tbl_Case_mins[[#This Row],[AnaesthStart]]&lt;tbl_Case_mins[[#This Row],[ThClosePm]],tbl_Case_mins[[#This Row],[Anaesth End]]&gt;tbl_Case_mins[[#This Row],[ThClosePm]]),tbl_Case_mins[[#This Row],[Anaesth End]]-tbl_Case_mins[[#This Row],[ThClosePm]],0)</f>
        <v>#REF!</v>
      </c>
      <c r="BQ292" s="9" t="e" cm="1">
        <f t="array" ref="BQ29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2" s="9" t="e" cm="1">
        <f t="array" ref="BR292">IF(tbl_Case_mins[[#This Row],[Rank_Adjust]]=SUMPRODUCT(-(tbl_Case_mins[Surgery Start Date]=tbl_Case_mins[[#This Row],[Surgery Start Date]]),-(tbl_Case_mins[Theatre]=tbl_Case_mins[[#This Row],[Theatre]])),INDEX(Poss_Time,MATCH(TEXT(tbl_Case_mins[[#This Row],[Surgery Start Date]],"ddd"),Day,0)),0)</f>
        <v>#REF!</v>
      </c>
      <c r="BS292" s="9" t="e">
        <f>tbl_Case_mins[[#This Row],[Core_Time]]*Util_Goal</f>
        <v>#REF!</v>
      </c>
      <c r="BT292" s="9" t="e" cm="1">
        <f t="array" ref="BT2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2" s="9" t="e" cm="1">
        <f t="array" ref="BU2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2" s="9" t="e">
        <f>IF(tbl_Case_mins[[#This Row],[Surgery End Date]]&gt;tbl_Case_mins[[#This Row],[Surgery Start Date]],tbl_Case_mins[[#This Row],[Anaesth End]]-1440,0)</f>
        <v>#REF!</v>
      </c>
      <c r="BY292" s="9" t="e">
        <f>tbl_Case_mins[[#This Row],[Total_NonCore]]-tbl_Case_mins[[#This Row],[NextDay_NonCore]]</f>
        <v>#REF!</v>
      </c>
      <c r="BZ292" s="10" t="e">
        <f>tbl_Case_mins[[#This Row],[InCoreUse]]/60</f>
        <v>#REF!</v>
      </c>
      <c r="CA292" s="10" t="e">
        <f>tbl_Case_mins[[#This Row],[Total_NonCore]]/60</f>
        <v>#REF!</v>
      </c>
      <c r="CB292" t="e" cm="1">
        <f t="array" ref="CB2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2" s="9" t="e" cm="1">
        <f t="array" ref="CC29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2" s="9" t="e" cm="1">
        <f t="array" ref="CD2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2" s="9" t="e" cm="1">
        <f t="array" ref="CE29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2" s="9" cm="1">
        <f t="array" ref="CF292">IFERROR(_xlfn.AGGREGATE(14,6,(tbl_Case_mins[Rank_AnaEnd])/((tbl_Case_mins[Surgery Start Date]=tbl_Case_mins[[#This Row],[Surgery Start Date]])*(tbl_Case_mins[Theatre]=tbl_Case_mins[[#This Row],[Theatre]])*(tbl_Case_mins[NoInCoreTime]=0)),1),-1)</f>
        <v>-1</v>
      </c>
      <c r="CG292" s="9" cm="1">
        <f t="array" ref="CG292">IFERROR(_xlfn.AGGREGATE(15,6,(tbl_Case_mins[Rank_AnaSt])/((tbl_Case_mins[Surgery Start Date]=tbl_Case_mins[[#This Row],[Surgery Start Date]])*(tbl_Case_mins[Theatre]=tbl_Case_mins[[#This Row],[Theatre]])*(tbl_Case_mins[NoInCoreTime]=0)),1),-1)</f>
        <v>-1</v>
      </c>
      <c r="CH29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2" t="e" cm="1">
        <f t="array" ref="CJ29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2" s="9" cm="1">
        <f t="array" ref="CO2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2" s="9" cm="1">
        <f t="array" ref="CP2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2" s="9" cm="1">
        <f t="array" ref="CQ292">IFERROR(IF(AND(tbl_Case_mins[[#This Row],[FirstAMCase]]=0,tbl_Case_mins[[#This Row],[Rank]]=_xlfn.AGGREGATE(14,6,(tbl_Case_mins[Rank])/((tbl_Case_mins[Surgery Start Date]=tbl_Case_mins[[#This Row],[Surgery Start Date]])*(tbl_Case_mins[Theatre]=tbl_Case_mins[[#This Row],[Theatre]])*(tbl_Case_mins[AmCase]=1)),1)),1,0),0)</f>
        <v>0</v>
      </c>
      <c r="CR292" s="9" cm="1">
        <f t="array" ref="CR29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2" s="9" t="e" cm="1">
        <f t="array" ref="CS29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2" s="9" cm="1">
        <f t="array" ref="CT292">IFERROR(IF(tbl_Case_mins[[#This Row],[Rank]]=_xlfn.AGGREGATE(15,6,(tbl_Case_mins[Rank])/((tbl_Case_mins[Surgery Start Date]=tbl_Case_mins[[#This Row],[Surgery Start Date]])*(tbl_Case_mins[Theatre]=tbl_Case_mins[[#This Row],[Theatre]])*(tbl_Case_mins[PmCase]=1)),1),1,0),0)</f>
        <v>0</v>
      </c>
      <c r="CU292">
        <f>IFERROR(#REF!,0)</f>
        <v>0</v>
      </c>
      <c r="CV292" s="9" t="e" cm="1">
        <f t="array" ref="CV29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2" s="9">
        <f>IFERROR(IF(ISBLANK(INDEX(Bay_AmClose,MATCH(1,INDEX((tbl_Case_mins[[#This Row],[Bay]]=BayNo)*(tbl_Case_mins[[#This Row],[Surgery Start Date]]=BDate),0,1),0))*1440),0,INDEX(Bay_AmClose,MATCH(1,INDEX((tbl_Case_mins[[#This Row],[Bay]]=BayNo)*(tbl_Case_mins[[#This Row],[Surgery Start Date]]=BDate),0,1),0))*1440),0)</f>
        <v>0</v>
      </c>
      <c r="CX292" s="9" cm="1">
        <f t="array" ref="CX292">IFERROR(IF(ISBLANK(INDEX(Bay_PmOpen,MATCH(1,INDEX((tbl_Case_mins[[#This Row],[Bay]]=BayNo)*(tbl_Case_mins[[#This Row],[Surgery Start Date]]=BDate),0,1),0))*1440),0,INDEX(Bay_PmOpen,MATCH(1,INDEX((tbl_Case_mins[[#This Row],[Bay]]=BayNo)*(tbl_Case_mins[[#This Row],[Surgery Start Date]]=BDate),0,1),0))*1440),0)</f>
        <v>0</v>
      </c>
      <c r="CY29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2" s="9"/>
    </row>
    <row r="293" spans="1:104" x14ac:dyDescent="0.2">
      <c r="A293">
        <v>292</v>
      </c>
      <c r="B293" t="e">
        <f>#REF!</f>
        <v>#REF!</v>
      </c>
      <c r="C293" t="e">
        <f>#REF!</f>
        <v>#REF!</v>
      </c>
      <c r="D293" t="e">
        <f>#REF!</f>
        <v>#REF!</v>
      </c>
      <c r="E293" t="e">
        <f>#REF!</f>
        <v>#REF!</v>
      </c>
      <c r="F293" t="e">
        <f>#REF!</f>
        <v>#REF!</v>
      </c>
      <c r="G293" t="e">
        <f>#REF!</f>
        <v>#REF!</v>
      </c>
      <c r="H293" t="e">
        <f>#REF!</f>
        <v>#REF!</v>
      </c>
      <c r="I293" t="e">
        <f>IF(#REF!="Case Cancelled",1,IF(#REF!="No Cases",2,0))</f>
        <v>#REF!</v>
      </c>
      <c r="J293" t="e">
        <f>#REF!</f>
        <v>#REF!</v>
      </c>
      <c r="K293" s="4" t="e">
        <f>#REF!</f>
        <v>#REF!</v>
      </c>
      <c r="L293" t="e">
        <f>"Wk "&amp;WEEKNUM(tbl_Case_mins[[#This Row],[Surgery Start Date]],21)</f>
        <v>#REF!</v>
      </c>
      <c r="M293" t="e">
        <f>TEXT(tbl_Case_mins[[#This Row],[Surgery Start Date]],"ddd")</f>
        <v>#REF!</v>
      </c>
      <c r="N293" s="9" t="e">
        <f>(#REF!-TIME(0,0,0))*1440</f>
        <v>#REF!</v>
      </c>
      <c r="O293" t="e">
        <f>IF(AND(ROUND((#REF!-TIME(0,0,0))*1440,0)&gt;0,ROUND((#REF!-TIME(0,0,0))*1440,0)&lt;tbl_Case_mins[[#This Row],[Patient Called]],tbl_Case_mins[[#This Row],[Surgery End Date]]&gt;tbl_Case_mins[[#This Row],[Surgery Start Date]]),ROUND((#REF!-TIME(0,0,0))*1440,0)+1440,ROUND((#REF!-TIME(0,0,0))*1440,0))</f>
        <v>#REF!</v>
      </c>
      <c r="P293" s="9" t="e">
        <f>IF(AND(ROUND((#REF!-TIME(0,0,0))*1440,0)&gt;0,ROUND((#REF!-TIME(0,0,0))*1440,0)&lt;tbl_Case_mins[[#This Row],[Arrival]],tbl_Case_mins[[#This Row],[Surgery End Date]]&gt;tbl_Case_mins[[#This Row],[Surgery Start Date]]),ROUND((#REF!-TIME(0,0,0))*1440,0)+1440,ROUND((#REF!-TIME(0,0,0))*1440,0))</f>
        <v>#REF!</v>
      </c>
      <c r="Q293" s="9" t="e">
        <f>IF(AND(ROUND((#REF!-TIME(0,0,0))*1440,0)&gt;0,ROUND((#REF!-TIME(0,0,0))*1440,0)&lt;tbl_Case_mins[[#This Row],[Into Th or AR]],tbl_Case_mins[[#This Row],[Surgery End Date]]&gt;tbl_Case_mins[[#This Row],[Surgery Start Date]]),ROUND((#REF!-TIME(0,0,0))*1440,0)+1440,ROUND((#REF!-TIME(0,0,0))*1440,0))</f>
        <v>#REF!</v>
      </c>
      <c r="R293" s="9" t="e">
        <f>IF(AND(ROUND((#REF!-TIME(0,0,0))*1440,0)&gt;0,ROUND((#REF!-TIME(0,0,0))*1440,0)&lt;tbl_Case_mins[[#This Row],[AnaesthStart]],tbl_Case_mins[[#This Row],[Surgery End Date]]&gt;tbl_Case_mins[[#This Row],[Surgery Start Date]]),ROUND((#REF!-TIME(0,0,0))*1440,0)+1440,ROUND((#REF!-TIME(0,0,0))*1440,0))</f>
        <v>#REF!</v>
      </c>
      <c r="S293" s="9" t="e">
        <f>IF(AND(ROUND((#REF!-TIME(0,0,0))*1440,0),ROUND((#REF!-TIME(0,0,0))*1440,0)&lt;tbl_Case_mins[[#This Row],[Surgery Start]],tbl_Case_mins[[#This Row],[Surgery End Date]]&gt;tbl_Case_mins[[#This Row],[Surgery Start Date]]),ROUND((#REF!-TIME(0,0,0))*1440,0)+1440,ROUND((#REF!-TIME(0,0,0))*1440,0))</f>
        <v>#REF!</v>
      </c>
      <c r="T293" s="9" t="e">
        <f>IF(AND(ROUND((#REF!-TIME(0,0,0))*1440,0)&gt;0,ROUND((#REF!-TIME(0,0,0))*1440,0)&lt;tbl_Case_mins[[#This Row],[Surgery Finish]],tbl_Case_mins[[#This Row],[Surgery End Date]]&gt;tbl_Case_mins[[#This Row],[Surgery Start Date]]),ROUND((#REF!-TIME(0,0,0))*1440,0)+1440,ROUND((#REF!-TIME(0,0,0))*1440,0))</f>
        <v>#REF!</v>
      </c>
      <c r="U293" s="9" t="e">
        <f>IF(AND(ROUND((#REF!-TIME(0,0,0))*1440,0)&gt;0,ROUND((#REF!-TIME(0,0,0))*1440,0)&lt;tbl_Case_mins[[#This Row],[Anaesth End]],tbl_Case_mins[[#This Row],[Surgery End Date]]&gt;tbl_Case_mins[[#This Row],[Surgery Start Date]]),ROUND((#REF!-TIME(0,0,0))*1440,0)+1440,ROUND((#REF!-TIME(0,0,0))*1440,0))</f>
        <v>#REF!</v>
      </c>
      <c r="V293" s="9" t="e">
        <f>IF(AND(ROUND((#REF!-TIME(0,0,0))*1440,0)&gt;0,ROUND((#REF!-TIME(0,0,0))*1440,0)&lt;tbl_Case_mins[[#This Row],[Into Recov]],tbl_Case_mins[[#This Row],[Surgery End Date]]&gt;tbl_Case_mins[[#This Row],[Surgery Start Date]]),ROUND((#REF!-TIME(0,0,0))*1440,0)+1440,ROUND((#REF!-TIME(0,0,0))*1440,0))</f>
        <v>#REF!</v>
      </c>
      <c r="W293" s="9" t="e">
        <f>IF(AND(ROUND((#REF!-TIME(0,0,0))*1440,0)&gt;0,ROUND((#REF!-TIME(0,0,0))*1440,0)&lt;tbl_Case_mins[[#This Row],[Ward Called]],tbl_Case_mins[[#This Row],[Surgery End Date]]&gt;tbl_Case_mins[[#This Row],[Surgery Start Date]]),ROUND((#REF!-TIME(0,0,0))*1440,0)+1440,ROUND((#REF!-TIME(0,0,0))*1440,0))</f>
        <v>#REF!</v>
      </c>
      <c r="X293" s="4" t="e">
        <f>IF(ISBLANK(#REF!),tbl_Case_mins[[#This Row],[Surgery Start Date]],#REF!)</f>
        <v>#REF!</v>
      </c>
      <c r="Y293">
        <f>IFERROR(IF(VLOOKUP(tbl_Case_mins[[#This Row],[Theatre]],'Mng Theatres'!$C$7:$G$12,3,FALSE)="Yes","Yes","No"),0)</f>
        <v>0</v>
      </c>
      <c r="Z293" s="9" t="e" cm="1">
        <f t="array" ref="Z29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3" s="9" t="e" cm="1">
        <f t="array" ref="AA29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3" s="9" t="e">
        <f>IF(tbl_Case_mins[[#This Row],[Case Type]]="Unsch",1,0)</f>
        <v>#REF!</v>
      </c>
      <c r="AD293" s="9" t="e">
        <f>IF(tbl_Case_mins[[#This Row],[Case Type]]="Sch",1,0)</f>
        <v>#REF!</v>
      </c>
      <c r="AE29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3" s="9">
        <f>IFERROR(IF(ISBLANK(INDEX(Am_Close,MATCH(1,INDEX((tbl_Case_mins[[#This Row],[Theatre]]=Theatre_No)*(tbl_Case_mins[[#This Row],[Surgery Start Date]]=Date),0,1),0))*1440),0,INDEX(Am_Close,MATCH(1,INDEX((tbl_Case_mins[[#This Row],[Theatre]]=Theatre_No)*(tbl_Case_mins[[#This Row],[Surgery Start Date]]=Date),0,1),0))*1440),0)</f>
        <v>0</v>
      </c>
      <c r="AG293" s="9">
        <f>IFERROR(IF(ISBLANK(INDEX(PM_Open,MATCH(1,INDEX((tbl_Case_mins[[#This Row],[Theatre]]=Theatre_No)*(tbl_Case_mins[[#This Row],[Surgery Start Date]]=Date),0,1),0))*1440),0,INDEX(PM_Open,MATCH(1,INDEX((tbl_Case_mins[[#This Row],[Theatre]]=Theatre_No)*(tbl_Case_mins[[#This Row],[Surgery Start Date]]=Date),0,1),0))*1440),0)</f>
        <v>0</v>
      </c>
      <c r="AH29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3" s="9" t="e">
        <f>IF(tbl_Case_mins[[#This Row],[ThOpenAm]]=0,tbl_Case_mins[[#This Row],[ThOpenPM]],tbl_Case_mins[[#This Row],[ThOpenAm]])</f>
        <v>#REF!</v>
      </c>
      <c r="AJ293" s="9" t="e">
        <f>IF(tbl_Case_mins[[#This Row],[ThCloseAm]]&gt;0,IF(tbl_Case_mins[[#This Row],[ThOpenPM]]&gt;0,tbl_Case_mins[[#This Row],[ThClosePm]],tbl_Case_mins[[#This Row],[ThCloseAm]]),tbl_Case_mins[[#This Row],[ThClosePm]])</f>
        <v>#REF!</v>
      </c>
      <c r="AK293" s="9" t="e">
        <f>IF(tbl_Case_mins[[#This Row],[TOT]]&gt;0,1,0)</f>
        <v>#REF!</v>
      </c>
      <c r="AL29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3" s="9" t="e">
        <f>IF(AND(tbl_Case_mins[[#This Row],[Surgery Status]]&lt;&gt;2,tbl_Case_mins[[#This Row],[InCoreCase]]=0,tbl_Case_mins[[#This Row],[CancelledCase]]=0),1,0)</f>
        <v>#REF!</v>
      </c>
      <c r="AN293" s="9" t="e">
        <f>IF(tbl_Case_mins[[#This Row],[Surgery Status]]=1,1,0)</f>
        <v>#REF!</v>
      </c>
      <c r="AO29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3" s="9" t="e">
        <f>IF(AND(tbl_Case_mins[[#This Row],[NonCoreCase]]=1,tbl_Case_mins[[#This Row],[NoInCoreTime]]=0),1,0)</f>
        <v>#REF!</v>
      </c>
      <c r="AQ293" s="9" t="e">
        <f>IF(tbl_Case_mins[[#This Row],[Rank_AnaEnd]]&lt;tbl_Case_mins[[#This Row],[Rank_AnaSt]],1,0)</f>
        <v>#REF!</v>
      </c>
      <c r="AR293" s="9" t="e">
        <f>IF(AND(tbl_Case_mins[[#This Row],[InCoreCase]]=1,tbl_Case_mins[[#This Row],[Sch]]=1),1,0)</f>
        <v>#REF!</v>
      </c>
      <c r="AS293" s="9" t="e">
        <f>IF(AND(tbl_Case_mins[[#This Row],[InCoreCase]]=1,tbl_Case_mins[[#This Row],[Unsch]]=1),1,0)</f>
        <v>#REF!</v>
      </c>
      <c r="AT29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3" s="9" t="e">
        <f>IF(tbl_Case_mins[[#This Row],[Surgery Status]]=0,(tbl_Case_mins[[#This Row],[Anaesth End]]-tbl_Case_mins[[#This Row],[AnaesthStart]]),0)</f>
        <v>#REF!</v>
      </c>
      <c r="AX293" s="9" t="e">
        <f>IF(tbl_Case_mins[[#This Row],[Surgery Status]]=0,(tbl_Case_mins[[#This Row],[Surgery Finish]]-tbl_Case_mins[[#This Row],[Surgery Start]]),0)</f>
        <v>#REF!</v>
      </c>
      <c r="AY293" s="9" t="e">
        <f>tbl_Case_mins[[#This Row],[Surgery Start]]-tbl_Case_mins[[#This Row],[AnaesthStart]]</f>
        <v>#REF!</v>
      </c>
      <c r="AZ293" s="9" t="e">
        <f>tbl_Case_mins[[#This Row],[Anaesth End]]-tbl_Case_mins[[#This Row],[Surgery Finish]]</f>
        <v>#REF!</v>
      </c>
      <c r="BA29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3" s="16" cm="1">
        <f t="array" ref="BC29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3" s="16" t="e">
        <f>IF(AND(tbl_Case_mins[[#This Row],[FirstAMCase]]=1,tbl_Case_mins[[#This Row],[CancelledCase]]=0,OR(tbl_Case_mins[[#This Row],[EarlyStartAM]]&gt;0,tbl_Case_mins[[#This Row],[AnaesthStart]]=tbl_Case_mins[[#This Row],[ThOpenAm]])),1,0)</f>
        <v>#REF!</v>
      </c>
      <c r="BE293" s="16" t="e">
        <f>IF(AND(tbl_Case_mins[[#This Row],[Rank_AnaSt]]=tbl_Case_mins[[#This Row],[Min_RankAnaSt]],tbl_Case_mins[[#This Row],[Anaesth End]]&gt;=tbl_Case_mins[[#This Row],[ThOpenAm]],tbl_Case_mins[[#This Row],[PmCase]]=0),1,0)</f>
        <v>#REF!</v>
      </c>
      <c r="BF29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3" s="9" t="e" cm="1">
        <f t="array" ref="BH29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3" s="9" t="e">
        <f>IF(AND(tbl_Case_mins[[#This Row],[ThOpenPM]]&gt;0,tbl_Case_mins[[#This Row],[AnaesthStart]]&gt;tbl_Case_mins[[#This Row],[ThOpenPM]],tbl_Case_mins[[#This Row],[First PM Case]]=1),tbl_Case_mins[[#This Row],[AnaesthStart]]-tbl_Case_mins[[#This Row],[ThOpenPM]],0)</f>
        <v>#REF!</v>
      </c>
      <c r="BL29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3" s="9" t="e" cm="1">
        <f t="array" ref="BN29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3" s="9" t="e">
        <f>IF(AND(tbl_Case_mins[[#This Row],[ThClosePm]]&gt;0,tbl_Case_mins[[#This Row],[Anaesth End]]&gt;tbl_Case_mins[[#This Row],[ThClosePm]],tbl_Case_mins[[#This Row],[AnaesthStart]]&gt;tbl_Case_mins[[#This Row],[ThClosePm]]),tbl_Case_mins[[#This Row],[Into Recov]]-tbl_Case_mins[[#This Row],[AnaesthStart]],0)</f>
        <v>#REF!</v>
      </c>
      <c r="BP293" s="9" t="e">
        <f>IF(AND(tbl_Case_mins[[#This Row],[AnaesthStart]]&lt;tbl_Case_mins[[#This Row],[ThClosePm]],tbl_Case_mins[[#This Row],[Anaesth End]]&gt;tbl_Case_mins[[#This Row],[ThClosePm]]),tbl_Case_mins[[#This Row],[Anaesth End]]-tbl_Case_mins[[#This Row],[ThClosePm]],0)</f>
        <v>#REF!</v>
      </c>
      <c r="BQ293" s="9" t="e" cm="1">
        <f t="array" ref="BQ29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3" s="9" t="e" cm="1">
        <f t="array" ref="BR293">IF(tbl_Case_mins[[#This Row],[Rank_Adjust]]=SUMPRODUCT(-(tbl_Case_mins[Surgery Start Date]=tbl_Case_mins[[#This Row],[Surgery Start Date]]),-(tbl_Case_mins[Theatre]=tbl_Case_mins[[#This Row],[Theatre]])),INDEX(Poss_Time,MATCH(TEXT(tbl_Case_mins[[#This Row],[Surgery Start Date]],"ddd"),Day,0)),0)</f>
        <v>#REF!</v>
      </c>
      <c r="BS293" s="9" t="e">
        <f>tbl_Case_mins[[#This Row],[Core_Time]]*Util_Goal</f>
        <v>#REF!</v>
      </c>
      <c r="BT293" s="9" t="e" cm="1">
        <f t="array" ref="BT2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3" s="9" t="e" cm="1">
        <f t="array" ref="BU2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3" s="9" t="e">
        <f>IF(tbl_Case_mins[[#This Row],[Surgery End Date]]&gt;tbl_Case_mins[[#This Row],[Surgery Start Date]],tbl_Case_mins[[#This Row],[Anaesth End]]-1440,0)</f>
        <v>#REF!</v>
      </c>
      <c r="BY293" s="9" t="e">
        <f>tbl_Case_mins[[#This Row],[Total_NonCore]]-tbl_Case_mins[[#This Row],[NextDay_NonCore]]</f>
        <v>#REF!</v>
      </c>
      <c r="BZ293" s="10" t="e">
        <f>tbl_Case_mins[[#This Row],[InCoreUse]]/60</f>
        <v>#REF!</v>
      </c>
      <c r="CA293" s="10" t="e">
        <f>tbl_Case_mins[[#This Row],[Total_NonCore]]/60</f>
        <v>#REF!</v>
      </c>
      <c r="CB293" t="e" cm="1">
        <f t="array" ref="CB2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3" s="9" t="e" cm="1">
        <f t="array" ref="CC29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3" s="9" t="e" cm="1">
        <f t="array" ref="CD2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3" s="9" t="e" cm="1">
        <f t="array" ref="CE29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3" s="9" cm="1">
        <f t="array" ref="CF293">IFERROR(_xlfn.AGGREGATE(14,6,(tbl_Case_mins[Rank_AnaEnd])/((tbl_Case_mins[Surgery Start Date]=tbl_Case_mins[[#This Row],[Surgery Start Date]])*(tbl_Case_mins[Theatre]=tbl_Case_mins[[#This Row],[Theatre]])*(tbl_Case_mins[NoInCoreTime]=0)),1),-1)</f>
        <v>-1</v>
      </c>
      <c r="CG293" s="9" cm="1">
        <f t="array" ref="CG293">IFERROR(_xlfn.AGGREGATE(15,6,(tbl_Case_mins[Rank_AnaSt])/((tbl_Case_mins[Surgery Start Date]=tbl_Case_mins[[#This Row],[Surgery Start Date]])*(tbl_Case_mins[Theatre]=tbl_Case_mins[[#This Row],[Theatre]])*(tbl_Case_mins[NoInCoreTime]=0)),1),-1)</f>
        <v>-1</v>
      </c>
      <c r="CH29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3" t="e" cm="1">
        <f t="array" ref="CJ29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3" s="9" cm="1">
        <f t="array" ref="CO2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3" s="9" cm="1">
        <f t="array" ref="CP2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3" s="9" cm="1">
        <f t="array" ref="CQ293">IFERROR(IF(AND(tbl_Case_mins[[#This Row],[FirstAMCase]]=0,tbl_Case_mins[[#This Row],[Rank]]=_xlfn.AGGREGATE(14,6,(tbl_Case_mins[Rank])/((tbl_Case_mins[Surgery Start Date]=tbl_Case_mins[[#This Row],[Surgery Start Date]])*(tbl_Case_mins[Theatre]=tbl_Case_mins[[#This Row],[Theatre]])*(tbl_Case_mins[AmCase]=1)),1)),1,0),0)</f>
        <v>0</v>
      </c>
      <c r="CR293" s="9" cm="1">
        <f t="array" ref="CR29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3" s="9" t="e" cm="1">
        <f t="array" ref="CS29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3" s="9" cm="1">
        <f t="array" ref="CT293">IFERROR(IF(tbl_Case_mins[[#This Row],[Rank]]=_xlfn.AGGREGATE(15,6,(tbl_Case_mins[Rank])/((tbl_Case_mins[Surgery Start Date]=tbl_Case_mins[[#This Row],[Surgery Start Date]])*(tbl_Case_mins[Theatre]=tbl_Case_mins[[#This Row],[Theatre]])*(tbl_Case_mins[PmCase]=1)),1),1,0),0)</f>
        <v>0</v>
      </c>
      <c r="CU293">
        <f>IFERROR(#REF!,0)</f>
        <v>0</v>
      </c>
      <c r="CV293" s="9" t="e" cm="1">
        <f t="array" ref="CV29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3" s="9">
        <f>IFERROR(IF(ISBLANK(INDEX(Bay_AmClose,MATCH(1,INDEX((tbl_Case_mins[[#This Row],[Bay]]=BayNo)*(tbl_Case_mins[[#This Row],[Surgery Start Date]]=BDate),0,1),0))*1440),0,INDEX(Bay_AmClose,MATCH(1,INDEX((tbl_Case_mins[[#This Row],[Bay]]=BayNo)*(tbl_Case_mins[[#This Row],[Surgery Start Date]]=BDate),0,1),0))*1440),0)</f>
        <v>0</v>
      </c>
      <c r="CX293" s="9" cm="1">
        <f t="array" ref="CX293">IFERROR(IF(ISBLANK(INDEX(Bay_PmOpen,MATCH(1,INDEX((tbl_Case_mins[[#This Row],[Bay]]=BayNo)*(tbl_Case_mins[[#This Row],[Surgery Start Date]]=BDate),0,1),0))*1440),0,INDEX(Bay_PmOpen,MATCH(1,INDEX((tbl_Case_mins[[#This Row],[Bay]]=BayNo)*(tbl_Case_mins[[#This Row],[Surgery Start Date]]=BDate),0,1),0))*1440),0)</f>
        <v>0</v>
      </c>
      <c r="CY29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3" s="9"/>
    </row>
    <row r="294" spans="1:104" x14ac:dyDescent="0.2">
      <c r="A294">
        <v>293</v>
      </c>
      <c r="B294" t="e">
        <f>#REF!</f>
        <v>#REF!</v>
      </c>
      <c r="C294" t="e">
        <f>#REF!</f>
        <v>#REF!</v>
      </c>
      <c r="D294" t="e">
        <f>#REF!</f>
        <v>#REF!</v>
      </c>
      <c r="E294" t="e">
        <f>#REF!</f>
        <v>#REF!</v>
      </c>
      <c r="F294" t="e">
        <f>#REF!</f>
        <v>#REF!</v>
      </c>
      <c r="G294" t="e">
        <f>#REF!</f>
        <v>#REF!</v>
      </c>
      <c r="H294" t="e">
        <f>#REF!</f>
        <v>#REF!</v>
      </c>
      <c r="I294" t="e">
        <f>IF(#REF!="Case Cancelled",1,IF(#REF!="No Cases",2,0))</f>
        <v>#REF!</v>
      </c>
      <c r="J294" t="e">
        <f>#REF!</f>
        <v>#REF!</v>
      </c>
      <c r="K294" s="4" t="e">
        <f>#REF!</f>
        <v>#REF!</v>
      </c>
      <c r="L294" t="e">
        <f>"Wk "&amp;WEEKNUM(tbl_Case_mins[[#This Row],[Surgery Start Date]],21)</f>
        <v>#REF!</v>
      </c>
      <c r="M294" t="e">
        <f>TEXT(tbl_Case_mins[[#This Row],[Surgery Start Date]],"ddd")</f>
        <v>#REF!</v>
      </c>
      <c r="N294" s="9" t="e">
        <f>(#REF!-TIME(0,0,0))*1440</f>
        <v>#REF!</v>
      </c>
      <c r="O294" t="e">
        <f>IF(AND(ROUND((#REF!-TIME(0,0,0))*1440,0)&gt;0,ROUND((#REF!-TIME(0,0,0))*1440,0)&lt;tbl_Case_mins[[#This Row],[Patient Called]],tbl_Case_mins[[#This Row],[Surgery End Date]]&gt;tbl_Case_mins[[#This Row],[Surgery Start Date]]),ROUND((#REF!-TIME(0,0,0))*1440,0)+1440,ROUND((#REF!-TIME(0,0,0))*1440,0))</f>
        <v>#REF!</v>
      </c>
      <c r="P294" s="9" t="e">
        <f>IF(AND(ROUND((#REF!-TIME(0,0,0))*1440,0)&gt;0,ROUND((#REF!-TIME(0,0,0))*1440,0)&lt;tbl_Case_mins[[#This Row],[Arrival]],tbl_Case_mins[[#This Row],[Surgery End Date]]&gt;tbl_Case_mins[[#This Row],[Surgery Start Date]]),ROUND((#REF!-TIME(0,0,0))*1440,0)+1440,ROUND((#REF!-TIME(0,0,0))*1440,0))</f>
        <v>#REF!</v>
      </c>
      <c r="Q294" s="9" t="e">
        <f>IF(AND(ROUND((#REF!-TIME(0,0,0))*1440,0)&gt;0,ROUND((#REF!-TIME(0,0,0))*1440,0)&lt;tbl_Case_mins[[#This Row],[Into Th or AR]],tbl_Case_mins[[#This Row],[Surgery End Date]]&gt;tbl_Case_mins[[#This Row],[Surgery Start Date]]),ROUND((#REF!-TIME(0,0,0))*1440,0)+1440,ROUND((#REF!-TIME(0,0,0))*1440,0))</f>
        <v>#REF!</v>
      </c>
      <c r="R294" s="9" t="e">
        <f>IF(AND(ROUND((#REF!-TIME(0,0,0))*1440,0)&gt;0,ROUND((#REF!-TIME(0,0,0))*1440,0)&lt;tbl_Case_mins[[#This Row],[AnaesthStart]],tbl_Case_mins[[#This Row],[Surgery End Date]]&gt;tbl_Case_mins[[#This Row],[Surgery Start Date]]),ROUND((#REF!-TIME(0,0,0))*1440,0)+1440,ROUND((#REF!-TIME(0,0,0))*1440,0))</f>
        <v>#REF!</v>
      </c>
      <c r="S294" s="9" t="e">
        <f>IF(AND(ROUND((#REF!-TIME(0,0,0))*1440,0),ROUND((#REF!-TIME(0,0,0))*1440,0)&lt;tbl_Case_mins[[#This Row],[Surgery Start]],tbl_Case_mins[[#This Row],[Surgery End Date]]&gt;tbl_Case_mins[[#This Row],[Surgery Start Date]]),ROUND((#REF!-TIME(0,0,0))*1440,0)+1440,ROUND((#REF!-TIME(0,0,0))*1440,0))</f>
        <v>#REF!</v>
      </c>
      <c r="T294" s="9" t="e">
        <f>IF(AND(ROUND((#REF!-TIME(0,0,0))*1440,0)&gt;0,ROUND((#REF!-TIME(0,0,0))*1440,0)&lt;tbl_Case_mins[[#This Row],[Surgery Finish]],tbl_Case_mins[[#This Row],[Surgery End Date]]&gt;tbl_Case_mins[[#This Row],[Surgery Start Date]]),ROUND((#REF!-TIME(0,0,0))*1440,0)+1440,ROUND((#REF!-TIME(0,0,0))*1440,0))</f>
        <v>#REF!</v>
      </c>
      <c r="U294" s="9" t="e">
        <f>IF(AND(ROUND((#REF!-TIME(0,0,0))*1440,0)&gt;0,ROUND((#REF!-TIME(0,0,0))*1440,0)&lt;tbl_Case_mins[[#This Row],[Anaesth End]],tbl_Case_mins[[#This Row],[Surgery End Date]]&gt;tbl_Case_mins[[#This Row],[Surgery Start Date]]),ROUND((#REF!-TIME(0,0,0))*1440,0)+1440,ROUND((#REF!-TIME(0,0,0))*1440,0))</f>
        <v>#REF!</v>
      </c>
      <c r="V294" s="9" t="e">
        <f>IF(AND(ROUND((#REF!-TIME(0,0,0))*1440,0)&gt;0,ROUND((#REF!-TIME(0,0,0))*1440,0)&lt;tbl_Case_mins[[#This Row],[Into Recov]],tbl_Case_mins[[#This Row],[Surgery End Date]]&gt;tbl_Case_mins[[#This Row],[Surgery Start Date]]),ROUND((#REF!-TIME(0,0,0))*1440,0)+1440,ROUND((#REF!-TIME(0,0,0))*1440,0))</f>
        <v>#REF!</v>
      </c>
      <c r="W294" s="9" t="e">
        <f>IF(AND(ROUND((#REF!-TIME(0,0,0))*1440,0)&gt;0,ROUND((#REF!-TIME(0,0,0))*1440,0)&lt;tbl_Case_mins[[#This Row],[Ward Called]],tbl_Case_mins[[#This Row],[Surgery End Date]]&gt;tbl_Case_mins[[#This Row],[Surgery Start Date]]),ROUND((#REF!-TIME(0,0,0))*1440,0)+1440,ROUND((#REF!-TIME(0,0,0))*1440,0))</f>
        <v>#REF!</v>
      </c>
      <c r="X294" s="4" t="e">
        <f>IF(ISBLANK(#REF!),tbl_Case_mins[[#This Row],[Surgery Start Date]],#REF!)</f>
        <v>#REF!</v>
      </c>
      <c r="Y294">
        <f>IFERROR(IF(VLOOKUP(tbl_Case_mins[[#This Row],[Theatre]],'Mng Theatres'!$C$7:$G$12,3,FALSE)="Yes","Yes","No"),0)</f>
        <v>0</v>
      </c>
      <c r="Z294" s="9" t="e" cm="1">
        <f t="array" ref="Z29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4" s="9" t="e" cm="1">
        <f t="array" ref="AA29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4" s="9" t="e">
        <f>IF(tbl_Case_mins[[#This Row],[Case Type]]="Unsch",1,0)</f>
        <v>#REF!</v>
      </c>
      <c r="AD294" s="9" t="e">
        <f>IF(tbl_Case_mins[[#This Row],[Case Type]]="Sch",1,0)</f>
        <v>#REF!</v>
      </c>
      <c r="AE29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4" s="9">
        <f>IFERROR(IF(ISBLANK(INDEX(Am_Close,MATCH(1,INDEX((tbl_Case_mins[[#This Row],[Theatre]]=Theatre_No)*(tbl_Case_mins[[#This Row],[Surgery Start Date]]=Date),0,1),0))*1440),0,INDEX(Am_Close,MATCH(1,INDEX((tbl_Case_mins[[#This Row],[Theatre]]=Theatre_No)*(tbl_Case_mins[[#This Row],[Surgery Start Date]]=Date),0,1),0))*1440),0)</f>
        <v>0</v>
      </c>
      <c r="AG294" s="9">
        <f>IFERROR(IF(ISBLANK(INDEX(PM_Open,MATCH(1,INDEX((tbl_Case_mins[[#This Row],[Theatre]]=Theatre_No)*(tbl_Case_mins[[#This Row],[Surgery Start Date]]=Date),0,1),0))*1440),0,INDEX(PM_Open,MATCH(1,INDEX((tbl_Case_mins[[#This Row],[Theatre]]=Theatre_No)*(tbl_Case_mins[[#This Row],[Surgery Start Date]]=Date),0,1),0))*1440),0)</f>
        <v>0</v>
      </c>
      <c r="AH29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4" s="9" t="e">
        <f>IF(tbl_Case_mins[[#This Row],[ThOpenAm]]=0,tbl_Case_mins[[#This Row],[ThOpenPM]],tbl_Case_mins[[#This Row],[ThOpenAm]])</f>
        <v>#REF!</v>
      </c>
      <c r="AJ294" s="9" t="e">
        <f>IF(tbl_Case_mins[[#This Row],[ThCloseAm]]&gt;0,IF(tbl_Case_mins[[#This Row],[ThOpenPM]]&gt;0,tbl_Case_mins[[#This Row],[ThClosePm]],tbl_Case_mins[[#This Row],[ThCloseAm]]),tbl_Case_mins[[#This Row],[ThClosePm]])</f>
        <v>#REF!</v>
      </c>
      <c r="AK294" s="9" t="e">
        <f>IF(tbl_Case_mins[[#This Row],[TOT]]&gt;0,1,0)</f>
        <v>#REF!</v>
      </c>
      <c r="AL29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4" s="9" t="e">
        <f>IF(AND(tbl_Case_mins[[#This Row],[Surgery Status]]&lt;&gt;2,tbl_Case_mins[[#This Row],[InCoreCase]]=0,tbl_Case_mins[[#This Row],[CancelledCase]]=0),1,0)</f>
        <v>#REF!</v>
      </c>
      <c r="AN294" s="9" t="e">
        <f>IF(tbl_Case_mins[[#This Row],[Surgery Status]]=1,1,0)</f>
        <v>#REF!</v>
      </c>
      <c r="AO29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4" s="9" t="e">
        <f>IF(AND(tbl_Case_mins[[#This Row],[NonCoreCase]]=1,tbl_Case_mins[[#This Row],[NoInCoreTime]]=0),1,0)</f>
        <v>#REF!</v>
      </c>
      <c r="AQ294" s="9" t="e">
        <f>IF(tbl_Case_mins[[#This Row],[Rank_AnaEnd]]&lt;tbl_Case_mins[[#This Row],[Rank_AnaSt]],1,0)</f>
        <v>#REF!</v>
      </c>
      <c r="AR294" s="9" t="e">
        <f>IF(AND(tbl_Case_mins[[#This Row],[InCoreCase]]=1,tbl_Case_mins[[#This Row],[Sch]]=1),1,0)</f>
        <v>#REF!</v>
      </c>
      <c r="AS294" s="9" t="e">
        <f>IF(AND(tbl_Case_mins[[#This Row],[InCoreCase]]=1,tbl_Case_mins[[#This Row],[Unsch]]=1),1,0)</f>
        <v>#REF!</v>
      </c>
      <c r="AT29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4" s="9" t="e">
        <f>IF(tbl_Case_mins[[#This Row],[Surgery Status]]=0,(tbl_Case_mins[[#This Row],[Anaesth End]]-tbl_Case_mins[[#This Row],[AnaesthStart]]),0)</f>
        <v>#REF!</v>
      </c>
      <c r="AX294" s="9" t="e">
        <f>IF(tbl_Case_mins[[#This Row],[Surgery Status]]=0,(tbl_Case_mins[[#This Row],[Surgery Finish]]-tbl_Case_mins[[#This Row],[Surgery Start]]),0)</f>
        <v>#REF!</v>
      </c>
      <c r="AY294" s="9" t="e">
        <f>tbl_Case_mins[[#This Row],[Surgery Start]]-tbl_Case_mins[[#This Row],[AnaesthStart]]</f>
        <v>#REF!</v>
      </c>
      <c r="AZ294" s="9" t="e">
        <f>tbl_Case_mins[[#This Row],[Anaesth End]]-tbl_Case_mins[[#This Row],[Surgery Finish]]</f>
        <v>#REF!</v>
      </c>
      <c r="BA29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4" s="16" cm="1">
        <f t="array" ref="BC29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4" s="16" t="e">
        <f>IF(AND(tbl_Case_mins[[#This Row],[FirstAMCase]]=1,tbl_Case_mins[[#This Row],[CancelledCase]]=0,OR(tbl_Case_mins[[#This Row],[EarlyStartAM]]&gt;0,tbl_Case_mins[[#This Row],[AnaesthStart]]=tbl_Case_mins[[#This Row],[ThOpenAm]])),1,0)</f>
        <v>#REF!</v>
      </c>
      <c r="BE294" s="16" t="e">
        <f>IF(AND(tbl_Case_mins[[#This Row],[Rank_AnaSt]]=tbl_Case_mins[[#This Row],[Min_RankAnaSt]],tbl_Case_mins[[#This Row],[Anaesth End]]&gt;=tbl_Case_mins[[#This Row],[ThOpenAm]],tbl_Case_mins[[#This Row],[PmCase]]=0),1,0)</f>
        <v>#REF!</v>
      </c>
      <c r="BF29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4" s="9" t="e" cm="1">
        <f t="array" ref="BH29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4" s="9" t="e">
        <f>IF(AND(tbl_Case_mins[[#This Row],[ThOpenPM]]&gt;0,tbl_Case_mins[[#This Row],[AnaesthStart]]&gt;tbl_Case_mins[[#This Row],[ThOpenPM]],tbl_Case_mins[[#This Row],[First PM Case]]=1),tbl_Case_mins[[#This Row],[AnaesthStart]]-tbl_Case_mins[[#This Row],[ThOpenPM]],0)</f>
        <v>#REF!</v>
      </c>
      <c r="BL29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4" s="9" t="e" cm="1">
        <f t="array" ref="BN29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4" s="9" t="e">
        <f>IF(AND(tbl_Case_mins[[#This Row],[ThClosePm]]&gt;0,tbl_Case_mins[[#This Row],[Anaesth End]]&gt;tbl_Case_mins[[#This Row],[ThClosePm]],tbl_Case_mins[[#This Row],[AnaesthStart]]&gt;tbl_Case_mins[[#This Row],[ThClosePm]]),tbl_Case_mins[[#This Row],[Into Recov]]-tbl_Case_mins[[#This Row],[AnaesthStart]],0)</f>
        <v>#REF!</v>
      </c>
      <c r="BP294" s="9" t="e">
        <f>IF(AND(tbl_Case_mins[[#This Row],[AnaesthStart]]&lt;tbl_Case_mins[[#This Row],[ThClosePm]],tbl_Case_mins[[#This Row],[Anaesth End]]&gt;tbl_Case_mins[[#This Row],[ThClosePm]]),tbl_Case_mins[[#This Row],[Anaesth End]]-tbl_Case_mins[[#This Row],[ThClosePm]],0)</f>
        <v>#REF!</v>
      </c>
      <c r="BQ294" s="9" t="e" cm="1">
        <f t="array" ref="BQ29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4" s="9" t="e" cm="1">
        <f t="array" ref="BR294">IF(tbl_Case_mins[[#This Row],[Rank_Adjust]]=SUMPRODUCT(-(tbl_Case_mins[Surgery Start Date]=tbl_Case_mins[[#This Row],[Surgery Start Date]]),-(tbl_Case_mins[Theatre]=tbl_Case_mins[[#This Row],[Theatre]])),INDEX(Poss_Time,MATCH(TEXT(tbl_Case_mins[[#This Row],[Surgery Start Date]],"ddd"),Day,0)),0)</f>
        <v>#REF!</v>
      </c>
      <c r="BS294" s="9" t="e">
        <f>tbl_Case_mins[[#This Row],[Core_Time]]*Util_Goal</f>
        <v>#REF!</v>
      </c>
      <c r="BT294" s="9" t="e" cm="1">
        <f t="array" ref="BT2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4" s="9" t="e" cm="1">
        <f t="array" ref="BU2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4" s="9" t="e">
        <f>IF(tbl_Case_mins[[#This Row],[Surgery End Date]]&gt;tbl_Case_mins[[#This Row],[Surgery Start Date]],tbl_Case_mins[[#This Row],[Anaesth End]]-1440,0)</f>
        <v>#REF!</v>
      </c>
      <c r="BY294" s="9" t="e">
        <f>tbl_Case_mins[[#This Row],[Total_NonCore]]-tbl_Case_mins[[#This Row],[NextDay_NonCore]]</f>
        <v>#REF!</v>
      </c>
      <c r="BZ294" s="10" t="e">
        <f>tbl_Case_mins[[#This Row],[InCoreUse]]/60</f>
        <v>#REF!</v>
      </c>
      <c r="CA294" s="10" t="e">
        <f>tbl_Case_mins[[#This Row],[Total_NonCore]]/60</f>
        <v>#REF!</v>
      </c>
      <c r="CB294" t="e" cm="1">
        <f t="array" ref="CB2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4" s="9" t="e" cm="1">
        <f t="array" ref="CC29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4" s="9" t="e" cm="1">
        <f t="array" ref="CD2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4" s="9" t="e" cm="1">
        <f t="array" ref="CE29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4" s="9" cm="1">
        <f t="array" ref="CF294">IFERROR(_xlfn.AGGREGATE(14,6,(tbl_Case_mins[Rank_AnaEnd])/((tbl_Case_mins[Surgery Start Date]=tbl_Case_mins[[#This Row],[Surgery Start Date]])*(tbl_Case_mins[Theatre]=tbl_Case_mins[[#This Row],[Theatre]])*(tbl_Case_mins[NoInCoreTime]=0)),1),-1)</f>
        <v>-1</v>
      </c>
      <c r="CG294" s="9" cm="1">
        <f t="array" ref="CG294">IFERROR(_xlfn.AGGREGATE(15,6,(tbl_Case_mins[Rank_AnaSt])/((tbl_Case_mins[Surgery Start Date]=tbl_Case_mins[[#This Row],[Surgery Start Date]])*(tbl_Case_mins[Theatre]=tbl_Case_mins[[#This Row],[Theatre]])*(tbl_Case_mins[NoInCoreTime]=0)),1),-1)</f>
        <v>-1</v>
      </c>
      <c r="CH29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4" t="e" cm="1">
        <f t="array" ref="CJ29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4" s="9" cm="1">
        <f t="array" ref="CO2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4" s="9" cm="1">
        <f t="array" ref="CP2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4" s="9" cm="1">
        <f t="array" ref="CQ294">IFERROR(IF(AND(tbl_Case_mins[[#This Row],[FirstAMCase]]=0,tbl_Case_mins[[#This Row],[Rank]]=_xlfn.AGGREGATE(14,6,(tbl_Case_mins[Rank])/((tbl_Case_mins[Surgery Start Date]=tbl_Case_mins[[#This Row],[Surgery Start Date]])*(tbl_Case_mins[Theatre]=tbl_Case_mins[[#This Row],[Theatre]])*(tbl_Case_mins[AmCase]=1)),1)),1,0),0)</f>
        <v>0</v>
      </c>
      <c r="CR294" s="9" cm="1">
        <f t="array" ref="CR29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4" s="9" t="e" cm="1">
        <f t="array" ref="CS29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4" s="9" cm="1">
        <f t="array" ref="CT294">IFERROR(IF(tbl_Case_mins[[#This Row],[Rank]]=_xlfn.AGGREGATE(15,6,(tbl_Case_mins[Rank])/((tbl_Case_mins[Surgery Start Date]=tbl_Case_mins[[#This Row],[Surgery Start Date]])*(tbl_Case_mins[Theatre]=tbl_Case_mins[[#This Row],[Theatre]])*(tbl_Case_mins[PmCase]=1)),1),1,0),0)</f>
        <v>0</v>
      </c>
      <c r="CU294">
        <f>IFERROR(#REF!,0)</f>
        <v>0</v>
      </c>
      <c r="CV294" s="9" t="e" cm="1">
        <f t="array" ref="CV29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4" s="9">
        <f>IFERROR(IF(ISBLANK(INDEX(Bay_AmClose,MATCH(1,INDEX((tbl_Case_mins[[#This Row],[Bay]]=BayNo)*(tbl_Case_mins[[#This Row],[Surgery Start Date]]=BDate),0,1),0))*1440),0,INDEX(Bay_AmClose,MATCH(1,INDEX((tbl_Case_mins[[#This Row],[Bay]]=BayNo)*(tbl_Case_mins[[#This Row],[Surgery Start Date]]=BDate),0,1),0))*1440),0)</f>
        <v>0</v>
      </c>
      <c r="CX294" s="9" cm="1">
        <f t="array" ref="CX294">IFERROR(IF(ISBLANK(INDEX(Bay_PmOpen,MATCH(1,INDEX((tbl_Case_mins[[#This Row],[Bay]]=BayNo)*(tbl_Case_mins[[#This Row],[Surgery Start Date]]=BDate),0,1),0))*1440),0,INDEX(Bay_PmOpen,MATCH(1,INDEX((tbl_Case_mins[[#This Row],[Bay]]=BayNo)*(tbl_Case_mins[[#This Row],[Surgery Start Date]]=BDate),0,1),0))*1440),0)</f>
        <v>0</v>
      </c>
      <c r="CY29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4" s="9"/>
    </row>
    <row r="295" spans="1:104" x14ac:dyDescent="0.2">
      <c r="A295">
        <v>294</v>
      </c>
      <c r="B295" t="e">
        <f>#REF!</f>
        <v>#REF!</v>
      </c>
      <c r="C295" t="e">
        <f>#REF!</f>
        <v>#REF!</v>
      </c>
      <c r="D295" t="e">
        <f>#REF!</f>
        <v>#REF!</v>
      </c>
      <c r="E295" t="e">
        <f>#REF!</f>
        <v>#REF!</v>
      </c>
      <c r="F295" t="e">
        <f>#REF!</f>
        <v>#REF!</v>
      </c>
      <c r="G295" t="e">
        <f>#REF!</f>
        <v>#REF!</v>
      </c>
      <c r="H295" t="e">
        <f>#REF!</f>
        <v>#REF!</v>
      </c>
      <c r="I295" t="e">
        <f>IF(#REF!="Case Cancelled",1,IF(#REF!="No Cases",2,0))</f>
        <v>#REF!</v>
      </c>
      <c r="J295" t="e">
        <f>#REF!</f>
        <v>#REF!</v>
      </c>
      <c r="K295" s="4" t="e">
        <f>#REF!</f>
        <v>#REF!</v>
      </c>
      <c r="L295" t="e">
        <f>"Wk "&amp;WEEKNUM(tbl_Case_mins[[#This Row],[Surgery Start Date]],21)</f>
        <v>#REF!</v>
      </c>
      <c r="M295" t="e">
        <f>TEXT(tbl_Case_mins[[#This Row],[Surgery Start Date]],"ddd")</f>
        <v>#REF!</v>
      </c>
      <c r="N295" s="9" t="e">
        <f>(#REF!-TIME(0,0,0))*1440</f>
        <v>#REF!</v>
      </c>
      <c r="O295" t="e">
        <f>IF(AND(ROUND((#REF!-TIME(0,0,0))*1440,0)&gt;0,ROUND((#REF!-TIME(0,0,0))*1440,0)&lt;tbl_Case_mins[[#This Row],[Patient Called]],tbl_Case_mins[[#This Row],[Surgery End Date]]&gt;tbl_Case_mins[[#This Row],[Surgery Start Date]]),ROUND((#REF!-TIME(0,0,0))*1440,0)+1440,ROUND((#REF!-TIME(0,0,0))*1440,0))</f>
        <v>#REF!</v>
      </c>
      <c r="P295" s="9" t="e">
        <f>IF(AND(ROUND((#REF!-TIME(0,0,0))*1440,0)&gt;0,ROUND((#REF!-TIME(0,0,0))*1440,0)&lt;tbl_Case_mins[[#This Row],[Arrival]],tbl_Case_mins[[#This Row],[Surgery End Date]]&gt;tbl_Case_mins[[#This Row],[Surgery Start Date]]),ROUND((#REF!-TIME(0,0,0))*1440,0)+1440,ROUND((#REF!-TIME(0,0,0))*1440,0))</f>
        <v>#REF!</v>
      </c>
      <c r="Q295" s="9" t="e">
        <f>IF(AND(ROUND((#REF!-TIME(0,0,0))*1440,0)&gt;0,ROUND((#REF!-TIME(0,0,0))*1440,0)&lt;tbl_Case_mins[[#This Row],[Into Th or AR]],tbl_Case_mins[[#This Row],[Surgery End Date]]&gt;tbl_Case_mins[[#This Row],[Surgery Start Date]]),ROUND((#REF!-TIME(0,0,0))*1440,0)+1440,ROUND((#REF!-TIME(0,0,0))*1440,0))</f>
        <v>#REF!</v>
      </c>
      <c r="R295" s="9" t="e">
        <f>IF(AND(ROUND((#REF!-TIME(0,0,0))*1440,0)&gt;0,ROUND((#REF!-TIME(0,0,0))*1440,0)&lt;tbl_Case_mins[[#This Row],[AnaesthStart]],tbl_Case_mins[[#This Row],[Surgery End Date]]&gt;tbl_Case_mins[[#This Row],[Surgery Start Date]]),ROUND((#REF!-TIME(0,0,0))*1440,0)+1440,ROUND((#REF!-TIME(0,0,0))*1440,0))</f>
        <v>#REF!</v>
      </c>
      <c r="S295" s="9" t="e">
        <f>IF(AND(ROUND((#REF!-TIME(0,0,0))*1440,0),ROUND((#REF!-TIME(0,0,0))*1440,0)&lt;tbl_Case_mins[[#This Row],[Surgery Start]],tbl_Case_mins[[#This Row],[Surgery End Date]]&gt;tbl_Case_mins[[#This Row],[Surgery Start Date]]),ROUND((#REF!-TIME(0,0,0))*1440,0)+1440,ROUND((#REF!-TIME(0,0,0))*1440,0))</f>
        <v>#REF!</v>
      </c>
      <c r="T295" s="9" t="e">
        <f>IF(AND(ROUND((#REF!-TIME(0,0,0))*1440,0)&gt;0,ROUND((#REF!-TIME(0,0,0))*1440,0)&lt;tbl_Case_mins[[#This Row],[Surgery Finish]],tbl_Case_mins[[#This Row],[Surgery End Date]]&gt;tbl_Case_mins[[#This Row],[Surgery Start Date]]),ROUND((#REF!-TIME(0,0,0))*1440,0)+1440,ROUND((#REF!-TIME(0,0,0))*1440,0))</f>
        <v>#REF!</v>
      </c>
      <c r="U295" s="9" t="e">
        <f>IF(AND(ROUND((#REF!-TIME(0,0,0))*1440,0)&gt;0,ROUND((#REF!-TIME(0,0,0))*1440,0)&lt;tbl_Case_mins[[#This Row],[Anaesth End]],tbl_Case_mins[[#This Row],[Surgery End Date]]&gt;tbl_Case_mins[[#This Row],[Surgery Start Date]]),ROUND((#REF!-TIME(0,0,0))*1440,0)+1440,ROUND((#REF!-TIME(0,0,0))*1440,0))</f>
        <v>#REF!</v>
      </c>
      <c r="V295" s="9" t="e">
        <f>IF(AND(ROUND((#REF!-TIME(0,0,0))*1440,0)&gt;0,ROUND((#REF!-TIME(0,0,0))*1440,0)&lt;tbl_Case_mins[[#This Row],[Into Recov]],tbl_Case_mins[[#This Row],[Surgery End Date]]&gt;tbl_Case_mins[[#This Row],[Surgery Start Date]]),ROUND((#REF!-TIME(0,0,0))*1440,0)+1440,ROUND((#REF!-TIME(0,0,0))*1440,0))</f>
        <v>#REF!</v>
      </c>
      <c r="W295" s="9" t="e">
        <f>IF(AND(ROUND((#REF!-TIME(0,0,0))*1440,0)&gt;0,ROUND((#REF!-TIME(0,0,0))*1440,0)&lt;tbl_Case_mins[[#This Row],[Ward Called]],tbl_Case_mins[[#This Row],[Surgery End Date]]&gt;tbl_Case_mins[[#This Row],[Surgery Start Date]]),ROUND((#REF!-TIME(0,0,0))*1440,0)+1440,ROUND((#REF!-TIME(0,0,0))*1440,0))</f>
        <v>#REF!</v>
      </c>
      <c r="X295" s="4" t="e">
        <f>IF(ISBLANK(#REF!),tbl_Case_mins[[#This Row],[Surgery Start Date]],#REF!)</f>
        <v>#REF!</v>
      </c>
      <c r="Y295">
        <f>IFERROR(IF(VLOOKUP(tbl_Case_mins[[#This Row],[Theatre]],'Mng Theatres'!$C$7:$G$12,3,FALSE)="Yes","Yes","No"),0)</f>
        <v>0</v>
      </c>
      <c r="Z295" s="9" t="e" cm="1">
        <f t="array" ref="Z29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5" s="9" t="e" cm="1">
        <f t="array" ref="AA29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5" s="9" t="e">
        <f>IF(tbl_Case_mins[[#This Row],[Case Type]]="Unsch",1,0)</f>
        <v>#REF!</v>
      </c>
      <c r="AD295" s="9" t="e">
        <f>IF(tbl_Case_mins[[#This Row],[Case Type]]="Sch",1,0)</f>
        <v>#REF!</v>
      </c>
      <c r="AE29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5" s="9">
        <f>IFERROR(IF(ISBLANK(INDEX(Am_Close,MATCH(1,INDEX((tbl_Case_mins[[#This Row],[Theatre]]=Theatre_No)*(tbl_Case_mins[[#This Row],[Surgery Start Date]]=Date),0,1),0))*1440),0,INDEX(Am_Close,MATCH(1,INDEX((tbl_Case_mins[[#This Row],[Theatre]]=Theatre_No)*(tbl_Case_mins[[#This Row],[Surgery Start Date]]=Date),0,1),0))*1440),0)</f>
        <v>0</v>
      </c>
      <c r="AG295" s="9">
        <f>IFERROR(IF(ISBLANK(INDEX(PM_Open,MATCH(1,INDEX((tbl_Case_mins[[#This Row],[Theatre]]=Theatre_No)*(tbl_Case_mins[[#This Row],[Surgery Start Date]]=Date),0,1),0))*1440),0,INDEX(PM_Open,MATCH(1,INDEX((tbl_Case_mins[[#This Row],[Theatre]]=Theatre_No)*(tbl_Case_mins[[#This Row],[Surgery Start Date]]=Date),0,1),0))*1440),0)</f>
        <v>0</v>
      </c>
      <c r="AH29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5" s="9" t="e">
        <f>IF(tbl_Case_mins[[#This Row],[ThOpenAm]]=0,tbl_Case_mins[[#This Row],[ThOpenPM]],tbl_Case_mins[[#This Row],[ThOpenAm]])</f>
        <v>#REF!</v>
      </c>
      <c r="AJ295" s="9" t="e">
        <f>IF(tbl_Case_mins[[#This Row],[ThCloseAm]]&gt;0,IF(tbl_Case_mins[[#This Row],[ThOpenPM]]&gt;0,tbl_Case_mins[[#This Row],[ThClosePm]],tbl_Case_mins[[#This Row],[ThCloseAm]]),tbl_Case_mins[[#This Row],[ThClosePm]])</f>
        <v>#REF!</v>
      </c>
      <c r="AK295" s="9" t="e">
        <f>IF(tbl_Case_mins[[#This Row],[TOT]]&gt;0,1,0)</f>
        <v>#REF!</v>
      </c>
      <c r="AL29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5" s="9" t="e">
        <f>IF(AND(tbl_Case_mins[[#This Row],[Surgery Status]]&lt;&gt;2,tbl_Case_mins[[#This Row],[InCoreCase]]=0,tbl_Case_mins[[#This Row],[CancelledCase]]=0),1,0)</f>
        <v>#REF!</v>
      </c>
      <c r="AN295" s="9" t="e">
        <f>IF(tbl_Case_mins[[#This Row],[Surgery Status]]=1,1,0)</f>
        <v>#REF!</v>
      </c>
      <c r="AO29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5" s="9" t="e">
        <f>IF(AND(tbl_Case_mins[[#This Row],[NonCoreCase]]=1,tbl_Case_mins[[#This Row],[NoInCoreTime]]=0),1,0)</f>
        <v>#REF!</v>
      </c>
      <c r="AQ295" s="9" t="e">
        <f>IF(tbl_Case_mins[[#This Row],[Rank_AnaEnd]]&lt;tbl_Case_mins[[#This Row],[Rank_AnaSt]],1,0)</f>
        <v>#REF!</v>
      </c>
      <c r="AR295" s="9" t="e">
        <f>IF(AND(tbl_Case_mins[[#This Row],[InCoreCase]]=1,tbl_Case_mins[[#This Row],[Sch]]=1),1,0)</f>
        <v>#REF!</v>
      </c>
      <c r="AS295" s="9" t="e">
        <f>IF(AND(tbl_Case_mins[[#This Row],[InCoreCase]]=1,tbl_Case_mins[[#This Row],[Unsch]]=1),1,0)</f>
        <v>#REF!</v>
      </c>
      <c r="AT29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5" s="9" t="e">
        <f>IF(tbl_Case_mins[[#This Row],[Surgery Status]]=0,(tbl_Case_mins[[#This Row],[Anaesth End]]-tbl_Case_mins[[#This Row],[AnaesthStart]]),0)</f>
        <v>#REF!</v>
      </c>
      <c r="AX295" s="9" t="e">
        <f>IF(tbl_Case_mins[[#This Row],[Surgery Status]]=0,(tbl_Case_mins[[#This Row],[Surgery Finish]]-tbl_Case_mins[[#This Row],[Surgery Start]]),0)</f>
        <v>#REF!</v>
      </c>
      <c r="AY295" s="9" t="e">
        <f>tbl_Case_mins[[#This Row],[Surgery Start]]-tbl_Case_mins[[#This Row],[AnaesthStart]]</f>
        <v>#REF!</v>
      </c>
      <c r="AZ295" s="9" t="e">
        <f>tbl_Case_mins[[#This Row],[Anaesth End]]-tbl_Case_mins[[#This Row],[Surgery Finish]]</f>
        <v>#REF!</v>
      </c>
      <c r="BA29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5" s="16" cm="1">
        <f t="array" ref="BC29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5" s="16" t="e">
        <f>IF(AND(tbl_Case_mins[[#This Row],[FirstAMCase]]=1,tbl_Case_mins[[#This Row],[CancelledCase]]=0,OR(tbl_Case_mins[[#This Row],[EarlyStartAM]]&gt;0,tbl_Case_mins[[#This Row],[AnaesthStart]]=tbl_Case_mins[[#This Row],[ThOpenAm]])),1,0)</f>
        <v>#REF!</v>
      </c>
      <c r="BE295" s="16" t="e">
        <f>IF(AND(tbl_Case_mins[[#This Row],[Rank_AnaSt]]=tbl_Case_mins[[#This Row],[Min_RankAnaSt]],tbl_Case_mins[[#This Row],[Anaesth End]]&gt;=tbl_Case_mins[[#This Row],[ThOpenAm]],tbl_Case_mins[[#This Row],[PmCase]]=0),1,0)</f>
        <v>#REF!</v>
      </c>
      <c r="BF29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5" s="9" t="e" cm="1">
        <f t="array" ref="BH29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5" s="9" t="e">
        <f>IF(AND(tbl_Case_mins[[#This Row],[ThOpenPM]]&gt;0,tbl_Case_mins[[#This Row],[AnaesthStart]]&gt;tbl_Case_mins[[#This Row],[ThOpenPM]],tbl_Case_mins[[#This Row],[First PM Case]]=1),tbl_Case_mins[[#This Row],[AnaesthStart]]-tbl_Case_mins[[#This Row],[ThOpenPM]],0)</f>
        <v>#REF!</v>
      </c>
      <c r="BL29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5" s="9" t="e" cm="1">
        <f t="array" ref="BN29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5" s="9" t="e">
        <f>IF(AND(tbl_Case_mins[[#This Row],[ThClosePm]]&gt;0,tbl_Case_mins[[#This Row],[Anaesth End]]&gt;tbl_Case_mins[[#This Row],[ThClosePm]],tbl_Case_mins[[#This Row],[AnaesthStart]]&gt;tbl_Case_mins[[#This Row],[ThClosePm]]),tbl_Case_mins[[#This Row],[Into Recov]]-tbl_Case_mins[[#This Row],[AnaesthStart]],0)</f>
        <v>#REF!</v>
      </c>
      <c r="BP295" s="9" t="e">
        <f>IF(AND(tbl_Case_mins[[#This Row],[AnaesthStart]]&lt;tbl_Case_mins[[#This Row],[ThClosePm]],tbl_Case_mins[[#This Row],[Anaesth End]]&gt;tbl_Case_mins[[#This Row],[ThClosePm]]),tbl_Case_mins[[#This Row],[Anaesth End]]-tbl_Case_mins[[#This Row],[ThClosePm]],0)</f>
        <v>#REF!</v>
      </c>
      <c r="BQ295" s="9" t="e" cm="1">
        <f t="array" ref="BQ29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5" s="9" t="e" cm="1">
        <f t="array" ref="BR295">IF(tbl_Case_mins[[#This Row],[Rank_Adjust]]=SUMPRODUCT(-(tbl_Case_mins[Surgery Start Date]=tbl_Case_mins[[#This Row],[Surgery Start Date]]),-(tbl_Case_mins[Theatre]=tbl_Case_mins[[#This Row],[Theatre]])),INDEX(Poss_Time,MATCH(TEXT(tbl_Case_mins[[#This Row],[Surgery Start Date]],"ddd"),Day,0)),0)</f>
        <v>#REF!</v>
      </c>
      <c r="BS295" s="9" t="e">
        <f>tbl_Case_mins[[#This Row],[Core_Time]]*Util_Goal</f>
        <v>#REF!</v>
      </c>
      <c r="BT295" s="9" t="e" cm="1">
        <f t="array" ref="BT2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5" s="9" t="e" cm="1">
        <f t="array" ref="BU2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5" s="9" t="e">
        <f>IF(tbl_Case_mins[[#This Row],[Surgery End Date]]&gt;tbl_Case_mins[[#This Row],[Surgery Start Date]],tbl_Case_mins[[#This Row],[Anaesth End]]-1440,0)</f>
        <v>#REF!</v>
      </c>
      <c r="BY295" s="9" t="e">
        <f>tbl_Case_mins[[#This Row],[Total_NonCore]]-tbl_Case_mins[[#This Row],[NextDay_NonCore]]</f>
        <v>#REF!</v>
      </c>
      <c r="BZ295" s="10" t="e">
        <f>tbl_Case_mins[[#This Row],[InCoreUse]]/60</f>
        <v>#REF!</v>
      </c>
      <c r="CA295" s="10" t="e">
        <f>tbl_Case_mins[[#This Row],[Total_NonCore]]/60</f>
        <v>#REF!</v>
      </c>
      <c r="CB295" t="e" cm="1">
        <f t="array" ref="CB2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5" s="9" t="e" cm="1">
        <f t="array" ref="CC29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5" s="9" t="e" cm="1">
        <f t="array" ref="CD2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5" s="9" t="e" cm="1">
        <f t="array" ref="CE29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5" s="9" cm="1">
        <f t="array" ref="CF295">IFERROR(_xlfn.AGGREGATE(14,6,(tbl_Case_mins[Rank_AnaEnd])/((tbl_Case_mins[Surgery Start Date]=tbl_Case_mins[[#This Row],[Surgery Start Date]])*(tbl_Case_mins[Theatre]=tbl_Case_mins[[#This Row],[Theatre]])*(tbl_Case_mins[NoInCoreTime]=0)),1),-1)</f>
        <v>-1</v>
      </c>
      <c r="CG295" s="9" cm="1">
        <f t="array" ref="CG295">IFERROR(_xlfn.AGGREGATE(15,6,(tbl_Case_mins[Rank_AnaSt])/((tbl_Case_mins[Surgery Start Date]=tbl_Case_mins[[#This Row],[Surgery Start Date]])*(tbl_Case_mins[Theatre]=tbl_Case_mins[[#This Row],[Theatre]])*(tbl_Case_mins[NoInCoreTime]=0)),1),-1)</f>
        <v>-1</v>
      </c>
      <c r="CH29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5" t="e" cm="1">
        <f t="array" ref="CJ29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5" s="9" cm="1">
        <f t="array" ref="CO2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5" s="9" cm="1">
        <f t="array" ref="CP2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5" s="9" cm="1">
        <f t="array" ref="CQ295">IFERROR(IF(AND(tbl_Case_mins[[#This Row],[FirstAMCase]]=0,tbl_Case_mins[[#This Row],[Rank]]=_xlfn.AGGREGATE(14,6,(tbl_Case_mins[Rank])/((tbl_Case_mins[Surgery Start Date]=tbl_Case_mins[[#This Row],[Surgery Start Date]])*(tbl_Case_mins[Theatre]=tbl_Case_mins[[#This Row],[Theatre]])*(tbl_Case_mins[AmCase]=1)),1)),1,0),0)</f>
        <v>0</v>
      </c>
      <c r="CR295" s="9" cm="1">
        <f t="array" ref="CR29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5" s="9" t="e" cm="1">
        <f t="array" ref="CS29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5" s="9" cm="1">
        <f t="array" ref="CT295">IFERROR(IF(tbl_Case_mins[[#This Row],[Rank]]=_xlfn.AGGREGATE(15,6,(tbl_Case_mins[Rank])/((tbl_Case_mins[Surgery Start Date]=tbl_Case_mins[[#This Row],[Surgery Start Date]])*(tbl_Case_mins[Theatre]=tbl_Case_mins[[#This Row],[Theatre]])*(tbl_Case_mins[PmCase]=1)),1),1,0),0)</f>
        <v>0</v>
      </c>
      <c r="CU295">
        <f>IFERROR(#REF!,0)</f>
        <v>0</v>
      </c>
      <c r="CV295" s="9" t="e" cm="1">
        <f t="array" ref="CV29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5" s="9">
        <f>IFERROR(IF(ISBLANK(INDEX(Bay_AmClose,MATCH(1,INDEX((tbl_Case_mins[[#This Row],[Bay]]=BayNo)*(tbl_Case_mins[[#This Row],[Surgery Start Date]]=BDate),0,1),0))*1440),0,INDEX(Bay_AmClose,MATCH(1,INDEX((tbl_Case_mins[[#This Row],[Bay]]=BayNo)*(tbl_Case_mins[[#This Row],[Surgery Start Date]]=BDate),0,1),0))*1440),0)</f>
        <v>0</v>
      </c>
      <c r="CX295" s="9" cm="1">
        <f t="array" ref="CX295">IFERROR(IF(ISBLANK(INDEX(Bay_PmOpen,MATCH(1,INDEX((tbl_Case_mins[[#This Row],[Bay]]=BayNo)*(tbl_Case_mins[[#This Row],[Surgery Start Date]]=BDate),0,1),0))*1440),0,INDEX(Bay_PmOpen,MATCH(1,INDEX((tbl_Case_mins[[#This Row],[Bay]]=BayNo)*(tbl_Case_mins[[#This Row],[Surgery Start Date]]=BDate),0,1),0))*1440),0)</f>
        <v>0</v>
      </c>
      <c r="CY29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5" s="9"/>
    </row>
    <row r="296" spans="1:104" x14ac:dyDescent="0.2">
      <c r="A296">
        <v>295</v>
      </c>
      <c r="B296" t="e">
        <f>#REF!</f>
        <v>#REF!</v>
      </c>
      <c r="C296" t="e">
        <f>#REF!</f>
        <v>#REF!</v>
      </c>
      <c r="D296" t="e">
        <f>#REF!</f>
        <v>#REF!</v>
      </c>
      <c r="E296" t="e">
        <f>#REF!</f>
        <v>#REF!</v>
      </c>
      <c r="F296" t="e">
        <f>#REF!</f>
        <v>#REF!</v>
      </c>
      <c r="G296" t="e">
        <f>#REF!</f>
        <v>#REF!</v>
      </c>
      <c r="H296" t="e">
        <f>#REF!</f>
        <v>#REF!</v>
      </c>
      <c r="I296" t="e">
        <f>IF(#REF!="Case Cancelled",1,IF(#REF!="No Cases",2,0))</f>
        <v>#REF!</v>
      </c>
      <c r="J296" t="e">
        <f>#REF!</f>
        <v>#REF!</v>
      </c>
      <c r="K296" s="4" t="e">
        <f>#REF!</f>
        <v>#REF!</v>
      </c>
      <c r="L296" t="e">
        <f>"Wk "&amp;WEEKNUM(tbl_Case_mins[[#This Row],[Surgery Start Date]],21)</f>
        <v>#REF!</v>
      </c>
      <c r="M296" t="e">
        <f>TEXT(tbl_Case_mins[[#This Row],[Surgery Start Date]],"ddd")</f>
        <v>#REF!</v>
      </c>
      <c r="N296" s="9" t="e">
        <f>(#REF!-TIME(0,0,0))*1440</f>
        <v>#REF!</v>
      </c>
      <c r="O296" t="e">
        <f>IF(AND(ROUND((#REF!-TIME(0,0,0))*1440,0)&gt;0,ROUND((#REF!-TIME(0,0,0))*1440,0)&lt;tbl_Case_mins[[#This Row],[Patient Called]],tbl_Case_mins[[#This Row],[Surgery End Date]]&gt;tbl_Case_mins[[#This Row],[Surgery Start Date]]),ROUND((#REF!-TIME(0,0,0))*1440,0)+1440,ROUND((#REF!-TIME(0,0,0))*1440,0))</f>
        <v>#REF!</v>
      </c>
      <c r="P296" s="9" t="e">
        <f>IF(AND(ROUND((#REF!-TIME(0,0,0))*1440,0)&gt;0,ROUND((#REF!-TIME(0,0,0))*1440,0)&lt;tbl_Case_mins[[#This Row],[Arrival]],tbl_Case_mins[[#This Row],[Surgery End Date]]&gt;tbl_Case_mins[[#This Row],[Surgery Start Date]]),ROUND((#REF!-TIME(0,0,0))*1440,0)+1440,ROUND((#REF!-TIME(0,0,0))*1440,0))</f>
        <v>#REF!</v>
      </c>
      <c r="Q296" s="9" t="e">
        <f>IF(AND(ROUND((#REF!-TIME(0,0,0))*1440,0)&gt;0,ROUND((#REF!-TIME(0,0,0))*1440,0)&lt;tbl_Case_mins[[#This Row],[Into Th or AR]],tbl_Case_mins[[#This Row],[Surgery End Date]]&gt;tbl_Case_mins[[#This Row],[Surgery Start Date]]),ROUND((#REF!-TIME(0,0,0))*1440,0)+1440,ROUND((#REF!-TIME(0,0,0))*1440,0))</f>
        <v>#REF!</v>
      </c>
      <c r="R296" s="9" t="e">
        <f>IF(AND(ROUND((#REF!-TIME(0,0,0))*1440,0)&gt;0,ROUND((#REF!-TIME(0,0,0))*1440,0)&lt;tbl_Case_mins[[#This Row],[AnaesthStart]],tbl_Case_mins[[#This Row],[Surgery End Date]]&gt;tbl_Case_mins[[#This Row],[Surgery Start Date]]),ROUND((#REF!-TIME(0,0,0))*1440,0)+1440,ROUND((#REF!-TIME(0,0,0))*1440,0))</f>
        <v>#REF!</v>
      </c>
      <c r="S296" s="9" t="e">
        <f>IF(AND(ROUND((#REF!-TIME(0,0,0))*1440,0),ROUND((#REF!-TIME(0,0,0))*1440,0)&lt;tbl_Case_mins[[#This Row],[Surgery Start]],tbl_Case_mins[[#This Row],[Surgery End Date]]&gt;tbl_Case_mins[[#This Row],[Surgery Start Date]]),ROUND((#REF!-TIME(0,0,0))*1440,0)+1440,ROUND((#REF!-TIME(0,0,0))*1440,0))</f>
        <v>#REF!</v>
      </c>
      <c r="T296" s="9" t="e">
        <f>IF(AND(ROUND((#REF!-TIME(0,0,0))*1440,0)&gt;0,ROUND((#REF!-TIME(0,0,0))*1440,0)&lt;tbl_Case_mins[[#This Row],[Surgery Finish]],tbl_Case_mins[[#This Row],[Surgery End Date]]&gt;tbl_Case_mins[[#This Row],[Surgery Start Date]]),ROUND((#REF!-TIME(0,0,0))*1440,0)+1440,ROUND((#REF!-TIME(0,0,0))*1440,0))</f>
        <v>#REF!</v>
      </c>
      <c r="U296" s="9" t="e">
        <f>IF(AND(ROUND((#REF!-TIME(0,0,0))*1440,0)&gt;0,ROUND((#REF!-TIME(0,0,0))*1440,0)&lt;tbl_Case_mins[[#This Row],[Anaesth End]],tbl_Case_mins[[#This Row],[Surgery End Date]]&gt;tbl_Case_mins[[#This Row],[Surgery Start Date]]),ROUND((#REF!-TIME(0,0,0))*1440,0)+1440,ROUND((#REF!-TIME(0,0,0))*1440,0))</f>
        <v>#REF!</v>
      </c>
      <c r="V296" s="9" t="e">
        <f>IF(AND(ROUND((#REF!-TIME(0,0,0))*1440,0)&gt;0,ROUND((#REF!-TIME(0,0,0))*1440,0)&lt;tbl_Case_mins[[#This Row],[Into Recov]],tbl_Case_mins[[#This Row],[Surgery End Date]]&gt;tbl_Case_mins[[#This Row],[Surgery Start Date]]),ROUND((#REF!-TIME(0,0,0))*1440,0)+1440,ROUND((#REF!-TIME(0,0,0))*1440,0))</f>
        <v>#REF!</v>
      </c>
      <c r="W296" s="9" t="e">
        <f>IF(AND(ROUND((#REF!-TIME(0,0,0))*1440,0)&gt;0,ROUND((#REF!-TIME(0,0,0))*1440,0)&lt;tbl_Case_mins[[#This Row],[Ward Called]],tbl_Case_mins[[#This Row],[Surgery End Date]]&gt;tbl_Case_mins[[#This Row],[Surgery Start Date]]),ROUND((#REF!-TIME(0,0,0))*1440,0)+1440,ROUND((#REF!-TIME(0,0,0))*1440,0))</f>
        <v>#REF!</v>
      </c>
      <c r="X296" s="4" t="e">
        <f>IF(ISBLANK(#REF!),tbl_Case_mins[[#This Row],[Surgery Start Date]],#REF!)</f>
        <v>#REF!</v>
      </c>
      <c r="Y296">
        <f>IFERROR(IF(VLOOKUP(tbl_Case_mins[[#This Row],[Theatre]],'Mng Theatres'!$C$7:$G$12,3,FALSE)="Yes","Yes","No"),0)</f>
        <v>0</v>
      </c>
      <c r="Z296" s="9" t="e" cm="1">
        <f t="array" ref="Z29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6" s="9" t="e" cm="1">
        <f t="array" ref="AA29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6" s="9" t="e">
        <f>IF(tbl_Case_mins[[#This Row],[Case Type]]="Unsch",1,0)</f>
        <v>#REF!</v>
      </c>
      <c r="AD296" s="9" t="e">
        <f>IF(tbl_Case_mins[[#This Row],[Case Type]]="Sch",1,0)</f>
        <v>#REF!</v>
      </c>
      <c r="AE29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6" s="9">
        <f>IFERROR(IF(ISBLANK(INDEX(Am_Close,MATCH(1,INDEX((tbl_Case_mins[[#This Row],[Theatre]]=Theatre_No)*(tbl_Case_mins[[#This Row],[Surgery Start Date]]=Date),0,1),0))*1440),0,INDEX(Am_Close,MATCH(1,INDEX((tbl_Case_mins[[#This Row],[Theatre]]=Theatre_No)*(tbl_Case_mins[[#This Row],[Surgery Start Date]]=Date),0,1),0))*1440),0)</f>
        <v>0</v>
      </c>
      <c r="AG296" s="9">
        <f>IFERROR(IF(ISBLANK(INDEX(PM_Open,MATCH(1,INDEX((tbl_Case_mins[[#This Row],[Theatre]]=Theatre_No)*(tbl_Case_mins[[#This Row],[Surgery Start Date]]=Date),0,1),0))*1440),0,INDEX(PM_Open,MATCH(1,INDEX((tbl_Case_mins[[#This Row],[Theatre]]=Theatre_No)*(tbl_Case_mins[[#This Row],[Surgery Start Date]]=Date),0,1),0))*1440),0)</f>
        <v>0</v>
      </c>
      <c r="AH29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6" s="9" t="e">
        <f>IF(tbl_Case_mins[[#This Row],[ThOpenAm]]=0,tbl_Case_mins[[#This Row],[ThOpenPM]],tbl_Case_mins[[#This Row],[ThOpenAm]])</f>
        <v>#REF!</v>
      </c>
      <c r="AJ296" s="9" t="e">
        <f>IF(tbl_Case_mins[[#This Row],[ThCloseAm]]&gt;0,IF(tbl_Case_mins[[#This Row],[ThOpenPM]]&gt;0,tbl_Case_mins[[#This Row],[ThClosePm]],tbl_Case_mins[[#This Row],[ThCloseAm]]),tbl_Case_mins[[#This Row],[ThClosePm]])</f>
        <v>#REF!</v>
      </c>
      <c r="AK296" s="9" t="e">
        <f>IF(tbl_Case_mins[[#This Row],[TOT]]&gt;0,1,0)</f>
        <v>#REF!</v>
      </c>
      <c r="AL29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6" s="9" t="e">
        <f>IF(AND(tbl_Case_mins[[#This Row],[Surgery Status]]&lt;&gt;2,tbl_Case_mins[[#This Row],[InCoreCase]]=0,tbl_Case_mins[[#This Row],[CancelledCase]]=0),1,0)</f>
        <v>#REF!</v>
      </c>
      <c r="AN296" s="9" t="e">
        <f>IF(tbl_Case_mins[[#This Row],[Surgery Status]]=1,1,0)</f>
        <v>#REF!</v>
      </c>
      <c r="AO29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6" s="9" t="e">
        <f>IF(AND(tbl_Case_mins[[#This Row],[NonCoreCase]]=1,tbl_Case_mins[[#This Row],[NoInCoreTime]]=0),1,0)</f>
        <v>#REF!</v>
      </c>
      <c r="AQ296" s="9" t="e">
        <f>IF(tbl_Case_mins[[#This Row],[Rank_AnaEnd]]&lt;tbl_Case_mins[[#This Row],[Rank_AnaSt]],1,0)</f>
        <v>#REF!</v>
      </c>
      <c r="AR296" s="9" t="e">
        <f>IF(AND(tbl_Case_mins[[#This Row],[InCoreCase]]=1,tbl_Case_mins[[#This Row],[Sch]]=1),1,0)</f>
        <v>#REF!</v>
      </c>
      <c r="AS296" s="9" t="e">
        <f>IF(AND(tbl_Case_mins[[#This Row],[InCoreCase]]=1,tbl_Case_mins[[#This Row],[Unsch]]=1),1,0)</f>
        <v>#REF!</v>
      </c>
      <c r="AT29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6" s="9" t="e">
        <f>IF(tbl_Case_mins[[#This Row],[Surgery Status]]=0,(tbl_Case_mins[[#This Row],[Anaesth End]]-tbl_Case_mins[[#This Row],[AnaesthStart]]),0)</f>
        <v>#REF!</v>
      </c>
      <c r="AX296" s="9" t="e">
        <f>IF(tbl_Case_mins[[#This Row],[Surgery Status]]=0,(tbl_Case_mins[[#This Row],[Surgery Finish]]-tbl_Case_mins[[#This Row],[Surgery Start]]),0)</f>
        <v>#REF!</v>
      </c>
      <c r="AY296" s="9" t="e">
        <f>tbl_Case_mins[[#This Row],[Surgery Start]]-tbl_Case_mins[[#This Row],[AnaesthStart]]</f>
        <v>#REF!</v>
      </c>
      <c r="AZ296" s="9" t="e">
        <f>tbl_Case_mins[[#This Row],[Anaesth End]]-tbl_Case_mins[[#This Row],[Surgery Finish]]</f>
        <v>#REF!</v>
      </c>
      <c r="BA29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6" s="16" cm="1">
        <f t="array" ref="BC29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6" s="16" t="e">
        <f>IF(AND(tbl_Case_mins[[#This Row],[FirstAMCase]]=1,tbl_Case_mins[[#This Row],[CancelledCase]]=0,OR(tbl_Case_mins[[#This Row],[EarlyStartAM]]&gt;0,tbl_Case_mins[[#This Row],[AnaesthStart]]=tbl_Case_mins[[#This Row],[ThOpenAm]])),1,0)</f>
        <v>#REF!</v>
      </c>
      <c r="BE296" s="16" t="e">
        <f>IF(AND(tbl_Case_mins[[#This Row],[Rank_AnaSt]]=tbl_Case_mins[[#This Row],[Min_RankAnaSt]],tbl_Case_mins[[#This Row],[Anaesth End]]&gt;=tbl_Case_mins[[#This Row],[ThOpenAm]],tbl_Case_mins[[#This Row],[PmCase]]=0),1,0)</f>
        <v>#REF!</v>
      </c>
      <c r="BF29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6" s="9" t="e" cm="1">
        <f t="array" ref="BH29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6" s="9" t="e">
        <f>IF(AND(tbl_Case_mins[[#This Row],[ThOpenPM]]&gt;0,tbl_Case_mins[[#This Row],[AnaesthStart]]&gt;tbl_Case_mins[[#This Row],[ThOpenPM]],tbl_Case_mins[[#This Row],[First PM Case]]=1),tbl_Case_mins[[#This Row],[AnaesthStart]]-tbl_Case_mins[[#This Row],[ThOpenPM]],0)</f>
        <v>#REF!</v>
      </c>
      <c r="BL29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6" s="9" t="e" cm="1">
        <f t="array" ref="BN29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6" s="9" t="e">
        <f>IF(AND(tbl_Case_mins[[#This Row],[ThClosePm]]&gt;0,tbl_Case_mins[[#This Row],[Anaesth End]]&gt;tbl_Case_mins[[#This Row],[ThClosePm]],tbl_Case_mins[[#This Row],[AnaesthStart]]&gt;tbl_Case_mins[[#This Row],[ThClosePm]]),tbl_Case_mins[[#This Row],[Into Recov]]-tbl_Case_mins[[#This Row],[AnaesthStart]],0)</f>
        <v>#REF!</v>
      </c>
      <c r="BP296" s="9" t="e">
        <f>IF(AND(tbl_Case_mins[[#This Row],[AnaesthStart]]&lt;tbl_Case_mins[[#This Row],[ThClosePm]],tbl_Case_mins[[#This Row],[Anaesth End]]&gt;tbl_Case_mins[[#This Row],[ThClosePm]]),tbl_Case_mins[[#This Row],[Anaesth End]]-tbl_Case_mins[[#This Row],[ThClosePm]],0)</f>
        <v>#REF!</v>
      </c>
      <c r="BQ296" s="9" t="e" cm="1">
        <f t="array" ref="BQ29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6" s="9" t="e" cm="1">
        <f t="array" ref="BR296">IF(tbl_Case_mins[[#This Row],[Rank_Adjust]]=SUMPRODUCT(-(tbl_Case_mins[Surgery Start Date]=tbl_Case_mins[[#This Row],[Surgery Start Date]]),-(tbl_Case_mins[Theatre]=tbl_Case_mins[[#This Row],[Theatre]])),INDEX(Poss_Time,MATCH(TEXT(tbl_Case_mins[[#This Row],[Surgery Start Date]],"ddd"),Day,0)),0)</f>
        <v>#REF!</v>
      </c>
      <c r="BS296" s="9" t="e">
        <f>tbl_Case_mins[[#This Row],[Core_Time]]*Util_Goal</f>
        <v>#REF!</v>
      </c>
      <c r="BT296" s="9" t="e" cm="1">
        <f t="array" ref="BT2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6" s="9" t="e" cm="1">
        <f t="array" ref="BU2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6" s="9" t="e">
        <f>IF(tbl_Case_mins[[#This Row],[Surgery End Date]]&gt;tbl_Case_mins[[#This Row],[Surgery Start Date]],tbl_Case_mins[[#This Row],[Anaesth End]]-1440,0)</f>
        <v>#REF!</v>
      </c>
      <c r="BY296" s="9" t="e">
        <f>tbl_Case_mins[[#This Row],[Total_NonCore]]-tbl_Case_mins[[#This Row],[NextDay_NonCore]]</f>
        <v>#REF!</v>
      </c>
      <c r="BZ296" s="10" t="e">
        <f>tbl_Case_mins[[#This Row],[InCoreUse]]/60</f>
        <v>#REF!</v>
      </c>
      <c r="CA296" s="10" t="e">
        <f>tbl_Case_mins[[#This Row],[Total_NonCore]]/60</f>
        <v>#REF!</v>
      </c>
      <c r="CB296" t="e" cm="1">
        <f t="array" ref="CB2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6" s="9" t="e" cm="1">
        <f t="array" ref="CC29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6" s="9" t="e" cm="1">
        <f t="array" ref="CD2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6" s="9" t="e" cm="1">
        <f t="array" ref="CE29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6" s="9" cm="1">
        <f t="array" ref="CF296">IFERROR(_xlfn.AGGREGATE(14,6,(tbl_Case_mins[Rank_AnaEnd])/((tbl_Case_mins[Surgery Start Date]=tbl_Case_mins[[#This Row],[Surgery Start Date]])*(tbl_Case_mins[Theatre]=tbl_Case_mins[[#This Row],[Theatre]])*(tbl_Case_mins[NoInCoreTime]=0)),1),-1)</f>
        <v>-1</v>
      </c>
      <c r="CG296" s="9" cm="1">
        <f t="array" ref="CG296">IFERROR(_xlfn.AGGREGATE(15,6,(tbl_Case_mins[Rank_AnaSt])/((tbl_Case_mins[Surgery Start Date]=tbl_Case_mins[[#This Row],[Surgery Start Date]])*(tbl_Case_mins[Theatre]=tbl_Case_mins[[#This Row],[Theatre]])*(tbl_Case_mins[NoInCoreTime]=0)),1),-1)</f>
        <v>-1</v>
      </c>
      <c r="CH29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6" t="e" cm="1">
        <f t="array" ref="CJ29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6" s="9" cm="1">
        <f t="array" ref="CO2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6" s="9" cm="1">
        <f t="array" ref="CP2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6" s="9" cm="1">
        <f t="array" ref="CQ296">IFERROR(IF(AND(tbl_Case_mins[[#This Row],[FirstAMCase]]=0,tbl_Case_mins[[#This Row],[Rank]]=_xlfn.AGGREGATE(14,6,(tbl_Case_mins[Rank])/((tbl_Case_mins[Surgery Start Date]=tbl_Case_mins[[#This Row],[Surgery Start Date]])*(tbl_Case_mins[Theatre]=tbl_Case_mins[[#This Row],[Theatre]])*(tbl_Case_mins[AmCase]=1)),1)),1,0),0)</f>
        <v>0</v>
      </c>
      <c r="CR296" s="9" cm="1">
        <f t="array" ref="CR29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6" s="9" t="e" cm="1">
        <f t="array" ref="CS29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6" s="9" cm="1">
        <f t="array" ref="CT296">IFERROR(IF(tbl_Case_mins[[#This Row],[Rank]]=_xlfn.AGGREGATE(15,6,(tbl_Case_mins[Rank])/((tbl_Case_mins[Surgery Start Date]=tbl_Case_mins[[#This Row],[Surgery Start Date]])*(tbl_Case_mins[Theatre]=tbl_Case_mins[[#This Row],[Theatre]])*(tbl_Case_mins[PmCase]=1)),1),1,0),0)</f>
        <v>0</v>
      </c>
      <c r="CU296">
        <f>IFERROR(#REF!,0)</f>
        <v>0</v>
      </c>
      <c r="CV296" s="9" t="e" cm="1">
        <f t="array" ref="CV29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6" s="9">
        <f>IFERROR(IF(ISBLANK(INDEX(Bay_AmClose,MATCH(1,INDEX((tbl_Case_mins[[#This Row],[Bay]]=BayNo)*(tbl_Case_mins[[#This Row],[Surgery Start Date]]=BDate),0,1),0))*1440),0,INDEX(Bay_AmClose,MATCH(1,INDEX((tbl_Case_mins[[#This Row],[Bay]]=BayNo)*(tbl_Case_mins[[#This Row],[Surgery Start Date]]=BDate),0,1),0))*1440),0)</f>
        <v>0</v>
      </c>
      <c r="CX296" s="9" cm="1">
        <f t="array" ref="CX296">IFERROR(IF(ISBLANK(INDEX(Bay_PmOpen,MATCH(1,INDEX((tbl_Case_mins[[#This Row],[Bay]]=BayNo)*(tbl_Case_mins[[#This Row],[Surgery Start Date]]=BDate),0,1),0))*1440),0,INDEX(Bay_PmOpen,MATCH(1,INDEX((tbl_Case_mins[[#This Row],[Bay]]=BayNo)*(tbl_Case_mins[[#This Row],[Surgery Start Date]]=BDate),0,1),0))*1440),0)</f>
        <v>0</v>
      </c>
      <c r="CY29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6" s="9"/>
    </row>
    <row r="297" spans="1:104" x14ac:dyDescent="0.2">
      <c r="A297">
        <v>296</v>
      </c>
      <c r="B297" t="e">
        <f>#REF!</f>
        <v>#REF!</v>
      </c>
      <c r="C297" t="e">
        <f>#REF!</f>
        <v>#REF!</v>
      </c>
      <c r="D297" t="e">
        <f>#REF!</f>
        <v>#REF!</v>
      </c>
      <c r="E297" t="e">
        <f>#REF!</f>
        <v>#REF!</v>
      </c>
      <c r="F297" t="e">
        <f>#REF!</f>
        <v>#REF!</v>
      </c>
      <c r="G297" t="e">
        <f>#REF!</f>
        <v>#REF!</v>
      </c>
      <c r="H297" t="e">
        <f>#REF!</f>
        <v>#REF!</v>
      </c>
      <c r="I297" t="e">
        <f>IF(#REF!="Case Cancelled",1,IF(#REF!="No Cases",2,0))</f>
        <v>#REF!</v>
      </c>
      <c r="J297" t="e">
        <f>#REF!</f>
        <v>#REF!</v>
      </c>
      <c r="K297" s="4" t="e">
        <f>#REF!</f>
        <v>#REF!</v>
      </c>
      <c r="L297" t="e">
        <f>"Wk "&amp;WEEKNUM(tbl_Case_mins[[#This Row],[Surgery Start Date]],21)</f>
        <v>#REF!</v>
      </c>
      <c r="M297" t="e">
        <f>TEXT(tbl_Case_mins[[#This Row],[Surgery Start Date]],"ddd")</f>
        <v>#REF!</v>
      </c>
      <c r="N297" s="9" t="e">
        <f>(#REF!-TIME(0,0,0))*1440</f>
        <v>#REF!</v>
      </c>
      <c r="O297" t="e">
        <f>IF(AND(ROUND((#REF!-TIME(0,0,0))*1440,0)&gt;0,ROUND((#REF!-TIME(0,0,0))*1440,0)&lt;tbl_Case_mins[[#This Row],[Patient Called]],tbl_Case_mins[[#This Row],[Surgery End Date]]&gt;tbl_Case_mins[[#This Row],[Surgery Start Date]]),ROUND((#REF!-TIME(0,0,0))*1440,0)+1440,ROUND((#REF!-TIME(0,0,0))*1440,0))</f>
        <v>#REF!</v>
      </c>
      <c r="P297" s="9" t="e">
        <f>IF(AND(ROUND((#REF!-TIME(0,0,0))*1440,0)&gt;0,ROUND((#REF!-TIME(0,0,0))*1440,0)&lt;tbl_Case_mins[[#This Row],[Arrival]],tbl_Case_mins[[#This Row],[Surgery End Date]]&gt;tbl_Case_mins[[#This Row],[Surgery Start Date]]),ROUND((#REF!-TIME(0,0,0))*1440,0)+1440,ROUND((#REF!-TIME(0,0,0))*1440,0))</f>
        <v>#REF!</v>
      </c>
      <c r="Q297" s="9" t="e">
        <f>IF(AND(ROUND((#REF!-TIME(0,0,0))*1440,0)&gt;0,ROUND((#REF!-TIME(0,0,0))*1440,0)&lt;tbl_Case_mins[[#This Row],[Into Th or AR]],tbl_Case_mins[[#This Row],[Surgery End Date]]&gt;tbl_Case_mins[[#This Row],[Surgery Start Date]]),ROUND((#REF!-TIME(0,0,0))*1440,0)+1440,ROUND((#REF!-TIME(0,0,0))*1440,0))</f>
        <v>#REF!</v>
      </c>
      <c r="R297" s="9" t="e">
        <f>IF(AND(ROUND((#REF!-TIME(0,0,0))*1440,0)&gt;0,ROUND((#REF!-TIME(0,0,0))*1440,0)&lt;tbl_Case_mins[[#This Row],[AnaesthStart]],tbl_Case_mins[[#This Row],[Surgery End Date]]&gt;tbl_Case_mins[[#This Row],[Surgery Start Date]]),ROUND((#REF!-TIME(0,0,0))*1440,0)+1440,ROUND((#REF!-TIME(0,0,0))*1440,0))</f>
        <v>#REF!</v>
      </c>
      <c r="S297" s="9" t="e">
        <f>IF(AND(ROUND((#REF!-TIME(0,0,0))*1440,0),ROUND((#REF!-TIME(0,0,0))*1440,0)&lt;tbl_Case_mins[[#This Row],[Surgery Start]],tbl_Case_mins[[#This Row],[Surgery End Date]]&gt;tbl_Case_mins[[#This Row],[Surgery Start Date]]),ROUND((#REF!-TIME(0,0,0))*1440,0)+1440,ROUND((#REF!-TIME(0,0,0))*1440,0))</f>
        <v>#REF!</v>
      </c>
      <c r="T297" s="9" t="e">
        <f>IF(AND(ROUND((#REF!-TIME(0,0,0))*1440,0)&gt;0,ROUND((#REF!-TIME(0,0,0))*1440,0)&lt;tbl_Case_mins[[#This Row],[Surgery Finish]],tbl_Case_mins[[#This Row],[Surgery End Date]]&gt;tbl_Case_mins[[#This Row],[Surgery Start Date]]),ROUND((#REF!-TIME(0,0,0))*1440,0)+1440,ROUND((#REF!-TIME(0,0,0))*1440,0))</f>
        <v>#REF!</v>
      </c>
      <c r="U297" s="9" t="e">
        <f>IF(AND(ROUND((#REF!-TIME(0,0,0))*1440,0)&gt;0,ROUND((#REF!-TIME(0,0,0))*1440,0)&lt;tbl_Case_mins[[#This Row],[Anaesth End]],tbl_Case_mins[[#This Row],[Surgery End Date]]&gt;tbl_Case_mins[[#This Row],[Surgery Start Date]]),ROUND((#REF!-TIME(0,0,0))*1440,0)+1440,ROUND((#REF!-TIME(0,0,0))*1440,0))</f>
        <v>#REF!</v>
      </c>
      <c r="V297" s="9" t="e">
        <f>IF(AND(ROUND((#REF!-TIME(0,0,0))*1440,0)&gt;0,ROUND((#REF!-TIME(0,0,0))*1440,0)&lt;tbl_Case_mins[[#This Row],[Into Recov]],tbl_Case_mins[[#This Row],[Surgery End Date]]&gt;tbl_Case_mins[[#This Row],[Surgery Start Date]]),ROUND((#REF!-TIME(0,0,0))*1440,0)+1440,ROUND((#REF!-TIME(0,0,0))*1440,0))</f>
        <v>#REF!</v>
      </c>
      <c r="W297" s="9" t="e">
        <f>IF(AND(ROUND((#REF!-TIME(0,0,0))*1440,0)&gt;0,ROUND((#REF!-TIME(0,0,0))*1440,0)&lt;tbl_Case_mins[[#This Row],[Ward Called]],tbl_Case_mins[[#This Row],[Surgery End Date]]&gt;tbl_Case_mins[[#This Row],[Surgery Start Date]]),ROUND((#REF!-TIME(0,0,0))*1440,0)+1440,ROUND((#REF!-TIME(0,0,0))*1440,0))</f>
        <v>#REF!</v>
      </c>
      <c r="X297" s="4" t="e">
        <f>IF(ISBLANK(#REF!),tbl_Case_mins[[#This Row],[Surgery Start Date]],#REF!)</f>
        <v>#REF!</v>
      </c>
      <c r="Y297">
        <f>IFERROR(IF(VLOOKUP(tbl_Case_mins[[#This Row],[Theatre]],'Mng Theatres'!$C$7:$G$12,3,FALSE)="Yes","Yes","No"),0)</f>
        <v>0</v>
      </c>
      <c r="Z297" s="9" t="e" cm="1">
        <f t="array" ref="Z29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7" s="9" t="e" cm="1">
        <f t="array" ref="AA29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7" s="9" t="e">
        <f>IF(tbl_Case_mins[[#This Row],[Case Type]]="Unsch",1,0)</f>
        <v>#REF!</v>
      </c>
      <c r="AD297" s="9" t="e">
        <f>IF(tbl_Case_mins[[#This Row],[Case Type]]="Sch",1,0)</f>
        <v>#REF!</v>
      </c>
      <c r="AE29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7" s="9">
        <f>IFERROR(IF(ISBLANK(INDEX(Am_Close,MATCH(1,INDEX((tbl_Case_mins[[#This Row],[Theatre]]=Theatre_No)*(tbl_Case_mins[[#This Row],[Surgery Start Date]]=Date),0,1),0))*1440),0,INDEX(Am_Close,MATCH(1,INDEX((tbl_Case_mins[[#This Row],[Theatre]]=Theatre_No)*(tbl_Case_mins[[#This Row],[Surgery Start Date]]=Date),0,1),0))*1440),0)</f>
        <v>0</v>
      </c>
      <c r="AG297" s="9">
        <f>IFERROR(IF(ISBLANK(INDEX(PM_Open,MATCH(1,INDEX((tbl_Case_mins[[#This Row],[Theatre]]=Theatre_No)*(tbl_Case_mins[[#This Row],[Surgery Start Date]]=Date),0,1),0))*1440),0,INDEX(PM_Open,MATCH(1,INDEX((tbl_Case_mins[[#This Row],[Theatre]]=Theatre_No)*(tbl_Case_mins[[#This Row],[Surgery Start Date]]=Date),0,1),0))*1440),0)</f>
        <v>0</v>
      </c>
      <c r="AH29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7" s="9" t="e">
        <f>IF(tbl_Case_mins[[#This Row],[ThOpenAm]]=0,tbl_Case_mins[[#This Row],[ThOpenPM]],tbl_Case_mins[[#This Row],[ThOpenAm]])</f>
        <v>#REF!</v>
      </c>
      <c r="AJ297" s="9" t="e">
        <f>IF(tbl_Case_mins[[#This Row],[ThCloseAm]]&gt;0,IF(tbl_Case_mins[[#This Row],[ThOpenPM]]&gt;0,tbl_Case_mins[[#This Row],[ThClosePm]],tbl_Case_mins[[#This Row],[ThCloseAm]]),tbl_Case_mins[[#This Row],[ThClosePm]])</f>
        <v>#REF!</v>
      </c>
      <c r="AK297" s="9" t="e">
        <f>IF(tbl_Case_mins[[#This Row],[TOT]]&gt;0,1,0)</f>
        <v>#REF!</v>
      </c>
      <c r="AL29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7" s="9" t="e">
        <f>IF(AND(tbl_Case_mins[[#This Row],[Surgery Status]]&lt;&gt;2,tbl_Case_mins[[#This Row],[InCoreCase]]=0,tbl_Case_mins[[#This Row],[CancelledCase]]=0),1,0)</f>
        <v>#REF!</v>
      </c>
      <c r="AN297" s="9" t="e">
        <f>IF(tbl_Case_mins[[#This Row],[Surgery Status]]=1,1,0)</f>
        <v>#REF!</v>
      </c>
      <c r="AO29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7" s="9" t="e">
        <f>IF(AND(tbl_Case_mins[[#This Row],[NonCoreCase]]=1,tbl_Case_mins[[#This Row],[NoInCoreTime]]=0),1,0)</f>
        <v>#REF!</v>
      </c>
      <c r="AQ297" s="9" t="e">
        <f>IF(tbl_Case_mins[[#This Row],[Rank_AnaEnd]]&lt;tbl_Case_mins[[#This Row],[Rank_AnaSt]],1,0)</f>
        <v>#REF!</v>
      </c>
      <c r="AR297" s="9" t="e">
        <f>IF(AND(tbl_Case_mins[[#This Row],[InCoreCase]]=1,tbl_Case_mins[[#This Row],[Sch]]=1),1,0)</f>
        <v>#REF!</v>
      </c>
      <c r="AS297" s="9" t="e">
        <f>IF(AND(tbl_Case_mins[[#This Row],[InCoreCase]]=1,tbl_Case_mins[[#This Row],[Unsch]]=1),1,0)</f>
        <v>#REF!</v>
      </c>
      <c r="AT29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7" s="9" t="e">
        <f>IF(tbl_Case_mins[[#This Row],[Surgery Status]]=0,(tbl_Case_mins[[#This Row],[Anaesth End]]-tbl_Case_mins[[#This Row],[AnaesthStart]]),0)</f>
        <v>#REF!</v>
      </c>
      <c r="AX297" s="9" t="e">
        <f>IF(tbl_Case_mins[[#This Row],[Surgery Status]]=0,(tbl_Case_mins[[#This Row],[Surgery Finish]]-tbl_Case_mins[[#This Row],[Surgery Start]]),0)</f>
        <v>#REF!</v>
      </c>
      <c r="AY297" s="9" t="e">
        <f>tbl_Case_mins[[#This Row],[Surgery Start]]-tbl_Case_mins[[#This Row],[AnaesthStart]]</f>
        <v>#REF!</v>
      </c>
      <c r="AZ297" s="9" t="e">
        <f>tbl_Case_mins[[#This Row],[Anaesth End]]-tbl_Case_mins[[#This Row],[Surgery Finish]]</f>
        <v>#REF!</v>
      </c>
      <c r="BA29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7" s="16" cm="1">
        <f t="array" ref="BC29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7" s="16" t="e">
        <f>IF(AND(tbl_Case_mins[[#This Row],[FirstAMCase]]=1,tbl_Case_mins[[#This Row],[CancelledCase]]=0,OR(tbl_Case_mins[[#This Row],[EarlyStartAM]]&gt;0,tbl_Case_mins[[#This Row],[AnaesthStart]]=tbl_Case_mins[[#This Row],[ThOpenAm]])),1,0)</f>
        <v>#REF!</v>
      </c>
      <c r="BE297" s="16" t="e">
        <f>IF(AND(tbl_Case_mins[[#This Row],[Rank_AnaSt]]=tbl_Case_mins[[#This Row],[Min_RankAnaSt]],tbl_Case_mins[[#This Row],[Anaesth End]]&gt;=tbl_Case_mins[[#This Row],[ThOpenAm]],tbl_Case_mins[[#This Row],[PmCase]]=0),1,0)</f>
        <v>#REF!</v>
      </c>
      <c r="BF29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7" s="9" t="e" cm="1">
        <f t="array" ref="BH29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7" s="9" t="e">
        <f>IF(AND(tbl_Case_mins[[#This Row],[ThOpenPM]]&gt;0,tbl_Case_mins[[#This Row],[AnaesthStart]]&gt;tbl_Case_mins[[#This Row],[ThOpenPM]],tbl_Case_mins[[#This Row],[First PM Case]]=1),tbl_Case_mins[[#This Row],[AnaesthStart]]-tbl_Case_mins[[#This Row],[ThOpenPM]],0)</f>
        <v>#REF!</v>
      </c>
      <c r="BL29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7" s="9" t="e" cm="1">
        <f t="array" ref="BN29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7" s="9" t="e">
        <f>IF(AND(tbl_Case_mins[[#This Row],[ThClosePm]]&gt;0,tbl_Case_mins[[#This Row],[Anaesth End]]&gt;tbl_Case_mins[[#This Row],[ThClosePm]],tbl_Case_mins[[#This Row],[AnaesthStart]]&gt;tbl_Case_mins[[#This Row],[ThClosePm]]),tbl_Case_mins[[#This Row],[Into Recov]]-tbl_Case_mins[[#This Row],[AnaesthStart]],0)</f>
        <v>#REF!</v>
      </c>
      <c r="BP297" s="9" t="e">
        <f>IF(AND(tbl_Case_mins[[#This Row],[AnaesthStart]]&lt;tbl_Case_mins[[#This Row],[ThClosePm]],tbl_Case_mins[[#This Row],[Anaesth End]]&gt;tbl_Case_mins[[#This Row],[ThClosePm]]),tbl_Case_mins[[#This Row],[Anaesth End]]-tbl_Case_mins[[#This Row],[ThClosePm]],0)</f>
        <v>#REF!</v>
      </c>
      <c r="BQ297" s="9" t="e" cm="1">
        <f t="array" ref="BQ29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7" s="9" t="e" cm="1">
        <f t="array" ref="BR297">IF(tbl_Case_mins[[#This Row],[Rank_Adjust]]=SUMPRODUCT(-(tbl_Case_mins[Surgery Start Date]=tbl_Case_mins[[#This Row],[Surgery Start Date]]),-(tbl_Case_mins[Theatre]=tbl_Case_mins[[#This Row],[Theatre]])),INDEX(Poss_Time,MATCH(TEXT(tbl_Case_mins[[#This Row],[Surgery Start Date]],"ddd"),Day,0)),0)</f>
        <v>#REF!</v>
      </c>
      <c r="BS297" s="9" t="e">
        <f>tbl_Case_mins[[#This Row],[Core_Time]]*Util_Goal</f>
        <v>#REF!</v>
      </c>
      <c r="BT297" s="9" t="e" cm="1">
        <f t="array" ref="BT2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7" s="9" t="e" cm="1">
        <f t="array" ref="BU2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7" s="9" t="e">
        <f>IF(tbl_Case_mins[[#This Row],[Surgery End Date]]&gt;tbl_Case_mins[[#This Row],[Surgery Start Date]],tbl_Case_mins[[#This Row],[Anaesth End]]-1440,0)</f>
        <v>#REF!</v>
      </c>
      <c r="BY297" s="9" t="e">
        <f>tbl_Case_mins[[#This Row],[Total_NonCore]]-tbl_Case_mins[[#This Row],[NextDay_NonCore]]</f>
        <v>#REF!</v>
      </c>
      <c r="BZ297" s="10" t="e">
        <f>tbl_Case_mins[[#This Row],[InCoreUse]]/60</f>
        <v>#REF!</v>
      </c>
      <c r="CA297" s="10" t="e">
        <f>tbl_Case_mins[[#This Row],[Total_NonCore]]/60</f>
        <v>#REF!</v>
      </c>
      <c r="CB297" t="e" cm="1">
        <f t="array" ref="CB2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7" s="9" t="e" cm="1">
        <f t="array" ref="CC29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7" s="9" t="e" cm="1">
        <f t="array" ref="CD2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7" s="9" t="e" cm="1">
        <f t="array" ref="CE29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7" s="9" cm="1">
        <f t="array" ref="CF297">IFERROR(_xlfn.AGGREGATE(14,6,(tbl_Case_mins[Rank_AnaEnd])/((tbl_Case_mins[Surgery Start Date]=tbl_Case_mins[[#This Row],[Surgery Start Date]])*(tbl_Case_mins[Theatre]=tbl_Case_mins[[#This Row],[Theatre]])*(tbl_Case_mins[NoInCoreTime]=0)),1),-1)</f>
        <v>-1</v>
      </c>
      <c r="CG297" s="9" cm="1">
        <f t="array" ref="CG297">IFERROR(_xlfn.AGGREGATE(15,6,(tbl_Case_mins[Rank_AnaSt])/((tbl_Case_mins[Surgery Start Date]=tbl_Case_mins[[#This Row],[Surgery Start Date]])*(tbl_Case_mins[Theatre]=tbl_Case_mins[[#This Row],[Theatre]])*(tbl_Case_mins[NoInCoreTime]=0)),1),-1)</f>
        <v>-1</v>
      </c>
      <c r="CH29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7" t="e" cm="1">
        <f t="array" ref="CJ29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7" s="9" cm="1">
        <f t="array" ref="CO2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7" s="9" cm="1">
        <f t="array" ref="CP2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7" s="9" cm="1">
        <f t="array" ref="CQ297">IFERROR(IF(AND(tbl_Case_mins[[#This Row],[FirstAMCase]]=0,tbl_Case_mins[[#This Row],[Rank]]=_xlfn.AGGREGATE(14,6,(tbl_Case_mins[Rank])/((tbl_Case_mins[Surgery Start Date]=tbl_Case_mins[[#This Row],[Surgery Start Date]])*(tbl_Case_mins[Theatre]=tbl_Case_mins[[#This Row],[Theatre]])*(tbl_Case_mins[AmCase]=1)),1)),1,0),0)</f>
        <v>0</v>
      </c>
      <c r="CR297" s="9" cm="1">
        <f t="array" ref="CR29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7" s="9" t="e" cm="1">
        <f t="array" ref="CS29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7" s="9" cm="1">
        <f t="array" ref="CT297">IFERROR(IF(tbl_Case_mins[[#This Row],[Rank]]=_xlfn.AGGREGATE(15,6,(tbl_Case_mins[Rank])/((tbl_Case_mins[Surgery Start Date]=tbl_Case_mins[[#This Row],[Surgery Start Date]])*(tbl_Case_mins[Theatre]=tbl_Case_mins[[#This Row],[Theatre]])*(tbl_Case_mins[PmCase]=1)),1),1,0),0)</f>
        <v>0</v>
      </c>
      <c r="CU297">
        <f>IFERROR(#REF!,0)</f>
        <v>0</v>
      </c>
      <c r="CV297" s="9" t="e" cm="1">
        <f t="array" ref="CV29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7" s="9">
        <f>IFERROR(IF(ISBLANK(INDEX(Bay_AmClose,MATCH(1,INDEX((tbl_Case_mins[[#This Row],[Bay]]=BayNo)*(tbl_Case_mins[[#This Row],[Surgery Start Date]]=BDate),0,1),0))*1440),0,INDEX(Bay_AmClose,MATCH(1,INDEX((tbl_Case_mins[[#This Row],[Bay]]=BayNo)*(tbl_Case_mins[[#This Row],[Surgery Start Date]]=BDate),0,1),0))*1440),0)</f>
        <v>0</v>
      </c>
      <c r="CX297" s="9" cm="1">
        <f t="array" ref="CX297">IFERROR(IF(ISBLANK(INDEX(Bay_PmOpen,MATCH(1,INDEX((tbl_Case_mins[[#This Row],[Bay]]=BayNo)*(tbl_Case_mins[[#This Row],[Surgery Start Date]]=BDate),0,1),0))*1440),0,INDEX(Bay_PmOpen,MATCH(1,INDEX((tbl_Case_mins[[#This Row],[Bay]]=BayNo)*(tbl_Case_mins[[#This Row],[Surgery Start Date]]=BDate),0,1),0))*1440),0)</f>
        <v>0</v>
      </c>
      <c r="CY29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7" s="9"/>
    </row>
    <row r="298" spans="1:104" x14ac:dyDescent="0.2">
      <c r="A298">
        <v>297</v>
      </c>
      <c r="B298" t="e">
        <f>#REF!</f>
        <v>#REF!</v>
      </c>
      <c r="C298" t="e">
        <f>#REF!</f>
        <v>#REF!</v>
      </c>
      <c r="D298" t="e">
        <f>#REF!</f>
        <v>#REF!</v>
      </c>
      <c r="E298" t="e">
        <f>#REF!</f>
        <v>#REF!</v>
      </c>
      <c r="F298" t="e">
        <f>#REF!</f>
        <v>#REF!</v>
      </c>
      <c r="G298" t="e">
        <f>#REF!</f>
        <v>#REF!</v>
      </c>
      <c r="H298" t="e">
        <f>#REF!</f>
        <v>#REF!</v>
      </c>
      <c r="I298" t="e">
        <f>IF(#REF!="Case Cancelled",1,IF(#REF!="No Cases",2,0))</f>
        <v>#REF!</v>
      </c>
      <c r="J298" t="e">
        <f>#REF!</f>
        <v>#REF!</v>
      </c>
      <c r="K298" s="4" t="e">
        <f>#REF!</f>
        <v>#REF!</v>
      </c>
      <c r="L298" t="e">
        <f>"Wk "&amp;WEEKNUM(tbl_Case_mins[[#This Row],[Surgery Start Date]],21)</f>
        <v>#REF!</v>
      </c>
      <c r="M298" t="e">
        <f>TEXT(tbl_Case_mins[[#This Row],[Surgery Start Date]],"ddd")</f>
        <v>#REF!</v>
      </c>
      <c r="N298" s="9" t="e">
        <f>(#REF!-TIME(0,0,0))*1440</f>
        <v>#REF!</v>
      </c>
      <c r="O298" t="e">
        <f>IF(AND(ROUND((#REF!-TIME(0,0,0))*1440,0)&gt;0,ROUND((#REF!-TIME(0,0,0))*1440,0)&lt;tbl_Case_mins[[#This Row],[Patient Called]],tbl_Case_mins[[#This Row],[Surgery End Date]]&gt;tbl_Case_mins[[#This Row],[Surgery Start Date]]),ROUND((#REF!-TIME(0,0,0))*1440,0)+1440,ROUND((#REF!-TIME(0,0,0))*1440,0))</f>
        <v>#REF!</v>
      </c>
      <c r="P298" s="9" t="e">
        <f>IF(AND(ROUND((#REF!-TIME(0,0,0))*1440,0)&gt;0,ROUND((#REF!-TIME(0,0,0))*1440,0)&lt;tbl_Case_mins[[#This Row],[Arrival]],tbl_Case_mins[[#This Row],[Surgery End Date]]&gt;tbl_Case_mins[[#This Row],[Surgery Start Date]]),ROUND((#REF!-TIME(0,0,0))*1440,0)+1440,ROUND((#REF!-TIME(0,0,0))*1440,0))</f>
        <v>#REF!</v>
      </c>
      <c r="Q298" s="9" t="e">
        <f>IF(AND(ROUND((#REF!-TIME(0,0,0))*1440,0)&gt;0,ROUND((#REF!-TIME(0,0,0))*1440,0)&lt;tbl_Case_mins[[#This Row],[Into Th or AR]],tbl_Case_mins[[#This Row],[Surgery End Date]]&gt;tbl_Case_mins[[#This Row],[Surgery Start Date]]),ROUND((#REF!-TIME(0,0,0))*1440,0)+1440,ROUND((#REF!-TIME(0,0,0))*1440,0))</f>
        <v>#REF!</v>
      </c>
      <c r="R298" s="9" t="e">
        <f>IF(AND(ROUND((#REF!-TIME(0,0,0))*1440,0)&gt;0,ROUND((#REF!-TIME(0,0,0))*1440,0)&lt;tbl_Case_mins[[#This Row],[AnaesthStart]],tbl_Case_mins[[#This Row],[Surgery End Date]]&gt;tbl_Case_mins[[#This Row],[Surgery Start Date]]),ROUND((#REF!-TIME(0,0,0))*1440,0)+1440,ROUND((#REF!-TIME(0,0,0))*1440,0))</f>
        <v>#REF!</v>
      </c>
      <c r="S298" s="9" t="e">
        <f>IF(AND(ROUND((#REF!-TIME(0,0,0))*1440,0),ROUND((#REF!-TIME(0,0,0))*1440,0)&lt;tbl_Case_mins[[#This Row],[Surgery Start]],tbl_Case_mins[[#This Row],[Surgery End Date]]&gt;tbl_Case_mins[[#This Row],[Surgery Start Date]]),ROUND((#REF!-TIME(0,0,0))*1440,0)+1440,ROUND((#REF!-TIME(0,0,0))*1440,0))</f>
        <v>#REF!</v>
      </c>
      <c r="T298" s="9" t="e">
        <f>IF(AND(ROUND((#REF!-TIME(0,0,0))*1440,0)&gt;0,ROUND((#REF!-TIME(0,0,0))*1440,0)&lt;tbl_Case_mins[[#This Row],[Surgery Finish]],tbl_Case_mins[[#This Row],[Surgery End Date]]&gt;tbl_Case_mins[[#This Row],[Surgery Start Date]]),ROUND((#REF!-TIME(0,0,0))*1440,0)+1440,ROUND((#REF!-TIME(0,0,0))*1440,0))</f>
        <v>#REF!</v>
      </c>
      <c r="U298" s="9" t="e">
        <f>IF(AND(ROUND((#REF!-TIME(0,0,0))*1440,0)&gt;0,ROUND((#REF!-TIME(0,0,0))*1440,0)&lt;tbl_Case_mins[[#This Row],[Anaesth End]],tbl_Case_mins[[#This Row],[Surgery End Date]]&gt;tbl_Case_mins[[#This Row],[Surgery Start Date]]),ROUND((#REF!-TIME(0,0,0))*1440,0)+1440,ROUND((#REF!-TIME(0,0,0))*1440,0))</f>
        <v>#REF!</v>
      </c>
      <c r="V298" s="9" t="e">
        <f>IF(AND(ROUND((#REF!-TIME(0,0,0))*1440,0)&gt;0,ROUND((#REF!-TIME(0,0,0))*1440,0)&lt;tbl_Case_mins[[#This Row],[Into Recov]],tbl_Case_mins[[#This Row],[Surgery End Date]]&gt;tbl_Case_mins[[#This Row],[Surgery Start Date]]),ROUND((#REF!-TIME(0,0,0))*1440,0)+1440,ROUND((#REF!-TIME(0,0,0))*1440,0))</f>
        <v>#REF!</v>
      </c>
      <c r="W298" s="9" t="e">
        <f>IF(AND(ROUND((#REF!-TIME(0,0,0))*1440,0)&gt;0,ROUND((#REF!-TIME(0,0,0))*1440,0)&lt;tbl_Case_mins[[#This Row],[Ward Called]],tbl_Case_mins[[#This Row],[Surgery End Date]]&gt;tbl_Case_mins[[#This Row],[Surgery Start Date]]),ROUND((#REF!-TIME(0,0,0))*1440,0)+1440,ROUND((#REF!-TIME(0,0,0))*1440,0))</f>
        <v>#REF!</v>
      </c>
      <c r="X298" s="4" t="e">
        <f>IF(ISBLANK(#REF!),tbl_Case_mins[[#This Row],[Surgery Start Date]],#REF!)</f>
        <v>#REF!</v>
      </c>
      <c r="Y298">
        <f>IFERROR(IF(VLOOKUP(tbl_Case_mins[[#This Row],[Theatre]],'Mng Theatres'!$C$7:$G$12,3,FALSE)="Yes","Yes","No"),0)</f>
        <v>0</v>
      </c>
      <c r="Z298" s="9" t="e" cm="1">
        <f t="array" ref="Z29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8" s="9" t="e" cm="1">
        <f t="array" ref="AA29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8" s="9" t="e">
        <f>IF(tbl_Case_mins[[#This Row],[Case Type]]="Unsch",1,0)</f>
        <v>#REF!</v>
      </c>
      <c r="AD298" s="9" t="e">
        <f>IF(tbl_Case_mins[[#This Row],[Case Type]]="Sch",1,0)</f>
        <v>#REF!</v>
      </c>
      <c r="AE29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8" s="9">
        <f>IFERROR(IF(ISBLANK(INDEX(Am_Close,MATCH(1,INDEX((tbl_Case_mins[[#This Row],[Theatre]]=Theatre_No)*(tbl_Case_mins[[#This Row],[Surgery Start Date]]=Date),0,1),0))*1440),0,INDEX(Am_Close,MATCH(1,INDEX((tbl_Case_mins[[#This Row],[Theatre]]=Theatre_No)*(tbl_Case_mins[[#This Row],[Surgery Start Date]]=Date),0,1),0))*1440),0)</f>
        <v>0</v>
      </c>
      <c r="AG298" s="9">
        <f>IFERROR(IF(ISBLANK(INDEX(PM_Open,MATCH(1,INDEX((tbl_Case_mins[[#This Row],[Theatre]]=Theatre_No)*(tbl_Case_mins[[#This Row],[Surgery Start Date]]=Date),0,1),0))*1440),0,INDEX(PM_Open,MATCH(1,INDEX((tbl_Case_mins[[#This Row],[Theatre]]=Theatre_No)*(tbl_Case_mins[[#This Row],[Surgery Start Date]]=Date),0,1),0))*1440),0)</f>
        <v>0</v>
      </c>
      <c r="AH29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8" s="9" t="e">
        <f>IF(tbl_Case_mins[[#This Row],[ThOpenAm]]=0,tbl_Case_mins[[#This Row],[ThOpenPM]],tbl_Case_mins[[#This Row],[ThOpenAm]])</f>
        <v>#REF!</v>
      </c>
      <c r="AJ298" s="9" t="e">
        <f>IF(tbl_Case_mins[[#This Row],[ThCloseAm]]&gt;0,IF(tbl_Case_mins[[#This Row],[ThOpenPM]]&gt;0,tbl_Case_mins[[#This Row],[ThClosePm]],tbl_Case_mins[[#This Row],[ThCloseAm]]),tbl_Case_mins[[#This Row],[ThClosePm]])</f>
        <v>#REF!</v>
      </c>
      <c r="AK298" s="9" t="e">
        <f>IF(tbl_Case_mins[[#This Row],[TOT]]&gt;0,1,0)</f>
        <v>#REF!</v>
      </c>
      <c r="AL29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8" s="9" t="e">
        <f>IF(AND(tbl_Case_mins[[#This Row],[Surgery Status]]&lt;&gt;2,tbl_Case_mins[[#This Row],[InCoreCase]]=0,tbl_Case_mins[[#This Row],[CancelledCase]]=0),1,0)</f>
        <v>#REF!</v>
      </c>
      <c r="AN298" s="9" t="e">
        <f>IF(tbl_Case_mins[[#This Row],[Surgery Status]]=1,1,0)</f>
        <v>#REF!</v>
      </c>
      <c r="AO29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8" s="9" t="e">
        <f>IF(AND(tbl_Case_mins[[#This Row],[NonCoreCase]]=1,tbl_Case_mins[[#This Row],[NoInCoreTime]]=0),1,0)</f>
        <v>#REF!</v>
      </c>
      <c r="AQ298" s="9" t="e">
        <f>IF(tbl_Case_mins[[#This Row],[Rank_AnaEnd]]&lt;tbl_Case_mins[[#This Row],[Rank_AnaSt]],1,0)</f>
        <v>#REF!</v>
      </c>
      <c r="AR298" s="9" t="e">
        <f>IF(AND(tbl_Case_mins[[#This Row],[InCoreCase]]=1,tbl_Case_mins[[#This Row],[Sch]]=1),1,0)</f>
        <v>#REF!</v>
      </c>
      <c r="AS298" s="9" t="e">
        <f>IF(AND(tbl_Case_mins[[#This Row],[InCoreCase]]=1,tbl_Case_mins[[#This Row],[Unsch]]=1),1,0)</f>
        <v>#REF!</v>
      </c>
      <c r="AT29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8" s="9" t="e">
        <f>IF(tbl_Case_mins[[#This Row],[Surgery Status]]=0,(tbl_Case_mins[[#This Row],[Anaesth End]]-tbl_Case_mins[[#This Row],[AnaesthStart]]),0)</f>
        <v>#REF!</v>
      </c>
      <c r="AX298" s="9" t="e">
        <f>IF(tbl_Case_mins[[#This Row],[Surgery Status]]=0,(tbl_Case_mins[[#This Row],[Surgery Finish]]-tbl_Case_mins[[#This Row],[Surgery Start]]),0)</f>
        <v>#REF!</v>
      </c>
      <c r="AY298" s="9" t="e">
        <f>tbl_Case_mins[[#This Row],[Surgery Start]]-tbl_Case_mins[[#This Row],[AnaesthStart]]</f>
        <v>#REF!</v>
      </c>
      <c r="AZ298" s="9" t="e">
        <f>tbl_Case_mins[[#This Row],[Anaesth End]]-tbl_Case_mins[[#This Row],[Surgery Finish]]</f>
        <v>#REF!</v>
      </c>
      <c r="BA29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8" s="16" cm="1">
        <f t="array" ref="BC29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8" s="16" t="e">
        <f>IF(AND(tbl_Case_mins[[#This Row],[FirstAMCase]]=1,tbl_Case_mins[[#This Row],[CancelledCase]]=0,OR(tbl_Case_mins[[#This Row],[EarlyStartAM]]&gt;0,tbl_Case_mins[[#This Row],[AnaesthStart]]=tbl_Case_mins[[#This Row],[ThOpenAm]])),1,0)</f>
        <v>#REF!</v>
      </c>
      <c r="BE298" s="16" t="e">
        <f>IF(AND(tbl_Case_mins[[#This Row],[Rank_AnaSt]]=tbl_Case_mins[[#This Row],[Min_RankAnaSt]],tbl_Case_mins[[#This Row],[Anaesth End]]&gt;=tbl_Case_mins[[#This Row],[ThOpenAm]],tbl_Case_mins[[#This Row],[PmCase]]=0),1,0)</f>
        <v>#REF!</v>
      </c>
      <c r="BF29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8" s="9" t="e" cm="1">
        <f t="array" ref="BH29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8" s="9" t="e">
        <f>IF(AND(tbl_Case_mins[[#This Row],[ThOpenPM]]&gt;0,tbl_Case_mins[[#This Row],[AnaesthStart]]&gt;tbl_Case_mins[[#This Row],[ThOpenPM]],tbl_Case_mins[[#This Row],[First PM Case]]=1),tbl_Case_mins[[#This Row],[AnaesthStart]]-tbl_Case_mins[[#This Row],[ThOpenPM]],0)</f>
        <v>#REF!</v>
      </c>
      <c r="BL29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8" s="9" t="e" cm="1">
        <f t="array" ref="BN29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8" s="9" t="e">
        <f>IF(AND(tbl_Case_mins[[#This Row],[ThClosePm]]&gt;0,tbl_Case_mins[[#This Row],[Anaesth End]]&gt;tbl_Case_mins[[#This Row],[ThClosePm]],tbl_Case_mins[[#This Row],[AnaesthStart]]&gt;tbl_Case_mins[[#This Row],[ThClosePm]]),tbl_Case_mins[[#This Row],[Into Recov]]-tbl_Case_mins[[#This Row],[AnaesthStart]],0)</f>
        <v>#REF!</v>
      </c>
      <c r="BP298" s="9" t="e">
        <f>IF(AND(tbl_Case_mins[[#This Row],[AnaesthStart]]&lt;tbl_Case_mins[[#This Row],[ThClosePm]],tbl_Case_mins[[#This Row],[Anaesth End]]&gt;tbl_Case_mins[[#This Row],[ThClosePm]]),tbl_Case_mins[[#This Row],[Anaesth End]]-tbl_Case_mins[[#This Row],[ThClosePm]],0)</f>
        <v>#REF!</v>
      </c>
      <c r="BQ298" s="9" t="e" cm="1">
        <f t="array" ref="BQ29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8" s="9" t="e" cm="1">
        <f t="array" ref="BR298">IF(tbl_Case_mins[[#This Row],[Rank_Adjust]]=SUMPRODUCT(-(tbl_Case_mins[Surgery Start Date]=tbl_Case_mins[[#This Row],[Surgery Start Date]]),-(tbl_Case_mins[Theatre]=tbl_Case_mins[[#This Row],[Theatre]])),INDEX(Poss_Time,MATCH(TEXT(tbl_Case_mins[[#This Row],[Surgery Start Date]],"ddd"),Day,0)),0)</f>
        <v>#REF!</v>
      </c>
      <c r="BS298" s="9" t="e">
        <f>tbl_Case_mins[[#This Row],[Core_Time]]*Util_Goal</f>
        <v>#REF!</v>
      </c>
      <c r="BT298" s="9" t="e" cm="1">
        <f t="array" ref="BT2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8" s="9" t="e" cm="1">
        <f t="array" ref="BU2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8" s="9" t="e">
        <f>IF(tbl_Case_mins[[#This Row],[Surgery End Date]]&gt;tbl_Case_mins[[#This Row],[Surgery Start Date]],tbl_Case_mins[[#This Row],[Anaesth End]]-1440,0)</f>
        <v>#REF!</v>
      </c>
      <c r="BY298" s="9" t="e">
        <f>tbl_Case_mins[[#This Row],[Total_NonCore]]-tbl_Case_mins[[#This Row],[NextDay_NonCore]]</f>
        <v>#REF!</v>
      </c>
      <c r="BZ298" s="10" t="e">
        <f>tbl_Case_mins[[#This Row],[InCoreUse]]/60</f>
        <v>#REF!</v>
      </c>
      <c r="CA298" s="10" t="e">
        <f>tbl_Case_mins[[#This Row],[Total_NonCore]]/60</f>
        <v>#REF!</v>
      </c>
      <c r="CB298" t="e" cm="1">
        <f t="array" ref="CB2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8" s="9" t="e" cm="1">
        <f t="array" ref="CC29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8" s="9" t="e" cm="1">
        <f t="array" ref="CD2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8" s="9" t="e" cm="1">
        <f t="array" ref="CE29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8" s="9" cm="1">
        <f t="array" ref="CF298">IFERROR(_xlfn.AGGREGATE(14,6,(tbl_Case_mins[Rank_AnaEnd])/((tbl_Case_mins[Surgery Start Date]=tbl_Case_mins[[#This Row],[Surgery Start Date]])*(tbl_Case_mins[Theatre]=tbl_Case_mins[[#This Row],[Theatre]])*(tbl_Case_mins[NoInCoreTime]=0)),1),-1)</f>
        <v>-1</v>
      </c>
      <c r="CG298" s="9" cm="1">
        <f t="array" ref="CG298">IFERROR(_xlfn.AGGREGATE(15,6,(tbl_Case_mins[Rank_AnaSt])/((tbl_Case_mins[Surgery Start Date]=tbl_Case_mins[[#This Row],[Surgery Start Date]])*(tbl_Case_mins[Theatre]=tbl_Case_mins[[#This Row],[Theatre]])*(tbl_Case_mins[NoInCoreTime]=0)),1),-1)</f>
        <v>-1</v>
      </c>
      <c r="CH29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8" t="e" cm="1">
        <f t="array" ref="CJ29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8" s="9" cm="1">
        <f t="array" ref="CO2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8" s="9" cm="1">
        <f t="array" ref="CP2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8" s="9" cm="1">
        <f t="array" ref="CQ298">IFERROR(IF(AND(tbl_Case_mins[[#This Row],[FirstAMCase]]=0,tbl_Case_mins[[#This Row],[Rank]]=_xlfn.AGGREGATE(14,6,(tbl_Case_mins[Rank])/((tbl_Case_mins[Surgery Start Date]=tbl_Case_mins[[#This Row],[Surgery Start Date]])*(tbl_Case_mins[Theatre]=tbl_Case_mins[[#This Row],[Theatre]])*(tbl_Case_mins[AmCase]=1)),1)),1,0),0)</f>
        <v>0</v>
      </c>
      <c r="CR298" s="9" cm="1">
        <f t="array" ref="CR29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8" s="9" t="e" cm="1">
        <f t="array" ref="CS29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8" s="9" cm="1">
        <f t="array" ref="CT298">IFERROR(IF(tbl_Case_mins[[#This Row],[Rank]]=_xlfn.AGGREGATE(15,6,(tbl_Case_mins[Rank])/((tbl_Case_mins[Surgery Start Date]=tbl_Case_mins[[#This Row],[Surgery Start Date]])*(tbl_Case_mins[Theatre]=tbl_Case_mins[[#This Row],[Theatre]])*(tbl_Case_mins[PmCase]=1)),1),1,0),0)</f>
        <v>0</v>
      </c>
      <c r="CU298">
        <f>IFERROR(#REF!,0)</f>
        <v>0</v>
      </c>
      <c r="CV298" s="9" t="e" cm="1">
        <f t="array" ref="CV29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8" s="9">
        <f>IFERROR(IF(ISBLANK(INDEX(Bay_AmClose,MATCH(1,INDEX((tbl_Case_mins[[#This Row],[Bay]]=BayNo)*(tbl_Case_mins[[#This Row],[Surgery Start Date]]=BDate),0,1),0))*1440),0,INDEX(Bay_AmClose,MATCH(1,INDEX((tbl_Case_mins[[#This Row],[Bay]]=BayNo)*(tbl_Case_mins[[#This Row],[Surgery Start Date]]=BDate),0,1),0))*1440),0)</f>
        <v>0</v>
      </c>
      <c r="CX298" s="9" cm="1">
        <f t="array" ref="CX298">IFERROR(IF(ISBLANK(INDEX(Bay_PmOpen,MATCH(1,INDEX((tbl_Case_mins[[#This Row],[Bay]]=BayNo)*(tbl_Case_mins[[#This Row],[Surgery Start Date]]=BDate),0,1),0))*1440),0,INDEX(Bay_PmOpen,MATCH(1,INDEX((tbl_Case_mins[[#This Row],[Bay]]=BayNo)*(tbl_Case_mins[[#This Row],[Surgery Start Date]]=BDate),0,1),0))*1440),0)</f>
        <v>0</v>
      </c>
      <c r="CY29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8" s="9"/>
    </row>
    <row r="299" spans="1:104" x14ac:dyDescent="0.2">
      <c r="A299">
        <v>298</v>
      </c>
      <c r="B299" t="e">
        <f>#REF!</f>
        <v>#REF!</v>
      </c>
      <c r="C299" t="e">
        <f>#REF!</f>
        <v>#REF!</v>
      </c>
      <c r="D299" t="e">
        <f>#REF!</f>
        <v>#REF!</v>
      </c>
      <c r="E299" t="e">
        <f>#REF!</f>
        <v>#REF!</v>
      </c>
      <c r="F299" t="e">
        <f>#REF!</f>
        <v>#REF!</v>
      </c>
      <c r="G299" t="e">
        <f>#REF!</f>
        <v>#REF!</v>
      </c>
      <c r="H299" t="e">
        <f>#REF!</f>
        <v>#REF!</v>
      </c>
      <c r="I299" t="e">
        <f>IF(#REF!="Case Cancelled",1,IF(#REF!="No Cases",2,0))</f>
        <v>#REF!</v>
      </c>
      <c r="J299" t="e">
        <f>#REF!</f>
        <v>#REF!</v>
      </c>
      <c r="K299" s="4" t="e">
        <f>#REF!</f>
        <v>#REF!</v>
      </c>
      <c r="L299" t="e">
        <f>"Wk "&amp;WEEKNUM(tbl_Case_mins[[#This Row],[Surgery Start Date]],21)</f>
        <v>#REF!</v>
      </c>
      <c r="M299" t="e">
        <f>TEXT(tbl_Case_mins[[#This Row],[Surgery Start Date]],"ddd")</f>
        <v>#REF!</v>
      </c>
      <c r="N299" s="9" t="e">
        <f>(#REF!-TIME(0,0,0))*1440</f>
        <v>#REF!</v>
      </c>
      <c r="O299" t="e">
        <f>IF(AND(ROUND((#REF!-TIME(0,0,0))*1440,0)&gt;0,ROUND((#REF!-TIME(0,0,0))*1440,0)&lt;tbl_Case_mins[[#This Row],[Patient Called]],tbl_Case_mins[[#This Row],[Surgery End Date]]&gt;tbl_Case_mins[[#This Row],[Surgery Start Date]]),ROUND((#REF!-TIME(0,0,0))*1440,0)+1440,ROUND((#REF!-TIME(0,0,0))*1440,0))</f>
        <v>#REF!</v>
      </c>
      <c r="P299" s="9" t="e">
        <f>IF(AND(ROUND((#REF!-TIME(0,0,0))*1440,0)&gt;0,ROUND((#REF!-TIME(0,0,0))*1440,0)&lt;tbl_Case_mins[[#This Row],[Arrival]],tbl_Case_mins[[#This Row],[Surgery End Date]]&gt;tbl_Case_mins[[#This Row],[Surgery Start Date]]),ROUND((#REF!-TIME(0,0,0))*1440,0)+1440,ROUND((#REF!-TIME(0,0,0))*1440,0))</f>
        <v>#REF!</v>
      </c>
      <c r="Q299" s="9" t="e">
        <f>IF(AND(ROUND((#REF!-TIME(0,0,0))*1440,0)&gt;0,ROUND((#REF!-TIME(0,0,0))*1440,0)&lt;tbl_Case_mins[[#This Row],[Into Th or AR]],tbl_Case_mins[[#This Row],[Surgery End Date]]&gt;tbl_Case_mins[[#This Row],[Surgery Start Date]]),ROUND((#REF!-TIME(0,0,0))*1440,0)+1440,ROUND((#REF!-TIME(0,0,0))*1440,0))</f>
        <v>#REF!</v>
      </c>
      <c r="R299" s="9" t="e">
        <f>IF(AND(ROUND((#REF!-TIME(0,0,0))*1440,0)&gt;0,ROUND((#REF!-TIME(0,0,0))*1440,0)&lt;tbl_Case_mins[[#This Row],[AnaesthStart]],tbl_Case_mins[[#This Row],[Surgery End Date]]&gt;tbl_Case_mins[[#This Row],[Surgery Start Date]]),ROUND((#REF!-TIME(0,0,0))*1440,0)+1440,ROUND((#REF!-TIME(0,0,0))*1440,0))</f>
        <v>#REF!</v>
      </c>
      <c r="S299" s="9" t="e">
        <f>IF(AND(ROUND((#REF!-TIME(0,0,0))*1440,0),ROUND((#REF!-TIME(0,0,0))*1440,0)&lt;tbl_Case_mins[[#This Row],[Surgery Start]],tbl_Case_mins[[#This Row],[Surgery End Date]]&gt;tbl_Case_mins[[#This Row],[Surgery Start Date]]),ROUND((#REF!-TIME(0,0,0))*1440,0)+1440,ROUND((#REF!-TIME(0,0,0))*1440,0))</f>
        <v>#REF!</v>
      </c>
      <c r="T299" s="9" t="e">
        <f>IF(AND(ROUND((#REF!-TIME(0,0,0))*1440,0)&gt;0,ROUND((#REF!-TIME(0,0,0))*1440,0)&lt;tbl_Case_mins[[#This Row],[Surgery Finish]],tbl_Case_mins[[#This Row],[Surgery End Date]]&gt;tbl_Case_mins[[#This Row],[Surgery Start Date]]),ROUND((#REF!-TIME(0,0,0))*1440,0)+1440,ROUND((#REF!-TIME(0,0,0))*1440,0))</f>
        <v>#REF!</v>
      </c>
      <c r="U299" s="9" t="e">
        <f>IF(AND(ROUND((#REF!-TIME(0,0,0))*1440,0)&gt;0,ROUND((#REF!-TIME(0,0,0))*1440,0)&lt;tbl_Case_mins[[#This Row],[Anaesth End]],tbl_Case_mins[[#This Row],[Surgery End Date]]&gt;tbl_Case_mins[[#This Row],[Surgery Start Date]]),ROUND((#REF!-TIME(0,0,0))*1440,0)+1440,ROUND((#REF!-TIME(0,0,0))*1440,0))</f>
        <v>#REF!</v>
      </c>
      <c r="V299" s="9" t="e">
        <f>IF(AND(ROUND((#REF!-TIME(0,0,0))*1440,0)&gt;0,ROUND((#REF!-TIME(0,0,0))*1440,0)&lt;tbl_Case_mins[[#This Row],[Into Recov]],tbl_Case_mins[[#This Row],[Surgery End Date]]&gt;tbl_Case_mins[[#This Row],[Surgery Start Date]]),ROUND((#REF!-TIME(0,0,0))*1440,0)+1440,ROUND((#REF!-TIME(0,0,0))*1440,0))</f>
        <v>#REF!</v>
      </c>
      <c r="W299" s="9" t="e">
        <f>IF(AND(ROUND((#REF!-TIME(0,0,0))*1440,0)&gt;0,ROUND((#REF!-TIME(0,0,0))*1440,0)&lt;tbl_Case_mins[[#This Row],[Ward Called]],tbl_Case_mins[[#This Row],[Surgery End Date]]&gt;tbl_Case_mins[[#This Row],[Surgery Start Date]]),ROUND((#REF!-TIME(0,0,0))*1440,0)+1440,ROUND((#REF!-TIME(0,0,0))*1440,0))</f>
        <v>#REF!</v>
      </c>
      <c r="X299" s="4" t="e">
        <f>IF(ISBLANK(#REF!),tbl_Case_mins[[#This Row],[Surgery Start Date]],#REF!)</f>
        <v>#REF!</v>
      </c>
      <c r="Y299">
        <f>IFERROR(IF(VLOOKUP(tbl_Case_mins[[#This Row],[Theatre]],'Mng Theatres'!$C$7:$G$12,3,FALSE)="Yes","Yes","No"),0)</f>
        <v>0</v>
      </c>
      <c r="Z299" s="9" t="e" cm="1">
        <f t="array" ref="Z29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299" s="9" t="e" cm="1">
        <f t="array" ref="AA29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29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299" s="9" t="e">
        <f>IF(tbl_Case_mins[[#This Row],[Case Type]]="Unsch",1,0)</f>
        <v>#REF!</v>
      </c>
      <c r="AD299" s="9" t="e">
        <f>IF(tbl_Case_mins[[#This Row],[Case Type]]="Sch",1,0)</f>
        <v>#REF!</v>
      </c>
      <c r="AE29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299" s="9">
        <f>IFERROR(IF(ISBLANK(INDEX(Am_Close,MATCH(1,INDEX((tbl_Case_mins[[#This Row],[Theatre]]=Theatre_No)*(tbl_Case_mins[[#This Row],[Surgery Start Date]]=Date),0,1),0))*1440),0,INDEX(Am_Close,MATCH(1,INDEX((tbl_Case_mins[[#This Row],[Theatre]]=Theatre_No)*(tbl_Case_mins[[#This Row],[Surgery Start Date]]=Date),0,1),0))*1440),0)</f>
        <v>0</v>
      </c>
      <c r="AG299" s="9">
        <f>IFERROR(IF(ISBLANK(INDEX(PM_Open,MATCH(1,INDEX((tbl_Case_mins[[#This Row],[Theatre]]=Theatre_No)*(tbl_Case_mins[[#This Row],[Surgery Start Date]]=Date),0,1),0))*1440),0,INDEX(PM_Open,MATCH(1,INDEX((tbl_Case_mins[[#This Row],[Theatre]]=Theatre_No)*(tbl_Case_mins[[#This Row],[Surgery Start Date]]=Date),0,1),0))*1440),0)</f>
        <v>0</v>
      </c>
      <c r="AH29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299" s="9" t="e">
        <f>IF(tbl_Case_mins[[#This Row],[ThOpenAm]]=0,tbl_Case_mins[[#This Row],[ThOpenPM]],tbl_Case_mins[[#This Row],[ThOpenAm]])</f>
        <v>#REF!</v>
      </c>
      <c r="AJ299" s="9" t="e">
        <f>IF(tbl_Case_mins[[#This Row],[ThCloseAm]]&gt;0,IF(tbl_Case_mins[[#This Row],[ThOpenPM]]&gt;0,tbl_Case_mins[[#This Row],[ThClosePm]],tbl_Case_mins[[#This Row],[ThCloseAm]]),tbl_Case_mins[[#This Row],[ThClosePm]])</f>
        <v>#REF!</v>
      </c>
      <c r="AK299" s="9" t="e">
        <f>IF(tbl_Case_mins[[#This Row],[TOT]]&gt;0,1,0)</f>
        <v>#REF!</v>
      </c>
      <c r="AL29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299" s="9" t="e">
        <f>IF(AND(tbl_Case_mins[[#This Row],[Surgery Status]]&lt;&gt;2,tbl_Case_mins[[#This Row],[InCoreCase]]=0,tbl_Case_mins[[#This Row],[CancelledCase]]=0),1,0)</f>
        <v>#REF!</v>
      </c>
      <c r="AN299" s="9" t="e">
        <f>IF(tbl_Case_mins[[#This Row],[Surgery Status]]=1,1,0)</f>
        <v>#REF!</v>
      </c>
      <c r="AO29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299" s="9" t="e">
        <f>IF(AND(tbl_Case_mins[[#This Row],[NonCoreCase]]=1,tbl_Case_mins[[#This Row],[NoInCoreTime]]=0),1,0)</f>
        <v>#REF!</v>
      </c>
      <c r="AQ299" s="9" t="e">
        <f>IF(tbl_Case_mins[[#This Row],[Rank_AnaEnd]]&lt;tbl_Case_mins[[#This Row],[Rank_AnaSt]],1,0)</f>
        <v>#REF!</v>
      </c>
      <c r="AR299" s="9" t="e">
        <f>IF(AND(tbl_Case_mins[[#This Row],[InCoreCase]]=1,tbl_Case_mins[[#This Row],[Sch]]=1),1,0)</f>
        <v>#REF!</v>
      </c>
      <c r="AS299" s="9" t="e">
        <f>IF(AND(tbl_Case_mins[[#This Row],[InCoreCase]]=1,tbl_Case_mins[[#This Row],[Unsch]]=1),1,0)</f>
        <v>#REF!</v>
      </c>
      <c r="AT29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29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29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299" s="9" t="e">
        <f>IF(tbl_Case_mins[[#This Row],[Surgery Status]]=0,(tbl_Case_mins[[#This Row],[Anaesth End]]-tbl_Case_mins[[#This Row],[AnaesthStart]]),0)</f>
        <v>#REF!</v>
      </c>
      <c r="AX299" s="9" t="e">
        <f>IF(tbl_Case_mins[[#This Row],[Surgery Status]]=0,(tbl_Case_mins[[#This Row],[Surgery Finish]]-tbl_Case_mins[[#This Row],[Surgery Start]]),0)</f>
        <v>#REF!</v>
      </c>
      <c r="AY299" s="9" t="e">
        <f>tbl_Case_mins[[#This Row],[Surgery Start]]-tbl_Case_mins[[#This Row],[AnaesthStart]]</f>
        <v>#REF!</v>
      </c>
      <c r="AZ299" s="9" t="e">
        <f>tbl_Case_mins[[#This Row],[Anaesth End]]-tbl_Case_mins[[#This Row],[Surgery Finish]]</f>
        <v>#REF!</v>
      </c>
      <c r="BA29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29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299" s="16" cm="1">
        <f t="array" ref="BC29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299" s="16" t="e">
        <f>IF(AND(tbl_Case_mins[[#This Row],[FirstAMCase]]=1,tbl_Case_mins[[#This Row],[CancelledCase]]=0,OR(tbl_Case_mins[[#This Row],[EarlyStartAM]]&gt;0,tbl_Case_mins[[#This Row],[AnaesthStart]]=tbl_Case_mins[[#This Row],[ThOpenAm]])),1,0)</f>
        <v>#REF!</v>
      </c>
      <c r="BE299" s="16" t="e">
        <f>IF(AND(tbl_Case_mins[[#This Row],[Rank_AnaSt]]=tbl_Case_mins[[#This Row],[Min_RankAnaSt]],tbl_Case_mins[[#This Row],[Anaesth End]]&gt;=tbl_Case_mins[[#This Row],[ThOpenAm]],tbl_Case_mins[[#This Row],[PmCase]]=0),1,0)</f>
        <v>#REF!</v>
      </c>
      <c r="BF29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29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299" s="9" t="e" cm="1">
        <f t="array" ref="BH29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29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29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299" s="9" t="e">
        <f>IF(AND(tbl_Case_mins[[#This Row],[ThOpenPM]]&gt;0,tbl_Case_mins[[#This Row],[AnaesthStart]]&gt;tbl_Case_mins[[#This Row],[ThOpenPM]],tbl_Case_mins[[#This Row],[First PM Case]]=1),tbl_Case_mins[[#This Row],[AnaesthStart]]-tbl_Case_mins[[#This Row],[ThOpenPM]],0)</f>
        <v>#REF!</v>
      </c>
      <c r="BL29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29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299" s="9" t="e" cm="1">
        <f t="array" ref="BN29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299" s="9" t="e">
        <f>IF(AND(tbl_Case_mins[[#This Row],[ThClosePm]]&gt;0,tbl_Case_mins[[#This Row],[Anaesth End]]&gt;tbl_Case_mins[[#This Row],[ThClosePm]],tbl_Case_mins[[#This Row],[AnaesthStart]]&gt;tbl_Case_mins[[#This Row],[ThClosePm]]),tbl_Case_mins[[#This Row],[Into Recov]]-tbl_Case_mins[[#This Row],[AnaesthStart]],0)</f>
        <v>#REF!</v>
      </c>
      <c r="BP299" s="9" t="e">
        <f>IF(AND(tbl_Case_mins[[#This Row],[AnaesthStart]]&lt;tbl_Case_mins[[#This Row],[ThClosePm]],tbl_Case_mins[[#This Row],[Anaesth End]]&gt;tbl_Case_mins[[#This Row],[ThClosePm]]),tbl_Case_mins[[#This Row],[Anaesth End]]-tbl_Case_mins[[#This Row],[ThClosePm]],0)</f>
        <v>#REF!</v>
      </c>
      <c r="BQ299" s="9" t="e" cm="1">
        <f t="array" ref="BQ29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299" s="9" t="e" cm="1">
        <f t="array" ref="BR299">IF(tbl_Case_mins[[#This Row],[Rank_Adjust]]=SUMPRODUCT(-(tbl_Case_mins[Surgery Start Date]=tbl_Case_mins[[#This Row],[Surgery Start Date]]),-(tbl_Case_mins[Theatre]=tbl_Case_mins[[#This Row],[Theatre]])),INDEX(Poss_Time,MATCH(TEXT(tbl_Case_mins[[#This Row],[Surgery Start Date]],"ddd"),Day,0)),0)</f>
        <v>#REF!</v>
      </c>
      <c r="BS299" s="9" t="e">
        <f>tbl_Case_mins[[#This Row],[Core_Time]]*Util_Goal</f>
        <v>#REF!</v>
      </c>
      <c r="BT299" s="9" t="e" cm="1">
        <f t="array" ref="BT2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299" s="9" t="e" cm="1">
        <f t="array" ref="BU2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29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29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299" s="9" t="e">
        <f>IF(tbl_Case_mins[[#This Row],[Surgery End Date]]&gt;tbl_Case_mins[[#This Row],[Surgery Start Date]],tbl_Case_mins[[#This Row],[Anaesth End]]-1440,0)</f>
        <v>#REF!</v>
      </c>
      <c r="BY299" s="9" t="e">
        <f>tbl_Case_mins[[#This Row],[Total_NonCore]]-tbl_Case_mins[[#This Row],[NextDay_NonCore]]</f>
        <v>#REF!</v>
      </c>
      <c r="BZ299" s="10" t="e">
        <f>tbl_Case_mins[[#This Row],[InCoreUse]]/60</f>
        <v>#REF!</v>
      </c>
      <c r="CA299" s="10" t="e">
        <f>tbl_Case_mins[[#This Row],[Total_NonCore]]/60</f>
        <v>#REF!</v>
      </c>
      <c r="CB299" t="e" cm="1">
        <f t="array" ref="CB2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299" s="9" t="e" cm="1">
        <f t="array" ref="CC29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299" s="9" t="e" cm="1">
        <f t="array" ref="CD2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299" s="9" t="e" cm="1">
        <f t="array" ref="CE29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299" s="9" cm="1">
        <f t="array" ref="CF299">IFERROR(_xlfn.AGGREGATE(14,6,(tbl_Case_mins[Rank_AnaEnd])/((tbl_Case_mins[Surgery Start Date]=tbl_Case_mins[[#This Row],[Surgery Start Date]])*(tbl_Case_mins[Theatre]=tbl_Case_mins[[#This Row],[Theatre]])*(tbl_Case_mins[NoInCoreTime]=0)),1),-1)</f>
        <v>-1</v>
      </c>
      <c r="CG299" s="9" cm="1">
        <f t="array" ref="CG299">IFERROR(_xlfn.AGGREGATE(15,6,(tbl_Case_mins[Rank_AnaSt])/((tbl_Case_mins[Surgery Start Date]=tbl_Case_mins[[#This Row],[Surgery Start Date]])*(tbl_Case_mins[Theatre]=tbl_Case_mins[[#This Row],[Theatre]])*(tbl_Case_mins[NoInCoreTime]=0)),1),-1)</f>
        <v>-1</v>
      </c>
      <c r="CH29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29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299" t="e" cm="1">
        <f t="array" ref="CJ29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29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29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2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2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299" s="9" cm="1">
        <f t="array" ref="CO2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299" s="9" cm="1">
        <f t="array" ref="CP2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299" s="9" cm="1">
        <f t="array" ref="CQ299">IFERROR(IF(AND(tbl_Case_mins[[#This Row],[FirstAMCase]]=0,tbl_Case_mins[[#This Row],[Rank]]=_xlfn.AGGREGATE(14,6,(tbl_Case_mins[Rank])/((tbl_Case_mins[Surgery Start Date]=tbl_Case_mins[[#This Row],[Surgery Start Date]])*(tbl_Case_mins[Theatre]=tbl_Case_mins[[#This Row],[Theatre]])*(tbl_Case_mins[AmCase]=1)),1)),1,0),0)</f>
        <v>0</v>
      </c>
      <c r="CR299" s="9" cm="1">
        <f t="array" ref="CR29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299" s="9" t="e" cm="1">
        <f t="array" ref="CS29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299" s="9" cm="1">
        <f t="array" ref="CT299">IFERROR(IF(tbl_Case_mins[[#This Row],[Rank]]=_xlfn.AGGREGATE(15,6,(tbl_Case_mins[Rank])/((tbl_Case_mins[Surgery Start Date]=tbl_Case_mins[[#This Row],[Surgery Start Date]])*(tbl_Case_mins[Theatre]=tbl_Case_mins[[#This Row],[Theatre]])*(tbl_Case_mins[PmCase]=1)),1),1,0),0)</f>
        <v>0</v>
      </c>
      <c r="CU299">
        <f>IFERROR(#REF!,0)</f>
        <v>0</v>
      </c>
      <c r="CV299" s="9" t="e" cm="1">
        <f t="array" ref="CV29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299" s="9">
        <f>IFERROR(IF(ISBLANK(INDEX(Bay_AmClose,MATCH(1,INDEX((tbl_Case_mins[[#This Row],[Bay]]=BayNo)*(tbl_Case_mins[[#This Row],[Surgery Start Date]]=BDate),0,1),0))*1440),0,INDEX(Bay_AmClose,MATCH(1,INDEX((tbl_Case_mins[[#This Row],[Bay]]=BayNo)*(tbl_Case_mins[[#This Row],[Surgery Start Date]]=BDate),0,1),0))*1440),0)</f>
        <v>0</v>
      </c>
      <c r="CX299" s="9" cm="1">
        <f t="array" ref="CX299">IFERROR(IF(ISBLANK(INDEX(Bay_PmOpen,MATCH(1,INDEX((tbl_Case_mins[[#This Row],[Bay]]=BayNo)*(tbl_Case_mins[[#This Row],[Surgery Start Date]]=BDate),0,1),0))*1440),0,INDEX(Bay_PmOpen,MATCH(1,INDEX((tbl_Case_mins[[#This Row],[Bay]]=BayNo)*(tbl_Case_mins[[#This Row],[Surgery Start Date]]=BDate),0,1),0))*1440),0)</f>
        <v>0</v>
      </c>
      <c r="CY29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299" s="9"/>
    </row>
    <row r="300" spans="1:104" x14ac:dyDescent="0.2">
      <c r="A300">
        <v>299</v>
      </c>
      <c r="B300" t="e">
        <f>#REF!</f>
        <v>#REF!</v>
      </c>
      <c r="C300" t="e">
        <f>#REF!</f>
        <v>#REF!</v>
      </c>
      <c r="D300" t="e">
        <f>#REF!</f>
        <v>#REF!</v>
      </c>
      <c r="E300" t="e">
        <f>#REF!</f>
        <v>#REF!</v>
      </c>
      <c r="F300" t="e">
        <f>#REF!</f>
        <v>#REF!</v>
      </c>
      <c r="G300" t="e">
        <f>#REF!</f>
        <v>#REF!</v>
      </c>
      <c r="H300" t="e">
        <f>#REF!</f>
        <v>#REF!</v>
      </c>
      <c r="I300" t="e">
        <f>IF(#REF!="Case Cancelled",1,IF(#REF!="No Cases",2,0))</f>
        <v>#REF!</v>
      </c>
      <c r="J300" t="e">
        <f>#REF!</f>
        <v>#REF!</v>
      </c>
      <c r="K300" s="4" t="e">
        <f>#REF!</f>
        <v>#REF!</v>
      </c>
      <c r="L300" t="e">
        <f>"Wk "&amp;WEEKNUM(tbl_Case_mins[[#This Row],[Surgery Start Date]],21)</f>
        <v>#REF!</v>
      </c>
      <c r="M300" t="e">
        <f>TEXT(tbl_Case_mins[[#This Row],[Surgery Start Date]],"ddd")</f>
        <v>#REF!</v>
      </c>
      <c r="N300" s="9" t="e">
        <f>(#REF!-TIME(0,0,0))*1440</f>
        <v>#REF!</v>
      </c>
      <c r="O300" t="e">
        <f>IF(AND(ROUND((#REF!-TIME(0,0,0))*1440,0)&gt;0,ROUND((#REF!-TIME(0,0,0))*1440,0)&lt;tbl_Case_mins[[#This Row],[Patient Called]],tbl_Case_mins[[#This Row],[Surgery End Date]]&gt;tbl_Case_mins[[#This Row],[Surgery Start Date]]),ROUND((#REF!-TIME(0,0,0))*1440,0)+1440,ROUND((#REF!-TIME(0,0,0))*1440,0))</f>
        <v>#REF!</v>
      </c>
      <c r="P300" s="9" t="e">
        <f>IF(AND(ROUND((#REF!-TIME(0,0,0))*1440,0)&gt;0,ROUND((#REF!-TIME(0,0,0))*1440,0)&lt;tbl_Case_mins[[#This Row],[Arrival]],tbl_Case_mins[[#This Row],[Surgery End Date]]&gt;tbl_Case_mins[[#This Row],[Surgery Start Date]]),ROUND((#REF!-TIME(0,0,0))*1440,0)+1440,ROUND((#REF!-TIME(0,0,0))*1440,0))</f>
        <v>#REF!</v>
      </c>
      <c r="Q300" s="9" t="e">
        <f>IF(AND(ROUND((#REF!-TIME(0,0,0))*1440,0)&gt;0,ROUND((#REF!-TIME(0,0,0))*1440,0)&lt;tbl_Case_mins[[#This Row],[Into Th or AR]],tbl_Case_mins[[#This Row],[Surgery End Date]]&gt;tbl_Case_mins[[#This Row],[Surgery Start Date]]),ROUND((#REF!-TIME(0,0,0))*1440,0)+1440,ROUND((#REF!-TIME(0,0,0))*1440,0))</f>
        <v>#REF!</v>
      </c>
      <c r="R300" s="9" t="e">
        <f>IF(AND(ROUND((#REF!-TIME(0,0,0))*1440,0)&gt;0,ROUND((#REF!-TIME(0,0,0))*1440,0)&lt;tbl_Case_mins[[#This Row],[AnaesthStart]],tbl_Case_mins[[#This Row],[Surgery End Date]]&gt;tbl_Case_mins[[#This Row],[Surgery Start Date]]),ROUND((#REF!-TIME(0,0,0))*1440,0)+1440,ROUND((#REF!-TIME(0,0,0))*1440,0))</f>
        <v>#REF!</v>
      </c>
      <c r="S300" s="9" t="e">
        <f>IF(AND(ROUND((#REF!-TIME(0,0,0))*1440,0),ROUND((#REF!-TIME(0,0,0))*1440,0)&lt;tbl_Case_mins[[#This Row],[Surgery Start]],tbl_Case_mins[[#This Row],[Surgery End Date]]&gt;tbl_Case_mins[[#This Row],[Surgery Start Date]]),ROUND((#REF!-TIME(0,0,0))*1440,0)+1440,ROUND((#REF!-TIME(0,0,0))*1440,0))</f>
        <v>#REF!</v>
      </c>
      <c r="T300" s="9" t="e">
        <f>IF(AND(ROUND((#REF!-TIME(0,0,0))*1440,0)&gt;0,ROUND((#REF!-TIME(0,0,0))*1440,0)&lt;tbl_Case_mins[[#This Row],[Surgery Finish]],tbl_Case_mins[[#This Row],[Surgery End Date]]&gt;tbl_Case_mins[[#This Row],[Surgery Start Date]]),ROUND((#REF!-TIME(0,0,0))*1440,0)+1440,ROUND((#REF!-TIME(0,0,0))*1440,0))</f>
        <v>#REF!</v>
      </c>
      <c r="U300" s="9" t="e">
        <f>IF(AND(ROUND((#REF!-TIME(0,0,0))*1440,0)&gt;0,ROUND((#REF!-TIME(0,0,0))*1440,0)&lt;tbl_Case_mins[[#This Row],[Anaesth End]],tbl_Case_mins[[#This Row],[Surgery End Date]]&gt;tbl_Case_mins[[#This Row],[Surgery Start Date]]),ROUND((#REF!-TIME(0,0,0))*1440,0)+1440,ROUND((#REF!-TIME(0,0,0))*1440,0))</f>
        <v>#REF!</v>
      </c>
      <c r="V300" s="9" t="e">
        <f>IF(AND(ROUND((#REF!-TIME(0,0,0))*1440,0)&gt;0,ROUND((#REF!-TIME(0,0,0))*1440,0)&lt;tbl_Case_mins[[#This Row],[Into Recov]],tbl_Case_mins[[#This Row],[Surgery End Date]]&gt;tbl_Case_mins[[#This Row],[Surgery Start Date]]),ROUND((#REF!-TIME(0,0,0))*1440,0)+1440,ROUND((#REF!-TIME(0,0,0))*1440,0))</f>
        <v>#REF!</v>
      </c>
      <c r="W300" s="9" t="e">
        <f>IF(AND(ROUND((#REF!-TIME(0,0,0))*1440,0)&gt;0,ROUND((#REF!-TIME(0,0,0))*1440,0)&lt;tbl_Case_mins[[#This Row],[Ward Called]],tbl_Case_mins[[#This Row],[Surgery End Date]]&gt;tbl_Case_mins[[#This Row],[Surgery Start Date]]),ROUND((#REF!-TIME(0,0,0))*1440,0)+1440,ROUND((#REF!-TIME(0,0,0))*1440,0))</f>
        <v>#REF!</v>
      </c>
      <c r="X300" s="4" t="e">
        <f>IF(ISBLANK(#REF!),tbl_Case_mins[[#This Row],[Surgery Start Date]],#REF!)</f>
        <v>#REF!</v>
      </c>
      <c r="Y300">
        <f>IFERROR(IF(VLOOKUP(tbl_Case_mins[[#This Row],[Theatre]],'Mng Theatres'!$C$7:$G$12,3,FALSE)="Yes","Yes","No"),0)</f>
        <v>0</v>
      </c>
      <c r="Z300" s="9" t="e" cm="1">
        <f t="array" ref="Z30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0" s="9" t="e" cm="1">
        <f t="array" ref="AA30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0" s="9" t="e">
        <f>IF(tbl_Case_mins[[#This Row],[Case Type]]="Unsch",1,0)</f>
        <v>#REF!</v>
      </c>
      <c r="AD300" s="9" t="e">
        <f>IF(tbl_Case_mins[[#This Row],[Case Type]]="Sch",1,0)</f>
        <v>#REF!</v>
      </c>
      <c r="AE30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0" s="9">
        <f>IFERROR(IF(ISBLANK(INDEX(Am_Close,MATCH(1,INDEX((tbl_Case_mins[[#This Row],[Theatre]]=Theatre_No)*(tbl_Case_mins[[#This Row],[Surgery Start Date]]=Date),0,1),0))*1440),0,INDEX(Am_Close,MATCH(1,INDEX((tbl_Case_mins[[#This Row],[Theatre]]=Theatre_No)*(tbl_Case_mins[[#This Row],[Surgery Start Date]]=Date),0,1),0))*1440),0)</f>
        <v>0</v>
      </c>
      <c r="AG300" s="9">
        <f>IFERROR(IF(ISBLANK(INDEX(PM_Open,MATCH(1,INDEX((tbl_Case_mins[[#This Row],[Theatre]]=Theatre_No)*(tbl_Case_mins[[#This Row],[Surgery Start Date]]=Date),0,1),0))*1440),0,INDEX(PM_Open,MATCH(1,INDEX((tbl_Case_mins[[#This Row],[Theatre]]=Theatre_No)*(tbl_Case_mins[[#This Row],[Surgery Start Date]]=Date),0,1),0))*1440),0)</f>
        <v>0</v>
      </c>
      <c r="AH30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0" s="9" t="e">
        <f>IF(tbl_Case_mins[[#This Row],[ThOpenAm]]=0,tbl_Case_mins[[#This Row],[ThOpenPM]],tbl_Case_mins[[#This Row],[ThOpenAm]])</f>
        <v>#REF!</v>
      </c>
      <c r="AJ300" s="9" t="e">
        <f>IF(tbl_Case_mins[[#This Row],[ThCloseAm]]&gt;0,IF(tbl_Case_mins[[#This Row],[ThOpenPM]]&gt;0,tbl_Case_mins[[#This Row],[ThClosePm]],tbl_Case_mins[[#This Row],[ThCloseAm]]),tbl_Case_mins[[#This Row],[ThClosePm]])</f>
        <v>#REF!</v>
      </c>
      <c r="AK300" s="9" t="e">
        <f>IF(tbl_Case_mins[[#This Row],[TOT]]&gt;0,1,0)</f>
        <v>#REF!</v>
      </c>
      <c r="AL30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0" s="9" t="e">
        <f>IF(AND(tbl_Case_mins[[#This Row],[Surgery Status]]&lt;&gt;2,tbl_Case_mins[[#This Row],[InCoreCase]]=0,tbl_Case_mins[[#This Row],[CancelledCase]]=0),1,0)</f>
        <v>#REF!</v>
      </c>
      <c r="AN300" s="9" t="e">
        <f>IF(tbl_Case_mins[[#This Row],[Surgery Status]]=1,1,0)</f>
        <v>#REF!</v>
      </c>
      <c r="AO30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0" s="9" t="e">
        <f>IF(AND(tbl_Case_mins[[#This Row],[NonCoreCase]]=1,tbl_Case_mins[[#This Row],[NoInCoreTime]]=0),1,0)</f>
        <v>#REF!</v>
      </c>
      <c r="AQ300" s="9" t="e">
        <f>IF(tbl_Case_mins[[#This Row],[Rank_AnaEnd]]&lt;tbl_Case_mins[[#This Row],[Rank_AnaSt]],1,0)</f>
        <v>#REF!</v>
      </c>
      <c r="AR300" s="9" t="e">
        <f>IF(AND(tbl_Case_mins[[#This Row],[InCoreCase]]=1,tbl_Case_mins[[#This Row],[Sch]]=1),1,0)</f>
        <v>#REF!</v>
      </c>
      <c r="AS300" s="9" t="e">
        <f>IF(AND(tbl_Case_mins[[#This Row],[InCoreCase]]=1,tbl_Case_mins[[#This Row],[Unsch]]=1),1,0)</f>
        <v>#REF!</v>
      </c>
      <c r="AT30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0" s="9" t="e">
        <f>IF(tbl_Case_mins[[#This Row],[Surgery Status]]=0,(tbl_Case_mins[[#This Row],[Anaesth End]]-tbl_Case_mins[[#This Row],[AnaesthStart]]),0)</f>
        <v>#REF!</v>
      </c>
      <c r="AX300" s="9" t="e">
        <f>IF(tbl_Case_mins[[#This Row],[Surgery Status]]=0,(tbl_Case_mins[[#This Row],[Surgery Finish]]-tbl_Case_mins[[#This Row],[Surgery Start]]),0)</f>
        <v>#REF!</v>
      </c>
      <c r="AY300" s="9" t="e">
        <f>tbl_Case_mins[[#This Row],[Surgery Start]]-tbl_Case_mins[[#This Row],[AnaesthStart]]</f>
        <v>#REF!</v>
      </c>
      <c r="AZ300" s="9" t="e">
        <f>tbl_Case_mins[[#This Row],[Anaesth End]]-tbl_Case_mins[[#This Row],[Surgery Finish]]</f>
        <v>#REF!</v>
      </c>
      <c r="BA30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0" s="16" cm="1">
        <f t="array" ref="BC30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0" s="16" t="e">
        <f>IF(AND(tbl_Case_mins[[#This Row],[FirstAMCase]]=1,tbl_Case_mins[[#This Row],[CancelledCase]]=0,OR(tbl_Case_mins[[#This Row],[EarlyStartAM]]&gt;0,tbl_Case_mins[[#This Row],[AnaesthStart]]=tbl_Case_mins[[#This Row],[ThOpenAm]])),1,0)</f>
        <v>#REF!</v>
      </c>
      <c r="BE300" s="16" t="e">
        <f>IF(AND(tbl_Case_mins[[#This Row],[Rank_AnaSt]]=tbl_Case_mins[[#This Row],[Min_RankAnaSt]],tbl_Case_mins[[#This Row],[Anaesth End]]&gt;=tbl_Case_mins[[#This Row],[ThOpenAm]],tbl_Case_mins[[#This Row],[PmCase]]=0),1,0)</f>
        <v>#REF!</v>
      </c>
      <c r="BF30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0" s="9" t="e" cm="1">
        <f t="array" ref="BH30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0" s="9" t="e">
        <f>IF(AND(tbl_Case_mins[[#This Row],[ThOpenPM]]&gt;0,tbl_Case_mins[[#This Row],[AnaesthStart]]&gt;tbl_Case_mins[[#This Row],[ThOpenPM]],tbl_Case_mins[[#This Row],[First PM Case]]=1),tbl_Case_mins[[#This Row],[AnaesthStart]]-tbl_Case_mins[[#This Row],[ThOpenPM]],0)</f>
        <v>#REF!</v>
      </c>
      <c r="BL30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0" s="9" t="e" cm="1">
        <f t="array" ref="BN30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0" s="9" t="e">
        <f>IF(AND(tbl_Case_mins[[#This Row],[ThClosePm]]&gt;0,tbl_Case_mins[[#This Row],[Anaesth End]]&gt;tbl_Case_mins[[#This Row],[ThClosePm]],tbl_Case_mins[[#This Row],[AnaesthStart]]&gt;tbl_Case_mins[[#This Row],[ThClosePm]]),tbl_Case_mins[[#This Row],[Into Recov]]-tbl_Case_mins[[#This Row],[AnaesthStart]],0)</f>
        <v>#REF!</v>
      </c>
      <c r="BP300" s="9" t="e">
        <f>IF(AND(tbl_Case_mins[[#This Row],[AnaesthStart]]&lt;tbl_Case_mins[[#This Row],[ThClosePm]],tbl_Case_mins[[#This Row],[Anaesth End]]&gt;tbl_Case_mins[[#This Row],[ThClosePm]]),tbl_Case_mins[[#This Row],[Anaesth End]]-tbl_Case_mins[[#This Row],[ThClosePm]],0)</f>
        <v>#REF!</v>
      </c>
      <c r="BQ300" s="9" t="e" cm="1">
        <f t="array" ref="BQ30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0" s="9" t="e" cm="1">
        <f t="array" ref="BR300">IF(tbl_Case_mins[[#This Row],[Rank_Adjust]]=SUMPRODUCT(-(tbl_Case_mins[Surgery Start Date]=tbl_Case_mins[[#This Row],[Surgery Start Date]]),-(tbl_Case_mins[Theatre]=tbl_Case_mins[[#This Row],[Theatre]])),INDEX(Poss_Time,MATCH(TEXT(tbl_Case_mins[[#This Row],[Surgery Start Date]],"ddd"),Day,0)),0)</f>
        <v>#REF!</v>
      </c>
      <c r="BS300" s="9" t="e">
        <f>tbl_Case_mins[[#This Row],[Core_Time]]*Util_Goal</f>
        <v>#REF!</v>
      </c>
      <c r="BT300" s="9" t="e" cm="1">
        <f t="array" ref="BT3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0" s="9" t="e" cm="1">
        <f t="array" ref="BU3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0" s="9" t="e">
        <f>IF(tbl_Case_mins[[#This Row],[Surgery End Date]]&gt;tbl_Case_mins[[#This Row],[Surgery Start Date]],tbl_Case_mins[[#This Row],[Anaesth End]]-1440,0)</f>
        <v>#REF!</v>
      </c>
      <c r="BY300" s="9" t="e">
        <f>tbl_Case_mins[[#This Row],[Total_NonCore]]-tbl_Case_mins[[#This Row],[NextDay_NonCore]]</f>
        <v>#REF!</v>
      </c>
      <c r="BZ300" s="10" t="e">
        <f>tbl_Case_mins[[#This Row],[InCoreUse]]/60</f>
        <v>#REF!</v>
      </c>
      <c r="CA300" s="10" t="e">
        <f>tbl_Case_mins[[#This Row],[Total_NonCore]]/60</f>
        <v>#REF!</v>
      </c>
      <c r="CB300" t="e" cm="1">
        <f t="array" ref="CB3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0" s="9" t="e" cm="1">
        <f t="array" ref="CC30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0" s="9" t="e" cm="1">
        <f t="array" ref="CD3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0" s="9" t="e" cm="1">
        <f t="array" ref="CE30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0" s="9" cm="1">
        <f t="array" ref="CF300">IFERROR(_xlfn.AGGREGATE(14,6,(tbl_Case_mins[Rank_AnaEnd])/((tbl_Case_mins[Surgery Start Date]=tbl_Case_mins[[#This Row],[Surgery Start Date]])*(tbl_Case_mins[Theatre]=tbl_Case_mins[[#This Row],[Theatre]])*(tbl_Case_mins[NoInCoreTime]=0)),1),-1)</f>
        <v>-1</v>
      </c>
      <c r="CG300" s="9" cm="1">
        <f t="array" ref="CG300">IFERROR(_xlfn.AGGREGATE(15,6,(tbl_Case_mins[Rank_AnaSt])/((tbl_Case_mins[Surgery Start Date]=tbl_Case_mins[[#This Row],[Surgery Start Date]])*(tbl_Case_mins[Theatre]=tbl_Case_mins[[#This Row],[Theatre]])*(tbl_Case_mins[NoInCoreTime]=0)),1),-1)</f>
        <v>-1</v>
      </c>
      <c r="CH30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0" t="e" cm="1">
        <f t="array" ref="CJ30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0" s="9" cm="1">
        <f t="array" ref="CO3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0" s="9" cm="1">
        <f t="array" ref="CP3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0" s="9" cm="1">
        <f t="array" ref="CQ300">IFERROR(IF(AND(tbl_Case_mins[[#This Row],[FirstAMCase]]=0,tbl_Case_mins[[#This Row],[Rank]]=_xlfn.AGGREGATE(14,6,(tbl_Case_mins[Rank])/((tbl_Case_mins[Surgery Start Date]=tbl_Case_mins[[#This Row],[Surgery Start Date]])*(tbl_Case_mins[Theatre]=tbl_Case_mins[[#This Row],[Theatre]])*(tbl_Case_mins[AmCase]=1)),1)),1,0),0)</f>
        <v>0</v>
      </c>
      <c r="CR300" s="9" cm="1">
        <f t="array" ref="CR30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0" s="9" t="e" cm="1">
        <f t="array" ref="CS30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0" s="9" cm="1">
        <f t="array" ref="CT300">IFERROR(IF(tbl_Case_mins[[#This Row],[Rank]]=_xlfn.AGGREGATE(15,6,(tbl_Case_mins[Rank])/((tbl_Case_mins[Surgery Start Date]=tbl_Case_mins[[#This Row],[Surgery Start Date]])*(tbl_Case_mins[Theatre]=tbl_Case_mins[[#This Row],[Theatre]])*(tbl_Case_mins[PmCase]=1)),1),1,0),0)</f>
        <v>0</v>
      </c>
      <c r="CU300">
        <f>IFERROR(#REF!,0)</f>
        <v>0</v>
      </c>
      <c r="CV300" s="9" t="e" cm="1">
        <f t="array" ref="CV30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0" s="9">
        <f>IFERROR(IF(ISBLANK(INDEX(Bay_AmClose,MATCH(1,INDEX((tbl_Case_mins[[#This Row],[Bay]]=BayNo)*(tbl_Case_mins[[#This Row],[Surgery Start Date]]=BDate),0,1),0))*1440),0,INDEX(Bay_AmClose,MATCH(1,INDEX((tbl_Case_mins[[#This Row],[Bay]]=BayNo)*(tbl_Case_mins[[#This Row],[Surgery Start Date]]=BDate),0,1),0))*1440),0)</f>
        <v>0</v>
      </c>
      <c r="CX300" s="9" cm="1">
        <f t="array" ref="CX300">IFERROR(IF(ISBLANK(INDEX(Bay_PmOpen,MATCH(1,INDEX((tbl_Case_mins[[#This Row],[Bay]]=BayNo)*(tbl_Case_mins[[#This Row],[Surgery Start Date]]=BDate),0,1),0))*1440),0,INDEX(Bay_PmOpen,MATCH(1,INDEX((tbl_Case_mins[[#This Row],[Bay]]=BayNo)*(tbl_Case_mins[[#This Row],[Surgery Start Date]]=BDate),0,1),0))*1440),0)</f>
        <v>0</v>
      </c>
      <c r="CY30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0" s="9"/>
    </row>
    <row r="301" spans="1:104" x14ac:dyDescent="0.2">
      <c r="A301">
        <v>300</v>
      </c>
      <c r="B301" t="e">
        <f>#REF!</f>
        <v>#REF!</v>
      </c>
      <c r="C301" t="e">
        <f>#REF!</f>
        <v>#REF!</v>
      </c>
      <c r="D301" t="e">
        <f>#REF!</f>
        <v>#REF!</v>
      </c>
      <c r="E301" t="e">
        <f>#REF!</f>
        <v>#REF!</v>
      </c>
      <c r="F301" t="e">
        <f>#REF!</f>
        <v>#REF!</v>
      </c>
      <c r="G301" t="e">
        <f>#REF!</f>
        <v>#REF!</v>
      </c>
      <c r="H301" t="e">
        <f>#REF!</f>
        <v>#REF!</v>
      </c>
      <c r="I301" t="e">
        <f>IF(#REF!="Case Cancelled",1,IF(#REF!="No Cases",2,0))</f>
        <v>#REF!</v>
      </c>
      <c r="J301" t="e">
        <f>#REF!</f>
        <v>#REF!</v>
      </c>
      <c r="K301" s="4" t="e">
        <f>#REF!</f>
        <v>#REF!</v>
      </c>
      <c r="L301" t="e">
        <f>"Wk "&amp;WEEKNUM(tbl_Case_mins[[#This Row],[Surgery Start Date]],21)</f>
        <v>#REF!</v>
      </c>
      <c r="M301" t="e">
        <f>TEXT(tbl_Case_mins[[#This Row],[Surgery Start Date]],"ddd")</f>
        <v>#REF!</v>
      </c>
      <c r="N301" s="9" t="e">
        <f>(#REF!-TIME(0,0,0))*1440</f>
        <v>#REF!</v>
      </c>
      <c r="O301" t="e">
        <f>IF(AND(ROUND((#REF!-TIME(0,0,0))*1440,0)&gt;0,ROUND((#REF!-TIME(0,0,0))*1440,0)&lt;tbl_Case_mins[[#This Row],[Patient Called]],tbl_Case_mins[[#This Row],[Surgery End Date]]&gt;tbl_Case_mins[[#This Row],[Surgery Start Date]]),ROUND((#REF!-TIME(0,0,0))*1440,0)+1440,ROUND((#REF!-TIME(0,0,0))*1440,0))</f>
        <v>#REF!</v>
      </c>
      <c r="P301" s="9" t="e">
        <f>IF(AND(ROUND((#REF!-TIME(0,0,0))*1440,0)&gt;0,ROUND((#REF!-TIME(0,0,0))*1440,0)&lt;tbl_Case_mins[[#This Row],[Arrival]],tbl_Case_mins[[#This Row],[Surgery End Date]]&gt;tbl_Case_mins[[#This Row],[Surgery Start Date]]),ROUND((#REF!-TIME(0,0,0))*1440,0)+1440,ROUND((#REF!-TIME(0,0,0))*1440,0))</f>
        <v>#REF!</v>
      </c>
      <c r="Q301" s="9" t="e">
        <f>IF(AND(ROUND((#REF!-TIME(0,0,0))*1440,0)&gt;0,ROUND((#REF!-TIME(0,0,0))*1440,0)&lt;tbl_Case_mins[[#This Row],[Into Th or AR]],tbl_Case_mins[[#This Row],[Surgery End Date]]&gt;tbl_Case_mins[[#This Row],[Surgery Start Date]]),ROUND((#REF!-TIME(0,0,0))*1440,0)+1440,ROUND((#REF!-TIME(0,0,0))*1440,0))</f>
        <v>#REF!</v>
      </c>
      <c r="R301" s="9" t="e">
        <f>IF(AND(ROUND((#REF!-TIME(0,0,0))*1440,0)&gt;0,ROUND((#REF!-TIME(0,0,0))*1440,0)&lt;tbl_Case_mins[[#This Row],[AnaesthStart]],tbl_Case_mins[[#This Row],[Surgery End Date]]&gt;tbl_Case_mins[[#This Row],[Surgery Start Date]]),ROUND((#REF!-TIME(0,0,0))*1440,0)+1440,ROUND((#REF!-TIME(0,0,0))*1440,0))</f>
        <v>#REF!</v>
      </c>
      <c r="S301" s="9" t="e">
        <f>IF(AND(ROUND((#REF!-TIME(0,0,0))*1440,0),ROUND((#REF!-TIME(0,0,0))*1440,0)&lt;tbl_Case_mins[[#This Row],[Surgery Start]],tbl_Case_mins[[#This Row],[Surgery End Date]]&gt;tbl_Case_mins[[#This Row],[Surgery Start Date]]),ROUND((#REF!-TIME(0,0,0))*1440,0)+1440,ROUND((#REF!-TIME(0,0,0))*1440,0))</f>
        <v>#REF!</v>
      </c>
      <c r="T301" s="9" t="e">
        <f>IF(AND(ROUND((#REF!-TIME(0,0,0))*1440,0)&gt;0,ROUND((#REF!-TIME(0,0,0))*1440,0)&lt;tbl_Case_mins[[#This Row],[Surgery Finish]],tbl_Case_mins[[#This Row],[Surgery End Date]]&gt;tbl_Case_mins[[#This Row],[Surgery Start Date]]),ROUND((#REF!-TIME(0,0,0))*1440,0)+1440,ROUND((#REF!-TIME(0,0,0))*1440,0))</f>
        <v>#REF!</v>
      </c>
      <c r="U301" s="9" t="e">
        <f>IF(AND(ROUND((#REF!-TIME(0,0,0))*1440,0)&gt;0,ROUND((#REF!-TIME(0,0,0))*1440,0)&lt;tbl_Case_mins[[#This Row],[Anaesth End]],tbl_Case_mins[[#This Row],[Surgery End Date]]&gt;tbl_Case_mins[[#This Row],[Surgery Start Date]]),ROUND((#REF!-TIME(0,0,0))*1440,0)+1440,ROUND((#REF!-TIME(0,0,0))*1440,0))</f>
        <v>#REF!</v>
      </c>
      <c r="V301" s="9" t="e">
        <f>IF(AND(ROUND((#REF!-TIME(0,0,0))*1440,0)&gt;0,ROUND((#REF!-TIME(0,0,0))*1440,0)&lt;tbl_Case_mins[[#This Row],[Into Recov]],tbl_Case_mins[[#This Row],[Surgery End Date]]&gt;tbl_Case_mins[[#This Row],[Surgery Start Date]]),ROUND((#REF!-TIME(0,0,0))*1440,0)+1440,ROUND((#REF!-TIME(0,0,0))*1440,0))</f>
        <v>#REF!</v>
      </c>
      <c r="W301" s="9" t="e">
        <f>IF(AND(ROUND((#REF!-TIME(0,0,0))*1440,0)&gt;0,ROUND((#REF!-TIME(0,0,0))*1440,0)&lt;tbl_Case_mins[[#This Row],[Ward Called]],tbl_Case_mins[[#This Row],[Surgery End Date]]&gt;tbl_Case_mins[[#This Row],[Surgery Start Date]]),ROUND((#REF!-TIME(0,0,0))*1440,0)+1440,ROUND((#REF!-TIME(0,0,0))*1440,0))</f>
        <v>#REF!</v>
      </c>
      <c r="X301" s="4" t="e">
        <f>IF(ISBLANK(#REF!),tbl_Case_mins[[#This Row],[Surgery Start Date]],#REF!)</f>
        <v>#REF!</v>
      </c>
      <c r="Y301">
        <f>IFERROR(IF(VLOOKUP(tbl_Case_mins[[#This Row],[Theatre]],'Mng Theatres'!$C$7:$G$12,3,FALSE)="Yes","Yes","No"),0)</f>
        <v>0</v>
      </c>
      <c r="Z301" s="9" t="e" cm="1">
        <f t="array" ref="Z30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1" s="9" t="e" cm="1">
        <f t="array" ref="AA30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1" s="9" t="e">
        <f>IF(tbl_Case_mins[[#This Row],[Case Type]]="Unsch",1,0)</f>
        <v>#REF!</v>
      </c>
      <c r="AD301" s="9" t="e">
        <f>IF(tbl_Case_mins[[#This Row],[Case Type]]="Sch",1,0)</f>
        <v>#REF!</v>
      </c>
      <c r="AE30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1" s="9">
        <f>IFERROR(IF(ISBLANK(INDEX(Am_Close,MATCH(1,INDEX((tbl_Case_mins[[#This Row],[Theatre]]=Theatre_No)*(tbl_Case_mins[[#This Row],[Surgery Start Date]]=Date),0,1),0))*1440),0,INDEX(Am_Close,MATCH(1,INDEX((tbl_Case_mins[[#This Row],[Theatre]]=Theatre_No)*(tbl_Case_mins[[#This Row],[Surgery Start Date]]=Date),0,1),0))*1440),0)</f>
        <v>0</v>
      </c>
      <c r="AG301" s="9">
        <f>IFERROR(IF(ISBLANK(INDEX(PM_Open,MATCH(1,INDEX((tbl_Case_mins[[#This Row],[Theatre]]=Theatre_No)*(tbl_Case_mins[[#This Row],[Surgery Start Date]]=Date),0,1),0))*1440),0,INDEX(PM_Open,MATCH(1,INDEX((tbl_Case_mins[[#This Row],[Theatre]]=Theatre_No)*(tbl_Case_mins[[#This Row],[Surgery Start Date]]=Date),0,1),0))*1440),0)</f>
        <v>0</v>
      </c>
      <c r="AH30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1" s="9" t="e">
        <f>IF(tbl_Case_mins[[#This Row],[ThOpenAm]]=0,tbl_Case_mins[[#This Row],[ThOpenPM]],tbl_Case_mins[[#This Row],[ThOpenAm]])</f>
        <v>#REF!</v>
      </c>
      <c r="AJ301" s="9" t="e">
        <f>IF(tbl_Case_mins[[#This Row],[ThCloseAm]]&gt;0,IF(tbl_Case_mins[[#This Row],[ThOpenPM]]&gt;0,tbl_Case_mins[[#This Row],[ThClosePm]],tbl_Case_mins[[#This Row],[ThCloseAm]]),tbl_Case_mins[[#This Row],[ThClosePm]])</f>
        <v>#REF!</v>
      </c>
      <c r="AK301" s="9" t="e">
        <f>IF(tbl_Case_mins[[#This Row],[TOT]]&gt;0,1,0)</f>
        <v>#REF!</v>
      </c>
      <c r="AL30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1" s="9" t="e">
        <f>IF(AND(tbl_Case_mins[[#This Row],[Surgery Status]]&lt;&gt;2,tbl_Case_mins[[#This Row],[InCoreCase]]=0,tbl_Case_mins[[#This Row],[CancelledCase]]=0),1,0)</f>
        <v>#REF!</v>
      </c>
      <c r="AN301" s="9" t="e">
        <f>IF(tbl_Case_mins[[#This Row],[Surgery Status]]=1,1,0)</f>
        <v>#REF!</v>
      </c>
      <c r="AO30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1" s="9" t="e">
        <f>IF(AND(tbl_Case_mins[[#This Row],[NonCoreCase]]=1,tbl_Case_mins[[#This Row],[NoInCoreTime]]=0),1,0)</f>
        <v>#REF!</v>
      </c>
      <c r="AQ301" s="9" t="e">
        <f>IF(tbl_Case_mins[[#This Row],[Rank_AnaEnd]]&lt;tbl_Case_mins[[#This Row],[Rank_AnaSt]],1,0)</f>
        <v>#REF!</v>
      </c>
      <c r="AR301" s="9" t="e">
        <f>IF(AND(tbl_Case_mins[[#This Row],[InCoreCase]]=1,tbl_Case_mins[[#This Row],[Sch]]=1),1,0)</f>
        <v>#REF!</v>
      </c>
      <c r="AS301" s="9" t="e">
        <f>IF(AND(tbl_Case_mins[[#This Row],[InCoreCase]]=1,tbl_Case_mins[[#This Row],[Unsch]]=1),1,0)</f>
        <v>#REF!</v>
      </c>
      <c r="AT30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1" s="9" t="e">
        <f>IF(tbl_Case_mins[[#This Row],[Surgery Status]]=0,(tbl_Case_mins[[#This Row],[Anaesth End]]-tbl_Case_mins[[#This Row],[AnaesthStart]]),0)</f>
        <v>#REF!</v>
      </c>
      <c r="AX301" s="9" t="e">
        <f>IF(tbl_Case_mins[[#This Row],[Surgery Status]]=0,(tbl_Case_mins[[#This Row],[Surgery Finish]]-tbl_Case_mins[[#This Row],[Surgery Start]]),0)</f>
        <v>#REF!</v>
      </c>
      <c r="AY301" s="9" t="e">
        <f>tbl_Case_mins[[#This Row],[Surgery Start]]-tbl_Case_mins[[#This Row],[AnaesthStart]]</f>
        <v>#REF!</v>
      </c>
      <c r="AZ301" s="9" t="e">
        <f>tbl_Case_mins[[#This Row],[Anaesth End]]-tbl_Case_mins[[#This Row],[Surgery Finish]]</f>
        <v>#REF!</v>
      </c>
      <c r="BA30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1" s="16" cm="1">
        <f t="array" ref="BC30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1" s="16" t="e">
        <f>IF(AND(tbl_Case_mins[[#This Row],[FirstAMCase]]=1,tbl_Case_mins[[#This Row],[CancelledCase]]=0,OR(tbl_Case_mins[[#This Row],[EarlyStartAM]]&gt;0,tbl_Case_mins[[#This Row],[AnaesthStart]]=tbl_Case_mins[[#This Row],[ThOpenAm]])),1,0)</f>
        <v>#REF!</v>
      </c>
      <c r="BE301" s="16" t="e">
        <f>IF(AND(tbl_Case_mins[[#This Row],[Rank_AnaSt]]=tbl_Case_mins[[#This Row],[Min_RankAnaSt]],tbl_Case_mins[[#This Row],[Anaesth End]]&gt;=tbl_Case_mins[[#This Row],[ThOpenAm]],tbl_Case_mins[[#This Row],[PmCase]]=0),1,0)</f>
        <v>#REF!</v>
      </c>
      <c r="BF30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1" s="9" t="e" cm="1">
        <f t="array" ref="BH30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1" s="9" t="e">
        <f>IF(AND(tbl_Case_mins[[#This Row],[ThOpenPM]]&gt;0,tbl_Case_mins[[#This Row],[AnaesthStart]]&gt;tbl_Case_mins[[#This Row],[ThOpenPM]],tbl_Case_mins[[#This Row],[First PM Case]]=1),tbl_Case_mins[[#This Row],[AnaesthStart]]-tbl_Case_mins[[#This Row],[ThOpenPM]],0)</f>
        <v>#REF!</v>
      </c>
      <c r="BL30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1" s="9" t="e" cm="1">
        <f t="array" ref="BN30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1" s="9" t="e">
        <f>IF(AND(tbl_Case_mins[[#This Row],[ThClosePm]]&gt;0,tbl_Case_mins[[#This Row],[Anaesth End]]&gt;tbl_Case_mins[[#This Row],[ThClosePm]],tbl_Case_mins[[#This Row],[AnaesthStart]]&gt;tbl_Case_mins[[#This Row],[ThClosePm]]),tbl_Case_mins[[#This Row],[Into Recov]]-tbl_Case_mins[[#This Row],[AnaesthStart]],0)</f>
        <v>#REF!</v>
      </c>
      <c r="BP301" s="9" t="e">
        <f>IF(AND(tbl_Case_mins[[#This Row],[AnaesthStart]]&lt;tbl_Case_mins[[#This Row],[ThClosePm]],tbl_Case_mins[[#This Row],[Anaesth End]]&gt;tbl_Case_mins[[#This Row],[ThClosePm]]),tbl_Case_mins[[#This Row],[Anaesth End]]-tbl_Case_mins[[#This Row],[ThClosePm]],0)</f>
        <v>#REF!</v>
      </c>
      <c r="BQ301" s="9" t="e" cm="1">
        <f t="array" ref="BQ30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1" s="9" t="e" cm="1">
        <f t="array" ref="BR301">IF(tbl_Case_mins[[#This Row],[Rank_Adjust]]=SUMPRODUCT(-(tbl_Case_mins[Surgery Start Date]=tbl_Case_mins[[#This Row],[Surgery Start Date]]),-(tbl_Case_mins[Theatre]=tbl_Case_mins[[#This Row],[Theatre]])),INDEX(Poss_Time,MATCH(TEXT(tbl_Case_mins[[#This Row],[Surgery Start Date]],"ddd"),Day,0)),0)</f>
        <v>#REF!</v>
      </c>
      <c r="BS301" s="9" t="e">
        <f>tbl_Case_mins[[#This Row],[Core_Time]]*Util_Goal</f>
        <v>#REF!</v>
      </c>
      <c r="BT301" s="9" t="e" cm="1">
        <f t="array" ref="BT3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1" s="9" t="e" cm="1">
        <f t="array" ref="BU3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1" s="9" t="e">
        <f>IF(tbl_Case_mins[[#This Row],[Surgery End Date]]&gt;tbl_Case_mins[[#This Row],[Surgery Start Date]],tbl_Case_mins[[#This Row],[Anaesth End]]-1440,0)</f>
        <v>#REF!</v>
      </c>
      <c r="BY301" s="9" t="e">
        <f>tbl_Case_mins[[#This Row],[Total_NonCore]]-tbl_Case_mins[[#This Row],[NextDay_NonCore]]</f>
        <v>#REF!</v>
      </c>
      <c r="BZ301" s="10" t="e">
        <f>tbl_Case_mins[[#This Row],[InCoreUse]]/60</f>
        <v>#REF!</v>
      </c>
      <c r="CA301" s="10" t="e">
        <f>tbl_Case_mins[[#This Row],[Total_NonCore]]/60</f>
        <v>#REF!</v>
      </c>
      <c r="CB301" t="e" cm="1">
        <f t="array" ref="CB3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1" s="9" t="e" cm="1">
        <f t="array" ref="CC30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1" s="9" t="e" cm="1">
        <f t="array" ref="CD3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1" s="9" t="e" cm="1">
        <f t="array" ref="CE30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1" s="9" cm="1">
        <f t="array" ref="CF301">IFERROR(_xlfn.AGGREGATE(14,6,(tbl_Case_mins[Rank_AnaEnd])/((tbl_Case_mins[Surgery Start Date]=tbl_Case_mins[[#This Row],[Surgery Start Date]])*(tbl_Case_mins[Theatre]=tbl_Case_mins[[#This Row],[Theatre]])*(tbl_Case_mins[NoInCoreTime]=0)),1),-1)</f>
        <v>-1</v>
      </c>
      <c r="CG301" s="9" cm="1">
        <f t="array" ref="CG301">IFERROR(_xlfn.AGGREGATE(15,6,(tbl_Case_mins[Rank_AnaSt])/((tbl_Case_mins[Surgery Start Date]=tbl_Case_mins[[#This Row],[Surgery Start Date]])*(tbl_Case_mins[Theatre]=tbl_Case_mins[[#This Row],[Theatre]])*(tbl_Case_mins[NoInCoreTime]=0)),1),-1)</f>
        <v>-1</v>
      </c>
      <c r="CH30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1" t="e" cm="1">
        <f t="array" ref="CJ30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1" s="9" cm="1">
        <f t="array" ref="CO3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1" s="9" cm="1">
        <f t="array" ref="CP3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1" s="9" cm="1">
        <f t="array" ref="CQ301">IFERROR(IF(AND(tbl_Case_mins[[#This Row],[FirstAMCase]]=0,tbl_Case_mins[[#This Row],[Rank]]=_xlfn.AGGREGATE(14,6,(tbl_Case_mins[Rank])/((tbl_Case_mins[Surgery Start Date]=tbl_Case_mins[[#This Row],[Surgery Start Date]])*(tbl_Case_mins[Theatre]=tbl_Case_mins[[#This Row],[Theatre]])*(tbl_Case_mins[AmCase]=1)),1)),1,0),0)</f>
        <v>0</v>
      </c>
      <c r="CR301" s="9" cm="1">
        <f t="array" ref="CR30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1" s="9" t="e" cm="1">
        <f t="array" ref="CS30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1" s="9" cm="1">
        <f t="array" ref="CT301">IFERROR(IF(tbl_Case_mins[[#This Row],[Rank]]=_xlfn.AGGREGATE(15,6,(tbl_Case_mins[Rank])/((tbl_Case_mins[Surgery Start Date]=tbl_Case_mins[[#This Row],[Surgery Start Date]])*(tbl_Case_mins[Theatre]=tbl_Case_mins[[#This Row],[Theatre]])*(tbl_Case_mins[PmCase]=1)),1),1,0),0)</f>
        <v>0</v>
      </c>
      <c r="CU301">
        <f>IFERROR(#REF!,0)</f>
        <v>0</v>
      </c>
      <c r="CV301" s="9" t="e" cm="1">
        <f t="array" ref="CV30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1" s="9">
        <f>IFERROR(IF(ISBLANK(INDEX(Bay_AmClose,MATCH(1,INDEX((tbl_Case_mins[[#This Row],[Bay]]=BayNo)*(tbl_Case_mins[[#This Row],[Surgery Start Date]]=BDate),0,1),0))*1440),0,INDEX(Bay_AmClose,MATCH(1,INDEX((tbl_Case_mins[[#This Row],[Bay]]=BayNo)*(tbl_Case_mins[[#This Row],[Surgery Start Date]]=BDate),0,1),0))*1440),0)</f>
        <v>0</v>
      </c>
      <c r="CX301" s="9" cm="1">
        <f t="array" ref="CX301">IFERROR(IF(ISBLANK(INDEX(Bay_PmOpen,MATCH(1,INDEX((tbl_Case_mins[[#This Row],[Bay]]=BayNo)*(tbl_Case_mins[[#This Row],[Surgery Start Date]]=BDate),0,1),0))*1440),0,INDEX(Bay_PmOpen,MATCH(1,INDEX((tbl_Case_mins[[#This Row],[Bay]]=BayNo)*(tbl_Case_mins[[#This Row],[Surgery Start Date]]=BDate),0,1),0))*1440),0)</f>
        <v>0</v>
      </c>
      <c r="CY30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1" s="9"/>
    </row>
    <row r="302" spans="1:104" x14ac:dyDescent="0.2">
      <c r="A302">
        <v>301</v>
      </c>
      <c r="B302" t="e">
        <f>#REF!</f>
        <v>#REF!</v>
      </c>
      <c r="C302" t="e">
        <f>#REF!</f>
        <v>#REF!</v>
      </c>
      <c r="D302" t="e">
        <f>#REF!</f>
        <v>#REF!</v>
      </c>
      <c r="E302" t="e">
        <f>#REF!</f>
        <v>#REF!</v>
      </c>
      <c r="F302" t="e">
        <f>#REF!</f>
        <v>#REF!</v>
      </c>
      <c r="G302" t="e">
        <f>#REF!</f>
        <v>#REF!</v>
      </c>
      <c r="H302" t="e">
        <f>#REF!</f>
        <v>#REF!</v>
      </c>
      <c r="I302" t="e">
        <f>IF(#REF!="Case Cancelled",1,IF(#REF!="No Cases",2,0))</f>
        <v>#REF!</v>
      </c>
      <c r="J302" t="e">
        <f>#REF!</f>
        <v>#REF!</v>
      </c>
      <c r="K302" s="4" t="e">
        <f>#REF!</f>
        <v>#REF!</v>
      </c>
      <c r="L302" t="e">
        <f>"Wk "&amp;WEEKNUM(tbl_Case_mins[[#This Row],[Surgery Start Date]],21)</f>
        <v>#REF!</v>
      </c>
      <c r="M302" t="e">
        <f>TEXT(tbl_Case_mins[[#This Row],[Surgery Start Date]],"ddd")</f>
        <v>#REF!</v>
      </c>
      <c r="N302" s="9" t="e">
        <f>(#REF!-TIME(0,0,0))*1440</f>
        <v>#REF!</v>
      </c>
      <c r="O302" t="e">
        <f>IF(AND(ROUND((#REF!-TIME(0,0,0))*1440,0)&gt;0,ROUND((#REF!-TIME(0,0,0))*1440,0)&lt;tbl_Case_mins[[#This Row],[Patient Called]],tbl_Case_mins[[#This Row],[Surgery End Date]]&gt;tbl_Case_mins[[#This Row],[Surgery Start Date]]),ROUND((#REF!-TIME(0,0,0))*1440,0)+1440,ROUND((#REF!-TIME(0,0,0))*1440,0))</f>
        <v>#REF!</v>
      </c>
      <c r="P302" s="9" t="e">
        <f>IF(AND(ROUND((#REF!-TIME(0,0,0))*1440,0)&gt;0,ROUND((#REF!-TIME(0,0,0))*1440,0)&lt;tbl_Case_mins[[#This Row],[Arrival]],tbl_Case_mins[[#This Row],[Surgery End Date]]&gt;tbl_Case_mins[[#This Row],[Surgery Start Date]]),ROUND((#REF!-TIME(0,0,0))*1440,0)+1440,ROUND((#REF!-TIME(0,0,0))*1440,0))</f>
        <v>#REF!</v>
      </c>
      <c r="Q302" s="9" t="e">
        <f>IF(AND(ROUND((#REF!-TIME(0,0,0))*1440,0)&gt;0,ROUND((#REF!-TIME(0,0,0))*1440,0)&lt;tbl_Case_mins[[#This Row],[Into Th or AR]],tbl_Case_mins[[#This Row],[Surgery End Date]]&gt;tbl_Case_mins[[#This Row],[Surgery Start Date]]),ROUND((#REF!-TIME(0,0,0))*1440,0)+1440,ROUND((#REF!-TIME(0,0,0))*1440,0))</f>
        <v>#REF!</v>
      </c>
      <c r="R302" s="9" t="e">
        <f>IF(AND(ROUND((#REF!-TIME(0,0,0))*1440,0)&gt;0,ROUND((#REF!-TIME(0,0,0))*1440,0)&lt;tbl_Case_mins[[#This Row],[AnaesthStart]],tbl_Case_mins[[#This Row],[Surgery End Date]]&gt;tbl_Case_mins[[#This Row],[Surgery Start Date]]),ROUND((#REF!-TIME(0,0,0))*1440,0)+1440,ROUND((#REF!-TIME(0,0,0))*1440,0))</f>
        <v>#REF!</v>
      </c>
      <c r="S302" s="9" t="e">
        <f>IF(AND(ROUND((#REF!-TIME(0,0,0))*1440,0),ROUND((#REF!-TIME(0,0,0))*1440,0)&lt;tbl_Case_mins[[#This Row],[Surgery Start]],tbl_Case_mins[[#This Row],[Surgery End Date]]&gt;tbl_Case_mins[[#This Row],[Surgery Start Date]]),ROUND((#REF!-TIME(0,0,0))*1440,0)+1440,ROUND((#REF!-TIME(0,0,0))*1440,0))</f>
        <v>#REF!</v>
      </c>
      <c r="T302" s="9" t="e">
        <f>IF(AND(ROUND((#REF!-TIME(0,0,0))*1440,0)&gt;0,ROUND((#REF!-TIME(0,0,0))*1440,0)&lt;tbl_Case_mins[[#This Row],[Surgery Finish]],tbl_Case_mins[[#This Row],[Surgery End Date]]&gt;tbl_Case_mins[[#This Row],[Surgery Start Date]]),ROUND((#REF!-TIME(0,0,0))*1440,0)+1440,ROUND((#REF!-TIME(0,0,0))*1440,0))</f>
        <v>#REF!</v>
      </c>
      <c r="U302" s="9" t="e">
        <f>IF(AND(ROUND((#REF!-TIME(0,0,0))*1440,0)&gt;0,ROUND((#REF!-TIME(0,0,0))*1440,0)&lt;tbl_Case_mins[[#This Row],[Anaesth End]],tbl_Case_mins[[#This Row],[Surgery End Date]]&gt;tbl_Case_mins[[#This Row],[Surgery Start Date]]),ROUND((#REF!-TIME(0,0,0))*1440,0)+1440,ROUND((#REF!-TIME(0,0,0))*1440,0))</f>
        <v>#REF!</v>
      </c>
      <c r="V302" s="9" t="e">
        <f>IF(AND(ROUND((#REF!-TIME(0,0,0))*1440,0)&gt;0,ROUND((#REF!-TIME(0,0,0))*1440,0)&lt;tbl_Case_mins[[#This Row],[Into Recov]],tbl_Case_mins[[#This Row],[Surgery End Date]]&gt;tbl_Case_mins[[#This Row],[Surgery Start Date]]),ROUND((#REF!-TIME(0,0,0))*1440,0)+1440,ROUND((#REF!-TIME(0,0,0))*1440,0))</f>
        <v>#REF!</v>
      </c>
      <c r="W302" s="9" t="e">
        <f>IF(AND(ROUND((#REF!-TIME(0,0,0))*1440,0)&gt;0,ROUND((#REF!-TIME(0,0,0))*1440,0)&lt;tbl_Case_mins[[#This Row],[Ward Called]],tbl_Case_mins[[#This Row],[Surgery End Date]]&gt;tbl_Case_mins[[#This Row],[Surgery Start Date]]),ROUND((#REF!-TIME(0,0,0))*1440,0)+1440,ROUND((#REF!-TIME(0,0,0))*1440,0))</f>
        <v>#REF!</v>
      </c>
      <c r="X302" s="4" t="e">
        <f>IF(ISBLANK(#REF!),tbl_Case_mins[[#This Row],[Surgery Start Date]],#REF!)</f>
        <v>#REF!</v>
      </c>
      <c r="Y302">
        <f>IFERROR(IF(VLOOKUP(tbl_Case_mins[[#This Row],[Theatre]],'Mng Theatres'!$C$7:$G$12,3,FALSE)="Yes","Yes","No"),0)</f>
        <v>0</v>
      </c>
      <c r="Z302" s="9" t="e" cm="1">
        <f t="array" ref="Z30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2" s="9" t="e" cm="1">
        <f t="array" ref="AA30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2" s="9" t="e">
        <f>IF(tbl_Case_mins[[#This Row],[Case Type]]="Unsch",1,0)</f>
        <v>#REF!</v>
      </c>
      <c r="AD302" s="9" t="e">
        <f>IF(tbl_Case_mins[[#This Row],[Case Type]]="Sch",1,0)</f>
        <v>#REF!</v>
      </c>
      <c r="AE30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2" s="9">
        <f>IFERROR(IF(ISBLANK(INDEX(Am_Close,MATCH(1,INDEX((tbl_Case_mins[[#This Row],[Theatre]]=Theatre_No)*(tbl_Case_mins[[#This Row],[Surgery Start Date]]=Date),0,1),0))*1440),0,INDEX(Am_Close,MATCH(1,INDEX((tbl_Case_mins[[#This Row],[Theatre]]=Theatre_No)*(tbl_Case_mins[[#This Row],[Surgery Start Date]]=Date),0,1),0))*1440),0)</f>
        <v>0</v>
      </c>
      <c r="AG302" s="9">
        <f>IFERROR(IF(ISBLANK(INDEX(PM_Open,MATCH(1,INDEX((tbl_Case_mins[[#This Row],[Theatre]]=Theatre_No)*(tbl_Case_mins[[#This Row],[Surgery Start Date]]=Date),0,1),0))*1440),0,INDEX(PM_Open,MATCH(1,INDEX((tbl_Case_mins[[#This Row],[Theatre]]=Theatre_No)*(tbl_Case_mins[[#This Row],[Surgery Start Date]]=Date),0,1),0))*1440),0)</f>
        <v>0</v>
      </c>
      <c r="AH30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2" s="9" t="e">
        <f>IF(tbl_Case_mins[[#This Row],[ThOpenAm]]=0,tbl_Case_mins[[#This Row],[ThOpenPM]],tbl_Case_mins[[#This Row],[ThOpenAm]])</f>
        <v>#REF!</v>
      </c>
      <c r="AJ302" s="9" t="e">
        <f>IF(tbl_Case_mins[[#This Row],[ThCloseAm]]&gt;0,IF(tbl_Case_mins[[#This Row],[ThOpenPM]]&gt;0,tbl_Case_mins[[#This Row],[ThClosePm]],tbl_Case_mins[[#This Row],[ThCloseAm]]),tbl_Case_mins[[#This Row],[ThClosePm]])</f>
        <v>#REF!</v>
      </c>
      <c r="AK302" s="9" t="e">
        <f>IF(tbl_Case_mins[[#This Row],[TOT]]&gt;0,1,0)</f>
        <v>#REF!</v>
      </c>
      <c r="AL30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2" s="9" t="e">
        <f>IF(AND(tbl_Case_mins[[#This Row],[Surgery Status]]&lt;&gt;2,tbl_Case_mins[[#This Row],[InCoreCase]]=0,tbl_Case_mins[[#This Row],[CancelledCase]]=0),1,0)</f>
        <v>#REF!</v>
      </c>
      <c r="AN302" s="9" t="e">
        <f>IF(tbl_Case_mins[[#This Row],[Surgery Status]]=1,1,0)</f>
        <v>#REF!</v>
      </c>
      <c r="AO30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2" s="9" t="e">
        <f>IF(AND(tbl_Case_mins[[#This Row],[NonCoreCase]]=1,tbl_Case_mins[[#This Row],[NoInCoreTime]]=0),1,0)</f>
        <v>#REF!</v>
      </c>
      <c r="AQ302" s="9" t="e">
        <f>IF(tbl_Case_mins[[#This Row],[Rank_AnaEnd]]&lt;tbl_Case_mins[[#This Row],[Rank_AnaSt]],1,0)</f>
        <v>#REF!</v>
      </c>
      <c r="AR302" s="9" t="e">
        <f>IF(AND(tbl_Case_mins[[#This Row],[InCoreCase]]=1,tbl_Case_mins[[#This Row],[Sch]]=1),1,0)</f>
        <v>#REF!</v>
      </c>
      <c r="AS302" s="9" t="e">
        <f>IF(AND(tbl_Case_mins[[#This Row],[InCoreCase]]=1,tbl_Case_mins[[#This Row],[Unsch]]=1),1,0)</f>
        <v>#REF!</v>
      </c>
      <c r="AT30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2" s="9" t="e">
        <f>IF(tbl_Case_mins[[#This Row],[Surgery Status]]=0,(tbl_Case_mins[[#This Row],[Anaesth End]]-tbl_Case_mins[[#This Row],[AnaesthStart]]),0)</f>
        <v>#REF!</v>
      </c>
      <c r="AX302" s="9" t="e">
        <f>IF(tbl_Case_mins[[#This Row],[Surgery Status]]=0,(tbl_Case_mins[[#This Row],[Surgery Finish]]-tbl_Case_mins[[#This Row],[Surgery Start]]),0)</f>
        <v>#REF!</v>
      </c>
      <c r="AY302" s="9" t="e">
        <f>tbl_Case_mins[[#This Row],[Surgery Start]]-tbl_Case_mins[[#This Row],[AnaesthStart]]</f>
        <v>#REF!</v>
      </c>
      <c r="AZ302" s="9" t="e">
        <f>tbl_Case_mins[[#This Row],[Anaesth End]]-tbl_Case_mins[[#This Row],[Surgery Finish]]</f>
        <v>#REF!</v>
      </c>
      <c r="BA30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2" s="16" cm="1">
        <f t="array" ref="BC30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2" s="16" t="e">
        <f>IF(AND(tbl_Case_mins[[#This Row],[FirstAMCase]]=1,tbl_Case_mins[[#This Row],[CancelledCase]]=0,OR(tbl_Case_mins[[#This Row],[EarlyStartAM]]&gt;0,tbl_Case_mins[[#This Row],[AnaesthStart]]=tbl_Case_mins[[#This Row],[ThOpenAm]])),1,0)</f>
        <v>#REF!</v>
      </c>
      <c r="BE302" s="16" t="e">
        <f>IF(AND(tbl_Case_mins[[#This Row],[Rank_AnaSt]]=tbl_Case_mins[[#This Row],[Min_RankAnaSt]],tbl_Case_mins[[#This Row],[Anaesth End]]&gt;=tbl_Case_mins[[#This Row],[ThOpenAm]],tbl_Case_mins[[#This Row],[PmCase]]=0),1,0)</f>
        <v>#REF!</v>
      </c>
      <c r="BF30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2" s="9" t="e" cm="1">
        <f t="array" ref="BH30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2" s="9" t="e">
        <f>IF(AND(tbl_Case_mins[[#This Row],[ThOpenPM]]&gt;0,tbl_Case_mins[[#This Row],[AnaesthStart]]&gt;tbl_Case_mins[[#This Row],[ThOpenPM]],tbl_Case_mins[[#This Row],[First PM Case]]=1),tbl_Case_mins[[#This Row],[AnaesthStart]]-tbl_Case_mins[[#This Row],[ThOpenPM]],0)</f>
        <v>#REF!</v>
      </c>
      <c r="BL30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2" s="9" t="e" cm="1">
        <f t="array" ref="BN30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2" s="9" t="e">
        <f>IF(AND(tbl_Case_mins[[#This Row],[ThClosePm]]&gt;0,tbl_Case_mins[[#This Row],[Anaesth End]]&gt;tbl_Case_mins[[#This Row],[ThClosePm]],tbl_Case_mins[[#This Row],[AnaesthStart]]&gt;tbl_Case_mins[[#This Row],[ThClosePm]]),tbl_Case_mins[[#This Row],[Into Recov]]-tbl_Case_mins[[#This Row],[AnaesthStart]],0)</f>
        <v>#REF!</v>
      </c>
      <c r="BP302" s="9" t="e">
        <f>IF(AND(tbl_Case_mins[[#This Row],[AnaesthStart]]&lt;tbl_Case_mins[[#This Row],[ThClosePm]],tbl_Case_mins[[#This Row],[Anaesth End]]&gt;tbl_Case_mins[[#This Row],[ThClosePm]]),tbl_Case_mins[[#This Row],[Anaesth End]]-tbl_Case_mins[[#This Row],[ThClosePm]],0)</f>
        <v>#REF!</v>
      </c>
      <c r="BQ302" s="9" t="e" cm="1">
        <f t="array" ref="BQ30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2" s="9" t="e" cm="1">
        <f t="array" ref="BR302">IF(tbl_Case_mins[[#This Row],[Rank_Adjust]]=SUMPRODUCT(-(tbl_Case_mins[Surgery Start Date]=tbl_Case_mins[[#This Row],[Surgery Start Date]]),-(tbl_Case_mins[Theatre]=tbl_Case_mins[[#This Row],[Theatre]])),INDEX(Poss_Time,MATCH(TEXT(tbl_Case_mins[[#This Row],[Surgery Start Date]],"ddd"),Day,0)),0)</f>
        <v>#REF!</v>
      </c>
      <c r="BS302" s="9" t="e">
        <f>tbl_Case_mins[[#This Row],[Core_Time]]*Util_Goal</f>
        <v>#REF!</v>
      </c>
      <c r="BT302" s="9" t="e" cm="1">
        <f t="array" ref="BT3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2" s="9" t="e" cm="1">
        <f t="array" ref="BU3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2" s="9" t="e">
        <f>IF(tbl_Case_mins[[#This Row],[Surgery End Date]]&gt;tbl_Case_mins[[#This Row],[Surgery Start Date]],tbl_Case_mins[[#This Row],[Anaesth End]]-1440,0)</f>
        <v>#REF!</v>
      </c>
      <c r="BY302" s="9" t="e">
        <f>tbl_Case_mins[[#This Row],[Total_NonCore]]-tbl_Case_mins[[#This Row],[NextDay_NonCore]]</f>
        <v>#REF!</v>
      </c>
      <c r="BZ302" s="10" t="e">
        <f>tbl_Case_mins[[#This Row],[InCoreUse]]/60</f>
        <v>#REF!</v>
      </c>
      <c r="CA302" s="10" t="e">
        <f>tbl_Case_mins[[#This Row],[Total_NonCore]]/60</f>
        <v>#REF!</v>
      </c>
      <c r="CB302" t="e" cm="1">
        <f t="array" ref="CB3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2" s="9" t="e" cm="1">
        <f t="array" ref="CC30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2" s="9" t="e" cm="1">
        <f t="array" ref="CD3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2" s="9" t="e" cm="1">
        <f t="array" ref="CE30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2" s="9" cm="1">
        <f t="array" ref="CF302">IFERROR(_xlfn.AGGREGATE(14,6,(tbl_Case_mins[Rank_AnaEnd])/((tbl_Case_mins[Surgery Start Date]=tbl_Case_mins[[#This Row],[Surgery Start Date]])*(tbl_Case_mins[Theatre]=tbl_Case_mins[[#This Row],[Theatre]])*(tbl_Case_mins[NoInCoreTime]=0)),1),-1)</f>
        <v>-1</v>
      </c>
      <c r="CG302" s="9" cm="1">
        <f t="array" ref="CG302">IFERROR(_xlfn.AGGREGATE(15,6,(tbl_Case_mins[Rank_AnaSt])/((tbl_Case_mins[Surgery Start Date]=tbl_Case_mins[[#This Row],[Surgery Start Date]])*(tbl_Case_mins[Theatre]=tbl_Case_mins[[#This Row],[Theatre]])*(tbl_Case_mins[NoInCoreTime]=0)),1),-1)</f>
        <v>-1</v>
      </c>
      <c r="CH30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2" t="e" cm="1">
        <f t="array" ref="CJ30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2" s="9" cm="1">
        <f t="array" ref="CO3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2" s="9" cm="1">
        <f t="array" ref="CP3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2" s="9" cm="1">
        <f t="array" ref="CQ302">IFERROR(IF(AND(tbl_Case_mins[[#This Row],[FirstAMCase]]=0,tbl_Case_mins[[#This Row],[Rank]]=_xlfn.AGGREGATE(14,6,(tbl_Case_mins[Rank])/((tbl_Case_mins[Surgery Start Date]=tbl_Case_mins[[#This Row],[Surgery Start Date]])*(tbl_Case_mins[Theatre]=tbl_Case_mins[[#This Row],[Theatre]])*(tbl_Case_mins[AmCase]=1)),1)),1,0),0)</f>
        <v>0</v>
      </c>
      <c r="CR302" s="9" cm="1">
        <f t="array" ref="CR30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2" s="9" t="e" cm="1">
        <f t="array" ref="CS30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2" s="9" cm="1">
        <f t="array" ref="CT302">IFERROR(IF(tbl_Case_mins[[#This Row],[Rank]]=_xlfn.AGGREGATE(15,6,(tbl_Case_mins[Rank])/((tbl_Case_mins[Surgery Start Date]=tbl_Case_mins[[#This Row],[Surgery Start Date]])*(tbl_Case_mins[Theatre]=tbl_Case_mins[[#This Row],[Theatre]])*(tbl_Case_mins[PmCase]=1)),1),1,0),0)</f>
        <v>0</v>
      </c>
      <c r="CU302">
        <f>IFERROR(#REF!,0)</f>
        <v>0</v>
      </c>
      <c r="CV302" s="9" t="e" cm="1">
        <f t="array" ref="CV30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2" s="9">
        <f>IFERROR(IF(ISBLANK(INDEX(Bay_AmClose,MATCH(1,INDEX((tbl_Case_mins[[#This Row],[Bay]]=BayNo)*(tbl_Case_mins[[#This Row],[Surgery Start Date]]=BDate),0,1),0))*1440),0,INDEX(Bay_AmClose,MATCH(1,INDEX((tbl_Case_mins[[#This Row],[Bay]]=BayNo)*(tbl_Case_mins[[#This Row],[Surgery Start Date]]=BDate),0,1),0))*1440),0)</f>
        <v>0</v>
      </c>
      <c r="CX302" s="9" cm="1">
        <f t="array" ref="CX302">IFERROR(IF(ISBLANK(INDEX(Bay_PmOpen,MATCH(1,INDEX((tbl_Case_mins[[#This Row],[Bay]]=BayNo)*(tbl_Case_mins[[#This Row],[Surgery Start Date]]=BDate),0,1),0))*1440),0,INDEX(Bay_PmOpen,MATCH(1,INDEX((tbl_Case_mins[[#This Row],[Bay]]=BayNo)*(tbl_Case_mins[[#This Row],[Surgery Start Date]]=BDate),0,1),0))*1440),0)</f>
        <v>0</v>
      </c>
      <c r="CY30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2" s="9"/>
    </row>
    <row r="303" spans="1:104" x14ac:dyDescent="0.2">
      <c r="A303">
        <v>302</v>
      </c>
      <c r="B303" t="e">
        <f>#REF!</f>
        <v>#REF!</v>
      </c>
      <c r="C303" t="e">
        <f>#REF!</f>
        <v>#REF!</v>
      </c>
      <c r="D303" t="e">
        <f>#REF!</f>
        <v>#REF!</v>
      </c>
      <c r="E303" t="e">
        <f>#REF!</f>
        <v>#REF!</v>
      </c>
      <c r="F303" t="e">
        <f>#REF!</f>
        <v>#REF!</v>
      </c>
      <c r="G303" t="e">
        <f>#REF!</f>
        <v>#REF!</v>
      </c>
      <c r="H303" t="e">
        <f>#REF!</f>
        <v>#REF!</v>
      </c>
      <c r="I303" t="e">
        <f>IF(#REF!="Case Cancelled",1,IF(#REF!="No Cases",2,0))</f>
        <v>#REF!</v>
      </c>
      <c r="J303" t="e">
        <f>#REF!</f>
        <v>#REF!</v>
      </c>
      <c r="K303" s="4" t="e">
        <f>#REF!</f>
        <v>#REF!</v>
      </c>
      <c r="L303" t="e">
        <f>"Wk "&amp;WEEKNUM(tbl_Case_mins[[#This Row],[Surgery Start Date]],21)</f>
        <v>#REF!</v>
      </c>
      <c r="M303" t="e">
        <f>TEXT(tbl_Case_mins[[#This Row],[Surgery Start Date]],"ddd")</f>
        <v>#REF!</v>
      </c>
      <c r="N303" s="9" t="e">
        <f>(#REF!-TIME(0,0,0))*1440</f>
        <v>#REF!</v>
      </c>
      <c r="O303" t="e">
        <f>IF(AND(ROUND((#REF!-TIME(0,0,0))*1440,0)&gt;0,ROUND((#REF!-TIME(0,0,0))*1440,0)&lt;tbl_Case_mins[[#This Row],[Patient Called]],tbl_Case_mins[[#This Row],[Surgery End Date]]&gt;tbl_Case_mins[[#This Row],[Surgery Start Date]]),ROUND((#REF!-TIME(0,0,0))*1440,0)+1440,ROUND((#REF!-TIME(0,0,0))*1440,0))</f>
        <v>#REF!</v>
      </c>
      <c r="P303" s="9" t="e">
        <f>IF(AND(ROUND((#REF!-TIME(0,0,0))*1440,0)&gt;0,ROUND((#REF!-TIME(0,0,0))*1440,0)&lt;tbl_Case_mins[[#This Row],[Arrival]],tbl_Case_mins[[#This Row],[Surgery End Date]]&gt;tbl_Case_mins[[#This Row],[Surgery Start Date]]),ROUND((#REF!-TIME(0,0,0))*1440,0)+1440,ROUND((#REF!-TIME(0,0,0))*1440,0))</f>
        <v>#REF!</v>
      </c>
      <c r="Q303" s="9" t="e">
        <f>IF(AND(ROUND((#REF!-TIME(0,0,0))*1440,0)&gt;0,ROUND((#REF!-TIME(0,0,0))*1440,0)&lt;tbl_Case_mins[[#This Row],[Into Th or AR]],tbl_Case_mins[[#This Row],[Surgery End Date]]&gt;tbl_Case_mins[[#This Row],[Surgery Start Date]]),ROUND((#REF!-TIME(0,0,0))*1440,0)+1440,ROUND((#REF!-TIME(0,0,0))*1440,0))</f>
        <v>#REF!</v>
      </c>
      <c r="R303" s="9" t="e">
        <f>IF(AND(ROUND((#REF!-TIME(0,0,0))*1440,0)&gt;0,ROUND((#REF!-TIME(0,0,0))*1440,0)&lt;tbl_Case_mins[[#This Row],[AnaesthStart]],tbl_Case_mins[[#This Row],[Surgery End Date]]&gt;tbl_Case_mins[[#This Row],[Surgery Start Date]]),ROUND((#REF!-TIME(0,0,0))*1440,0)+1440,ROUND((#REF!-TIME(0,0,0))*1440,0))</f>
        <v>#REF!</v>
      </c>
      <c r="S303" s="9" t="e">
        <f>IF(AND(ROUND((#REF!-TIME(0,0,0))*1440,0),ROUND((#REF!-TIME(0,0,0))*1440,0)&lt;tbl_Case_mins[[#This Row],[Surgery Start]],tbl_Case_mins[[#This Row],[Surgery End Date]]&gt;tbl_Case_mins[[#This Row],[Surgery Start Date]]),ROUND((#REF!-TIME(0,0,0))*1440,0)+1440,ROUND((#REF!-TIME(0,0,0))*1440,0))</f>
        <v>#REF!</v>
      </c>
      <c r="T303" s="9" t="e">
        <f>IF(AND(ROUND((#REF!-TIME(0,0,0))*1440,0)&gt;0,ROUND((#REF!-TIME(0,0,0))*1440,0)&lt;tbl_Case_mins[[#This Row],[Surgery Finish]],tbl_Case_mins[[#This Row],[Surgery End Date]]&gt;tbl_Case_mins[[#This Row],[Surgery Start Date]]),ROUND((#REF!-TIME(0,0,0))*1440,0)+1440,ROUND((#REF!-TIME(0,0,0))*1440,0))</f>
        <v>#REF!</v>
      </c>
      <c r="U303" s="9" t="e">
        <f>IF(AND(ROUND((#REF!-TIME(0,0,0))*1440,0)&gt;0,ROUND((#REF!-TIME(0,0,0))*1440,0)&lt;tbl_Case_mins[[#This Row],[Anaesth End]],tbl_Case_mins[[#This Row],[Surgery End Date]]&gt;tbl_Case_mins[[#This Row],[Surgery Start Date]]),ROUND((#REF!-TIME(0,0,0))*1440,0)+1440,ROUND((#REF!-TIME(0,0,0))*1440,0))</f>
        <v>#REF!</v>
      </c>
      <c r="V303" s="9" t="e">
        <f>IF(AND(ROUND((#REF!-TIME(0,0,0))*1440,0)&gt;0,ROUND((#REF!-TIME(0,0,0))*1440,0)&lt;tbl_Case_mins[[#This Row],[Into Recov]],tbl_Case_mins[[#This Row],[Surgery End Date]]&gt;tbl_Case_mins[[#This Row],[Surgery Start Date]]),ROUND((#REF!-TIME(0,0,0))*1440,0)+1440,ROUND((#REF!-TIME(0,0,0))*1440,0))</f>
        <v>#REF!</v>
      </c>
      <c r="W303" s="9" t="e">
        <f>IF(AND(ROUND((#REF!-TIME(0,0,0))*1440,0)&gt;0,ROUND((#REF!-TIME(0,0,0))*1440,0)&lt;tbl_Case_mins[[#This Row],[Ward Called]],tbl_Case_mins[[#This Row],[Surgery End Date]]&gt;tbl_Case_mins[[#This Row],[Surgery Start Date]]),ROUND((#REF!-TIME(0,0,0))*1440,0)+1440,ROUND((#REF!-TIME(0,0,0))*1440,0))</f>
        <v>#REF!</v>
      </c>
      <c r="X303" s="4" t="e">
        <f>IF(ISBLANK(#REF!),tbl_Case_mins[[#This Row],[Surgery Start Date]],#REF!)</f>
        <v>#REF!</v>
      </c>
      <c r="Y303">
        <f>IFERROR(IF(VLOOKUP(tbl_Case_mins[[#This Row],[Theatre]],'Mng Theatres'!$C$7:$G$12,3,FALSE)="Yes","Yes","No"),0)</f>
        <v>0</v>
      </c>
      <c r="Z303" s="9" t="e" cm="1">
        <f t="array" ref="Z30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3" s="9" t="e" cm="1">
        <f t="array" ref="AA30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3" s="9" t="e">
        <f>IF(tbl_Case_mins[[#This Row],[Case Type]]="Unsch",1,0)</f>
        <v>#REF!</v>
      </c>
      <c r="AD303" s="9" t="e">
        <f>IF(tbl_Case_mins[[#This Row],[Case Type]]="Sch",1,0)</f>
        <v>#REF!</v>
      </c>
      <c r="AE30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3" s="9">
        <f>IFERROR(IF(ISBLANK(INDEX(Am_Close,MATCH(1,INDEX((tbl_Case_mins[[#This Row],[Theatre]]=Theatre_No)*(tbl_Case_mins[[#This Row],[Surgery Start Date]]=Date),0,1),0))*1440),0,INDEX(Am_Close,MATCH(1,INDEX((tbl_Case_mins[[#This Row],[Theatre]]=Theatre_No)*(tbl_Case_mins[[#This Row],[Surgery Start Date]]=Date),0,1),0))*1440),0)</f>
        <v>0</v>
      </c>
      <c r="AG303" s="9">
        <f>IFERROR(IF(ISBLANK(INDEX(PM_Open,MATCH(1,INDEX((tbl_Case_mins[[#This Row],[Theatre]]=Theatre_No)*(tbl_Case_mins[[#This Row],[Surgery Start Date]]=Date),0,1),0))*1440),0,INDEX(PM_Open,MATCH(1,INDEX((tbl_Case_mins[[#This Row],[Theatre]]=Theatre_No)*(tbl_Case_mins[[#This Row],[Surgery Start Date]]=Date),0,1),0))*1440),0)</f>
        <v>0</v>
      </c>
      <c r="AH30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3" s="9" t="e">
        <f>IF(tbl_Case_mins[[#This Row],[ThOpenAm]]=0,tbl_Case_mins[[#This Row],[ThOpenPM]],tbl_Case_mins[[#This Row],[ThOpenAm]])</f>
        <v>#REF!</v>
      </c>
      <c r="AJ303" s="9" t="e">
        <f>IF(tbl_Case_mins[[#This Row],[ThCloseAm]]&gt;0,IF(tbl_Case_mins[[#This Row],[ThOpenPM]]&gt;0,tbl_Case_mins[[#This Row],[ThClosePm]],tbl_Case_mins[[#This Row],[ThCloseAm]]),tbl_Case_mins[[#This Row],[ThClosePm]])</f>
        <v>#REF!</v>
      </c>
      <c r="AK303" s="9" t="e">
        <f>IF(tbl_Case_mins[[#This Row],[TOT]]&gt;0,1,0)</f>
        <v>#REF!</v>
      </c>
      <c r="AL30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3" s="9" t="e">
        <f>IF(AND(tbl_Case_mins[[#This Row],[Surgery Status]]&lt;&gt;2,tbl_Case_mins[[#This Row],[InCoreCase]]=0,tbl_Case_mins[[#This Row],[CancelledCase]]=0),1,0)</f>
        <v>#REF!</v>
      </c>
      <c r="AN303" s="9" t="e">
        <f>IF(tbl_Case_mins[[#This Row],[Surgery Status]]=1,1,0)</f>
        <v>#REF!</v>
      </c>
      <c r="AO30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3" s="9" t="e">
        <f>IF(AND(tbl_Case_mins[[#This Row],[NonCoreCase]]=1,tbl_Case_mins[[#This Row],[NoInCoreTime]]=0),1,0)</f>
        <v>#REF!</v>
      </c>
      <c r="AQ303" s="9" t="e">
        <f>IF(tbl_Case_mins[[#This Row],[Rank_AnaEnd]]&lt;tbl_Case_mins[[#This Row],[Rank_AnaSt]],1,0)</f>
        <v>#REF!</v>
      </c>
      <c r="AR303" s="9" t="e">
        <f>IF(AND(tbl_Case_mins[[#This Row],[InCoreCase]]=1,tbl_Case_mins[[#This Row],[Sch]]=1),1,0)</f>
        <v>#REF!</v>
      </c>
      <c r="AS303" s="9" t="e">
        <f>IF(AND(tbl_Case_mins[[#This Row],[InCoreCase]]=1,tbl_Case_mins[[#This Row],[Unsch]]=1),1,0)</f>
        <v>#REF!</v>
      </c>
      <c r="AT30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3" s="9" t="e">
        <f>IF(tbl_Case_mins[[#This Row],[Surgery Status]]=0,(tbl_Case_mins[[#This Row],[Anaesth End]]-tbl_Case_mins[[#This Row],[AnaesthStart]]),0)</f>
        <v>#REF!</v>
      </c>
      <c r="AX303" s="9" t="e">
        <f>IF(tbl_Case_mins[[#This Row],[Surgery Status]]=0,(tbl_Case_mins[[#This Row],[Surgery Finish]]-tbl_Case_mins[[#This Row],[Surgery Start]]),0)</f>
        <v>#REF!</v>
      </c>
      <c r="AY303" s="9" t="e">
        <f>tbl_Case_mins[[#This Row],[Surgery Start]]-tbl_Case_mins[[#This Row],[AnaesthStart]]</f>
        <v>#REF!</v>
      </c>
      <c r="AZ303" s="9" t="e">
        <f>tbl_Case_mins[[#This Row],[Anaesth End]]-tbl_Case_mins[[#This Row],[Surgery Finish]]</f>
        <v>#REF!</v>
      </c>
      <c r="BA30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3" s="16" cm="1">
        <f t="array" ref="BC30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3" s="16" t="e">
        <f>IF(AND(tbl_Case_mins[[#This Row],[FirstAMCase]]=1,tbl_Case_mins[[#This Row],[CancelledCase]]=0,OR(tbl_Case_mins[[#This Row],[EarlyStartAM]]&gt;0,tbl_Case_mins[[#This Row],[AnaesthStart]]=tbl_Case_mins[[#This Row],[ThOpenAm]])),1,0)</f>
        <v>#REF!</v>
      </c>
      <c r="BE303" s="16" t="e">
        <f>IF(AND(tbl_Case_mins[[#This Row],[Rank_AnaSt]]=tbl_Case_mins[[#This Row],[Min_RankAnaSt]],tbl_Case_mins[[#This Row],[Anaesth End]]&gt;=tbl_Case_mins[[#This Row],[ThOpenAm]],tbl_Case_mins[[#This Row],[PmCase]]=0),1,0)</f>
        <v>#REF!</v>
      </c>
      <c r="BF30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3" s="9" t="e" cm="1">
        <f t="array" ref="BH30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3" s="9" t="e">
        <f>IF(AND(tbl_Case_mins[[#This Row],[ThOpenPM]]&gt;0,tbl_Case_mins[[#This Row],[AnaesthStart]]&gt;tbl_Case_mins[[#This Row],[ThOpenPM]],tbl_Case_mins[[#This Row],[First PM Case]]=1),tbl_Case_mins[[#This Row],[AnaesthStart]]-tbl_Case_mins[[#This Row],[ThOpenPM]],0)</f>
        <v>#REF!</v>
      </c>
      <c r="BL30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3" s="9" t="e" cm="1">
        <f t="array" ref="BN30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3" s="9" t="e">
        <f>IF(AND(tbl_Case_mins[[#This Row],[ThClosePm]]&gt;0,tbl_Case_mins[[#This Row],[Anaesth End]]&gt;tbl_Case_mins[[#This Row],[ThClosePm]],tbl_Case_mins[[#This Row],[AnaesthStart]]&gt;tbl_Case_mins[[#This Row],[ThClosePm]]),tbl_Case_mins[[#This Row],[Into Recov]]-tbl_Case_mins[[#This Row],[AnaesthStart]],0)</f>
        <v>#REF!</v>
      </c>
      <c r="BP303" s="9" t="e">
        <f>IF(AND(tbl_Case_mins[[#This Row],[AnaesthStart]]&lt;tbl_Case_mins[[#This Row],[ThClosePm]],tbl_Case_mins[[#This Row],[Anaesth End]]&gt;tbl_Case_mins[[#This Row],[ThClosePm]]),tbl_Case_mins[[#This Row],[Anaesth End]]-tbl_Case_mins[[#This Row],[ThClosePm]],0)</f>
        <v>#REF!</v>
      </c>
      <c r="BQ303" s="9" t="e" cm="1">
        <f t="array" ref="BQ30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3" s="9" t="e" cm="1">
        <f t="array" ref="BR303">IF(tbl_Case_mins[[#This Row],[Rank_Adjust]]=SUMPRODUCT(-(tbl_Case_mins[Surgery Start Date]=tbl_Case_mins[[#This Row],[Surgery Start Date]]),-(tbl_Case_mins[Theatre]=tbl_Case_mins[[#This Row],[Theatre]])),INDEX(Poss_Time,MATCH(TEXT(tbl_Case_mins[[#This Row],[Surgery Start Date]],"ddd"),Day,0)),0)</f>
        <v>#REF!</v>
      </c>
      <c r="BS303" s="9" t="e">
        <f>tbl_Case_mins[[#This Row],[Core_Time]]*Util_Goal</f>
        <v>#REF!</v>
      </c>
      <c r="BT303" s="9" t="e" cm="1">
        <f t="array" ref="BT3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3" s="9" t="e" cm="1">
        <f t="array" ref="BU3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3" s="9" t="e">
        <f>IF(tbl_Case_mins[[#This Row],[Surgery End Date]]&gt;tbl_Case_mins[[#This Row],[Surgery Start Date]],tbl_Case_mins[[#This Row],[Anaesth End]]-1440,0)</f>
        <v>#REF!</v>
      </c>
      <c r="BY303" s="9" t="e">
        <f>tbl_Case_mins[[#This Row],[Total_NonCore]]-tbl_Case_mins[[#This Row],[NextDay_NonCore]]</f>
        <v>#REF!</v>
      </c>
      <c r="BZ303" s="10" t="e">
        <f>tbl_Case_mins[[#This Row],[InCoreUse]]/60</f>
        <v>#REF!</v>
      </c>
      <c r="CA303" s="10" t="e">
        <f>tbl_Case_mins[[#This Row],[Total_NonCore]]/60</f>
        <v>#REF!</v>
      </c>
      <c r="CB303" t="e" cm="1">
        <f t="array" ref="CB3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3" s="9" t="e" cm="1">
        <f t="array" ref="CC30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3" s="9" t="e" cm="1">
        <f t="array" ref="CD3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3" s="9" t="e" cm="1">
        <f t="array" ref="CE30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3" s="9" cm="1">
        <f t="array" ref="CF303">IFERROR(_xlfn.AGGREGATE(14,6,(tbl_Case_mins[Rank_AnaEnd])/((tbl_Case_mins[Surgery Start Date]=tbl_Case_mins[[#This Row],[Surgery Start Date]])*(tbl_Case_mins[Theatre]=tbl_Case_mins[[#This Row],[Theatre]])*(tbl_Case_mins[NoInCoreTime]=0)),1),-1)</f>
        <v>-1</v>
      </c>
      <c r="CG303" s="9" cm="1">
        <f t="array" ref="CG303">IFERROR(_xlfn.AGGREGATE(15,6,(tbl_Case_mins[Rank_AnaSt])/((tbl_Case_mins[Surgery Start Date]=tbl_Case_mins[[#This Row],[Surgery Start Date]])*(tbl_Case_mins[Theatre]=tbl_Case_mins[[#This Row],[Theatre]])*(tbl_Case_mins[NoInCoreTime]=0)),1),-1)</f>
        <v>-1</v>
      </c>
      <c r="CH30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3" t="e" cm="1">
        <f t="array" ref="CJ30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3" s="9" cm="1">
        <f t="array" ref="CO3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3" s="9" cm="1">
        <f t="array" ref="CP3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3" s="9" cm="1">
        <f t="array" ref="CQ303">IFERROR(IF(AND(tbl_Case_mins[[#This Row],[FirstAMCase]]=0,tbl_Case_mins[[#This Row],[Rank]]=_xlfn.AGGREGATE(14,6,(tbl_Case_mins[Rank])/((tbl_Case_mins[Surgery Start Date]=tbl_Case_mins[[#This Row],[Surgery Start Date]])*(tbl_Case_mins[Theatre]=tbl_Case_mins[[#This Row],[Theatre]])*(tbl_Case_mins[AmCase]=1)),1)),1,0),0)</f>
        <v>0</v>
      </c>
      <c r="CR303" s="9" cm="1">
        <f t="array" ref="CR30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3" s="9" t="e" cm="1">
        <f t="array" ref="CS30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3" s="9" cm="1">
        <f t="array" ref="CT303">IFERROR(IF(tbl_Case_mins[[#This Row],[Rank]]=_xlfn.AGGREGATE(15,6,(tbl_Case_mins[Rank])/((tbl_Case_mins[Surgery Start Date]=tbl_Case_mins[[#This Row],[Surgery Start Date]])*(tbl_Case_mins[Theatre]=tbl_Case_mins[[#This Row],[Theatre]])*(tbl_Case_mins[PmCase]=1)),1),1,0),0)</f>
        <v>0</v>
      </c>
      <c r="CU303">
        <f>IFERROR(#REF!,0)</f>
        <v>0</v>
      </c>
      <c r="CV303" s="9" t="e" cm="1">
        <f t="array" ref="CV30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3" s="9">
        <f>IFERROR(IF(ISBLANK(INDEX(Bay_AmClose,MATCH(1,INDEX((tbl_Case_mins[[#This Row],[Bay]]=BayNo)*(tbl_Case_mins[[#This Row],[Surgery Start Date]]=BDate),0,1),0))*1440),0,INDEX(Bay_AmClose,MATCH(1,INDEX((tbl_Case_mins[[#This Row],[Bay]]=BayNo)*(tbl_Case_mins[[#This Row],[Surgery Start Date]]=BDate),0,1),0))*1440),0)</f>
        <v>0</v>
      </c>
      <c r="CX303" s="9" cm="1">
        <f t="array" ref="CX303">IFERROR(IF(ISBLANK(INDEX(Bay_PmOpen,MATCH(1,INDEX((tbl_Case_mins[[#This Row],[Bay]]=BayNo)*(tbl_Case_mins[[#This Row],[Surgery Start Date]]=BDate),0,1),0))*1440),0,INDEX(Bay_PmOpen,MATCH(1,INDEX((tbl_Case_mins[[#This Row],[Bay]]=BayNo)*(tbl_Case_mins[[#This Row],[Surgery Start Date]]=BDate),0,1),0))*1440),0)</f>
        <v>0</v>
      </c>
      <c r="CY30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3" s="9"/>
    </row>
    <row r="304" spans="1:104" x14ac:dyDescent="0.2">
      <c r="A304">
        <v>303</v>
      </c>
      <c r="B304" t="e">
        <f>#REF!</f>
        <v>#REF!</v>
      </c>
      <c r="C304" t="e">
        <f>#REF!</f>
        <v>#REF!</v>
      </c>
      <c r="D304" t="e">
        <f>#REF!</f>
        <v>#REF!</v>
      </c>
      <c r="E304" t="e">
        <f>#REF!</f>
        <v>#REF!</v>
      </c>
      <c r="F304" t="e">
        <f>#REF!</f>
        <v>#REF!</v>
      </c>
      <c r="G304" t="e">
        <f>#REF!</f>
        <v>#REF!</v>
      </c>
      <c r="H304" t="e">
        <f>#REF!</f>
        <v>#REF!</v>
      </c>
      <c r="I304" t="e">
        <f>IF(#REF!="Case Cancelled",1,IF(#REF!="No Cases",2,0))</f>
        <v>#REF!</v>
      </c>
      <c r="J304" t="e">
        <f>#REF!</f>
        <v>#REF!</v>
      </c>
      <c r="K304" s="4" t="e">
        <f>#REF!</f>
        <v>#REF!</v>
      </c>
      <c r="L304" t="e">
        <f>"Wk "&amp;WEEKNUM(tbl_Case_mins[[#This Row],[Surgery Start Date]],21)</f>
        <v>#REF!</v>
      </c>
      <c r="M304" t="e">
        <f>TEXT(tbl_Case_mins[[#This Row],[Surgery Start Date]],"ddd")</f>
        <v>#REF!</v>
      </c>
      <c r="N304" s="9" t="e">
        <f>(#REF!-TIME(0,0,0))*1440</f>
        <v>#REF!</v>
      </c>
      <c r="O304" t="e">
        <f>IF(AND(ROUND((#REF!-TIME(0,0,0))*1440,0)&gt;0,ROUND((#REF!-TIME(0,0,0))*1440,0)&lt;tbl_Case_mins[[#This Row],[Patient Called]],tbl_Case_mins[[#This Row],[Surgery End Date]]&gt;tbl_Case_mins[[#This Row],[Surgery Start Date]]),ROUND((#REF!-TIME(0,0,0))*1440,0)+1440,ROUND((#REF!-TIME(0,0,0))*1440,0))</f>
        <v>#REF!</v>
      </c>
      <c r="P304" s="9" t="e">
        <f>IF(AND(ROUND((#REF!-TIME(0,0,0))*1440,0)&gt;0,ROUND((#REF!-TIME(0,0,0))*1440,0)&lt;tbl_Case_mins[[#This Row],[Arrival]],tbl_Case_mins[[#This Row],[Surgery End Date]]&gt;tbl_Case_mins[[#This Row],[Surgery Start Date]]),ROUND((#REF!-TIME(0,0,0))*1440,0)+1440,ROUND((#REF!-TIME(0,0,0))*1440,0))</f>
        <v>#REF!</v>
      </c>
      <c r="Q304" s="9" t="e">
        <f>IF(AND(ROUND((#REF!-TIME(0,0,0))*1440,0)&gt;0,ROUND((#REF!-TIME(0,0,0))*1440,0)&lt;tbl_Case_mins[[#This Row],[Into Th or AR]],tbl_Case_mins[[#This Row],[Surgery End Date]]&gt;tbl_Case_mins[[#This Row],[Surgery Start Date]]),ROUND((#REF!-TIME(0,0,0))*1440,0)+1440,ROUND((#REF!-TIME(0,0,0))*1440,0))</f>
        <v>#REF!</v>
      </c>
      <c r="R304" s="9" t="e">
        <f>IF(AND(ROUND((#REF!-TIME(0,0,0))*1440,0)&gt;0,ROUND((#REF!-TIME(0,0,0))*1440,0)&lt;tbl_Case_mins[[#This Row],[AnaesthStart]],tbl_Case_mins[[#This Row],[Surgery End Date]]&gt;tbl_Case_mins[[#This Row],[Surgery Start Date]]),ROUND((#REF!-TIME(0,0,0))*1440,0)+1440,ROUND((#REF!-TIME(0,0,0))*1440,0))</f>
        <v>#REF!</v>
      </c>
      <c r="S304" s="9" t="e">
        <f>IF(AND(ROUND((#REF!-TIME(0,0,0))*1440,0),ROUND((#REF!-TIME(0,0,0))*1440,0)&lt;tbl_Case_mins[[#This Row],[Surgery Start]],tbl_Case_mins[[#This Row],[Surgery End Date]]&gt;tbl_Case_mins[[#This Row],[Surgery Start Date]]),ROUND((#REF!-TIME(0,0,0))*1440,0)+1440,ROUND((#REF!-TIME(0,0,0))*1440,0))</f>
        <v>#REF!</v>
      </c>
      <c r="T304" s="9" t="e">
        <f>IF(AND(ROUND((#REF!-TIME(0,0,0))*1440,0)&gt;0,ROUND((#REF!-TIME(0,0,0))*1440,0)&lt;tbl_Case_mins[[#This Row],[Surgery Finish]],tbl_Case_mins[[#This Row],[Surgery End Date]]&gt;tbl_Case_mins[[#This Row],[Surgery Start Date]]),ROUND((#REF!-TIME(0,0,0))*1440,0)+1440,ROUND((#REF!-TIME(0,0,0))*1440,0))</f>
        <v>#REF!</v>
      </c>
      <c r="U304" s="9" t="e">
        <f>IF(AND(ROUND((#REF!-TIME(0,0,0))*1440,0)&gt;0,ROUND((#REF!-TIME(0,0,0))*1440,0)&lt;tbl_Case_mins[[#This Row],[Anaesth End]],tbl_Case_mins[[#This Row],[Surgery End Date]]&gt;tbl_Case_mins[[#This Row],[Surgery Start Date]]),ROUND((#REF!-TIME(0,0,0))*1440,0)+1440,ROUND((#REF!-TIME(0,0,0))*1440,0))</f>
        <v>#REF!</v>
      </c>
      <c r="V304" s="9" t="e">
        <f>IF(AND(ROUND((#REF!-TIME(0,0,0))*1440,0)&gt;0,ROUND((#REF!-TIME(0,0,0))*1440,0)&lt;tbl_Case_mins[[#This Row],[Into Recov]],tbl_Case_mins[[#This Row],[Surgery End Date]]&gt;tbl_Case_mins[[#This Row],[Surgery Start Date]]),ROUND((#REF!-TIME(0,0,0))*1440,0)+1440,ROUND((#REF!-TIME(0,0,0))*1440,0))</f>
        <v>#REF!</v>
      </c>
      <c r="W304" s="9" t="e">
        <f>IF(AND(ROUND((#REF!-TIME(0,0,0))*1440,0)&gt;0,ROUND((#REF!-TIME(0,0,0))*1440,0)&lt;tbl_Case_mins[[#This Row],[Ward Called]],tbl_Case_mins[[#This Row],[Surgery End Date]]&gt;tbl_Case_mins[[#This Row],[Surgery Start Date]]),ROUND((#REF!-TIME(0,0,0))*1440,0)+1440,ROUND((#REF!-TIME(0,0,0))*1440,0))</f>
        <v>#REF!</v>
      </c>
      <c r="X304" s="4" t="e">
        <f>IF(ISBLANK(#REF!),tbl_Case_mins[[#This Row],[Surgery Start Date]],#REF!)</f>
        <v>#REF!</v>
      </c>
      <c r="Y304">
        <f>IFERROR(IF(VLOOKUP(tbl_Case_mins[[#This Row],[Theatre]],'Mng Theatres'!$C$7:$G$12,3,FALSE)="Yes","Yes","No"),0)</f>
        <v>0</v>
      </c>
      <c r="Z304" s="9" t="e" cm="1">
        <f t="array" ref="Z30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4" s="9" t="e" cm="1">
        <f t="array" ref="AA30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4" s="9" t="e">
        <f>IF(tbl_Case_mins[[#This Row],[Case Type]]="Unsch",1,0)</f>
        <v>#REF!</v>
      </c>
      <c r="AD304" s="9" t="e">
        <f>IF(tbl_Case_mins[[#This Row],[Case Type]]="Sch",1,0)</f>
        <v>#REF!</v>
      </c>
      <c r="AE30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4" s="9">
        <f>IFERROR(IF(ISBLANK(INDEX(Am_Close,MATCH(1,INDEX((tbl_Case_mins[[#This Row],[Theatre]]=Theatre_No)*(tbl_Case_mins[[#This Row],[Surgery Start Date]]=Date),0,1),0))*1440),0,INDEX(Am_Close,MATCH(1,INDEX((tbl_Case_mins[[#This Row],[Theatre]]=Theatre_No)*(tbl_Case_mins[[#This Row],[Surgery Start Date]]=Date),0,1),0))*1440),0)</f>
        <v>0</v>
      </c>
      <c r="AG304" s="9">
        <f>IFERROR(IF(ISBLANK(INDEX(PM_Open,MATCH(1,INDEX((tbl_Case_mins[[#This Row],[Theatre]]=Theatre_No)*(tbl_Case_mins[[#This Row],[Surgery Start Date]]=Date),0,1),0))*1440),0,INDEX(PM_Open,MATCH(1,INDEX((tbl_Case_mins[[#This Row],[Theatre]]=Theatre_No)*(tbl_Case_mins[[#This Row],[Surgery Start Date]]=Date),0,1),0))*1440),0)</f>
        <v>0</v>
      </c>
      <c r="AH30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4" s="9" t="e">
        <f>IF(tbl_Case_mins[[#This Row],[ThOpenAm]]=0,tbl_Case_mins[[#This Row],[ThOpenPM]],tbl_Case_mins[[#This Row],[ThOpenAm]])</f>
        <v>#REF!</v>
      </c>
      <c r="AJ304" s="9" t="e">
        <f>IF(tbl_Case_mins[[#This Row],[ThCloseAm]]&gt;0,IF(tbl_Case_mins[[#This Row],[ThOpenPM]]&gt;0,tbl_Case_mins[[#This Row],[ThClosePm]],tbl_Case_mins[[#This Row],[ThCloseAm]]),tbl_Case_mins[[#This Row],[ThClosePm]])</f>
        <v>#REF!</v>
      </c>
      <c r="AK304" s="9" t="e">
        <f>IF(tbl_Case_mins[[#This Row],[TOT]]&gt;0,1,0)</f>
        <v>#REF!</v>
      </c>
      <c r="AL30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4" s="9" t="e">
        <f>IF(AND(tbl_Case_mins[[#This Row],[Surgery Status]]&lt;&gt;2,tbl_Case_mins[[#This Row],[InCoreCase]]=0,tbl_Case_mins[[#This Row],[CancelledCase]]=0),1,0)</f>
        <v>#REF!</v>
      </c>
      <c r="AN304" s="9" t="e">
        <f>IF(tbl_Case_mins[[#This Row],[Surgery Status]]=1,1,0)</f>
        <v>#REF!</v>
      </c>
      <c r="AO30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4" s="9" t="e">
        <f>IF(AND(tbl_Case_mins[[#This Row],[NonCoreCase]]=1,tbl_Case_mins[[#This Row],[NoInCoreTime]]=0),1,0)</f>
        <v>#REF!</v>
      </c>
      <c r="AQ304" s="9" t="e">
        <f>IF(tbl_Case_mins[[#This Row],[Rank_AnaEnd]]&lt;tbl_Case_mins[[#This Row],[Rank_AnaSt]],1,0)</f>
        <v>#REF!</v>
      </c>
      <c r="AR304" s="9" t="e">
        <f>IF(AND(tbl_Case_mins[[#This Row],[InCoreCase]]=1,tbl_Case_mins[[#This Row],[Sch]]=1),1,0)</f>
        <v>#REF!</v>
      </c>
      <c r="AS304" s="9" t="e">
        <f>IF(AND(tbl_Case_mins[[#This Row],[InCoreCase]]=1,tbl_Case_mins[[#This Row],[Unsch]]=1),1,0)</f>
        <v>#REF!</v>
      </c>
      <c r="AT30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4" s="9" t="e">
        <f>IF(tbl_Case_mins[[#This Row],[Surgery Status]]=0,(tbl_Case_mins[[#This Row],[Anaesth End]]-tbl_Case_mins[[#This Row],[AnaesthStart]]),0)</f>
        <v>#REF!</v>
      </c>
      <c r="AX304" s="9" t="e">
        <f>IF(tbl_Case_mins[[#This Row],[Surgery Status]]=0,(tbl_Case_mins[[#This Row],[Surgery Finish]]-tbl_Case_mins[[#This Row],[Surgery Start]]),0)</f>
        <v>#REF!</v>
      </c>
      <c r="AY304" s="9" t="e">
        <f>tbl_Case_mins[[#This Row],[Surgery Start]]-tbl_Case_mins[[#This Row],[AnaesthStart]]</f>
        <v>#REF!</v>
      </c>
      <c r="AZ304" s="9" t="e">
        <f>tbl_Case_mins[[#This Row],[Anaesth End]]-tbl_Case_mins[[#This Row],[Surgery Finish]]</f>
        <v>#REF!</v>
      </c>
      <c r="BA30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4" s="16" cm="1">
        <f t="array" ref="BC30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4" s="16" t="e">
        <f>IF(AND(tbl_Case_mins[[#This Row],[FirstAMCase]]=1,tbl_Case_mins[[#This Row],[CancelledCase]]=0,OR(tbl_Case_mins[[#This Row],[EarlyStartAM]]&gt;0,tbl_Case_mins[[#This Row],[AnaesthStart]]=tbl_Case_mins[[#This Row],[ThOpenAm]])),1,0)</f>
        <v>#REF!</v>
      </c>
      <c r="BE304" s="16" t="e">
        <f>IF(AND(tbl_Case_mins[[#This Row],[Rank_AnaSt]]=tbl_Case_mins[[#This Row],[Min_RankAnaSt]],tbl_Case_mins[[#This Row],[Anaesth End]]&gt;=tbl_Case_mins[[#This Row],[ThOpenAm]],tbl_Case_mins[[#This Row],[PmCase]]=0),1,0)</f>
        <v>#REF!</v>
      </c>
      <c r="BF30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4" s="9" t="e" cm="1">
        <f t="array" ref="BH30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4" s="9" t="e">
        <f>IF(AND(tbl_Case_mins[[#This Row],[ThOpenPM]]&gt;0,tbl_Case_mins[[#This Row],[AnaesthStart]]&gt;tbl_Case_mins[[#This Row],[ThOpenPM]],tbl_Case_mins[[#This Row],[First PM Case]]=1),tbl_Case_mins[[#This Row],[AnaesthStart]]-tbl_Case_mins[[#This Row],[ThOpenPM]],0)</f>
        <v>#REF!</v>
      </c>
      <c r="BL30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4" s="9" t="e" cm="1">
        <f t="array" ref="BN30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4" s="9" t="e">
        <f>IF(AND(tbl_Case_mins[[#This Row],[ThClosePm]]&gt;0,tbl_Case_mins[[#This Row],[Anaesth End]]&gt;tbl_Case_mins[[#This Row],[ThClosePm]],tbl_Case_mins[[#This Row],[AnaesthStart]]&gt;tbl_Case_mins[[#This Row],[ThClosePm]]),tbl_Case_mins[[#This Row],[Into Recov]]-tbl_Case_mins[[#This Row],[AnaesthStart]],0)</f>
        <v>#REF!</v>
      </c>
      <c r="BP304" s="9" t="e">
        <f>IF(AND(tbl_Case_mins[[#This Row],[AnaesthStart]]&lt;tbl_Case_mins[[#This Row],[ThClosePm]],tbl_Case_mins[[#This Row],[Anaesth End]]&gt;tbl_Case_mins[[#This Row],[ThClosePm]]),tbl_Case_mins[[#This Row],[Anaesth End]]-tbl_Case_mins[[#This Row],[ThClosePm]],0)</f>
        <v>#REF!</v>
      </c>
      <c r="BQ304" s="9" t="e" cm="1">
        <f t="array" ref="BQ30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4" s="9" t="e" cm="1">
        <f t="array" ref="BR304">IF(tbl_Case_mins[[#This Row],[Rank_Adjust]]=SUMPRODUCT(-(tbl_Case_mins[Surgery Start Date]=tbl_Case_mins[[#This Row],[Surgery Start Date]]),-(tbl_Case_mins[Theatre]=tbl_Case_mins[[#This Row],[Theatre]])),INDEX(Poss_Time,MATCH(TEXT(tbl_Case_mins[[#This Row],[Surgery Start Date]],"ddd"),Day,0)),0)</f>
        <v>#REF!</v>
      </c>
      <c r="BS304" s="9" t="e">
        <f>tbl_Case_mins[[#This Row],[Core_Time]]*Util_Goal</f>
        <v>#REF!</v>
      </c>
      <c r="BT304" s="9" t="e" cm="1">
        <f t="array" ref="BT3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4" s="9" t="e" cm="1">
        <f t="array" ref="BU3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4" s="9" t="e">
        <f>IF(tbl_Case_mins[[#This Row],[Surgery End Date]]&gt;tbl_Case_mins[[#This Row],[Surgery Start Date]],tbl_Case_mins[[#This Row],[Anaesth End]]-1440,0)</f>
        <v>#REF!</v>
      </c>
      <c r="BY304" s="9" t="e">
        <f>tbl_Case_mins[[#This Row],[Total_NonCore]]-tbl_Case_mins[[#This Row],[NextDay_NonCore]]</f>
        <v>#REF!</v>
      </c>
      <c r="BZ304" s="10" t="e">
        <f>tbl_Case_mins[[#This Row],[InCoreUse]]/60</f>
        <v>#REF!</v>
      </c>
      <c r="CA304" s="10" t="e">
        <f>tbl_Case_mins[[#This Row],[Total_NonCore]]/60</f>
        <v>#REF!</v>
      </c>
      <c r="CB304" t="e" cm="1">
        <f t="array" ref="CB3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4" s="9" t="e" cm="1">
        <f t="array" ref="CC30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4" s="9" t="e" cm="1">
        <f t="array" ref="CD3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4" s="9" t="e" cm="1">
        <f t="array" ref="CE30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4" s="9" cm="1">
        <f t="array" ref="CF304">IFERROR(_xlfn.AGGREGATE(14,6,(tbl_Case_mins[Rank_AnaEnd])/((tbl_Case_mins[Surgery Start Date]=tbl_Case_mins[[#This Row],[Surgery Start Date]])*(tbl_Case_mins[Theatre]=tbl_Case_mins[[#This Row],[Theatre]])*(tbl_Case_mins[NoInCoreTime]=0)),1),-1)</f>
        <v>-1</v>
      </c>
      <c r="CG304" s="9" cm="1">
        <f t="array" ref="CG304">IFERROR(_xlfn.AGGREGATE(15,6,(tbl_Case_mins[Rank_AnaSt])/((tbl_Case_mins[Surgery Start Date]=tbl_Case_mins[[#This Row],[Surgery Start Date]])*(tbl_Case_mins[Theatre]=tbl_Case_mins[[#This Row],[Theatre]])*(tbl_Case_mins[NoInCoreTime]=0)),1),-1)</f>
        <v>-1</v>
      </c>
      <c r="CH30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4" t="e" cm="1">
        <f t="array" ref="CJ30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4" s="9" cm="1">
        <f t="array" ref="CO3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4" s="9" cm="1">
        <f t="array" ref="CP3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4" s="9" cm="1">
        <f t="array" ref="CQ304">IFERROR(IF(AND(tbl_Case_mins[[#This Row],[FirstAMCase]]=0,tbl_Case_mins[[#This Row],[Rank]]=_xlfn.AGGREGATE(14,6,(tbl_Case_mins[Rank])/((tbl_Case_mins[Surgery Start Date]=tbl_Case_mins[[#This Row],[Surgery Start Date]])*(tbl_Case_mins[Theatre]=tbl_Case_mins[[#This Row],[Theatre]])*(tbl_Case_mins[AmCase]=1)),1)),1,0),0)</f>
        <v>0</v>
      </c>
      <c r="CR304" s="9" cm="1">
        <f t="array" ref="CR30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4" s="9" t="e" cm="1">
        <f t="array" ref="CS30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4" s="9" cm="1">
        <f t="array" ref="CT304">IFERROR(IF(tbl_Case_mins[[#This Row],[Rank]]=_xlfn.AGGREGATE(15,6,(tbl_Case_mins[Rank])/((tbl_Case_mins[Surgery Start Date]=tbl_Case_mins[[#This Row],[Surgery Start Date]])*(tbl_Case_mins[Theatre]=tbl_Case_mins[[#This Row],[Theatre]])*(tbl_Case_mins[PmCase]=1)),1),1,0),0)</f>
        <v>0</v>
      </c>
      <c r="CU304">
        <f>IFERROR(#REF!,0)</f>
        <v>0</v>
      </c>
      <c r="CV304" s="9" t="e" cm="1">
        <f t="array" ref="CV30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4" s="9">
        <f>IFERROR(IF(ISBLANK(INDEX(Bay_AmClose,MATCH(1,INDEX((tbl_Case_mins[[#This Row],[Bay]]=BayNo)*(tbl_Case_mins[[#This Row],[Surgery Start Date]]=BDate),0,1),0))*1440),0,INDEX(Bay_AmClose,MATCH(1,INDEX((tbl_Case_mins[[#This Row],[Bay]]=BayNo)*(tbl_Case_mins[[#This Row],[Surgery Start Date]]=BDate),0,1),0))*1440),0)</f>
        <v>0</v>
      </c>
      <c r="CX304" s="9" cm="1">
        <f t="array" ref="CX304">IFERROR(IF(ISBLANK(INDEX(Bay_PmOpen,MATCH(1,INDEX((tbl_Case_mins[[#This Row],[Bay]]=BayNo)*(tbl_Case_mins[[#This Row],[Surgery Start Date]]=BDate),0,1),0))*1440),0,INDEX(Bay_PmOpen,MATCH(1,INDEX((tbl_Case_mins[[#This Row],[Bay]]=BayNo)*(tbl_Case_mins[[#This Row],[Surgery Start Date]]=BDate),0,1),0))*1440),0)</f>
        <v>0</v>
      </c>
      <c r="CY30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4" s="9"/>
    </row>
    <row r="305" spans="1:104" x14ac:dyDescent="0.2">
      <c r="A305">
        <v>304</v>
      </c>
      <c r="B305" t="e">
        <f>#REF!</f>
        <v>#REF!</v>
      </c>
      <c r="C305" t="e">
        <f>#REF!</f>
        <v>#REF!</v>
      </c>
      <c r="D305" t="e">
        <f>#REF!</f>
        <v>#REF!</v>
      </c>
      <c r="E305" t="e">
        <f>#REF!</f>
        <v>#REF!</v>
      </c>
      <c r="F305" t="e">
        <f>#REF!</f>
        <v>#REF!</v>
      </c>
      <c r="G305" t="e">
        <f>#REF!</f>
        <v>#REF!</v>
      </c>
      <c r="H305" t="e">
        <f>#REF!</f>
        <v>#REF!</v>
      </c>
      <c r="I305" t="e">
        <f>IF(#REF!="Case Cancelled",1,IF(#REF!="No Cases",2,0))</f>
        <v>#REF!</v>
      </c>
      <c r="J305" t="e">
        <f>#REF!</f>
        <v>#REF!</v>
      </c>
      <c r="K305" s="4" t="e">
        <f>#REF!</f>
        <v>#REF!</v>
      </c>
      <c r="L305" t="e">
        <f>"Wk "&amp;WEEKNUM(tbl_Case_mins[[#This Row],[Surgery Start Date]],21)</f>
        <v>#REF!</v>
      </c>
      <c r="M305" t="e">
        <f>TEXT(tbl_Case_mins[[#This Row],[Surgery Start Date]],"ddd")</f>
        <v>#REF!</v>
      </c>
      <c r="N305" s="9" t="e">
        <f>(#REF!-TIME(0,0,0))*1440</f>
        <v>#REF!</v>
      </c>
      <c r="O305" t="e">
        <f>IF(AND(ROUND((#REF!-TIME(0,0,0))*1440,0)&gt;0,ROUND((#REF!-TIME(0,0,0))*1440,0)&lt;tbl_Case_mins[[#This Row],[Patient Called]],tbl_Case_mins[[#This Row],[Surgery End Date]]&gt;tbl_Case_mins[[#This Row],[Surgery Start Date]]),ROUND((#REF!-TIME(0,0,0))*1440,0)+1440,ROUND((#REF!-TIME(0,0,0))*1440,0))</f>
        <v>#REF!</v>
      </c>
      <c r="P305" s="9" t="e">
        <f>IF(AND(ROUND((#REF!-TIME(0,0,0))*1440,0)&gt;0,ROUND((#REF!-TIME(0,0,0))*1440,0)&lt;tbl_Case_mins[[#This Row],[Arrival]],tbl_Case_mins[[#This Row],[Surgery End Date]]&gt;tbl_Case_mins[[#This Row],[Surgery Start Date]]),ROUND((#REF!-TIME(0,0,0))*1440,0)+1440,ROUND((#REF!-TIME(0,0,0))*1440,0))</f>
        <v>#REF!</v>
      </c>
      <c r="Q305" s="9" t="e">
        <f>IF(AND(ROUND((#REF!-TIME(0,0,0))*1440,0)&gt;0,ROUND((#REF!-TIME(0,0,0))*1440,0)&lt;tbl_Case_mins[[#This Row],[Into Th or AR]],tbl_Case_mins[[#This Row],[Surgery End Date]]&gt;tbl_Case_mins[[#This Row],[Surgery Start Date]]),ROUND((#REF!-TIME(0,0,0))*1440,0)+1440,ROUND((#REF!-TIME(0,0,0))*1440,0))</f>
        <v>#REF!</v>
      </c>
      <c r="R305" s="9" t="e">
        <f>IF(AND(ROUND((#REF!-TIME(0,0,0))*1440,0)&gt;0,ROUND((#REF!-TIME(0,0,0))*1440,0)&lt;tbl_Case_mins[[#This Row],[AnaesthStart]],tbl_Case_mins[[#This Row],[Surgery End Date]]&gt;tbl_Case_mins[[#This Row],[Surgery Start Date]]),ROUND((#REF!-TIME(0,0,0))*1440,0)+1440,ROUND((#REF!-TIME(0,0,0))*1440,0))</f>
        <v>#REF!</v>
      </c>
      <c r="S305" s="9" t="e">
        <f>IF(AND(ROUND((#REF!-TIME(0,0,0))*1440,0),ROUND((#REF!-TIME(0,0,0))*1440,0)&lt;tbl_Case_mins[[#This Row],[Surgery Start]],tbl_Case_mins[[#This Row],[Surgery End Date]]&gt;tbl_Case_mins[[#This Row],[Surgery Start Date]]),ROUND((#REF!-TIME(0,0,0))*1440,0)+1440,ROUND((#REF!-TIME(0,0,0))*1440,0))</f>
        <v>#REF!</v>
      </c>
      <c r="T305" s="9" t="e">
        <f>IF(AND(ROUND((#REF!-TIME(0,0,0))*1440,0)&gt;0,ROUND((#REF!-TIME(0,0,0))*1440,0)&lt;tbl_Case_mins[[#This Row],[Surgery Finish]],tbl_Case_mins[[#This Row],[Surgery End Date]]&gt;tbl_Case_mins[[#This Row],[Surgery Start Date]]),ROUND((#REF!-TIME(0,0,0))*1440,0)+1440,ROUND((#REF!-TIME(0,0,0))*1440,0))</f>
        <v>#REF!</v>
      </c>
      <c r="U305" s="9" t="e">
        <f>IF(AND(ROUND((#REF!-TIME(0,0,0))*1440,0)&gt;0,ROUND((#REF!-TIME(0,0,0))*1440,0)&lt;tbl_Case_mins[[#This Row],[Anaesth End]],tbl_Case_mins[[#This Row],[Surgery End Date]]&gt;tbl_Case_mins[[#This Row],[Surgery Start Date]]),ROUND((#REF!-TIME(0,0,0))*1440,0)+1440,ROUND((#REF!-TIME(0,0,0))*1440,0))</f>
        <v>#REF!</v>
      </c>
      <c r="V305" s="9" t="e">
        <f>IF(AND(ROUND((#REF!-TIME(0,0,0))*1440,0)&gt;0,ROUND((#REF!-TIME(0,0,0))*1440,0)&lt;tbl_Case_mins[[#This Row],[Into Recov]],tbl_Case_mins[[#This Row],[Surgery End Date]]&gt;tbl_Case_mins[[#This Row],[Surgery Start Date]]),ROUND((#REF!-TIME(0,0,0))*1440,0)+1440,ROUND((#REF!-TIME(0,0,0))*1440,0))</f>
        <v>#REF!</v>
      </c>
      <c r="W305" s="9" t="e">
        <f>IF(AND(ROUND((#REF!-TIME(0,0,0))*1440,0)&gt;0,ROUND((#REF!-TIME(0,0,0))*1440,0)&lt;tbl_Case_mins[[#This Row],[Ward Called]],tbl_Case_mins[[#This Row],[Surgery End Date]]&gt;tbl_Case_mins[[#This Row],[Surgery Start Date]]),ROUND((#REF!-TIME(0,0,0))*1440,0)+1440,ROUND((#REF!-TIME(0,0,0))*1440,0))</f>
        <v>#REF!</v>
      </c>
      <c r="X305" s="4" t="e">
        <f>IF(ISBLANK(#REF!),tbl_Case_mins[[#This Row],[Surgery Start Date]],#REF!)</f>
        <v>#REF!</v>
      </c>
      <c r="Y305">
        <f>IFERROR(IF(VLOOKUP(tbl_Case_mins[[#This Row],[Theatre]],'Mng Theatres'!$C$7:$G$12,3,FALSE)="Yes","Yes","No"),0)</f>
        <v>0</v>
      </c>
      <c r="Z305" s="9" t="e" cm="1">
        <f t="array" ref="Z30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5" s="9" t="e" cm="1">
        <f t="array" ref="AA30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5" s="9" t="e">
        <f>IF(tbl_Case_mins[[#This Row],[Case Type]]="Unsch",1,0)</f>
        <v>#REF!</v>
      </c>
      <c r="AD305" s="9" t="e">
        <f>IF(tbl_Case_mins[[#This Row],[Case Type]]="Sch",1,0)</f>
        <v>#REF!</v>
      </c>
      <c r="AE30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5" s="9">
        <f>IFERROR(IF(ISBLANK(INDEX(Am_Close,MATCH(1,INDEX((tbl_Case_mins[[#This Row],[Theatre]]=Theatre_No)*(tbl_Case_mins[[#This Row],[Surgery Start Date]]=Date),0,1),0))*1440),0,INDEX(Am_Close,MATCH(1,INDEX((tbl_Case_mins[[#This Row],[Theatre]]=Theatre_No)*(tbl_Case_mins[[#This Row],[Surgery Start Date]]=Date),0,1),0))*1440),0)</f>
        <v>0</v>
      </c>
      <c r="AG305" s="9">
        <f>IFERROR(IF(ISBLANK(INDEX(PM_Open,MATCH(1,INDEX((tbl_Case_mins[[#This Row],[Theatre]]=Theatre_No)*(tbl_Case_mins[[#This Row],[Surgery Start Date]]=Date),0,1),0))*1440),0,INDEX(PM_Open,MATCH(1,INDEX((tbl_Case_mins[[#This Row],[Theatre]]=Theatre_No)*(tbl_Case_mins[[#This Row],[Surgery Start Date]]=Date),0,1),0))*1440),0)</f>
        <v>0</v>
      </c>
      <c r="AH30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5" s="9" t="e">
        <f>IF(tbl_Case_mins[[#This Row],[ThOpenAm]]=0,tbl_Case_mins[[#This Row],[ThOpenPM]],tbl_Case_mins[[#This Row],[ThOpenAm]])</f>
        <v>#REF!</v>
      </c>
      <c r="AJ305" s="9" t="e">
        <f>IF(tbl_Case_mins[[#This Row],[ThCloseAm]]&gt;0,IF(tbl_Case_mins[[#This Row],[ThOpenPM]]&gt;0,tbl_Case_mins[[#This Row],[ThClosePm]],tbl_Case_mins[[#This Row],[ThCloseAm]]),tbl_Case_mins[[#This Row],[ThClosePm]])</f>
        <v>#REF!</v>
      </c>
      <c r="AK305" s="9" t="e">
        <f>IF(tbl_Case_mins[[#This Row],[TOT]]&gt;0,1,0)</f>
        <v>#REF!</v>
      </c>
      <c r="AL30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5" s="9" t="e">
        <f>IF(AND(tbl_Case_mins[[#This Row],[Surgery Status]]&lt;&gt;2,tbl_Case_mins[[#This Row],[InCoreCase]]=0,tbl_Case_mins[[#This Row],[CancelledCase]]=0),1,0)</f>
        <v>#REF!</v>
      </c>
      <c r="AN305" s="9" t="e">
        <f>IF(tbl_Case_mins[[#This Row],[Surgery Status]]=1,1,0)</f>
        <v>#REF!</v>
      </c>
      <c r="AO30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5" s="9" t="e">
        <f>IF(AND(tbl_Case_mins[[#This Row],[NonCoreCase]]=1,tbl_Case_mins[[#This Row],[NoInCoreTime]]=0),1,0)</f>
        <v>#REF!</v>
      </c>
      <c r="AQ305" s="9" t="e">
        <f>IF(tbl_Case_mins[[#This Row],[Rank_AnaEnd]]&lt;tbl_Case_mins[[#This Row],[Rank_AnaSt]],1,0)</f>
        <v>#REF!</v>
      </c>
      <c r="AR305" s="9" t="e">
        <f>IF(AND(tbl_Case_mins[[#This Row],[InCoreCase]]=1,tbl_Case_mins[[#This Row],[Sch]]=1),1,0)</f>
        <v>#REF!</v>
      </c>
      <c r="AS305" s="9" t="e">
        <f>IF(AND(tbl_Case_mins[[#This Row],[InCoreCase]]=1,tbl_Case_mins[[#This Row],[Unsch]]=1),1,0)</f>
        <v>#REF!</v>
      </c>
      <c r="AT30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5" s="9" t="e">
        <f>IF(tbl_Case_mins[[#This Row],[Surgery Status]]=0,(tbl_Case_mins[[#This Row],[Anaesth End]]-tbl_Case_mins[[#This Row],[AnaesthStart]]),0)</f>
        <v>#REF!</v>
      </c>
      <c r="AX305" s="9" t="e">
        <f>IF(tbl_Case_mins[[#This Row],[Surgery Status]]=0,(tbl_Case_mins[[#This Row],[Surgery Finish]]-tbl_Case_mins[[#This Row],[Surgery Start]]),0)</f>
        <v>#REF!</v>
      </c>
      <c r="AY305" s="9" t="e">
        <f>tbl_Case_mins[[#This Row],[Surgery Start]]-tbl_Case_mins[[#This Row],[AnaesthStart]]</f>
        <v>#REF!</v>
      </c>
      <c r="AZ305" s="9" t="e">
        <f>tbl_Case_mins[[#This Row],[Anaesth End]]-tbl_Case_mins[[#This Row],[Surgery Finish]]</f>
        <v>#REF!</v>
      </c>
      <c r="BA30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5" s="16" cm="1">
        <f t="array" ref="BC30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5" s="16" t="e">
        <f>IF(AND(tbl_Case_mins[[#This Row],[FirstAMCase]]=1,tbl_Case_mins[[#This Row],[CancelledCase]]=0,OR(tbl_Case_mins[[#This Row],[EarlyStartAM]]&gt;0,tbl_Case_mins[[#This Row],[AnaesthStart]]=tbl_Case_mins[[#This Row],[ThOpenAm]])),1,0)</f>
        <v>#REF!</v>
      </c>
      <c r="BE305" s="16" t="e">
        <f>IF(AND(tbl_Case_mins[[#This Row],[Rank_AnaSt]]=tbl_Case_mins[[#This Row],[Min_RankAnaSt]],tbl_Case_mins[[#This Row],[Anaesth End]]&gt;=tbl_Case_mins[[#This Row],[ThOpenAm]],tbl_Case_mins[[#This Row],[PmCase]]=0),1,0)</f>
        <v>#REF!</v>
      </c>
      <c r="BF30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5" s="9" t="e" cm="1">
        <f t="array" ref="BH30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5" s="9" t="e">
        <f>IF(AND(tbl_Case_mins[[#This Row],[ThOpenPM]]&gt;0,tbl_Case_mins[[#This Row],[AnaesthStart]]&gt;tbl_Case_mins[[#This Row],[ThOpenPM]],tbl_Case_mins[[#This Row],[First PM Case]]=1),tbl_Case_mins[[#This Row],[AnaesthStart]]-tbl_Case_mins[[#This Row],[ThOpenPM]],0)</f>
        <v>#REF!</v>
      </c>
      <c r="BL30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5" s="9" t="e" cm="1">
        <f t="array" ref="BN30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5" s="9" t="e">
        <f>IF(AND(tbl_Case_mins[[#This Row],[ThClosePm]]&gt;0,tbl_Case_mins[[#This Row],[Anaesth End]]&gt;tbl_Case_mins[[#This Row],[ThClosePm]],tbl_Case_mins[[#This Row],[AnaesthStart]]&gt;tbl_Case_mins[[#This Row],[ThClosePm]]),tbl_Case_mins[[#This Row],[Into Recov]]-tbl_Case_mins[[#This Row],[AnaesthStart]],0)</f>
        <v>#REF!</v>
      </c>
      <c r="BP305" s="9" t="e">
        <f>IF(AND(tbl_Case_mins[[#This Row],[AnaesthStart]]&lt;tbl_Case_mins[[#This Row],[ThClosePm]],tbl_Case_mins[[#This Row],[Anaesth End]]&gt;tbl_Case_mins[[#This Row],[ThClosePm]]),tbl_Case_mins[[#This Row],[Anaesth End]]-tbl_Case_mins[[#This Row],[ThClosePm]],0)</f>
        <v>#REF!</v>
      </c>
      <c r="BQ305" s="9" t="e" cm="1">
        <f t="array" ref="BQ30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5" s="9" t="e" cm="1">
        <f t="array" ref="BR305">IF(tbl_Case_mins[[#This Row],[Rank_Adjust]]=SUMPRODUCT(-(tbl_Case_mins[Surgery Start Date]=tbl_Case_mins[[#This Row],[Surgery Start Date]]),-(tbl_Case_mins[Theatre]=tbl_Case_mins[[#This Row],[Theatre]])),INDEX(Poss_Time,MATCH(TEXT(tbl_Case_mins[[#This Row],[Surgery Start Date]],"ddd"),Day,0)),0)</f>
        <v>#REF!</v>
      </c>
      <c r="BS305" s="9" t="e">
        <f>tbl_Case_mins[[#This Row],[Core_Time]]*Util_Goal</f>
        <v>#REF!</v>
      </c>
      <c r="BT305" s="9" t="e" cm="1">
        <f t="array" ref="BT3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5" s="9" t="e" cm="1">
        <f t="array" ref="BU3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5" s="9" t="e">
        <f>IF(tbl_Case_mins[[#This Row],[Surgery End Date]]&gt;tbl_Case_mins[[#This Row],[Surgery Start Date]],tbl_Case_mins[[#This Row],[Anaesth End]]-1440,0)</f>
        <v>#REF!</v>
      </c>
      <c r="BY305" s="9" t="e">
        <f>tbl_Case_mins[[#This Row],[Total_NonCore]]-tbl_Case_mins[[#This Row],[NextDay_NonCore]]</f>
        <v>#REF!</v>
      </c>
      <c r="BZ305" s="10" t="e">
        <f>tbl_Case_mins[[#This Row],[InCoreUse]]/60</f>
        <v>#REF!</v>
      </c>
      <c r="CA305" s="10" t="e">
        <f>tbl_Case_mins[[#This Row],[Total_NonCore]]/60</f>
        <v>#REF!</v>
      </c>
      <c r="CB305" t="e" cm="1">
        <f t="array" ref="CB3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5" s="9" t="e" cm="1">
        <f t="array" ref="CC30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5" s="9" t="e" cm="1">
        <f t="array" ref="CD3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5" s="9" t="e" cm="1">
        <f t="array" ref="CE30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5" s="9" cm="1">
        <f t="array" ref="CF305">IFERROR(_xlfn.AGGREGATE(14,6,(tbl_Case_mins[Rank_AnaEnd])/((tbl_Case_mins[Surgery Start Date]=tbl_Case_mins[[#This Row],[Surgery Start Date]])*(tbl_Case_mins[Theatre]=tbl_Case_mins[[#This Row],[Theatre]])*(tbl_Case_mins[NoInCoreTime]=0)),1),-1)</f>
        <v>-1</v>
      </c>
      <c r="CG305" s="9" cm="1">
        <f t="array" ref="CG305">IFERROR(_xlfn.AGGREGATE(15,6,(tbl_Case_mins[Rank_AnaSt])/((tbl_Case_mins[Surgery Start Date]=tbl_Case_mins[[#This Row],[Surgery Start Date]])*(tbl_Case_mins[Theatre]=tbl_Case_mins[[#This Row],[Theatre]])*(tbl_Case_mins[NoInCoreTime]=0)),1),-1)</f>
        <v>-1</v>
      </c>
      <c r="CH30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5" t="e" cm="1">
        <f t="array" ref="CJ30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5" s="9" cm="1">
        <f t="array" ref="CO3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5" s="9" cm="1">
        <f t="array" ref="CP3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5" s="9" cm="1">
        <f t="array" ref="CQ305">IFERROR(IF(AND(tbl_Case_mins[[#This Row],[FirstAMCase]]=0,tbl_Case_mins[[#This Row],[Rank]]=_xlfn.AGGREGATE(14,6,(tbl_Case_mins[Rank])/((tbl_Case_mins[Surgery Start Date]=tbl_Case_mins[[#This Row],[Surgery Start Date]])*(tbl_Case_mins[Theatre]=tbl_Case_mins[[#This Row],[Theatre]])*(tbl_Case_mins[AmCase]=1)),1)),1,0),0)</f>
        <v>0</v>
      </c>
      <c r="CR305" s="9" cm="1">
        <f t="array" ref="CR30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5" s="9" t="e" cm="1">
        <f t="array" ref="CS30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5" s="9" cm="1">
        <f t="array" ref="CT305">IFERROR(IF(tbl_Case_mins[[#This Row],[Rank]]=_xlfn.AGGREGATE(15,6,(tbl_Case_mins[Rank])/((tbl_Case_mins[Surgery Start Date]=tbl_Case_mins[[#This Row],[Surgery Start Date]])*(tbl_Case_mins[Theatre]=tbl_Case_mins[[#This Row],[Theatre]])*(tbl_Case_mins[PmCase]=1)),1),1,0),0)</f>
        <v>0</v>
      </c>
      <c r="CU305">
        <f>IFERROR(#REF!,0)</f>
        <v>0</v>
      </c>
      <c r="CV305" s="9" t="e" cm="1">
        <f t="array" ref="CV30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5" s="9">
        <f>IFERROR(IF(ISBLANK(INDEX(Bay_AmClose,MATCH(1,INDEX((tbl_Case_mins[[#This Row],[Bay]]=BayNo)*(tbl_Case_mins[[#This Row],[Surgery Start Date]]=BDate),0,1),0))*1440),0,INDEX(Bay_AmClose,MATCH(1,INDEX((tbl_Case_mins[[#This Row],[Bay]]=BayNo)*(tbl_Case_mins[[#This Row],[Surgery Start Date]]=BDate),0,1),0))*1440),0)</f>
        <v>0</v>
      </c>
      <c r="CX305" s="9" cm="1">
        <f t="array" ref="CX305">IFERROR(IF(ISBLANK(INDEX(Bay_PmOpen,MATCH(1,INDEX((tbl_Case_mins[[#This Row],[Bay]]=BayNo)*(tbl_Case_mins[[#This Row],[Surgery Start Date]]=BDate),0,1),0))*1440),0,INDEX(Bay_PmOpen,MATCH(1,INDEX((tbl_Case_mins[[#This Row],[Bay]]=BayNo)*(tbl_Case_mins[[#This Row],[Surgery Start Date]]=BDate),0,1),0))*1440),0)</f>
        <v>0</v>
      </c>
      <c r="CY30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5" s="9"/>
    </row>
    <row r="306" spans="1:104" x14ac:dyDescent="0.2">
      <c r="A306">
        <v>305</v>
      </c>
      <c r="B306" t="e">
        <f>#REF!</f>
        <v>#REF!</v>
      </c>
      <c r="C306" t="e">
        <f>#REF!</f>
        <v>#REF!</v>
      </c>
      <c r="D306" t="e">
        <f>#REF!</f>
        <v>#REF!</v>
      </c>
      <c r="E306" t="e">
        <f>#REF!</f>
        <v>#REF!</v>
      </c>
      <c r="F306" t="e">
        <f>#REF!</f>
        <v>#REF!</v>
      </c>
      <c r="G306" t="e">
        <f>#REF!</f>
        <v>#REF!</v>
      </c>
      <c r="H306" t="e">
        <f>#REF!</f>
        <v>#REF!</v>
      </c>
      <c r="I306" t="e">
        <f>IF(#REF!="Case Cancelled",1,IF(#REF!="No Cases",2,0))</f>
        <v>#REF!</v>
      </c>
      <c r="J306" t="e">
        <f>#REF!</f>
        <v>#REF!</v>
      </c>
      <c r="K306" s="4" t="e">
        <f>#REF!</f>
        <v>#REF!</v>
      </c>
      <c r="L306" t="e">
        <f>"Wk "&amp;WEEKNUM(tbl_Case_mins[[#This Row],[Surgery Start Date]],21)</f>
        <v>#REF!</v>
      </c>
      <c r="M306" t="e">
        <f>TEXT(tbl_Case_mins[[#This Row],[Surgery Start Date]],"ddd")</f>
        <v>#REF!</v>
      </c>
      <c r="N306" s="9" t="e">
        <f>(#REF!-TIME(0,0,0))*1440</f>
        <v>#REF!</v>
      </c>
      <c r="O306" t="e">
        <f>IF(AND(ROUND((#REF!-TIME(0,0,0))*1440,0)&gt;0,ROUND((#REF!-TIME(0,0,0))*1440,0)&lt;tbl_Case_mins[[#This Row],[Patient Called]],tbl_Case_mins[[#This Row],[Surgery End Date]]&gt;tbl_Case_mins[[#This Row],[Surgery Start Date]]),ROUND((#REF!-TIME(0,0,0))*1440,0)+1440,ROUND((#REF!-TIME(0,0,0))*1440,0))</f>
        <v>#REF!</v>
      </c>
      <c r="P306" s="9" t="e">
        <f>IF(AND(ROUND((#REF!-TIME(0,0,0))*1440,0)&gt;0,ROUND((#REF!-TIME(0,0,0))*1440,0)&lt;tbl_Case_mins[[#This Row],[Arrival]],tbl_Case_mins[[#This Row],[Surgery End Date]]&gt;tbl_Case_mins[[#This Row],[Surgery Start Date]]),ROUND((#REF!-TIME(0,0,0))*1440,0)+1440,ROUND((#REF!-TIME(0,0,0))*1440,0))</f>
        <v>#REF!</v>
      </c>
      <c r="Q306" s="9" t="e">
        <f>IF(AND(ROUND((#REF!-TIME(0,0,0))*1440,0)&gt;0,ROUND((#REF!-TIME(0,0,0))*1440,0)&lt;tbl_Case_mins[[#This Row],[Into Th or AR]],tbl_Case_mins[[#This Row],[Surgery End Date]]&gt;tbl_Case_mins[[#This Row],[Surgery Start Date]]),ROUND((#REF!-TIME(0,0,0))*1440,0)+1440,ROUND((#REF!-TIME(0,0,0))*1440,0))</f>
        <v>#REF!</v>
      </c>
      <c r="R306" s="9" t="e">
        <f>IF(AND(ROUND((#REF!-TIME(0,0,0))*1440,0)&gt;0,ROUND((#REF!-TIME(0,0,0))*1440,0)&lt;tbl_Case_mins[[#This Row],[AnaesthStart]],tbl_Case_mins[[#This Row],[Surgery End Date]]&gt;tbl_Case_mins[[#This Row],[Surgery Start Date]]),ROUND((#REF!-TIME(0,0,0))*1440,0)+1440,ROUND((#REF!-TIME(0,0,0))*1440,0))</f>
        <v>#REF!</v>
      </c>
      <c r="S306" s="9" t="e">
        <f>IF(AND(ROUND((#REF!-TIME(0,0,0))*1440,0),ROUND((#REF!-TIME(0,0,0))*1440,0)&lt;tbl_Case_mins[[#This Row],[Surgery Start]],tbl_Case_mins[[#This Row],[Surgery End Date]]&gt;tbl_Case_mins[[#This Row],[Surgery Start Date]]),ROUND((#REF!-TIME(0,0,0))*1440,0)+1440,ROUND((#REF!-TIME(0,0,0))*1440,0))</f>
        <v>#REF!</v>
      </c>
      <c r="T306" s="9" t="e">
        <f>IF(AND(ROUND((#REF!-TIME(0,0,0))*1440,0)&gt;0,ROUND((#REF!-TIME(0,0,0))*1440,0)&lt;tbl_Case_mins[[#This Row],[Surgery Finish]],tbl_Case_mins[[#This Row],[Surgery End Date]]&gt;tbl_Case_mins[[#This Row],[Surgery Start Date]]),ROUND((#REF!-TIME(0,0,0))*1440,0)+1440,ROUND((#REF!-TIME(0,0,0))*1440,0))</f>
        <v>#REF!</v>
      </c>
      <c r="U306" s="9" t="e">
        <f>IF(AND(ROUND((#REF!-TIME(0,0,0))*1440,0)&gt;0,ROUND((#REF!-TIME(0,0,0))*1440,0)&lt;tbl_Case_mins[[#This Row],[Anaesth End]],tbl_Case_mins[[#This Row],[Surgery End Date]]&gt;tbl_Case_mins[[#This Row],[Surgery Start Date]]),ROUND((#REF!-TIME(0,0,0))*1440,0)+1440,ROUND((#REF!-TIME(0,0,0))*1440,0))</f>
        <v>#REF!</v>
      </c>
      <c r="V306" s="9" t="e">
        <f>IF(AND(ROUND((#REF!-TIME(0,0,0))*1440,0)&gt;0,ROUND((#REF!-TIME(0,0,0))*1440,0)&lt;tbl_Case_mins[[#This Row],[Into Recov]],tbl_Case_mins[[#This Row],[Surgery End Date]]&gt;tbl_Case_mins[[#This Row],[Surgery Start Date]]),ROUND((#REF!-TIME(0,0,0))*1440,0)+1440,ROUND((#REF!-TIME(0,0,0))*1440,0))</f>
        <v>#REF!</v>
      </c>
      <c r="W306" s="9" t="e">
        <f>IF(AND(ROUND((#REF!-TIME(0,0,0))*1440,0)&gt;0,ROUND((#REF!-TIME(0,0,0))*1440,0)&lt;tbl_Case_mins[[#This Row],[Ward Called]],tbl_Case_mins[[#This Row],[Surgery End Date]]&gt;tbl_Case_mins[[#This Row],[Surgery Start Date]]),ROUND((#REF!-TIME(0,0,0))*1440,0)+1440,ROUND((#REF!-TIME(0,0,0))*1440,0))</f>
        <v>#REF!</v>
      </c>
      <c r="X306" s="4" t="e">
        <f>IF(ISBLANK(#REF!),tbl_Case_mins[[#This Row],[Surgery Start Date]],#REF!)</f>
        <v>#REF!</v>
      </c>
      <c r="Y306">
        <f>IFERROR(IF(VLOOKUP(tbl_Case_mins[[#This Row],[Theatre]],'Mng Theatres'!$C$7:$G$12,3,FALSE)="Yes","Yes","No"),0)</f>
        <v>0</v>
      </c>
      <c r="Z306" s="9" t="e" cm="1">
        <f t="array" ref="Z30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6" s="9" t="e" cm="1">
        <f t="array" ref="AA30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6" s="9" t="e">
        <f>IF(tbl_Case_mins[[#This Row],[Case Type]]="Unsch",1,0)</f>
        <v>#REF!</v>
      </c>
      <c r="AD306" s="9" t="e">
        <f>IF(tbl_Case_mins[[#This Row],[Case Type]]="Sch",1,0)</f>
        <v>#REF!</v>
      </c>
      <c r="AE30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6" s="9">
        <f>IFERROR(IF(ISBLANK(INDEX(Am_Close,MATCH(1,INDEX((tbl_Case_mins[[#This Row],[Theatre]]=Theatre_No)*(tbl_Case_mins[[#This Row],[Surgery Start Date]]=Date),0,1),0))*1440),0,INDEX(Am_Close,MATCH(1,INDEX((tbl_Case_mins[[#This Row],[Theatre]]=Theatre_No)*(tbl_Case_mins[[#This Row],[Surgery Start Date]]=Date),0,1),0))*1440),0)</f>
        <v>0</v>
      </c>
      <c r="AG306" s="9">
        <f>IFERROR(IF(ISBLANK(INDEX(PM_Open,MATCH(1,INDEX((tbl_Case_mins[[#This Row],[Theatre]]=Theatre_No)*(tbl_Case_mins[[#This Row],[Surgery Start Date]]=Date),0,1),0))*1440),0,INDEX(PM_Open,MATCH(1,INDEX((tbl_Case_mins[[#This Row],[Theatre]]=Theatre_No)*(tbl_Case_mins[[#This Row],[Surgery Start Date]]=Date),0,1),0))*1440),0)</f>
        <v>0</v>
      </c>
      <c r="AH30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6" s="9" t="e">
        <f>IF(tbl_Case_mins[[#This Row],[ThOpenAm]]=0,tbl_Case_mins[[#This Row],[ThOpenPM]],tbl_Case_mins[[#This Row],[ThOpenAm]])</f>
        <v>#REF!</v>
      </c>
      <c r="AJ306" s="9" t="e">
        <f>IF(tbl_Case_mins[[#This Row],[ThCloseAm]]&gt;0,IF(tbl_Case_mins[[#This Row],[ThOpenPM]]&gt;0,tbl_Case_mins[[#This Row],[ThClosePm]],tbl_Case_mins[[#This Row],[ThCloseAm]]),tbl_Case_mins[[#This Row],[ThClosePm]])</f>
        <v>#REF!</v>
      </c>
      <c r="AK306" s="9" t="e">
        <f>IF(tbl_Case_mins[[#This Row],[TOT]]&gt;0,1,0)</f>
        <v>#REF!</v>
      </c>
      <c r="AL30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6" s="9" t="e">
        <f>IF(AND(tbl_Case_mins[[#This Row],[Surgery Status]]&lt;&gt;2,tbl_Case_mins[[#This Row],[InCoreCase]]=0,tbl_Case_mins[[#This Row],[CancelledCase]]=0),1,0)</f>
        <v>#REF!</v>
      </c>
      <c r="AN306" s="9" t="e">
        <f>IF(tbl_Case_mins[[#This Row],[Surgery Status]]=1,1,0)</f>
        <v>#REF!</v>
      </c>
      <c r="AO30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6" s="9" t="e">
        <f>IF(AND(tbl_Case_mins[[#This Row],[NonCoreCase]]=1,tbl_Case_mins[[#This Row],[NoInCoreTime]]=0),1,0)</f>
        <v>#REF!</v>
      </c>
      <c r="AQ306" s="9" t="e">
        <f>IF(tbl_Case_mins[[#This Row],[Rank_AnaEnd]]&lt;tbl_Case_mins[[#This Row],[Rank_AnaSt]],1,0)</f>
        <v>#REF!</v>
      </c>
      <c r="AR306" s="9" t="e">
        <f>IF(AND(tbl_Case_mins[[#This Row],[InCoreCase]]=1,tbl_Case_mins[[#This Row],[Sch]]=1),1,0)</f>
        <v>#REF!</v>
      </c>
      <c r="AS306" s="9" t="e">
        <f>IF(AND(tbl_Case_mins[[#This Row],[InCoreCase]]=1,tbl_Case_mins[[#This Row],[Unsch]]=1),1,0)</f>
        <v>#REF!</v>
      </c>
      <c r="AT30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6" s="9" t="e">
        <f>IF(tbl_Case_mins[[#This Row],[Surgery Status]]=0,(tbl_Case_mins[[#This Row],[Anaesth End]]-tbl_Case_mins[[#This Row],[AnaesthStart]]),0)</f>
        <v>#REF!</v>
      </c>
      <c r="AX306" s="9" t="e">
        <f>IF(tbl_Case_mins[[#This Row],[Surgery Status]]=0,(tbl_Case_mins[[#This Row],[Surgery Finish]]-tbl_Case_mins[[#This Row],[Surgery Start]]),0)</f>
        <v>#REF!</v>
      </c>
      <c r="AY306" s="9" t="e">
        <f>tbl_Case_mins[[#This Row],[Surgery Start]]-tbl_Case_mins[[#This Row],[AnaesthStart]]</f>
        <v>#REF!</v>
      </c>
      <c r="AZ306" s="9" t="e">
        <f>tbl_Case_mins[[#This Row],[Anaesth End]]-tbl_Case_mins[[#This Row],[Surgery Finish]]</f>
        <v>#REF!</v>
      </c>
      <c r="BA30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6" s="16" cm="1">
        <f t="array" ref="BC30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6" s="16" t="e">
        <f>IF(AND(tbl_Case_mins[[#This Row],[FirstAMCase]]=1,tbl_Case_mins[[#This Row],[CancelledCase]]=0,OR(tbl_Case_mins[[#This Row],[EarlyStartAM]]&gt;0,tbl_Case_mins[[#This Row],[AnaesthStart]]=tbl_Case_mins[[#This Row],[ThOpenAm]])),1,0)</f>
        <v>#REF!</v>
      </c>
      <c r="BE306" s="16" t="e">
        <f>IF(AND(tbl_Case_mins[[#This Row],[Rank_AnaSt]]=tbl_Case_mins[[#This Row],[Min_RankAnaSt]],tbl_Case_mins[[#This Row],[Anaesth End]]&gt;=tbl_Case_mins[[#This Row],[ThOpenAm]],tbl_Case_mins[[#This Row],[PmCase]]=0),1,0)</f>
        <v>#REF!</v>
      </c>
      <c r="BF30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6" s="9" t="e" cm="1">
        <f t="array" ref="BH30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6" s="9" t="e">
        <f>IF(AND(tbl_Case_mins[[#This Row],[ThOpenPM]]&gt;0,tbl_Case_mins[[#This Row],[AnaesthStart]]&gt;tbl_Case_mins[[#This Row],[ThOpenPM]],tbl_Case_mins[[#This Row],[First PM Case]]=1),tbl_Case_mins[[#This Row],[AnaesthStart]]-tbl_Case_mins[[#This Row],[ThOpenPM]],0)</f>
        <v>#REF!</v>
      </c>
      <c r="BL30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6" s="9" t="e" cm="1">
        <f t="array" ref="BN30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6" s="9" t="e">
        <f>IF(AND(tbl_Case_mins[[#This Row],[ThClosePm]]&gt;0,tbl_Case_mins[[#This Row],[Anaesth End]]&gt;tbl_Case_mins[[#This Row],[ThClosePm]],tbl_Case_mins[[#This Row],[AnaesthStart]]&gt;tbl_Case_mins[[#This Row],[ThClosePm]]),tbl_Case_mins[[#This Row],[Into Recov]]-tbl_Case_mins[[#This Row],[AnaesthStart]],0)</f>
        <v>#REF!</v>
      </c>
      <c r="BP306" s="9" t="e">
        <f>IF(AND(tbl_Case_mins[[#This Row],[AnaesthStart]]&lt;tbl_Case_mins[[#This Row],[ThClosePm]],tbl_Case_mins[[#This Row],[Anaesth End]]&gt;tbl_Case_mins[[#This Row],[ThClosePm]]),tbl_Case_mins[[#This Row],[Anaesth End]]-tbl_Case_mins[[#This Row],[ThClosePm]],0)</f>
        <v>#REF!</v>
      </c>
      <c r="BQ306" s="9" t="e" cm="1">
        <f t="array" ref="BQ30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6" s="9" t="e" cm="1">
        <f t="array" ref="BR306">IF(tbl_Case_mins[[#This Row],[Rank_Adjust]]=SUMPRODUCT(-(tbl_Case_mins[Surgery Start Date]=tbl_Case_mins[[#This Row],[Surgery Start Date]]),-(tbl_Case_mins[Theatre]=tbl_Case_mins[[#This Row],[Theatre]])),INDEX(Poss_Time,MATCH(TEXT(tbl_Case_mins[[#This Row],[Surgery Start Date]],"ddd"),Day,0)),0)</f>
        <v>#REF!</v>
      </c>
      <c r="BS306" s="9" t="e">
        <f>tbl_Case_mins[[#This Row],[Core_Time]]*Util_Goal</f>
        <v>#REF!</v>
      </c>
      <c r="BT306" s="9" t="e" cm="1">
        <f t="array" ref="BT3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6" s="9" t="e" cm="1">
        <f t="array" ref="BU3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6" s="9" t="e">
        <f>IF(tbl_Case_mins[[#This Row],[Surgery End Date]]&gt;tbl_Case_mins[[#This Row],[Surgery Start Date]],tbl_Case_mins[[#This Row],[Anaesth End]]-1440,0)</f>
        <v>#REF!</v>
      </c>
      <c r="BY306" s="9" t="e">
        <f>tbl_Case_mins[[#This Row],[Total_NonCore]]-tbl_Case_mins[[#This Row],[NextDay_NonCore]]</f>
        <v>#REF!</v>
      </c>
      <c r="BZ306" s="10" t="e">
        <f>tbl_Case_mins[[#This Row],[InCoreUse]]/60</f>
        <v>#REF!</v>
      </c>
      <c r="CA306" s="10" t="e">
        <f>tbl_Case_mins[[#This Row],[Total_NonCore]]/60</f>
        <v>#REF!</v>
      </c>
      <c r="CB306" t="e" cm="1">
        <f t="array" ref="CB3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6" s="9" t="e" cm="1">
        <f t="array" ref="CC30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6" s="9" t="e" cm="1">
        <f t="array" ref="CD3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6" s="9" t="e" cm="1">
        <f t="array" ref="CE30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6" s="9" cm="1">
        <f t="array" ref="CF306">IFERROR(_xlfn.AGGREGATE(14,6,(tbl_Case_mins[Rank_AnaEnd])/((tbl_Case_mins[Surgery Start Date]=tbl_Case_mins[[#This Row],[Surgery Start Date]])*(tbl_Case_mins[Theatre]=tbl_Case_mins[[#This Row],[Theatre]])*(tbl_Case_mins[NoInCoreTime]=0)),1),-1)</f>
        <v>-1</v>
      </c>
      <c r="CG306" s="9" cm="1">
        <f t="array" ref="CG306">IFERROR(_xlfn.AGGREGATE(15,6,(tbl_Case_mins[Rank_AnaSt])/((tbl_Case_mins[Surgery Start Date]=tbl_Case_mins[[#This Row],[Surgery Start Date]])*(tbl_Case_mins[Theatre]=tbl_Case_mins[[#This Row],[Theatre]])*(tbl_Case_mins[NoInCoreTime]=0)),1),-1)</f>
        <v>-1</v>
      </c>
      <c r="CH30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6" t="e" cm="1">
        <f t="array" ref="CJ30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6" s="9" cm="1">
        <f t="array" ref="CO3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6" s="9" cm="1">
        <f t="array" ref="CP3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6" s="9" cm="1">
        <f t="array" ref="CQ306">IFERROR(IF(AND(tbl_Case_mins[[#This Row],[FirstAMCase]]=0,tbl_Case_mins[[#This Row],[Rank]]=_xlfn.AGGREGATE(14,6,(tbl_Case_mins[Rank])/((tbl_Case_mins[Surgery Start Date]=tbl_Case_mins[[#This Row],[Surgery Start Date]])*(tbl_Case_mins[Theatre]=tbl_Case_mins[[#This Row],[Theatre]])*(tbl_Case_mins[AmCase]=1)),1)),1,0),0)</f>
        <v>0</v>
      </c>
      <c r="CR306" s="9" cm="1">
        <f t="array" ref="CR30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6" s="9" t="e" cm="1">
        <f t="array" ref="CS30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6" s="9" cm="1">
        <f t="array" ref="CT306">IFERROR(IF(tbl_Case_mins[[#This Row],[Rank]]=_xlfn.AGGREGATE(15,6,(tbl_Case_mins[Rank])/((tbl_Case_mins[Surgery Start Date]=tbl_Case_mins[[#This Row],[Surgery Start Date]])*(tbl_Case_mins[Theatre]=tbl_Case_mins[[#This Row],[Theatre]])*(tbl_Case_mins[PmCase]=1)),1),1,0),0)</f>
        <v>0</v>
      </c>
      <c r="CU306">
        <f>IFERROR(#REF!,0)</f>
        <v>0</v>
      </c>
      <c r="CV306" s="9" t="e" cm="1">
        <f t="array" ref="CV30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6" s="9">
        <f>IFERROR(IF(ISBLANK(INDEX(Bay_AmClose,MATCH(1,INDEX((tbl_Case_mins[[#This Row],[Bay]]=BayNo)*(tbl_Case_mins[[#This Row],[Surgery Start Date]]=BDate),0,1),0))*1440),0,INDEX(Bay_AmClose,MATCH(1,INDEX((tbl_Case_mins[[#This Row],[Bay]]=BayNo)*(tbl_Case_mins[[#This Row],[Surgery Start Date]]=BDate),0,1),0))*1440),0)</f>
        <v>0</v>
      </c>
      <c r="CX306" s="9" cm="1">
        <f t="array" ref="CX306">IFERROR(IF(ISBLANK(INDEX(Bay_PmOpen,MATCH(1,INDEX((tbl_Case_mins[[#This Row],[Bay]]=BayNo)*(tbl_Case_mins[[#This Row],[Surgery Start Date]]=BDate),0,1),0))*1440),0,INDEX(Bay_PmOpen,MATCH(1,INDEX((tbl_Case_mins[[#This Row],[Bay]]=BayNo)*(tbl_Case_mins[[#This Row],[Surgery Start Date]]=BDate),0,1),0))*1440),0)</f>
        <v>0</v>
      </c>
      <c r="CY30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6" s="9"/>
    </row>
    <row r="307" spans="1:104" x14ac:dyDescent="0.2">
      <c r="A307">
        <v>306</v>
      </c>
      <c r="B307" t="e">
        <f>#REF!</f>
        <v>#REF!</v>
      </c>
      <c r="C307" t="e">
        <f>#REF!</f>
        <v>#REF!</v>
      </c>
      <c r="D307" t="e">
        <f>#REF!</f>
        <v>#REF!</v>
      </c>
      <c r="E307" t="e">
        <f>#REF!</f>
        <v>#REF!</v>
      </c>
      <c r="F307" t="e">
        <f>#REF!</f>
        <v>#REF!</v>
      </c>
      <c r="G307" t="e">
        <f>#REF!</f>
        <v>#REF!</v>
      </c>
      <c r="H307" t="e">
        <f>#REF!</f>
        <v>#REF!</v>
      </c>
      <c r="I307" t="e">
        <f>IF(#REF!="Case Cancelled",1,IF(#REF!="No Cases",2,0))</f>
        <v>#REF!</v>
      </c>
      <c r="J307" t="e">
        <f>#REF!</f>
        <v>#REF!</v>
      </c>
      <c r="K307" s="4" t="e">
        <f>#REF!</f>
        <v>#REF!</v>
      </c>
      <c r="L307" t="e">
        <f>"Wk "&amp;WEEKNUM(tbl_Case_mins[[#This Row],[Surgery Start Date]],21)</f>
        <v>#REF!</v>
      </c>
      <c r="M307" t="e">
        <f>TEXT(tbl_Case_mins[[#This Row],[Surgery Start Date]],"ddd")</f>
        <v>#REF!</v>
      </c>
      <c r="N307" s="9" t="e">
        <f>(#REF!-TIME(0,0,0))*1440</f>
        <v>#REF!</v>
      </c>
      <c r="O307" t="e">
        <f>IF(AND(ROUND((#REF!-TIME(0,0,0))*1440,0)&gt;0,ROUND((#REF!-TIME(0,0,0))*1440,0)&lt;tbl_Case_mins[[#This Row],[Patient Called]],tbl_Case_mins[[#This Row],[Surgery End Date]]&gt;tbl_Case_mins[[#This Row],[Surgery Start Date]]),ROUND((#REF!-TIME(0,0,0))*1440,0)+1440,ROUND((#REF!-TIME(0,0,0))*1440,0))</f>
        <v>#REF!</v>
      </c>
      <c r="P307" s="9" t="e">
        <f>IF(AND(ROUND((#REF!-TIME(0,0,0))*1440,0)&gt;0,ROUND((#REF!-TIME(0,0,0))*1440,0)&lt;tbl_Case_mins[[#This Row],[Arrival]],tbl_Case_mins[[#This Row],[Surgery End Date]]&gt;tbl_Case_mins[[#This Row],[Surgery Start Date]]),ROUND((#REF!-TIME(0,0,0))*1440,0)+1440,ROUND((#REF!-TIME(0,0,0))*1440,0))</f>
        <v>#REF!</v>
      </c>
      <c r="Q307" s="9" t="e">
        <f>IF(AND(ROUND((#REF!-TIME(0,0,0))*1440,0)&gt;0,ROUND((#REF!-TIME(0,0,0))*1440,0)&lt;tbl_Case_mins[[#This Row],[Into Th or AR]],tbl_Case_mins[[#This Row],[Surgery End Date]]&gt;tbl_Case_mins[[#This Row],[Surgery Start Date]]),ROUND((#REF!-TIME(0,0,0))*1440,0)+1440,ROUND((#REF!-TIME(0,0,0))*1440,0))</f>
        <v>#REF!</v>
      </c>
      <c r="R307" s="9" t="e">
        <f>IF(AND(ROUND((#REF!-TIME(0,0,0))*1440,0)&gt;0,ROUND((#REF!-TIME(0,0,0))*1440,0)&lt;tbl_Case_mins[[#This Row],[AnaesthStart]],tbl_Case_mins[[#This Row],[Surgery End Date]]&gt;tbl_Case_mins[[#This Row],[Surgery Start Date]]),ROUND((#REF!-TIME(0,0,0))*1440,0)+1440,ROUND((#REF!-TIME(0,0,0))*1440,0))</f>
        <v>#REF!</v>
      </c>
      <c r="S307" s="9" t="e">
        <f>IF(AND(ROUND((#REF!-TIME(0,0,0))*1440,0),ROUND((#REF!-TIME(0,0,0))*1440,0)&lt;tbl_Case_mins[[#This Row],[Surgery Start]],tbl_Case_mins[[#This Row],[Surgery End Date]]&gt;tbl_Case_mins[[#This Row],[Surgery Start Date]]),ROUND((#REF!-TIME(0,0,0))*1440,0)+1440,ROUND((#REF!-TIME(0,0,0))*1440,0))</f>
        <v>#REF!</v>
      </c>
      <c r="T307" s="9" t="e">
        <f>IF(AND(ROUND((#REF!-TIME(0,0,0))*1440,0)&gt;0,ROUND((#REF!-TIME(0,0,0))*1440,0)&lt;tbl_Case_mins[[#This Row],[Surgery Finish]],tbl_Case_mins[[#This Row],[Surgery End Date]]&gt;tbl_Case_mins[[#This Row],[Surgery Start Date]]),ROUND((#REF!-TIME(0,0,0))*1440,0)+1440,ROUND((#REF!-TIME(0,0,0))*1440,0))</f>
        <v>#REF!</v>
      </c>
      <c r="U307" s="9" t="e">
        <f>IF(AND(ROUND((#REF!-TIME(0,0,0))*1440,0)&gt;0,ROUND((#REF!-TIME(0,0,0))*1440,0)&lt;tbl_Case_mins[[#This Row],[Anaesth End]],tbl_Case_mins[[#This Row],[Surgery End Date]]&gt;tbl_Case_mins[[#This Row],[Surgery Start Date]]),ROUND((#REF!-TIME(0,0,0))*1440,0)+1440,ROUND((#REF!-TIME(0,0,0))*1440,0))</f>
        <v>#REF!</v>
      </c>
      <c r="V307" s="9" t="e">
        <f>IF(AND(ROUND((#REF!-TIME(0,0,0))*1440,0)&gt;0,ROUND((#REF!-TIME(0,0,0))*1440,0)&lt;tbl_Case_mins[[#This Row],[Into Recov]],tbl_Case_mins[[#This Row],[Surgery End Date]]&gt;tbl_Case_mins[[#This Row],[Surgery Start Date]]),ROUND((#REF!-TIME(0,0,0))*1440,0)+1440,ROUND((#REF!-TIME(0,0,0))*1440,0))</f>
        <v>#REF!</v>
      </c>
      <c r="W307" s="9" t="e">
        <f>IF(AND(ROUND((#REF!-TIME(0,0,0))*1440,0)&gt;0,ROUND((#REF!-TIME(0,0,0))*1440,0)&lt;tbl_Case_mins[[#This Row],[Ward Called]],tbl_Case_mins[[#This Row],[Surgery End Date]]&gt;tbl_Case_mins[[#This Row],[Surgery Start Date]]),ROUND((#REF!-TIME(0,0,0))*1440,0)+1440,ROUND((#REF!-TIME(0,0,0))*1440,0))</f>
        <v>#REF!</v>
      </c>
      <c r="X307" s="4" t="e">
        <f>IF(ISBLANK(#REF!),tbl_Case_mins[[#This Row],[Surgery Start Date]],#REF!)</f>
        <v>#REF!</v>
      </c>
      <c r="Y307">
        <f>IFERROR(IF(VLOOKUP(tbl_Case_mins[[#This Row],[Theatre]],'Mng Theatres'!$C$7:$G$12,3,FALSE)="Yes","Yes","No"),0)</f>
        <v>0</v>
      </c>
      <c r="Z307" s="9" t="e" cm="1">
        <f t="array" ref="Z30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7" s="9" t="e" cm="1">
        <f t="array" ref="AA30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7" s="9" t="e">
        <f>IF(tbl_Case_mins[[#This Row],[Case Type]]="Unsch",1,0)</f>
        <v>#REF!</v>
      </c>
      <c r="AD307" s="9" t="e">
        <f>IF(tbl_Case_mins[[#This Row],[Case Type]]="Sch",1,0)</f>
        <v>#REF!</v>
      </c>
      <c r="AE30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7" s="9">
        <f>IFERROR(IF(ISBLANK(INDEX(Am_Close,MATCH(1,INDEX((tbl_Case_mins[[#This Row],[Theatre]]=Theatre_No)*(tbl_Case_mins[[#This Row],[Surgery Start Date]]=Date),0,1),0))*1440),0,INDEX(Am_Close,MATCH(1,INDEX((tbl_Case_mins[[#This Row],[Theatre]]=Theatre_No)*(tbl_Case_mins[[#This Row],[Surgery Start Date]]=Date),0,1),0))*1440),0)</f>
        <v>0</v>
      </c>
      <c r="AG307" s="9">
        <f>IFERROR(IF(ISBLANK(INDEX(PM_Open,MATCH(1,INDEX((tbl_Case_mins[[#This Row],[Theatre]]=Theatre_No)*(tbl_Case_mins[[#This Row],[Surgery Start Date]]=Date),0,1),0))*1440),0,INDEX(PM_Open,MATCH(1,INDEX((tbl_Case_mins[[#This Row],[Theatre]]=Theatre_No)*(tbl_Case_mins[[#This Row],[Surgery Start Date]]=Date),0,1),0))*1440),0)</f>
        <v>0</v>
      </c>
      <c r="AH30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7" s="9" t="e">
        <f>IF(tbl_Case_mins[[#This Row],[ThOpenAm]]=0,tbl_Case_mins[[#This Row],[ThOpenPM]],tbl_Case_mins[[#This Row],[ThOpenAm]])</f>
        <v>#REF!</v>
      </c>
      <c r="AJ307" s="9" t="e">
        <f>IF(tbl_Case_mins[[#This Row],[ThCloseAm]]&gt;0,IF(tbl_Case_mins[[#This Row],[ThOpenPM]]&gt;0,tbl_Case_mins[[#This Row],[ThClosePm]],tbl_Case_mins[[#This Row],[ThCloseAm]]),tbl_Case_mins[[#This Row],[ThClosePm]])</f>
        <v>#REF!</v>
      </c>
      <c r="AK307" s="9" t="e">
        <f>IF(tbl_Case_mins[[#This Row],[TOT]]&gt;0,1,0)</f>
        <v>#REF!</v>
      </c>
      <c r="AL30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7" s="9" t="e">
        <f>IF(AND(tbl_Case_mins[[#This Row],[Surgery Status]]&lt;&gt;2,tbl_Case_mins[[#This Row],[InCoreCase]]=0,tbl_Case_mins[[#This Row],[CancelledCase]]=0),1,0)</f>
        <v>#REF!</v>
      </c>
      <c r="AN307" s="9" t="e">
        <f>IF(tbl_Case_mins[[#This Row],[Surgery Status]]=1,1,0)</f>
        <v>#REF!</v>
      </c>
      <c r="AO30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7" s="9" t="e">
        <f>IF(AND(tbl_Case_mins[[#This Row],[NonCoreCase]]=1,tbl_Case_mins[[#This Row],[NoInCoreTime]]=0),1,0)</f>
        <v>#REF!</v>
      </c>
      <c r="AQ307" s="9" t="e">
        <f>IF(tbl_Case_mins[[#This Row],[Rank_AnaEnd]]&lt;tbl_Case_mins[[#This Row],[Rank_AnaSt]],1,0)</f>
        <v>#REF!</v>
      </c>
      <c r="AR307" s="9" t="e">
        <f>IF(AND(tbl_Case_mins[[#This Row],[InCoreCase]]=1,tbl_Case_mins[[#This Row],[Sch]]=1),1,0)</f>
        <v>#REF!</v>
      </c>
      <c r="AS307" s="9" t="e">
        <f>IF(AND(tbl_Case_mins[[#This Row],[InCoreCase]]=1,tbl_Case_mins[[#This Row],[Unsch]]=1),1,0)</f>
        <v>#REF!</v>
      </c>
      <c r="AT30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7" s="9" t="e">
        <f>IF(tbl_Case_mins[[#This Row],[Surgery Status]]=0,(tbl_Case_mins[[#This Row],[Anaesth End]]-tbl_Case_mins[[#This Row],[AnaesthStart]]),0)</f>
        <v>#REF!</v>
      </c>
      <c r="AX307" s="9" t="e">
        <f>IF(tbl_Case_mins[[#This Row],[Surgery Status]]=0,(tbl_Case_mins[[#This Row],[Surgery Finish]]-tbl_Case_mins[[#This Row],[Surgery Start]]),0)</f>
        <v>#REF!</v>
      </c>
      <c r="AY307" s="9" t="e">
        <f>tbl_Case_mins[[#This Row],[Surgery Start]]-tbl_Case_mins[[#This Row],[AnaesthStart]]</f>
        <v>#REF!</v>
      </c>
      <c r="AZ307" s="9" t="e">
        <f>tbl_Case_mins[[#This Row],[Anaesth End]]-tbl_Case_mins[[#This Row],[Surgery Finish]]</f>
        <v>#REF!</v>
      </c>
      <c r="BA30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7" s="16" cm="1">
        <f t="array" ref="BC30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7" s="16" t="e">
        <f>IF(AND(tbl_Case_mins[[#This Row],[FirstAMCase]]=1,tbl_Case_mins[[#This Row],[CancelledCase]]=0,OR(tbl_Case_mins[[#This Row],[EarlyStartAM]]&gt;0,tbl_Case_mins[[#This Row],[AnaesthStart]]=tbl_Case_mins[[#This Row],[ThOpenAm]])),1,0)</f>
        <v>#REF!</v>
      </c>
      <c r="BE307" s="16" t="e">
        <f>IF(AND(tbl_Case_mins[[#This Row],[Rank_AnaSt]]=tbl_Case_mins[[#This Row],[Min_RankAnaSt]],tbl_Case_mins[[#This Row],[Anaesth End]]&gt;=tbl_Case_mins[[#This Row],[ThOpenAm]],tbl_Case_mins[[#This Row],[PmCase]]=0),1,0)</f>
        <v>#REF!</v>
      </c>
      <c r="BF30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7" s="9" t="e" cm="1">
        <f t="array" ref="BH30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7" s="9" t="e">
        <f>IF(AND(tbl_Case_mins[[#This Row],[ThOpenPM]]&gt;0,tbl_Case_mins[[#This Row],[AnaesthStart]]&gt;tbl_Case_mins[[#This Row],[ThOpenPM]],tbl_Case_mins[[#This Row],[First PM Case]]=1),tbl_Case_mins[[#This Row],[AnaesthStart]]-tbl_Case_mins[[#This Row],[ThOpenPM]],0)</f>
        <v>#REF!</v>
      </c>
      <c r="BL30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7" s="9" t="e" cm="1">
        <f t="array" ref="BN30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7" s="9" t="e">
        <f>IF(AND(tbl_Case_mins[[#This Row],[ThClosePm]]&gt;0,tbl_Case_mins[[#This Row],[Anaesth End]]&gt;tbl_Case_mins[[#This Row],[ThClosePm]],tbl_Case_mins[[#This Row],[AnaesthStart]]&gt;tbl_Case_mins[[#This Row],[ThClosePm]]),tbl_Case_mins[[#This Row],[Into Recov]]-tbl_Case_mins[[#This Row],[AnaesthStart]],0)</f>
        <v>#REF!</v>
      </c>
      <c r="BP307" s="9" t="e">
        <f>IF(AND(tbl_Case_mins[[#This Row],[AnaesthStart]]&lt;tbl_Case_mins[[#This Row],[ThClosePm]],tbl_Case_mins[[#This Row],[Anaesth End]]&gt;tbl_Case_mins[[#This Row],[ThClosePm]]),tbl_Case_mins[[#This Row],[Anaesth End]]-tbl_Case_mins[[#This Row],[ThClosePm]],0)</f>
        <v>#REF!</v>
      </c>
      <c r="BQ307" s="9" t="e" cm="1">
        <f t="array" ref="BQ30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7" s="9" t="e" cm="1">
        <f t="array" ref="BR307">IF(tbl_Case_mins[[#This Row],[Rank_Adjust]]=SUMPRODUCT(-(tbl_Case_mins[Surgery Start Date]=tbl_Case_mins[[#This Row],[Surgery Start Date]]),-(tbl_Case_mins[Theatre]=tbl_Case_mins[[#This Row],[Theatre]])),INDEX(Poss_Time,MATCH(TEXT(tbl_Case_mins[[#This Row],[Surgery Start Date]],"ddd"),Day,0)),0)</f>
        <v>#REF!</v>
      </c>
      <c r="BS307" s="9" t="e">
        <f>tbl_Case_mins[[#This Row],[Core_Time]]*Util_Goal</f>
        <v>#REF!</v>
      </c>
      <c r="BT307" s="9" t="e" cm="1">
        <f t="array" ref="BT3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7" s="9" t="e" cm="1">
        <f t="array" ref="BU3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7" s="9" t="e">
        <f>IF(tbl_Case_mins[[#This Row],[Surgery End Date]]&gt;tbl_Case_mins[[#This Row],[Surgery Start Date]],tbl_Case_mins[[#This Row],[Anaesth End]]-1440,0)</f>
        <v>#REF!</v>
      </c>
      <c r="BY307" s="9" t="e">
        <f>tbl_Case_mins[[#This Row],[Total_NonCore]]-tbl_Case_mins[[#This Row],[NextDay_NonCore]]</f>
        <v>#REF!</v>
      </c>
      <c r="BZ307" s="10" t="e">
        <f>tbl_Case_mins[[#This Row],[InCoreUse]]/60</f>
        <v>#REF!</v>
      </c>
      <c r="CA307" s="10" t="e">
        <f>tbl_Case_mins[[#This Row],[Total_NonCore]]/60</f>
        <v>#REF!</v>
      </c>
      <c r="CB307" t="e" cm="1">
        <f t="array" ref="CB3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7" s="9" t="e" cm="1">
        <f t="array" ref="CC30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7" s="9" t="e" cm="1">
        <f t="array" ref="CD3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7" s="9" t="e" cm="1">
        <f t="array" ref="CE30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7" s="9" cm="1">
        <f t="array" ref="CF307">IFERROR(_xlfn.AGGREGATE(14,6,(tbl_Case_mins[Rank_AnaEnd])/((tbl_Case_mins[Surgery Start Date]=tbl_Case_mins[[#This Row],[Surgery Start Date]])*(tbl_Case_mins[Theatre]=tbl_Case_mins[[#This Row],[Theatre]])*(tbl_Case_mins[NoInCoreTime]=0)),1),-1)</f>
        <v>-1</v>
      </c>
      <c r="CG307" s="9" cm="1">
        <f t="array" ref="CG307">IFERROR(_xlfn.AGGREGATE(15,6,(tbl_Case_mins[Rank_AnaSt])/((tbl_Case_mins[Surgery Start Date]=tbl_Case_mins[[#This Row],[Surgery Start Date]])*(tbl_Case_mins[Theatre]=tbl_Case_mins[[#This Row],[Theatre]])*(tbl_Case_mins[NoInCoreTime]=0)),1),-1)</f>
        <v>-1</v>
      </c>
      <c r="CH30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7" t="e" cm="1">
        <f t="array" ref="CJ30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7" s="9" cm="1">
        <f t="array" ref="CO3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7" s="9" cm="1">
        <f t="array" ref="CP3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7" s="9" cm="1">
        <f t="array" ref="CQ307">IFERROR(IF(AND(tbl_Case_mins[[#This Row],[FirstAMCase]]=0,tbl_Case_mins[[#This Row],[Rank]]=_xlfn.AGGREGATE(14,6,(tbl_Case_mins[Rank])/((tbl_Case_mins[Surgery Start Date]=tbl_Case_mins[[#This Row],[Surgery Start Date]])*(tbl_Case_mins[Theatre]=tbl_Case_mins[[#This Row],[Theatre]])*(tbl_Case_mins[AmCase]=1)),1)),1,0),0)</f>
        <v>0</v>
      </c>
      <c r="CR307" s="9" cm="1">
        <f t="array" ref="CR30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7" s="9" t="e" cm="1">
        <f t="array" ref="CS30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7" s="9" cm="1">
        <f t="array" ref="CT307">IFERROR(IF(tbl_Case_mins[[#This Row],[Rank]]=_xlfn.AGGREGATE(15,6,(tbl_Case_mins[Rank])/((tbl_Case_mins[Surgery Start Date]=tbl_Case_mins[[#This Row],[Surgery Start Date]])*(tbl_Case_mins[Theatre]=tbl_Case_mins[[#This Row],[Theatre]])*(tbl_Case_mins[PmCase]=1)),1),1,0),0)</f>
        <v>0</v>
      </c>
      <c r="CU307">
        <f>IFERROR(#REF!,0)</f>
        <v>0</v>
      </c>
      <c r="CV307" s="9" t="e" cm="1">
        <f t="array" ref="CV30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7" s="9">
        <f>IFERROR(IF(ISBLANK(INDEX(Bay_AmClose,MATCH(1,INDEX((tbl_Case_mins[[#This Row],[Bay]]=BayNo)*(tbl_Case_mins[[#This Row],[Surgery Start Date]]=BDate),0,1),0))*1440),0,INDEX(Bay_AmClose,MATCH(1,INDEX((tbl_Case_mins[[#This Row],[Bay]]=BayNo)*(tbl_Case_mins[[#This Row],[Surgery Start Date]]=BDate),0,1),0))*1440),0)</f>
        <v>0</v>
      </c>
      <c r="CX307" s="9" cm="1">
        <f t="array" ref="CX307">IFERROR(IF(ISBLANK(INDEX(Bay_PmOpen,MATCH(1,INDEX((tbl_Case_mins[[#This Row],[Bay]]=BayNo)*(tbl_Case_mins[[#This Row],[Surgery Start Date]]=BDate),0,1),0))*1440),0,INDEX(Bay_PmOpen,MATCH(1,INDEX((tbl_Case_mins[[#This Row],[Bay]]=BayNo)*(tbl_Case_mins[[#This Row],[Surgery Start Date]]=BDate),0,1),0))*1440),0)</f>
        <v>0</v>
      </c>
      <c r="CY30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7" s="9"/>
    </row>
    <row r="308" spans="1:104" x14ac:dyDescent="0.2">
      <c r="A308">
        <v>307</v>
      </c>
      <c r="B308" t="e">
        <f>#REF!</f>
        <v>#REF!</v>
      </c>
      <c r="C308" t="e">
        <f>#REF!</f>
        <v>#REF!</v>
      </c>
      <c r="D308" t="e">
        <f>#REF!</f>
        <v>#REF!</v>
      </c>
      <c r="E308" t="e">
        <f>#REF!</f>
        <v>#REF!</v>
      </c>
      <c r="F308" t="e">
        <f>#REF!</f>
        <v>#REF!</v>
      </c>
      <c r="G308" t="e">
        <f>#REF!</f>
        <v>#REF!</v>
      </c>
      <c r="H308" t="e">
        <f>#REF!</f>
        <v>#REF!</v>
      </c>
      <c r="I308" t="e">
        <f>IF(#REF!="Case Cancelled",1,IF(#REF!="No Cases",2,0))</f>
        <v>#REF!</v>
      </c>
      <c r="J308" t="e">
        <f>#REF!</f>
        <v>#REF!</v>
      </c>
      <c r="K308" s="4" t="e">
        <f>#REF!</f>
        <v>#REF!</v>
      </c>
      <c r="L308" t="e">
        <f>"Wk "&amp;WEEKNUM(tbl_Case_mins[[#This Row],[Surgery Start Date]],21)</f>
        <v>#REF!</v>
      </c>
      <c r="M308" t="e">
        <f>TEXT(tbl_Case_mins[[#This Row],[Surgery Start Date]],"ddd")</f>
        <v>#REF!</v>
      </c>
      <c r="N308" s="9" t="e">
        <f>(#REF!-TIME(0,0,0))*1440</f>
        <v>#REF!</v>
      </c>
      <c r="O308" t="e">
        <f>IF(AND(ROUND((#REF!-TIME(0,0,0))*1440,0)&gt;0,ROUND((#REF!-TIME(0,0,0))*1440,0)&lt;tbl_Case_mins[[#This Row],[Patient Called]],tbl_Case_mins[[#This Row],[Surgery End Date]]&gt;tbl_Case_mins[[#This Row],[Surgery Start Date]]),ROUND((#REF!-TIME(0,0,0))*1440,0)+1440,ROUND((#REF!-TIME(0,0,0))*1440,0))</f>
        <v>#REF!</v>
      </c>
      <c r="P308" s="9" t="e">
        <f>IF(AND(ROUND((#REF!-TIME(0,0,0))*1440,0)&gt;0,ROUND((#REF!-TIME(0,0,0))*1440,0)&lt;tbl_Case_mins[[#This Row],[Arrival]],tbl_Case_mins[[#This Row],[Surgery End Date]]&gt;tbl_Case_mins[[#This Row],[Surgery Start Date]]),ROUND((#REF!-TIME(0,0,0))*1440,0)+1440,ROUND((#REF!-TIME(0,0,0))*1440,0))</f>
        <v>#REF!</v>
      </c>
      <c r="Q308" s="9" t="e">
        <f>IF(AND(ROUND((#REF!-TIME(0,0,0))*1440,0)&gt;0,ROUND((#REF!-TIME(0,0,0))*1440,0)&lt;tbl_Case_mins[[#This Row],[Into Th or AR]],tbl_Case_mins[[#This Row],[Surgery End Date]]&gt;tbl_Case_mins[[#This Row],[Surgery Start Date]]),ROUND((#REF!-TIME(0,0,0))*1440,0)+1440,ROUND((#REF!-TIME(0,0,0))*1440,0))</f>
        <v>#REF!</v>
      </c>
      <c r="R308" s="9" t="e">
        <f>IF(AND(ROUND((#REF!-TIME(0,0,0))*1440,0)&gt;0,ROUND((#REF!-TIME(0,0,0))*1440,0)&lt;tbl_Case_mins[[#This Row],[AnaesthStart]],tbl_Case_mins[[#This Row],[Surgery End Date]]&gt;tbl_Case_mins[[#This Row],[Surgery Start Date]]),ROUND((#REF!-TIME(0,0,0))*1440,0)+1440,ROUND((#REF!-TIME(0,0,0))*1440,0))</f>
        <v>#REF!</v>
      </c>
      <c r="S308" s="9" t="e">
        <f>IF(AND(ROUND((#REF!-TIME(0,0,0))*1440,0),ROUND((#REF!-TIME(0,0,0))*1440,0)&lt;tbl_Case_mins[[#This Row],[Surgery Start]],tbl_Case_mins[[#This Row],[Surgery End Date]]&gt;tbl_Case_mins[[#This Row],[Surgery Start Date]]),ROUND((#REF!-TIME(0,0,0))*1440,0)+1440,ROUND((#REF!-TIME(0,0,0))*1440,0))</f>
        <v>#REF!</v>
      </c>
      <c r="T308" s="9" t="e">
        <f>IF(AND(ROUND((#REF!-TIME(0,0,0))*1440,0)&gt;0,ROUND((#REF!-TIME(0,0,0))*1440,0)&lt;tbl_Case_mins[[#This Row],[Surgery Finish]],tbl_Case_mins[[#This Row],[Surgery End Date]]&gt;tbl_Case_mins[[#This Row],[Surgery Start Date]]),ROUND((#REF!-TIME(0,0,0))*1440,0)+1440,ROUND((#REF!-TIME(0,0,0))*1440,0))</f>
        <v>#REF!</v>
      </c>
      <c r="U308" s="9" t="e">
        <f>IF(AND(ROUND((#REF!-TIME(0,0,0))*1440,0)&gt;0,ROUND((#REF!-TIME(0,0,0))*1440,0)&lt;tbl_Case_mins[[#This Row],[Anaesth End]],tbl_Case_mins[[#This Row],[Surgery End Date]]&gt;tbl_Case_mins[[#This Row],[Surgery Start Date]]),ROUND((#REF!-TIME(0,0,0))*1440,0)+1440,ROUND((#REF!-TIME(0,0,0))*1440,0))</f>
        <v>#REF!</v>
      </c>
      <c r="V308" s="9" t="e">
        <f>IF(AND(ROUND((#REF!-TIME(0,0,0))*1440,0)&gt;0,ROUND((#REF!-TIME(0,0,0))*1440,0)&lt;tbl_Case_mins[[#This Row],[Into Recov]],tbl_Case_mins[[#This Row],[Surgery End Date]]&gt;tbl_Case_mins[[#This Row],[Surgery Start Date]]),ROUND((#REF!-TIME(0,0,0))*1440,0)+1440,ROUND((#REF!-TIME(0,0,0))*1440,0))</f>
        <v>#REF!</v>
      </c>
      <c r="W308" s="9" t="e">
        <f>IF(AND(ROUND((#REF!-TIME(0,0,0))*1440,0)&gt;0,ROUND((#REF!-TIME(0,0,0))*1440,0)&lt;tbl_Case_mins[[#This Row],[Ward Called]],tbl_Case_mins[[#This Row],[Surgery End Date]]&gt;tbl_Case_mins[[#This Row],[Surgery Start Date]]),ROUND((#REF!-TIME(0,0,0))*1440,0)+1440,ROUND((#REF!-TIME(0,0,0))*1440,0))</f>
        <v>#REF!</v>
      </c>
      <c r="X308" s="4" t="e">
        <f>IF(ISBLANK(#REF!),tbl_Case_mins[[#This Row],[Surgery Start Date]],#REF!)</f>
        <v>#REF!</v>
      </c>
      <c r="Y308">
        <f>IFERROR(IF(VLOOKUP(tbl_Case_mins[[#This Row],[Theatre]],'Mng Theatres'!$C$7:$G$12,3,FALSE)="Yes","Yes","No"),0)</f>
        <v>0</v>
      </c>
      <c r="Z308" s="9" t="e" cm="1">
        <f t="array" ref="Z30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8" s="9" t="e" cm="1">
        <f t="array" ref="AA30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8" s="9" t="e">
        <f>IF(tbl_Case_mins[[#This Row],[Case Type]]="Unsch",1,0)</f>
        <v>#REF!</v>
      </c>
      <c r="AD308" s="9" t="e">
        <f>IF(tbl_Case_mins[[#This Row],[Case Type]]="Sch",1,0)</f>
        <v>#REF!</v>
      </c>
      <c r="AE30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8" s="9">
        <f>IFERROR(IF(ISBLANK(INDEX(Am_Close,MATCH(1,INDEX((tbl_Case_mins[[#This Row],[Theatre]]=Theatre_No)*(tbl_Case_mins[[#This Row],[Surgery Start Date]]=Date),0,1),0))*1440),0,INDEX(Am_Close,MATCH(1,INDEX((tbl_Case_mins[[#This Row],[Theatre]]=Theatre_No)*(tbl_Case_mins[[#This Row],[Surgery Start Date]]=Date),0,1),0))*1440),0)</f>
        <v>0</v>
      </c>
      <c r="AG308" s="9">
        <f>IFERROR(IF(ISBLANK(INDEX(PM_Open,MATCH(1,INDEX((tbl_Case_mins[[#This Row],[Theatre]]=Theatre_No)*(tbl_Case_mins[[#This Row],[Surgery Start Date]]=Date),0,1),0))*1440),0,INDEX(PM_Open,MATCH(1,INDEX((tbl_Case_mins[[#This Row],[Theatre]]=Theatre_No)*(tbl_Case_mins[[#This Row],[Surgery Start Date]]=Date),0,1),0))*1440),0)</f>
        <v>0</v>
      </c>
      <c r="AH30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8" s="9" t="e">
        <f>IF(tbl_Case_mins[[#This Row],[ThOpenAm]]=0,tbl_Case_mins[[#This Row],[ThOpenPM]],tbl_Case_mins[[#This Row],[ThOpenAm]])</f>
        <v>#REF!</v>
      </c>
      <c r="AJ308" s="9" t="e">
        <f>IF(tbl_Case_mins[[#This Row],[ThCloseAm]]&gt;0,IF(tbl_Case_mins[[#This Row],[ThOpenPM]]&gt;0,tbl_Case_mins[[#This Row],[ThClosePm]],tbl_Case_mins[[#This Row],[ThCloseAm]]),tbl_Case_mins[[#This Row],[ThClosePm]])</f>
        <v>#REF!</v>
      </c>
      <c r="AK308" s="9" t="e">
        <f>IF(tbl_Case_mins[[#This Row],[TOT]]&gt;0,1,0)</f>
        <v>#REF!</v>
      </c>
      <c r="AL30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8" s="9" t="e">
        <f>IF(AND(tbl_Case_mins[[#This Row],[Surgery Status]]&lt;&gt;2,tbl_Case_mins[[#This Row],[InCoreCase]]=0,tbl_Case_mins[[#This Row],[CancelledCase]]=0),1,0)</f>
        <v>#REF!</v>
      </c>
      <c r="AN308" s="9" t="e">
        <f>IF(tbl_Case_mins[[#This Row],[Surgery Status]]=1,1,0)</f>
        <v>#REF!</v>
      </c>
      <c r="AO30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8" s="9" t="e">
        <f>IF(AND(tbl_Case_mins[[#This Row],[NonCoreCase]]=1,tbl_Case_mins[[#This Row],[NoInCoreTime]]=0),1,0)</f>
        <v>#REF!</v>
      </c>
      <c r="AQ308" s="9" t="e">
        <f>IF(tbl_Case_mins[[#This Row],[Rank_AnaEnd]]&lt;tbl_Case_mins[[#This Row],[Rank_AnaSt]],1,0)</f>
        <v>#REF!</v>
      </c>
      <c r="AR308" s="9" t="e">
        <f>IF(AND(tbl_Case_mins[[#This Row],[InCoreCase]]=1,tbl_Case_mins[[#This Row],[Sch]]=1),1,0)</f>
        <v>#REF!</v>
      </c>
      <c r="AS308" s="9" t="e">
        <f>IF(AND(tbl_Case_mins[[#This Row],[InCoreCase]]=1,tbl_Case_mins[[#This Row],[Unsch]]=1),1,0)</f>
        <v>#REF!</v>
      </c>
      <c r="AT30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8" s="9" t="e">
        <f>IF(tbl_Case_mins[[#This Row],[Surgery Status]]=0,(tbl_Case_mins[[#This Row],[Anaesth End]]-tbl_Case_mins[[#This Row],[AnaesthStart]]),0)</f>
        <v>#REF!</v>
      </c>
      <c r="AX308" s="9" t="e">
        <f>IF(tbl_Case_mins[[#This Row],[Surgery Status]]=0,(tbl_Case_mins[[#This Row],[Surgery Finish]]-tbl_Case_mins[[#This Row],[Surgery Start]]),0)</f>
        <v>#REF!</v>
      </c>
      <c r="AY308" s="9" t="e">
        <f>tbl_Case_mins[[#This Row],[Surgery Start]]-tbl_Case_mins[[#This Row],[AnaesthStart]]</f>
        <v>#REF!</v>
      </c>
      <c r="AZ308" s="9" t="e">
        <f>tbl_Case_mins[[#This Row],[Anaesth End]]-tbl_Case_mins[[#This Row],[Surgery Finish]]</f>
        <v>#REF!</v>
      </c>
      <c r="BA30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8" s="16" cm="1">
        <f t="array" ref="BC30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8" s="16" t="e">
        <f>IF(AND(tbl_Case_mins[[#This Row],[FirstAMCase]]=1,tbl_Case_mins[[#This Row],[CancelledCase]]=0,OR(tbl_Case_mins[[#This Row],[EarlyStartAM]]&gt;0,tbl_Case_mins[[#This Row],[AnaesthStart]]=tbl_Case_mins[[#This Row],[ThOpenAm]])),1,0)</f>
        <v>#REF!</v>
      </c>
      <c r="BE308" s="16" t="e">
        <f>IF(AND(tbl_Case_mins[[#This Row],[Rank_AnaSt]]=tbl_Case_mins[[#This Row],[Min_RankAnaSt]],tbl_Case_mins[[#This Row],[Anaesth End]]&gt;=tbl_Case_mins[[#This Row],[ThOpenAm]],tbl_Case_mins[[#This Row],[PmCase]]=0),1,0)</f>
        <v>#REF!</v>
      </c>
      <c r="BF30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8" s="9" t="e" cm="1">
        <f t="array" ref="BH30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8" s="9" t="e">
        <f>IF(AND(tbl_Case_mins[[#This Row],[ThOpenPM]]&gt;0,tbl_Case_mins[[#This Row],[AnaesthStart]]&gt;tbl_Case_mins[[#This Row],[ThOpenPM]],tbl_Case_mins[[#This Row],[First PM Case]]=1),tbl_Case_mins[[#This Row],[AnaesthStart]]-tbl_Case_mins[[#This Row],[ThOpenPM]],0)</f>
        <v>#REF!</v>
      </c>
      <c r="BL30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8" s="9" t="e" cm="1">
        <f t="array" ref="BN30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8" s="9" t="e">
        <f>IF(AND(tbl_Case_mins[[#This Row],[ThClosePm]]&gt;0,tbl_Case_mins[[#This Row],[Anaesth End]]&gt;tbl_Case_mins[[#This Row],[ThClosePm]],tbl_Case_mins[[#This Row],[AnaesthStart]]&gt;tbl_Case_mins[[#This Row],[ThClosePm]]),tbl_Case_mins[[#This Row],[Into Recov]]-tbl_Case_mins[[#This Row],[AnaesthStart]],0)</f>
        <v>#REF!</v>
      </c>
      <c r="BP308" s="9" t="e">
        <f>IF(AND(tbl_Case_mins[[#This Row],[AnaesthStart]]&lt;tbl_Case_mins[[#This Row],[ThClosePm]],tbl_Case_mins[[#This Row],[Anaesth End]]&gt;tbl_Case_mins[[#This Row],[ThClosePm]]),tbl_Case_mins[[#This Row],[Anaesth End]]-tbl_Case_mins[[#This Row],[ThClosePm]],0)</f>
        <v>#REF!</v>
      </c>
      <c r="BQ308" s="9" t="e" cm="1">
        <f t="array" ref="BQ30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8" s="9" t="e" cm="1">
        <f t="array" ref="BR308">IF(tbl_Case_mins[[#This Row],[Rank_Adjust]]=SUMPRODUCT(-(tbl_Case_mins[Surgery Start Date]=tbl_Case_mins[[#This Row],[Surgery Start Date]]),-(tbl_Case_mins[Theatre]=tbl_Case_mins[[#This Row],[Theatre]])),INDEX(Poss_Time,MATCH(TEXT(tbl_Case_mins[[#This Row],[Surgery Start Date]],"ddd"),Day,0)),0)</f>
        <v>#REF!</v>
      </c>
      <c r="BS308" s="9" t="e">
        <f>tbl_Case_mins[[#This Row],[Core_Time]]*Util_Goal</f>
        <v>#REF!</v>
      </c>
      <c r="BT308" s="9" t="e" cm="1">
        <f t="array" ref="BT3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8" s="9" t="e" cm="1">
        <f t="array" ref="BU3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8" s="9" t="e">
        <f>IF(tbl_Case_mins[[#This Row],[Surgery End Date]]&gt;tbl_Case_mins[[#This Row],[Surgery Start Date]],tbl_Case_mins[[#This Row],[Anaesth End]]-1440,0)</f>
        <v>#REF!</v>
      </c>
      <c r="BY308" s="9" t="e">
        <f>tbl_Case_mins[[#This Row],[Total_NonCore]]-tbl_Case_mins[[#This Row],[NextDay_NonCore]]</f>
        <v>#REF!</v>
      </c>
      <c r="BZ308" s="10" t="e">
        <f>tbl_Case_mins[[#This Row],[InCoreUse]]/60</f>
        <v>#REF!</v>
      </c>
      <c r="CA308" s="10" t="e">
        <f>tbl_Case_mins[[#This Row],[Total_NonCore]]/60</f>
        <v>#REF!</v>
      </c>
      <c r="CB308" t="e" cm="1">
        <f t="array" ref="CB3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8" s="9" t="e" cm="1">
        <f t="array" ref="CC30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8" s="9" t="e" cm="1">
        <f t="array" ref="CD3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8" s="9" t="e" cm="1">
        <f t="array" ref="CE30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8" s="9" cm="1">
        <f t="array" ref="CF308">IFERROR(_xlfn.AGGREGATE(14,6,(tbl_Case_mins[Rank_AnaEnd])/((tbl_Case_mins[Surgery Start Date]=tbl_Case_mins[[#This Row],[Surgery Start Date]])*(tbl_Case_mins[Theatre]=tbl_Case_mins[[#This Row],[Theatre]])*(tbl_Case_mins[NoInCoreTime]=0)),1),-1)</f>
        <v>-1</v>
      </c>
      <c r="CG308" s="9" cm="1">
        <f t="array" ref="CG308">IFERROR(_xlfn.AGGREGATE(15,6,(tbl_Case_mins[Rank_AnaSt])/((tbl_Case_mins[Surgery Start Date]=tbl_Case_mins[[#This Row],[Surgery Start Date]])*(tbl_Case_mins[Theatre]=tbl_Case_mins[[#This Row],[Theatre]])*(tbl_Case_mins[NoInCoreTime]=0)),1),-1)</f>
        <v>-1</v>
      </c>
      <c r="CH30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8" t="e" cm="1">
        <f t="array" ref="CJ30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8" s="9" cm="1">
        <f t="array" ref="CO3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8" s="9" cm="1">
        <f t="array" ref="CP3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8" s="9" cm="1">
        <f t="array" ref="CQ308">IFERROR(IF(AND(tbl_Case_mins[[#This Row],[FirstAMCase]]=0,tbl_Case_mins[[#This Row],[Rank]]=_xlfn.AGGREGATE(14,6,(tbl_Case_mins[Rank])/((tbl_Case_mins[Surgery Start Date]=tbl_Case_mins[[#This Row],[Surgery Start Date]])*(tbl_Case_mins[Theatre]=tbl_Case_mins[[#This Row],[Theatre]])*(tbl_Case_mins[AmCase]=1)),1)),1,0),0)</f>
        <v>0</v>
      </c>
      <c r="CR308" s="9" cm="1">
        <f t="array" ref="CR30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8" s="9" t="e" cm="1">
        <f t="array" ref="CS30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8" s="9" cm="1">
        <f t="array" ref="CT308">IFERROR(IF(tbl_Case_mins[[#This Row],[Rank]]=_xlfn.AGGREGATE(15,6,(tbl_Case_mins[Rank])/((tbl_Case_mins[Surgery Start Date]=tbl_Case_mins[[#This Row],[Surgery Start Date]])*(tbl_Case_mins[Theatre]=tbl_Case_mins[[#This Row],[Theatre]])*(tbl_Case_mins[PmCase]=1)),1),1,0),0)</f>
        <v>0</v>
      </c>
      <c r="CU308">
        <f>IFERROR(#REF!,0)</f>
        <v>0</v>
      </c>
      <c r="CV308" s="9" t="e" cm="1">
        <f t="array" ref="CV30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8" s="9">
        <f>IFERROR(IF(ISBLANK(INDEX(Bay_AmClose,MATCH(1,INDEX((tbl_Case_mins[[#This Row],[Bay]]=BayNo)*(tbl_Case_mins[[#This Row],[Surgery Start Date]]=BDate),0,1),0))*1440),0,INDEX(Bay_AmClose,MATCH(1,INDEX((tbl_Case_mins[[#This Row],[Bay]]=BayNo)*(tbl_Case_mins[[#This Row],[Surgery Start Date]]=BDate),0,1),0))*1440),0)</f>
        <v>0</v>
      </c>
      <c r="CX308" s="9" cm="1">
        <f t="array" ref="CX308">IFERROR(IF(ISBLANK(INDEX(Bay_PmOpen,MATCH(1,INDEX((tbl_Case_mins[[#This Row],[Bay]]=BayNo)*(tbl_Case_mins[[#This Row],[Surgery Start Date]]=BDate),0,1),0))*1440),0,INDEX(Bay_PmOpen,MATCH(1,INDEX((tbl_Case_mins[[#This Row],[Bay]]=BayNo)*(tbl_Case_mins[[#This Row],[Surgery Start Date]]=BDate),0,1),0))*1440),0)</f>
        <v>0</v>
      </c>
      <c r="CY30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8" s="9"/>
    </row>
    <row r="309" spans="1:104" x14ac:dyDescent="0.2">
      <c r="A309">
        <v>308</v>
      </c>
      <c r="B309" t="e">
        <f>#REF!</f>
        <v>#REF!</v>
      </c>
      <c r="C309" t="e">
        <f>#REF!</f>
        <v>#REF!</v>
      </c>
      <c r="D309" t="e">
        <f>#REF!</f>
        <v>#REF!</v>
      </c>
      <c r="E309" t="e">
        <f>#REF!</f>
        <v>#REF!</v>
      </c>
      <c r="F309" t="e">
        <f>#REF!</f>
        <v>#REF!</v>
      </c>
      <c r="G309" t="e">
        <f>#REF!</f>
        <v>#REF!</v>
      </c>
      <c r="H309" t="e">
        <f>#REF!</f>
        <v>#REF!</v>
      </c>
      <c r="I309" t="e">
        <f>IF(#REF!="Case Cancelled",1,IF(#REF!="No Cases",2,0))</f>
        <v>#REF!</v>
      </c>
      <c r="J309" t="e">
        <f>#REF!</f>
        <v>#REF!</v>
      </c>
      <c r="K309" s="4" t="e">
        <f>#REF!</f>
        <v>#REF!</v>
      </c>
      <c r="L309" t="e">
        <f>"Wk "&amp;WEEKNUM(tbl_Case_mins[[#This Row],[Surgery Start Date]],21)</f>
        <v>#REF!</v>
      </c>
      <c r="M309" t="e">
        <f>TEXT(tbl_Case_mins[[#This Row],[Surgery Start Date]],"ddd")</f>
        <v>#REF!</v>
      </c>
      <c r="N309" s="9" t="e">
        <f>(#REF!-TIME(0,0,0))*1440</f>
        <v>#REF!</v>
      </c>
      <c r="O309" t="e">
        <f>IF(AND(ROUND((#REF!-TIME(0,0,0))*1440,0)&gt;0,ROUND((#REF!-TIME(0,0,0))*1440,0)&lt;tbl_Case_mins[[#This Row],[Patient Called]],tbl_Case_mins[[#This Row],[Surgery End Date]]&gt;tbl_Case_mins[[#This Row],[Surgery Start Date]]),ROUND((#REF!-TIME(0,0,0))*1440,0)+1440,ROUND((#REF!-TIME(0,0,0))*1440,0))</f>
        <v>#REF!</v>
      </c>
      <c r="P309" s="9" t="e">
        <f>IF(AND(ROUND((#REF!-TIME(0,0,0))*1440,0)&gt;0,ROUND((#REF!-TIME(0,0,0))*1440,0)&lt;tbl_Case_mins[[#This Row],[Arrival]],tbl_Case_mins[[#This Row],[Surgery End Date]]&gt;tbl_Case_mins[[#This Row],[Surgery Start Date]]),ROUND((#REF!-TIME(0,0,0))*1440,0)+1440,ROUND((#REF!-TIME(0,0,0))*1440,0))</f>
        <v>#REF!</v>
      </c>
      <c r="Q309" s="9" t="e">
        <f>IF(AND(ROUND((#REF!-TIME(0,0,0))*1440,0)&gt;0,ROUND((#REF!-TIME(0,0,0))*1440,0)&lt;tbl_Case_mins[[#This Row],[Into Th or AR]],tbl_Case_mins[[#This Row],[Surgery End Date]]&gt;tbl_Case_mins[[#This Row],[Surgery Start Date]]),ROUND((#REF!-TIME(0,0,0))*1440,0)+1440,ROUND((#REF!-TIME(0,0,0))*1440,0))</f>
        <v>#REF!</v>
      </c>
      <c r="R309" s="9" t="e">
        <f>IF(AND(ROUND((#REF!-TIME(0,0,0))*1440,0)&gt;0,ROUND((#REF!-TIME(0,0,0))*1440,0)&lt;tbl_Case_mins[[#This Row],[AnaesthStart]],tbl_Case_mins[[#This Row],[Surgery End Date]]&gt;tbl_Case_mins[[#This Row],[Surgery Start Date]]),ROUND((#REF!-TIME(0,0,0))*1440,0)+1440,ROUND((#REF!-TIME(0,0,0))*1440,0))</f>
        <v>#REF!</v>
      </c>
      <c r="S309" s="9" t="e">
        <f>IF(AND(ROUND((#REF!-TIME(0,0,0))*1440,0),ROUND((#REF!-TIME(0,0,0))*1440,0)&lt;tbl_Case_mins[[#This Row],[Surgery Start]],tbl_Case_mins[[#This Row],[Surgery End Date]]&gt;tbl_Case_mins[[#This Row],[Surgery Start Date]]),ROUND((#REF!-TIME(0,0,0))*1440,0)+1440,ROUND((#REF!-TIME(0,0,0))*1440,0))</f>
        <v>#REF!</v>
      </c>
      <c r="T309" s="9" t="e">
        <f>IF(AND(ROUND((#REF!-TIME(0,0,0))*1440,0)&gt;0,ROUND((#REF!-TIME(0,0,0))*1440,0)&lt;tbl_Case_mins[[#This Row],[Surgery Finish]],tbl_Case_mins[[#This Row],[Surgery End Date]]&gt;tbl_Case_mins[[#This Row],[Surgery Start Date]]),ROUND((#REF!-TIME(0,0,0))*1440,0)+1440,ROUND((#REF!-TIME(0,0,0))*1440,0))</f>
        <v>#REF!</v>
      </c>
      <c r="U309" s="9" t="e">
        <f>IF(AND(ROUND((#REF!-TIME(0,0,0))*1440,0)&gt;0,ROUND((#REF!-TIME(0,0,0))*1440,0)&lt;tbl_Case_mins[[#This Row],[Anaesth End]],tbl_Case_mins[[#This Row],[Surgery End Date]]&gt;tbl_Case_mins[[#This Row],[Surgery Start Date]]),ROUND((#REF!-TIME(0,0,0))*1440,0)+1440,ROUND((#REF!-TIME(0,0,0))*1440,0))</f>
        <v>#REF!</v>
      </c>
      <c r="V309" s="9" t="e">
        <f>IF(AND(ROUND((#REF!-TIME(0,0,0))*1440,0)&gt;0,ROUND((#REF!-TIME(0,0,0))*1440,0)&lt;tbl_Case_mins[[#This Row],[Into Recov]],tbl_Case_mins[[#This Row],[Surgery End Date]]&gt;tbl_Case_mins[[#This Row],[Surgery Start Date]]),ROUND((#REF!-TIME(0,0,0))*1440,0)+1440,ROUND((#REF!-TIME(0,0,0))*1440,0))</f>
        <v>#REF!</v>
      </c>
      <c r="W309" s="9" t="e">
        <f>IF(AND(ROUND((#REF!-TIME(0,0,0))*1440,0)&gt;0,ROUND((#REF!-TIME(0,0,0))*1440,0)&lt;tbl_Case_mins[[#This Row],[Ward Called]],tbl_Case_mins[[#This Row],[Surgery End Date]]&gt;tbl_Case_mins[[#This Row],[Surgery Start Date]]),ROUND((#REF!-TIME(0,0,0))*1440,0)+1440,ROUND((#REF!-TIME(0,0,0))*1440,0))</f>
        <v>#REF!</v>
      </c>
      <c r="X309" s="4" t="e">
        <f>IF(ISBLANK(#REF!),tbl_Case_mins[[#This Row],[Surgery Start Date]],#REF!)</f>
        <v>#REF!</v>
      </c>
      <c r="Y309">
        <f>IFERROR(IF(VLOOKUP(tbl_Case_mins[[#This Row],[Theatre]],'Mng Theatres'!$C$7:$G$12,3,FALSE)="Yes","Yes","No"),0)</f>
        <v>0</v>
      </c>
      <c r="Z309" s="9" t="e" cm="1">
        <f t="array" ref="Z30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09" s="9" t="e" cm="1">
        <f t="array" ref="AA30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0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09" s="9" t="e">
        <f>IF(tbl_Case_mins[[#This Row],[Case Type]]="Unsch",1,0)</f>
        <v>#REF!</v>
      </c>
      <c r="AD309" s="9" t="e">
        <f>IF(tbl_Case_mins[[#This Row],[Case Type]]="Sch",1,0)</f>
        <v>#REF!</v>
      </c>
      <c r="AE30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09" s="9">
        <f>IFERROR(IF(ISBLANK(INDEX(Am_Close,MATCH(1,INDEX((tbl_Case_mins[[#This Row],[Theatre]]=Theatre_No)*(tbl_Case_mins[[#This Row],[Surgery Start Date]]=Date),0,1),0))*1440),0,INDEX(Am_Close,MATCH(1,INDEX((tbl_Case_mins[[#This Row],[Theatre]]=Theatre_No)*(tbl_Case_mins[[#This Row],[Surgery Start Date]]=Date),0,1),0))*1440),0)</f>
        <v>0</v>
      </c>
      <c r="AG309" s="9">
        <f>IFERROR(IF(ISBLANK(INDEX(PM_Open,MATCH(1,INDEX((tbl_Case_mins[[#This Row],[Theatre]]=Theatre_No)*(tbl_Case_mins[[#This Row],[Surgery Start Date]]=Date),0,1),0))*1440),0,INDEX(PM_Open,MATCH(1,INDEX((tbl_Case_mins[[#This Row],[Theatre]]=Theatre_No)*(tbl_Case_mins[[#This Row],[Surgery Start Date]]=Date),0,1),0))*1440),0)</f>
        <v>0</v>
      </c>
      <c r="AH30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09" s="9" t="e">
        <f>IF(tbl_Case_mins[[#This Row],[ThOpenAm]]=0,tbl_Case_mins[[#This Row],[ThOpenPM]],tbl_Case_mins[[#This Row],[ThOpenAm]])</f>
        <v>#REF!</v>
      </c>
      <c r="AJ309" s="9" t="e">
        <f>IF(tbl_Case_mins[[#This Row],[ThCloseAm]]&gt;0,IF(tbl_Case_mins[[#This Row],[ThOpenPM]]&gt;0,tbl_Case_mins[[#This Row],[ThClosePm]],tbl_Case_mins[[#This Row],[ThCloseAm]]),tbl_Case_mins[[#This Row],[ThClosePm]])</f>
        <v>#REF!</v>
      </c>
      <c r="AK309" s="9" t="e">
        <f>IF(tbl_Case_mins[[#This Row],[TOT]]&gt;0,1,0)</f>
        <v>#REF!</v>
      </c>
      <c r="AL30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09" s="9" t="e">
        <f>IF(AND(tbl_Case_mins[[#This Row],[Surgery Status]]&lt;&gt;2,tbl_Case_mins[[#This Row],[InCoreCase]]=0,tbl_Case_mins[[#This Row],[CancelledCase]]=0),1,0)</f>
        <v>#REF!</v>
      </c>
      <c r="AN309" s="9" t="e">
        <f>IF(tbl_Case_mins[[#This Row],[Surgery Status]]=1,1,0)</f>
        <v>#REF!</v>
      </c>
      <c r="AO30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09" s="9" t="e">
        <f>IF(AND(tbl_Case_mins[[#This Row],[NonCoreCase]]=1,tbl_Case_mins[[#This Row],[NoInCoreTime]]=0),1,0)</f>
        <v>#REF!</v>
      </c>
      <c r="AQ309" s="9" t="e">
        <f>IF(tbl_Case_mins[[#This Row],[Rank_AnaEnd]]&lt;tbl_Case_mins[[#This Row],[Rank_AnaSt]],1,0)</f>
        <v>#REF!</v>
      </c>
      <c r="AR309" s="9" t="e">
        <f>IF(AND(tbl_Case_mins[[#This Row],[InCoreCase]]=1,tbl_Case_mins[[#This Row],[Sch]]=1),1,0)</f>
        <v>#REF!</v>
      </c>
      <c r="AS309" s="9" t="e">
        <f>IF(AND(tbl_Case_mins[[#This Row],[InCoreCase]]=1,tbl_Case_mins[[#This Row],[Unsch]]=1),1,0)</f>
        <v>#REF!</v>
      </c>
      <c r="AT30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0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0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09" s="9" t="e">
        <f>IF(tbl_Case_mins[[#This Row],[Surgery Status]]=0,(tbl_Case_mins[[#This Row],[Anaesth End]]-tbl_Case_mins[[#This Row],[AnaesthStart]]),0)</f>
        <v>#REF!</v>
      </c>
      <c r="AX309" s="9" t="e">
        <f>IF(tbl_Case_mins[[#This Row],[Surgery Status]]=0,(tbl_Case_mins[[#This Row],[Surgery Finish]]-tbl_Case_mins[[#This Row],[Surgery Start]]),0)</f>
        <v>#REF!</v>
      </c>
      <c r="AY309" s="9" t="e">
        <f>tbl_Case_mins[[#This Row],[Surgery Start]]-tbl_Case_mins[[#This Row],[AnaesthStart]]</f>
        <v>#REF!</v>
      </c>
      <c r="AZ309" s="9" t="e">
        <f>tbl_Case_mins[[#This Row],[Anaesth End]]-tbl_Case_mins[[#This Row],[Surgery Finish]]</f>
        <v>#REF!</v>
      </c>
      <c r="BA30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0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09" s="16" cm="1">
        <f t="array" ref="BC30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09" s="16" t="e">
        <f>IF(AND(tbl_Case_mins[[#This Row],[FirstAMCase]]=1,tbl_Case_mins[[#This Row],[CancelledCase]]=0,OR(tbl_Case_mins[[#This Row],[EarlyStartAM]]&gt;0,tbl_Case_mins[[#This Row],[AnaesthStart]]=tbl_Case_mins[[#This Row],[ThOpenAm]])),1,0)</f>
        <v>#REF!</v>
      </c>
      <c r="BE309" s="16" t="e">
        <f>IF(AND(tbl_Case_mins[[#This Row],[Rank_AnaSt]]=tbl_Case_mins[[#This Row],[Min_RankAnaSt]],tbl_Case_mins[[#This Row],[Anaesth End]]&gt;=tbl_Case_mins[[#This Row],[ThOpenAm]],tbl_Case_mins[[#This Row],[PmCase]]=0),1,0)</f>
        <v>#REF!</v>
      </c>
      <c r="BF30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0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09" s="9" t="e" cm="1">
        <f t="array" ref="BH30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0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0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09" s="9" t="e">
        <f>IF(AND(tbl_Case_mins[[#This Row],[ThOpenPM]]&gt;0,tbl_Case_mins[[#This Row],[AnaesthStart]]&gt;tbl_Case_mins[[#This Row],[ThOpenPM]],tbl_Case_mins[[#This Row],[First PM Case]]=1),tbl_Case_mins[[#This Row],[AnaesthStart]]-tbl_Case_mins[[#This Row],[ThOpenPM]],0)</f>
        <v>#REF!</v>
      </c>
      <c r="BL30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0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09" s="9" t="e" cm="1">
        <f t="array" ref="BN30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09" s="9" t="e">
        <f>IF(AND(tbl_Case_mins[[#This Row],[ThClosePm]]&gt;0,tbl_Case_mins[[#This Row],[Anaesth End]]&gt;tbl_Case_mins[[#This Row],[ThClosePm]],tbl_Case_mins[[#This Row],[AnaesthStart]]&gt;tbl_Case_mins[[#This Row],[ThClosePm]]),tbl_Case_mins[[#This Row],[Into Recov]]-tbl_Case_mins[[#This Row],[AnaesthStart]],0)</f>
        <v>#REF!</v>
      </c>
      <c r="BP309" s="9" t="e">
        <f>IF(AND(tbl_Case_mins[[#This Row],[AnaesthStart]]&lt;tbl_Case_mins[[#This Row],[ThClosePm]],tbl_Case_mins[[#This Row],[Anaesth End]]&gt;tbl_Case_mins[[#This Row],[ThClosePm]]),tbl_Case_mins[[#This Row],[Anaesth End]]-tbl_Case_mins[[#This Row],[ThClosePm]],0)</f>
        <v>#REF!</v>
      </c>
      <c r="BQ309" s="9" t="e" cm="1">
        <f t="array" ref="BQ30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09" s="9" t="e" cm="1">
        <f t="array" ref="BR309">IF(tbl_Case_mins[[#This Row],[Rank_Adjust]]=SUMPRODUCT(-(tbl_Case_mins[Surgery Start Date]=tbl_Case_mins[[#This Row],[Surgery Start Date]]),-(tbl_Case_mins[Theatre]=tbl_Case_mins[[#This Row],[Theatre]])),INDEX(Poss_Time,MATCH(TEXT(tbl_Case_mins[[#This Row],[Surgery Start Date]],"ddd"),Day,0)),0)</f>
        <v>#REF!</v>
      </c>
      <c r="BS309" s="9" t="e">
        <f>tbl_Case_mins[[#This Row],[Core_Time]]*Util_Goal</f>
        <v>#REF!</v>
      </c>
      <c r="BT309" s="9" t="e" cm="1">
        <f t="array" ref="BT3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09" s="9" t="e" cm="1">
        <f t="array" ref="BU3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0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0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09" s="9" t="e">
        <f>IF(tbl_Case_mins[[#This Row],[Surgery End Date]]&gt;tbl_Case_mins[[#This Row],[Surgery Start Date]],tbl_Case_mins[[#This Row],[Anaesth End]]-1440,0)</f>
        <v>#REF!</v>
      </c>
      <c r="BY309" s="9" t="e">
        <f>tbl_Case_mins[[#This Row],[Total_NonCore]]-tbl_Case_mins[[#This Row],[NextDay_NonCore]]</f>
        <v>#REF!</v>
      </c>
      <c r="BZ309" s="10" t="e">
        <f>tbl_Case_mins[[#This Row],[InCoreUse]]/60</f>
        <v>#REF!</v>
      </c>
      <c r="CA309" s="10" t="e">
        <f>tbl_Case_mins[[#This Row],[Total_NonCore]]/60</f>
        <v>#REF!</v>
      </c>
      <c r="CB309" t="e" cm="1">
        <f t="array" ref="CB3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09" s="9" t="e" cm="1">
        <f t="array" ref="CC30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09" s="9" t="e" cm="1">
        <f t="array" ref="CD3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09" s="9" t="e" cm="1">
        <f t="array" ref="CE30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09" s="9" cm="1">
        <f t="array" ref="CF309">IFERROR(_xlfn.AGGREGATE(14,6,(tbl_Case_mins[Rank_AnaEnd])/((tbl_Case_mins[Surgery Start Date]=tbl_Case_mins[[#This Row],[Surgery Start Date]])*(tbl_Case_mins[Theatre]=tbl_Case_mins[[#This Row],[Theatre]])*(tbl_Case_mins[NoInCoreTime]=0)),1),-1)</f>
        <v>-1</v>
      </c>
      <c r="CG309" s="9" cm="1">
        <f t="array" ref="CG309">IFERROR(_xlfn.AGGREGATE(15,6,(tbl_Case_mins[Rank_AnaSt])/((tbl_Case_mins[Surgery Start Date]=tbl_Case_mins[[#This Row],[Surgery Start Date]])*(tbl_Case_mins[Theatre]=tbl_Case_mins[[#This Row],[Theatre]])*(tbl_Case_mins[NoInCoreTime]=0)),1),-1)</f>
        <v>-1</v>
      </c>
      <c r="CH30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0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09" t="e" cm="1">
        <f t="array" ref="CJ30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0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0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09" s="9" cm="1">
        <f t="array" ref="CO3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09" s="9" cm="1">
        <f t="array" ref="CP3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09" s="9" cm="1">
        <f t="array" ref="CQ309">IFERROR(IF(AND(tbl_Case_mins[[#This Row],[FirstAMCase]]=0,tbl_Case_mins[[#This Row],[Rank]]=_xlfn.AGGREGATE(14,6,(tbl_Case_mins[Rank])/((tbl_Case_mins[Surgery Start Date]=tbl_Case_mins[[#This Row],[Surgery Start Date]])*(tbl_Case_mins[Theatre]=tbl_Case_mins[[#This Row],[Theatre]])*(tbl_Case_mins[AmCase]=1)),1)),1,0),0)</f>
        <v>0</v>
      </c>
      <c r="CR309" s="9" cm="1">
        <f t="array" ref="CR30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09" s="9" t="e" cm="1">
        <f t="array" ref="CS30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09" s="9" cm="1">
        <f t="array" ref="CT309">IFERROR(IF(tbl_Case_mins[[#This Row],[Rank]]=_xlfn.AGGREGATE(15,6,(tbl_Case_mins[Rank])/((tbl_Case_mins[Surgery Start Date]=tbl_Case_mins[[#This Row],[Surgery Start Date]])*(tbl_Case_mins[Theatre]=tbl_Case_mins[[#This Row],[Theatre]])*(tbl_Case_mins[PmCase]=1)),1),1,0),0)</f>
        <v>0</v>
      </c>
      <c r="CU309">
        <f>IFERROR(#REF!,0)</f>
        <v>0</v>
      </c>
      <c r="CV309" s="9" t="e" cm="1">
        <f t="array" ref="CV30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09" s="9">
        <f>IFERROR(IF(ISBLANK(INDEX(Bay_AmClose,MATCH(1,INDEX((tbl_Case_mins[[#This Row],[Bay]]=BayNo)*(tbl_Case_mins[[#This Row],[Surgery Start Date]]=BDate),0,1),0))*1440),0,INDEX(Bay_AmClose,MATCH(1,INDEX((tbl_Case_mins[[#This Row],[Bay]]=BayNo)*(tbl_Case_mins[[#This Row],[Surgery Start Date]]=BDate),0,1),0))*1440),0)</f>
        <v>0</v>
      </c>
      <c r="CX309" s="9" cm="1">
        <f t="array" ref="CX309">IFERROR(IF(ISBLANK(INDEX(Bay_PmOpen,MATCH(1,INDEX((tbl_Case_mins[[#This Row],[Bay]]=BayNo)*(tbl_Case_mins[[#This Row],[Surgery Start Date]]=BDate),0,1),0))*1440),0,INDEX(Bay_PmOpen,MATCH(1,INDEX((tbl_Case_mins[[#This Row],[Bay]]=BayNo)*(tbl_Case_mins[[#This Row],[Surgery Start Date]]=BDate),0,1),0))*1440),0)</f>
        <v>0</v>
      </c>
      <c r="CY30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09" s="9"/>
    </row>
    <row r="310" spans="1:104" x14ac:dyDescent="0.2">
      <c r="A310">
        <v>309</v>
      </c>
      <c r="B310" t="e">
        <f>#REF!</f>
        <v>#REF!</v>
      </c>
      <c r="C310" t="e">
        <f>#REF!</f>
        <v>#REF!</v>
      </c>
      <c r="D310" t="e">
        <f>#REF!</f>
        <v>#REF!</v>
      </c>
      <c r="E310" t="e">
        <f>#REF!</f>
        <v>#REF!</v>
      </c>
      <c r="F310" t="e">
        <f>#REF!</f>
        <v>#REF!</v>
      </c>
      <c r="G310" t="e">
        <f>#REF!</f>
        <v>#REF!</v>
      </c>
      <c r="H310" t="e">
        <f>#REF!</f>
        <v>#REF!</v>
      </c>
      <c r="I310" t="e">
        <f>IF(#REF!="Case Cancelled",1,IF(#REF!="No Cases",2,0))</f>
        <v>#REF!</v>
      </c>
      <c r="J310" t="e">
        <f>#REF!</f>
        <v>#REF!</v>
      </c>
      <c r="K310" s="4" t="e">
        <f>#REF!</f>
        <v>#REF!</v>
      </c>
      <c r="L310" t="e">
        <f>"Wk "&amp;WEEKNUM(tbl_Case_mins[[#This Row],[Surgery Start Date]],21)</f>
        <v>#REF!</v>
      </c>
      <c r="M310" t="e">
        <f>TEXT(tbl_Case_mins[[#This Row],[Surgery Start Date]],"ddd")</f>
        <v>#REF!</v>
      </c>
      <c r="N310" s="9" t="e">
        <f>(#REF!-TIME(0,0,0))*1440</f>
        <v>#REF!</v>
      </c>
      <c r="O310" t="e">
        <f>IF(AND(ROUND((#REF!-TIME(0,0,0))*1440,0)&gt;0,ROUND((#REF!-TIME(0,0,0))*1440,0)&lt;tbl_Case_mins[[#This Row],[Patient Called]],tbl_Case_mins[[#This Row],[Surgery End Date]]&gt;tbl_Case_mins[[#This Row],[Surgery Start Date]]),ROUND((#REF!-TIME(0,0,0))*1440,0)+1440,ROUND((#REF!-TIME(0,0,0))*1440,0))</f>
        <v>#REF!</v>
      </c>
      <c r="P310" s="9" t="e">
        <f>IF(AND(ROUND((#REF!-TIME(0,0,0))*1440,0)&gt;0,ROUND((#REF!-TIME(0,0,0))*1440,0)&lt;tbl_Case_mins[[#This Row],[Arrival]],tbl_Case_mins[[#This Row],[Surgery End Date]]&gt;tbl_Case_mins[[#This Row],[Surgery Start Date]]),ROUND((#REF!-TIME(0,0,0))*1440,0)+1440,ROUND((#REF!-TIME(0,0,0))*1440,0))</f>
        <v>#REF!</v>
      </c>
      <c r="Q310" s="9" t="e">
        <f>IF(AND(ROUND((#REF!-TIME(0,0,0))*1440,0)&gt;0,ROUND((#REF!-TIME(0,0,0))*1440,0)&lt;tbl_Case_mins[[#This Row],[Into Th or AR]],tbl_Case_mins[[#This Row],[Surgery End Date]]&gt;tbl_Case_mins[[#This Row],[Surgery Start Date]]),ROUND((#REF!-TIME(0,0,0))*1440,0)+1440,ROUND((#REF!-TIME(0,0,0))*1440,0))</f>
        <v>#REF!</v>
      </c>
      <c r="R310" s="9" t="e">
        <f>IF(AND(ROUND((#REF!-TIME(0,0,0))*1440,0)&gt;0,ROUND((#REF!-TIME(0,0,0))*1440,0)&lt;tbl_Case_mins[[#This Row],[AnaesthStart]],tbl_Case_mins[[#This Row],[Surgery End Date]]&gt;tbl_Case_mins[[#This Row],[Surgery Start Date]]),ROUND((#REF!-TIME(0,0,0))*1440,0)+1440,ROUND((#REF!-TIME(0,0,0))*1440,0))</f>
        <v>#REF!</v>
      </c>
      <c r="S310" s="9" t="e">
        <f>IF(AND(ROUND((#REF!-TIME(0,0,0))*1440,0),ROUND((#REF!-TIME(0,0,0))*1440,0)&lt;tbl_Case_mins[[#This Row],[Surgery Start]],tbl_Case_mins[[#This Row],[Surgery End Date]]&gt;tbl_Case_mins[[#This Row],[Surgery Start Date]]),ROUND((#REF!-TIME(0,0,0))*1440,0)+1440,ROUND((#REF!-TIME(0,0,0))*1440,0))</f>
        <v>#REF!</v>
      </c>
      <c r="T310" s="9" t="e">
        <f>IF(AND(ROUND((#REF!-TIME(0,0,0))*1440,0)&gt;0,ROUND((#REF!-TIME(0,0,0))*1440,0)&lt;tbl_Case_mins[[#This Row],[Surgery Finish]],tbl_Case_mins[[#This Row],[Surgery End Date]]&gt;tbl_Case_mins[[#This Row],[Surgery Start Date]]),ROUND((#REF!-TIME(0,0,0))*1440,0)+1440,ROUND((#REF!-TIME(0,0,0))*1440,0))</f>
        <v>#REF!</v>
      </c>
      <c r="U310" s="9" t="e">
        <f>IF(AND(ROUND((#REF!-TIME(0,0,0))*1440,0)&gt;0,ROUND((#REF!-TIME(0,0,0))*1440,0)&lt;tbl_Case_mins[[#This Row],[Anaesth End]],tbl_Case_mins[[#This Row],[Surgery End Date]]&gt;tbl_Case_mins[[#This Row],[Surgery Start Date]]),ROUND((#REF!-TIME(0,0,0))*1440,0)+1440,ROUND((#REF!-TIME(0,0,0))*1440,0))</f>
        <v>#REF!</v>
      </c>
      <c r="V310" s="9" t="e">
        <f>IF(AND(ROUND((#REF!-TIME(0,0,0))*1440,0)&gt;0,ROUND((#REF!-TIME(0,0,0))*1440,0)&lt;tbl_Case_mins[[#This Row],[Into Recov]],tbl_Case_mins[[#This Row],[Surgery End Date]]&gt;tbl_Case_mins[[#This Row],[Surgery Start Date]]),ROUND((#REF!-TIME(0,0,0))*1440,0)+1440,ROUND((#REF!-TIME(0,0,0))*1440,0))</f>
        <v>#REF!</v>
      </c>
      <c r="W310" s="9" t="e">
        <f>IF(AND(ROUND((#REF!-TIME(0,0,0))*1440,0)&gt;0,ROUND((#REF!-TIME(0,0,0))*1440,0)&lt;tbl_Case_mins[[#This Row],[Ward Called]],tbl_Case_mins[[#This Row],[Surgery End Date]]&gt;tbl_Case_mins[[#This Row],[Surgery Start Date]]),ROUND((#REF!-TIME(0,0,0))*1440,0)+1440,ROUND((#REF!-TIME(0,0,0))*1440,0))</f>
        <v>#REF!</v>
      </c>
      <c r="X310" s="4" t="e">
        <f>IF(ISBLANK(#REF!),tbl_Case_mins[[#This Row],[Surgery Start Date]],#REF!)</f>
        <v>#REF!</v>
      </c>
      <c r="Y310">
        <f>IFERROR(IF(VLOOKUP(tbl_Case_mins[[#This Row],[Theatre]],'Mng Theatres'!$C$7:$G$12,3,FALSE)="Yes","Yes","No"),0)</f>
        <v>0</v>
      </c>
      <c r="Z310" s="9" t="e" cm="1">
        <f t="array" ref="Z31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0" s="9" t="e" cm="1">
        <f t="array" ref="AA31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0" s="9" t="e">
        <f>IF(tbl_Case_mins[[#This Row],[Case Type]]="Unsch",1,0)</f>
        <v>#REF!</v>
      </c>
      <c r="AD310" s="9" t="e">
        <f>IF(tbl_Case_mins[[#This Row],[Case Type]]="Sch",1,0)</f>
        <v>#REF!</v>
      </c>
      <c r="AE31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0" s="9">
        <f>IFERROR(IF(ISBLANK(INDEX(Am_Close,MATCH(1,INDEX((tbl_Case_mins[[#This Row],[Theatre]]=Theatre_No)*(tbl_Case_mins[[#This Row],[Surgery Start Date]]=Date),0,1),0))*1440),0,INDEX(Am_Close,MATCH(1,INDEX((tbl_Case_mins[[#This Row],[Theatre]]=Theatre_No)*(tbl_Case_mins[[#This Row],[Surgery Start Date]]=Date),0,1),0))*1440),0)</f>
        <v>0</v>
      </c>
      <c r="AG310" s="9">
        <f>IFERROR(IF(ISBLANK(INDEX(PM_Open,MATCH(1,INDEX((tbl_Case_mins[[#This Row],[Theatre]]=Theatre_No)*(tbl_Case_mins[[#This Row],[Surgery Start Date]]=Date),0,1),0))*1440),0,INDEX(PM_Open,MATCH(1,INDEX((tbl_Case_mins[[#This Row],[Theatre]]=Theatre_No)*(tbl_Case_mins[[#This Row],[Surgery Start Date]]=Date),0,1),0))*1440),0)</f>
        <v>0</v>
      </c>
      <c r="AH31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0" s="9" t="e">
        <f>IF(tbl_Case_mins[[#This Row],[ThOpenAm]]=0,tbl_Case_mins[[#This Row],[ThOpenPM]],tbl_Case_mins[[#This Row],[ThOpenAm]])</f>
        <v>#REF!</v>
      </c>
      <c r="AJ310" s="9" t="e">
        <f>IF(tbl_Case_mins[[#This Row],[ThCloseAm]]&gt;0,IF(tbl_Case_mins[[#This Row],[ThOpenPM]]&gt;0,tbl_Case_mins[[#This Row],[ThClosePm]],tbl_Case_mins[[#This Row],[ThCloseAm]]),tbl_Case_mins[[#This Row],[ThClosePm]])</f>
        <v>#REF!</v>
      </c>
      <c r="AK310" s="9" t="e">
        <f>IF(tbl_Case_mins[[#This Row],[TOT]]&gt;0,1,0)</f>
        <v>#REF!</v>
      </c>
      <c r="AL31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0" s="9" t="e">
        <f>IF(AND(tbl_Case_mins[[#This Row],[Surgery Status]]&lt;&gt;2,tbl_Case_mins[[#This Row],[InCoreCase]]=0,tbl_Case_mins[[#This Row],[CancelledCase]]=0),1,0)</f>
        <v>#REF!</v>
      </c>
      <c r="AN310" s="9" t="e">
        <f>IF(tbl_Case_mins[[#This Row],[Surgery Status]]=1,1,0)</f>
        <v>#REF!</v>
      </c>
      <c r="AO31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0" s="9" t="e">
        <f>IF(AND(tbl_Case_mins[[#This Row],[NonCoreCase]]=1,tbl_Case_mins[[#This Row],[NoInCoreTime]]=0),1,0)</f>
        <v>#REF!</v>
      </c>
      <c r="AQ310" s="9" t="e">
        <f>IF(tbl_Case_mins[[#This Row],[Rank_AnaEnd]]&lt;tbl_Case_mins[[#This Row],[Rank_AnaSt]],1,0)</f>
        <v>#REF!</v>
      </c>
      <c r="AR310" s="9" t="e">
        <f>IF(AND(tbl_Case_mins[[#This Row],[InCoreCase]]=1,tbl_Case_mins[[#This Row],[Sch]]=1),1,0)</f>
        <v>#REF!</v>
      </c>
      <c r="AS310" s="9" t="e">
        <f>IF(AND(tbl_Case_mins[[#This Row],[InCoreCase]]=1,tbl_Case_mins[[#This Row],[Unsch]]=1),1,0)</f>
        <v>#REF!</v>
      </c>
      <c r="AT31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0" s="9" t="e">
        <f>IF(tbl_Case_mins[[#This Row],[Surgery Status]]=0,(tbl_Case_mins[[#This Row],[Anaesth End]]-tbl_Case_mins[[#This Row],[AnaesthStart]]),0)</f>
        <v>#REF!</v>
      </c>
      <c r="AX310" s="9" t="e">
        <f>IF(tbl_Case_mins[[#This Row],[Surgery Status]]=0,(tbl_Case_mins[[#This Row],[Surgery Finish]]-tbl_Case_mins[[#This Row],[Surgery Start]]),0)</f>
        <v>#REF!</v>
      </c>
      <c r="AY310" s="9" t="e">
        <f>tbl_Case_mins[[#This Row],[Surgery Start]]-tbl_Case_mins[[#This Row],[AnaesthStart]]</f>
        <v>#REF!</v>
      </c>
      <c r="AZ310" s="9" t="e">
        <f>tbl_Case_mins[[#This Row],[Anaesth End]]-tbl_Case_mins[[#This Row],[Surgery Finish]]</f>
        <v>#REF!</v>
      </c>
      <c r="BA31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0" s="16" cm="1">
        <f t="array" ref="BC31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0" s="16" t="e">
        <f>IF(AND(tbl_Case_mins[[#This Row],[FirstAMCase]]=1,tbl_Case_mins[[#This Row],[CancelledCase]]=0,OR(tbl_Case_mins[[#This Row],[EarlyStartAM]]&gt;0,tbl_Case_mins[[#This Row],[AnaesthStart]]=tbl_Case_mins[[#This Row],[ThOpenAm]])),1,0)</f>
        <v>#REF!</v>
      </c>
      <c r="BE310" s="16" t="e">
        <f>IF(AND(tbl_Case_mins[[#This Row],[Rank_AnaSt]]=tbl_Case_mins[[#This Row],[Min_RankAnaSt]],tbl_Case_mins[[#This Row],[Anaesth End]]&gt;=tbl_Case_mins[[#This Row],[ThOpenAm]],tbl_Case_mins[[#This Row],[PmCase]]=0),1,0)</f>
        <v>#REF!</v>
      </c>
      <c r="BF31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0" s="9" t="e" cm="1">
        <f t="array" ref="BH31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0" s="9" t="e">
        <f>IF(AND(tbl_Case_mins[[#This Row],[ThOpenPM]]&gt;0,tbl_Case_mins[[#This Row],[AnaesthStart]]&gt;tbl_Case_mins[[#This Row],[ThOpenPM]],tbl_Case_mins[[#This Row],[First PM Case]]=1),tbl_Case_mins[[#This Row],[AnaesthStart]]-tbl_Case_mins[[#This Row],[ThOpenPM]],0)</f>
        <v>#REF!</v>
      </c>
      <c r="BL31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0" s="9" t="e" cm="1">
        <f t="array" ref="BN31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0" s="9" t="e">
        <f>IF(AND(tbl_Case_mins[[#This Row],[ThClosePm]]&gt;0,tbl_Case_mins[[#This Row],[Anaesth End]]&gt;tbl_Case_mins[[#This Row],[ThClosePm]],tbl_Case_mins[[#This Row],[AnaesthStart]]&gt;tbl_Case_mins[[#This Row],[ThClosePm]]),tbl_Case_mins[[#This Row],[Into Recov]]-tbl_Case_mins[[#This Row],[AnaesthStart]],0)</f>
        <v>#REF!</v>
      </c>
      <c r="BP310" s="9" t="e">
        <f>IF(AND(tbl_Case_mins[[#This Row],[AnaesthStart]]&lt;tbl_Case_mins[[#This Row],[ThClosePm]],tbl_Case_mins[[#This Row],[Anaesth End]]&gt;tbl_Case_mins[[#This Row],[ThClosePm]]),tbl_Case_mins[[#This Row],[Anaesth End]]-tbl_Case_mins[[#This Row],[ThClosePm]],0)</f>
        <v>#REF!</v>
      </c>
      <c r="BQ310" s="9" t="e" cm="1">
        <f t="array" ref="BQ31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0" s="9" t="e" cm="1">
        <f t="array" ref="BR310">IF(tbl_Case_mins[[#This Row],[Rank_Adjust]]=SUMPRODUCT(-(tbl_Case_mins[Surgery Start Date]=tbl_Case_mins[[#This Row],[Surgery Start Date]]),-(tbl_Case_mins[Theatre]=tbl_Case_mins[[#This Row],[Theatre]])),INDEX(Poss_Time,MATCH(TEXT(tbl_Case_mins[[#This Row],[Surgery Start Date]],"ddd"),Day,0)),0)</f>
        <v>#REF!</v>
      </c>
      <c r="BS310" s="9" t="e">
        <f>tbl_Case_mins[[#This Row],[Core_Time]]*Util_Goal</f>
        <v>#REF!</v>
      </c>
      <c r="BT310" s="9" t="e" cm="1">
        <f t="array" ref="BT3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0" s="9" t="e" cm="1">
        <f t="array" ref="BU3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0" s="9" t="e">
        <f>IF(tbl_Case_mins[[#This Row],[Surgery End Date]]&gt;tbl_Case_mins[[#This Row],[Surgery Start Date]],tbl_Case_mins[[#This Row],[Anaesth End]]-1440,0)</f>
        <v>#REF!</v>
      </c>
      <c r="BY310" s="9" t="e">
        <f>tbl_Case_mins[[#This Row],[Total_NonCore]]-tbl_Case_mins[[#This Row],[NextDay_NonCore]]</f>
        <v>#REF!</v>
      </c>
      <c r="BZ310" s="10" t="e">
        <f>tbl_Case_mins[[#This Row],[InCoreUse]]/60</f>
        <v>#REF!</v>
      </c>
      <c r="CA310" s="10" t="e">
        <f>tbl_Case_mins[[#This Row],[Total_NonCore]]/60</f>
        <v>#REF!</v>
      </c>
      <c r="CB310" t="e" cm="1">
        <f t="array" ref="CB3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0" s="9" t="e" cm="1">
        <f t="array" ref="CC31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0" s="9" t="e" cm="1">
        <f t="array" ref="CD3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0" s="9" t="e" cm="1">
        <f t="array" ref="CE31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0" s="9" cm="1">
        <f t="array" ref="CF310">IFERROR(_xlfn.AGGREGATE(14,6,(tbl_Case_mins[Rank_AnaEnd])/((tbl_Case_mins[Surgery Start Date]=tbl_Case_mins[[#This Row],[Surgery Start Date]])*(tbl_Case_mins[Theatre]=tbl_Case_mins[[#This Row],[Theatre]])*(tbl_Case_mins[NoInCoreTime]=0)),1),-1)</f>
        <v>-1</v>
      </c>
      <c r="CG310" s="9" cm="1">
        <f t="array" ref="CG310">IFERROR(_xlfn.AGGREGATE(15,6,(tbl_Case_mins[Rank_AnaSt])/((tbl_Case_mins[Surgery Start Date]=tbl_Case_mins[[#This Row],[Surgery Start Date]])*(tbl_Case_mins[Theatre]=tbl_Case_mins[[#This Row],[Theatre]])*(tbl_Case_mins[NoInCoreTime]=0)),1),-1)</f>
        <v>-1</v>
      </c>
      <c r="CH31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0" t="e" cm="1">
        <f t="array" ref="CJ31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0" s="9" cm="1">
        <f t="array" ref="CO3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0" s="9" cm="1">
        <f t="array" ref="CP3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0" s="9" cm="1">
        <f t="array" ref="CQ310">IFERROR(IF(AND(tbl_Case_mins[[#This Row],[FirstAMCase]]=0,tbl_Case_mins[[#This Row],[Rank]]=_xlfn.AGGREGATE(14,6,(tbl_Case_mins[Rank])/((tbl_Case_mins[Surgery Start Date]=tbl_Case_mins[[#This Row],[Surgery Start Date]])*(tbl_Case_mins[Theatre]=tbl_Case_mins[[#This Row],[Theatre]])*(tbl_Case_mins[AmCase]=1)),1)),1,0),0)</f>
        <v>0</v>
      </c>
      <c r="CR310" s="9" cm="1">
        <f t="array" ref="CR31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0" s="9" t="e" cm="1">
        <f t="array" ref="CS31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0" s="9" cm="1">
        <f t="array" ref="CT310">IFERROR(IF(tbl_Case_mins[[#This Row],[Rank]]=_xlfn.AGGREGATE(15,6,(tbl_Case_mins[Rank])/((tbl_Case_mins[Surgery Start Date]=tbl_Case_mins[[#This Row],[Surgery Start Date]])*(tbl_Case_mins[Theatre]=tbl_Case_mins[[#This Row],[Theatre]])*(tbl_Case_mins[PmCase]=1)),1),1,0),0)</f>
        <v>0</v>
      </c>
      <c r="CU310">
        <f>IFERROR(#REF!,0)</f>
        <v>0</v>
      </c>
      <c r="CV310" s="9" t="e" cm="1">
        <f t="array" ref="CV31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0" s="9">
        <f>IFERROR(IF(ISBLANK(INDEX(Bay_AmClose,MATCH(1,INDEX((tbl_Case_mins[[#This Row],[Bay]]=BayNo)*(tbl_Case_mins[[#This Row],[Surgery Start Date]]=BDate),0,1),0))*1440),0,INDEX(Bay_AmClose,MATCH(1,INDEX((tbl_Case_mins[[#This Row],[Bay]]=BayNo)*(tbl_Case_mins[[#This Row],[Surgery Start Date]]=BDate),0,1),0))*1440),0)</f>
        <v>0</v>
      </c>
      <c r="CX310" s="9" cm="1">
        <f t="array" ref="CX310">IFERROR(IF(ISBLANK(INDEX(Bay_PmOpen,MATCH(1,INDEX((tbl_Case_mins[[#This Row],[Bay]]=BayNo)*(tbl_Case_mins[[#This Row],[Surgery Start Date]]=BDate),0,1),0))*1440),0,INDEX(Bay_PmOpen,MATCH(1,INDEX((tbl_Case_mins[[#This Row],[Bay]]=BayNo)*(tbl_Case_mins[[#This Row],[Surgery Start Date]]=BDate),0,1),0))*1440),0)</f>
        <v>0</v>
      </c>
      <c r="CY31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0" s="9"/>
    </row>
    <row r="311" spans="1:104" x14ac:dyDescent="0.2">
      <c r="A311">
        <v>310</v>
      </c>
      <c r="B311" t="e">
        <f>#REF!</f>
        <v>#REF!</v>
      </c>
      <c r="C311" t="e">
        <f>#REF!</f>
        <v>#REF!</v>
      </c>
      <c r="D311" t="e">
        <f>#REF!</f>
        <v>#REF!</v>
      </c>
      <c r="E311" t="e">
        <f>#REF!</f>
        <v>#REF!</v>
      </c>
      <c r="F311" t="e">
        <f>#REF!</f>
        <v>#REF!</v>
      </c>
      <c r="G311" t="e">
        <f>#REF!</f>
        <v>#REF!</v>
      </c>
      <c r="H311" t="e">
        <f>#REF!</f>
        <v>#REF!</v>
      </c>
      <c r="I311" t="e">
        <f>IF(#REF!="Case Cancelled",1,IF(#REF!="No Cases",2,0))</f>
        <v>#REF!</v>
      </c>
      <c r="J311" t="e">
        <f>#REF!</f>
        <v>#REF!</v>
      </c>
      <c r="K311" s="4" t="e">
        <f>#REF!</f>
        <v>#REF!</v>
      </c>
      <c r="L311" t="e">
        <f>"Wk "&amp;WEEKNUM(tbl_Case_mins[[#This Row],[Surgery Start Date]],21)</f>
        <v>#REF!</v>
      </c>
      <c r="M311" t="e">
        <f>TEXT(tbl_Case_mins[[#This Row],[Surgery Start Date]],"ddd")</f>
        <v>#REF!</v>
      </c>
      <c r="N311" s="9" t="e">
        <f>(#REF!-TIME(0,0,0))*1440</f>
        <v>#REF!</v>
      </c>
      <c r="O311" t="e">
        <f>IF(AND(ROUND((#REF!-TIME(0,0,0))*1440,0)&gt;0,ROUND((#REF!-TIME(0,0,0))*1440,0)&lt;tbl_Case_mins[[#This Row],[Patient Called]],tbl_Case_mins[[#This Row],[Surgery End Date]]&gt;tbl_Case_mins[[#This Row],[Surgery Start Date]]),ROUND((#REF!-TIME(0,0,0))*1440,0)+1440,ROUND((#REF!-TIME(0,0,0))*1440,0))</f>
        <v>#REF!</v>
      </c>
      <c r="P311" s="9" t="e">
        <f>IF(AND(ROUND((#REF!-TIME(0,0,0))*1440,0)&gt;0,ROUND((#REF!-TIME(0,0,0))*1440,0)&lt;tbl_Case_mins[[#This Row],[Arrival]],tbl_Case_mins[[#This Row],[Surgery End Date]]&gt;tbl_Case_mins[[#This Row],[Surgery Start Date]]),ROUND((#REF!-TIME(0,0,0))*1440,0)+1440,ROUND((#REF!-TIME(0,0,0))*1440,0))</f>
        <v>#REF!</v>
      </c>
      <c r="Q311" s="9" t="e">
        <f>IF(AND(ROUND((#REF!-TIME(0,0,0))*1440,0)&gt;0,ROUND((#REF!-TIME(0,0,0))*1440,0)&lt;tbl_Case_mins[[#This Row],[Into Th or AR]],tbl_Case_mins[[#This Row],[Surgery End Date]]&gt;tbl_Case_mins[[#This Row],[Surgery Start Date]]),ROUND((#REF!-TIME(0,0,0))*1440,0)+1440,ROUND((#REF!-TIME(0,0,0))*1440,0))</f>
        <v>#REF!</v>
      </c>
      <c r="R311" s="9" t="e">
        <f>IF(AND(ROUND((#REF!-TIME(0,0,0))*1440,0)&gt;0,ROUND((#REF!-TIME(0,0,0))*1440,0)&lt;tbl_Case_mins[[#This Row],[AnaesthStart]],tbl_Case_mins[[#This Row],[Surgery End Date]]&gt;tbl_Case_mins[[#This Row],[Surgery Start Date]]),ROUND((#REF!-TIME(0,0,0))*1440,0)+1440,ROUND((#REF!-TIME(0,0,0))*1440,0))</f>
        <v>#REF!</v>
      </c>
      <c r="S311" s="9" t="e">
        <f>IF(AND(ROUND((#REF!-TIME(0,0,0))*1440,0),ROUND((#REF!-TIME(0,0,0))*1440,0)&lt;tbl_Case_mins[[#This Row],[Surgery Start]],tbl_Case_mins[[#This Row],[Surgery End Date]]&gt;tbl_Case_mins[[#This Row],[Surgery Start Date]]),ROUND((#REF!-TIME(0,0,0))*1440,0)+1440,ROUND((#REF!-TIME(0,0,0))*1440,0))</f>
        <v>#REF!</v>
      </c>
      <c r="T311" s="9" t="e">
        <f>IF(AND(ROUND((#REF!-TIME(0,0,0))*1440,0)&gt;0,ROUND((#REF!-TIME(0,0,0))*1440,0)&lt;tbl_Case_mins[[#This Row],[Surgery Finish]],tbl_Case_mins[[#This Row],[Surgery End Date]]&gt;tbl_Case_mins[[#This Row],[Surgery Start Date]]),ROUND((#REF!-TIME(0,0,0))*1440,0)+1440,ROUND((#REF!-TIME(0,0,0))*1440,0))</f>
        <v>#REF!</v>
      </c>
      <c r="U311" s="9" t="e">
        <f>IF(AND(ROUND((#REF!-TIME(0,0,0))*1440,0)&gt;0,ROUND((#REF!-TIME(0,0,0))*1440,0)&lt;tbl_Case_mins[[#This Row],[Anaesth End]],tbl_Case_mins[[#This Row],[Surgery End Date]]&gt;tbl_Case_mins[[#This Row],[Surgery Start Date]]),ROUND((#REF!-TIME(0,0,0))*1440,0)+1440,ROUND((#REF!-TIME(0,0,0))*1440,0))</f>
        <v>#REF!</v>
      </c>
      <c r="V311" s="9" t="e">
        <f>IF(AND(ROUND((#REF!-TIME(0,0,0))*1440,0)&gt;0,ROUND((#REF!-TIME(0,0,0))*1440,0)&lt;tbl_Case_mins[[#This Row],[Into Recov]],tbl_Case_mins[[#This Row],[Surgery End Date]]&gt;tbl_Case_mins[[#This Row],[Surgery Start Date]]),ROUND((#REF!-TIME(0,0,0))*1440,0)+1440,ROUND((#REF!-TIME(0,0,0))*1440,0))</f>
        <v>#REF!</v>
      </c>
      <c r="W311" s="9" t="e">
        <f>IF(AND(ROUND((#REF!-TIME(0,0,0))*1440,0)&gt;0,ROUND((#REF!-TIME(0,0,0))*1440,0)&lt;tbl_Case_mins[[#This Row],[Ward Called]],tbl_Case_mins[[#This Row],[Surgery End Date]]&gt;tbl_Case_mins[[#This Row],[Surgery Start Date]]),ROUND((#REF!-TIME(0,0,0))*1440,0)+1440,ROUND((#REF!-TIME(0,0,0))*1440,0))</f>
        <v>#REF!</v>
      </c>
      <c r="X311" s="4" t="e">
        <f>IF(ISBLANK(#REF!),tbl_Case_mins[[#This Row],[Surgery Start Date]],#REF!)</f>
        <v>#REF!</v>
      </c>
      <c r="Y311">
        <f>IFERROR(IF(VLOOKUP(tbl_Case_mins[[#This Row],[Theatre]],'Mng Theatres'!$C$7:$G$12,3,FALSE)="Yes","Yes","No"),0)</f>
        <v>0</v>
      </c>
      <c r="Z311" s="9" t="e" cm="1">
        <f t="array" ref="Z31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1" s="9" t="e" cm="1">
        <f t="array" ref="AA31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1" s="9" t="e">
        <f>IF(tbl_Case_mins[[#This Row],[Case Type]]="Unsch",1,0)</f>
        <v>#REF!</v>
      </c>
      <c r="AD311" s="9" t="e">
        <f>IF(tbl_Case_mins[[#This Row],[Case Type]]="Sch",1,0)</f>
        <v>#REF!</v>
      </c>
      <c r="AE31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1" s="9">
        <f>IFERROR(IF(ISBLANK(INDEX(Am_Close,MATCH(1,INDEX((tbl_Case_mins[[#This Row],[Theatre]]=Theatre_No)*(tbl_Case_mins[[#This Row],[Surgery Start Date]]=Date),0,1),0))*1440),0,INDEX(Am_Close,MATCH(1,INDEX((tbl_Case_mins[[#This Row],[Theatre]]=Theatre_No)*(tbl_Case_mins[[#This Row],[Surgery Start Date]]=Date),0,1),0))*1440),0)</f>
        <v>0</v>
      </c>
      <c r="AG311" s="9">
        <f>IFERROR(IF(ISBLANK(INDEX(PM_Open,MATCH(1,INDEX((tbl_Case_mins[[#This Row],[Theatre]]=Theatre_No)*(tbl_Case_mins[[#This Row],[Surgery Start Date]]=Date),0,1),0))*1440),0,INDEX(PM_Open,MATCH(1,INDEX((tbl_Case_mins[[#This Row],[Theatre]]=Theatre_No)*(tbl_Case_mins[[#This Row],[Surgery Start Date]]=Date),0,1),0))*1440),0)</f>
        <v>0</v>
      </c>
      <c r="AH31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1" s="9" t="e">
        <f>IF(tbl_Case_mins[[#This Row],[ThOpenAm]]=0,tbl_Case_mins[[#This Row],[ThOpenPM]],tbl_Case_mins[[#This Row],[ThOpenAm]])</f>
        <v>#REF!</v>
      </c>
      <c r="AJ311" s="9" t="e">
        <f>IF(tbl_Case_mins[[#This Row],[ThCloseAm]]&gt;0,IF(tbl_Case_mins[[#This Row],[ThOpenPM]]&gt;0,tbl_Case_mins[[#This Row],[ThClosePm]],tbl_Case_mins[[#This Row],[ThCloseAm]]),tbl_Case_mins[[#This Row],[ThClosePm]])</f>
        <v>#REF!</v>
      </c>
      <c r="AK311" s="9" t="e">
        <f>IF(tbl_Case_mins[[#This Row],[TOT]]&gt;0,1,0)</f>
        <v>#REF!</v>
      </c>
      <c r="AL31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1" s="9" t="e">
        <f>IF(AND(tbl_Case_mins[[#This Row],[Surgery Status]]&lt;&gt;2,tbl_Case_mins[[#This Row],[InCoreCase]]=0,tbl_Case_mins[[#This Row],[CancelledCase]]=0),1,0)</f>
        <v>#REF!</v>
      </c>
      <c r="AN311" s="9" t="e">
        <f>IF(tbl_Case_mins[[#This Row],[Surgery Status]]=1,1,0)</f>
        <v>#REF!</v>
      </c>
      <c r="AO31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1" s="9" t="e">
        <f>IF(AND(tbl_Case_mins[[#This Row],[NonCoreCase]]=1,tbl_Case_mins[[#This Row],[NoInCoreTime]]=0),1,0)</f>
        <v>#REF!</v>
      </c>
      <c r="AQ311" s="9" t="e">
        <f>IF(tbl_Case_mins[[#This Row],[Rank_AnaEnd]]&lt;tbl_Case_mins[[#This Row],[Rank_AnaSt]],1,0)</f>
        <v>#REF!</v>
      </c>
      <c r="AR311" s="9" t="e">
        <f>IF(AND(tbl_Case_mins[[#This Row],[InCoreCase]]=1,tbl_Case_mins[[#This Row],[Sch]]=1),1,0)</f>
        <v>#REF!</v>
      </c>
      <c r="AS311" s="9" t="e">
        <f>IF(AND(tbl_Case_mins[[#This Row],[InCoreCase]]=1,tbl_Case_mins[[#This Row],[Unsch]]=1),1,0)</f>
        <v>#REF!</v>
      </c>
      <c r="AT31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1" s="9" t="e">
        <f>IF(tbl_Case_mins[[#This Row],[Surgery Status]]=0,(tbl_Case_mins[[#This Row],[Anaesth End]]-tbl_Case_mins[[#This Row],[AnaesthStart]]),0)</f>
        <v>#REF!</v>
      </c>
      <c r="AX311" s="9" t="e">
        <f>IF(tbl_Case_mins[[#This Row],[Surgery Status]]=0,(tbl_Case_mins[[#This Row],[Surgery Finish]]-tbl_Case_mins[[#This Row],[Surgery Start]]),0)</f>
        <v>#REF!</v>
      </c>
      <c r="AY311" s="9" t="e">
        <f>tbl_Case_mins[[#This Row],[Surgery Start]]-tbl_Case_mins[[#This Row],[AnaesthStart]]</f>
        <v>#REF!</v>
      </c>
      <c r="AZ311" s="9" t="e">
        <f>tbl_Case_mins[[#This Row],[Anaesth End]]-tbl_Case_mins[[#This Row],[Surgery Finish]]</f>
        <v>#REF!</v>
      </c>
      <c r="BA31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1" s="16" cm="1">
        <f t="array" ref="BC31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1" s="16" t="e">
        <f>IF(AND(tbl_Case_mins[[#This Row],[FirstAMCase]]=1,tbl_Case_mins[[#This Row],[CancelledCase]]=0,OR(tbl_Case_mins[[#This Row],[EarlyStartAM]]&gt;0,tbl_Case_mins[[#This Row],[AnaesthStart]]=tbl_Case_mins[[#This Row],[ThOpenAm]])),1,0)</f>
        <v>#REF!</v>
      </c>
      <c r="BE311" s="16" t="e">
        <f>IF(AND(tbl_Case_mins[[#This Row],[Rank_AnaSt]]=tbl_Case_mins[[#This Row],[Min_RankAnaSt]],tbl_Case_mins[[#This Row],[Anaesth End]]&gt;=tbl_Case_mins[[#This Row],[ThOpenAm]],tbl_Case_mins[[#This Row],[PmCase]]=0),1,0)</f>
        <v>#REF!</v>
      </c>
      <c r="BF31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1" s="9" t="e" cm="1">
        <f t="array" ref="BH31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1" s="9" t="e">
        <f>IF(AND(tbl_Case_mins[[#This Row],[ThOpenPM]]&gt;0,tbl_Case_mins[[#This Row],[AnaesthStart]]&gt;tbl_Case_mins[[#This Row],[ThOpenPM]],tbl_Case_mins[[#This Row],[First PM Case]]=1),tbl_Case_mins[[#This Row],[AnaesthStart]]-tbl_Case_mins[[#This Row],[ThOpenPM]],0)</f>
        <v>#REF!</v>
      </c>
      <c r="BL31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1" s="9" t="e" cm="1">
        <f t="array" ref="BN31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1" s="9" t="e">
        <f>IF(AND(tbl_Case_mins[[#This Row],[ThClosePm]]&gt;0,tbl_Case_mins[[#This Row],[Anaesth End]]&gt;tbl_Case_mins[[#This Row],[ThClosePm]],tbl_Case_mins[[#This Row],[AnaesthStart]]&gt;tbl_Case_mins[[#This Row],[ThClosePm]]),tbl_Case_mins[[#This Row],[Into Recov]]-tbl_Case_mins[[#This Row],[AnaesthStart]],0)</f>
        <v>#REF!</v>
      </c>
      <c r="BP311" s="9" t="e">
        <f>IF(AND(tbl_Case_mins[[#This Row],[AnaesthStart]]&lt;tbl_Case_mins[[#This Row],[ThClosePm]],tbl_Case_mins[[#This Row],[Anaesth End]]&gt;tbl_Case_mins[[#This Row],[ThClosePm]]),tbl_Case_mins[[#This Row],[Anaesth End]]-tbl_Case_mins[[#This Row],[ThClosePm]],0)</f>
        <v>#REF!</v>
      </c>
      <c r="BQ311" s="9" t="e" cm="1">
        <f t="array" ref="BQ31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1" s="9" t="e" cm="1">
        <f t="array" ref="BR311">IF(tbl_Case_mins[[#This Row],[Rank_Adjust]]=SUMPRODUCT(-(tbl_Case_mins[Surgery Start Date]=tbl_Case_mins[[#This Row],[Surgery Start Date]]),-(tbl_Case_mins[Theatre]=tbl_Case_mins[[#This Row],[Theatre]])),INDEX(Poss_Time,MATCH(TEXT(tbl_Case_mins[[#This Row],[Surgery Start Date]],"ddd"),Day,0)),0)</f>
        <v>#REF!</v>
      </c>
      <c r="BS311" s="9" t="e">
        <f>tbl_Case_mins[[#This Row],[Core_Time]]*Util_Goal</f>
        <v>#REF!</v>
      </c>
      <c r="BT311" s="9" t="e" cm="1">
        <f t="array" ref="BT3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1" s="9" t="e" cm="1">
        <f t="array" ref="BU3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1" s="9" t="e">
        <f>IF(tbl_Case_mins[[#This Row],[Surgery End Date]]&gt;tbl_Case_mins[[#This Row],[Surgery Start Date]],tbl_Case_mins[[#This Row],[Anaesth End]]-1440,0)</f>
        <v>#REF!</v>
      </c>
      <c r="BY311" s="9" t="e">
        <f>tbl_Case_mins[[#This Row],[Total_NonCore]]-tbl_Case_mins[[#This Row],[NextDay_NonCore]]</f>
        <v>#REF!</v>
      </c>
      <c r="BZ311" s="10" t="e">
        <f>tbl_Case_mins[[#This Row],[InCoreUse]]/60</f>
        <v>#REF!</v>
      </c>
      <c r="CA311" s="10" t="e">
        <f>tbl_Case_mins[[#This Row],[Total_NonCore]]/60</f>
        <v>#REF!</v>
      </c>
      <c r="CB311" t="e" cm="1">
        <f t="array" ref="CB3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1" s="9" t="e" cm="1">
        <f t="array" ref="CC31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1" s="9" t="e" cm="1">
        <f t="array" ref="CD3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1" s="9" t="e" cm="1">
        <f t="array" ref="CE31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1" s="9" cm="1">
        <f t="array" ref="CF311">IFERROR(_xlfn.AGGREGATE(14,6,(tbl_Case_mins[Rank_AnaEnd])/((tbl_Case_mins[Surgery Start Date]=tbl_Case_mins[[#This Row],[Surgery Start Date]])*(tbl_Case_mins[Theatre]=tbl_Case_mins[[#This Row],[Theatre]])*(tbl_Case_mins[NoInCoreTime]=0)),1),-1)</f>
        <v>-1</v>
      </c>
      <c r="CG311" s="9" cm="1">
        <f t="array" ref="CG311">IFERROR(_xlfn.AGGREGATE(15,6,(tbl_Case_mins[Rank_AnaSt])/((tbl_Case_mins[Surgery Start Date]=tbl_Case_mins[[#This Row],[Surgery Start Date]])*(tbl_Case_mins[Theatre]=tbl_Case_mins[[#This Row],[Theatre]])*(tbl_Case_mins[NoInCoreTime]=0)),1),-1)</f>
        <v>-1</v>
      </c>
      <c r="CH31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1" t="e" cm="1">
        <f t="array" ref="CJ31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1" s="9" cm="1">
        <f t="array" ref="CO3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1" s="9" cm="1">
        <f t="array" ref="CP3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1" s="9" cm="1">
        <f t="array" ref="CQ311">IFERROR(IF(AND(tbl_Case_mins[[#This Row],[FirstAMCase]]=0,tbl_Case_mins[[#This Row],[Rank]]=_xlfn.AGGREGATE(14,6,(tbl_Case_mins[Rank])/((tbl_Case_mins[Surgery Start Date]=tbl_Case_mins[[#This Row],[Surgery Start Date]])*(tbl_Case_mins[Theatre]=tbl_Case_mins[[#This Row],[Theatre]])*(tbl_Case_mins[AmCase]=1)),1)),1,0),0)</f>
        <v>0</v>
      </c>
      <c r="CR311" s="9" cm="1">
        <f t="array" ref="CR31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1" s="9" t="e" cm="1">
        <f t="array" ref="CS31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1" s="9" cm="1">
        <f t="array" ref="CT311">IFERROR(IF(tbl_Case_mins[[#This Row],[Rank]]=_xlfn.AGGREGATE(15,6,(tbl_Case_mins[Rank])/((tbl_Case_mins[Surgery Start Date]=tbl_Case_mins[[#This Row],[Surgery Start Date]])*(tbl_Case_mins[Theatre]=tbl_Case_mins[[#This Row],[Theatre]])*(tbl_Case_mins[PmCase]=1)),1),1,0),0)</f>
        <v>0</v>
      </c>
      <c r="CU311">
        <f>IFERROR(#REF!,0)</f>
        <v>0</v>
      </c>
      <c r="CV311" s="9" t="e" cm="1">
        <f t="array" ref="CV31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1" s="9">
        <f>IFERROR(IF(ISBLANK(INDEX(Bay_AmClose,MATCH(1,INDEX((tbl_Case_mins[[#This Row],[Bay]]=BayNo)*(tbl_Case_mins[[#This Row],[Surgery Start Date]]=BDate),0,1),0))*1440),0,INDEX(Bay_AmClose,MATCH(1,INDEX((tbl_Case_mins[[#This Row],[Bay]]=BayNo)*(tbl_Case_mins[[#This Row],[Surgery Start Date]]=BDate),0,1),0))*1440),0)</f>
        <v>0</v>
      </c>
      <c r="CX311" s="9" cm="1">
        <f t="array" ref="CX311">IFERROR(IF(ISBLANK(INDEX(Bay_PmOpen,MATCH(1,INDEX((tbl_Case_mins[[#This Row],[Bay]]=BayNo)*(tbl_Case_mins[[#This Row],[Surgery Start Date]]=BDate),0,1),0))*1440),0,INDEX(Bay_PmOpen,MATCH(1,INDEX((tbl_Case_mins[[#This Row],[Bay]]=BayNo)*(tbl_Case_mins[[#This Row],[Surgery Start Date]]=BDate),0,1),0))*1440),0)</f>
        <v>0</v>
      </c>
      <c r="CY31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1" s="9"/>
    </row>
    <row r="312" spans="1:104" x14ac:dyDescent="0.2">
      <c r="A312">
        <v>311</v>
      </c>
      <c r="B312" t="e">
        <f>#REF!</f>
        <v>#REF!</v>
      </c>
      <c r="C312" t="e">
        <f>#REF!</f>
        <v>#REF!</v>
      </c>
      <c r="D312" t="e">
        <f>#REF!</f>
        <v>#REF!</v>
      </c>
      <c r="E312" t="e">
        <f>#REF!</f>
        <v>#REF!</v>
      </c>
      <c r="F312" t="e">
        <f>#REF!</f>
        <v>#REF!</v>
      </c>
      <c r="G312" t="e">
        <f>#REF!</f>
        <v>#REF!</v>
      </c>
      <c r="H312" t="e">
        <f>#REF!</f>
        <v>#REF!</v>
      </c>
      <c r="I312" t="e">
        <f>IF(#REF!="Case Cancelled",1,IF(#REF!="No Cases",2,0))</f>
        <v>#REF!</v>
      </c>
      <c r="J312" t="e">
        <f>#REF!</f>
        <v>#REF!</v>
      </c>
      <c r="K312" s="4" t="e">
        <f>#REF!</f>
        <v>#REF!</v>
      </c>
      <c r="L312" t="e">
        <f>"Wk "&amp;WEEKNUM(tbl_Case_mins[[#This Row],[Surgery Start Date]],21)</f>
        <v>#REF!</v>
      </c>
      <c r="M312" t="e">
        <f>TEXT(tbl_Case_mins[[#This Row],[Surgery Start Date]],"ddd")</f>
        <v>#REF!</v>
      </c>
      <c r="N312" s="9" t="e">
        <f>(#REF!-TIME(0,0,0))*1440</f>
        <v>#REF!</v>
      </c>
      <c r="O312" t="e">
        <f>IF(AND(ROUND((#REF!-TIME(0,0,0))*1440,0)&gt;0,ROUND((#REF!-TIME(0,0,0))*1440,0)&lt;tbl_Case_mins[[#This Row],[Patient Called]],tbl_Case_mins[[#This Row],[Surgery End Date]]&gt;tbl_Case_mins[[#This Row],[Surgery Start Date]]),ROUND((#REF!-TIME(0,0,0))*1440,0)+1440,ROUND((#REF!-TIME(0,0,0))*1440,0))</f>
        <v>#REF!</v>
      </c>
      <c r="P312" s="9" t="e">
        <f>IF(AND(ROUND((#REF!-TIME(0,0,0))*1440,0)&gt;0,ROUND((#REF!-TIME(0,0,0))*1440,0)&lt;tbl_Case_mins[[#This Row],[Arrival]],tbl_Case_mins[[#This Row],[Surgery End Date]]&gt;tbl_Case_mins[[#This Row],[Surgery Start Date]]),ROUND((#REF!-TIME(0,0,0))*1440,0)+1440,ROUND((#REF!-TIME(0,0,0))*1440,0))</f>
        <v>#REF!</v>
      </c>
      <c r="Q312" s="9" t="e">
        <f>IF(AND(ROUND((#REF!-TIME(0,0,0))*1440,0)&gt;0,ROUND((#REF!-TIME(0,0,0))*1440,0)&lt;tbl_Case_mins[[#This Row],[Into Th or AR]],tbl_Case_mins[[#This Row],[Surgery End Date]]&gt;tbl_Case_mins[[#This Row],[Surgery Start Date]]),ROUND((#REF!-TIME(0,0,0))*1440,0)+1440,ROUND((#REF!-TIME(0,0,0))*1440,0))</f>
        <v>#REF!</v>
      </c>
      <c r="R312" s="9" t="e">
        <f>IF(AND(ROUND((#REF!-TIME(0,0,0))*1440,0)&gt;0,ROUND((#REF!-TIME(0,0,0))*1440,0)&lt;tbl_Case_mins[[#This Row],[AnaesthStart]],tbl_Case_mins[[#This Row],[Surgery End Date]]&gt;tbl_Case_mins[[#This Row],[Surgery Start Date]]),ROUND((#REF!-TIME(0,0,0))*1440,0)+1440,ROUND((#REF!-TIME(0,0,0))*1440,0))</f>
        <v>#REF!</v>
      </c>
      <c r="S312" s="9" t="e">
        <f>IF(AND(ROUND((#REF!-TIME(0,0,0))*1440,0),ROUND((#REF!-TIME(0,0,0))*1440,0)&lt;tbl_Case_mins[[#This Row],[Surgery Start]],tbl_Case_mins[[#This Row],[Surgery End Date]]&gt;tbl_Case_mins[[#This Row],[Surgery Start Date]]),ROUND((#REF!-TIME(0,0,0))*1440,0)+1440,ROUND((#REF!-TIME(0,0,0))*1440,0))</f>
        <v>#REF!</v>
      </c>
      <c r="T312" s="9" t="e">
        <f>IF(AND(ROUND((#REF!-TIME(0,0,0))*1440,0)&gt;0,ROUND((#REF!-TIME(0,0,0))*1440,0)&lt;tbl_Case_mins[[#This Row],[Surgery Finish]],tbl_Case_mins[[#This Row],[Surgery End Date]]&gt;tbl_Case_mins[[#This Row],[Surgery Start Date]]),ROUND((#REF!-TIME(0,0,0))*1440,0)+1440,ROUND((#REF!-TIME(0,0,0))*1440,0))</f>
        <v>#REF!</v>
      </c>
      <c r="U312" s="9" t="e">
        <f>IF(AND(ROUND((#REF!-TIME(0,0,0))*1440,0)&gt;0,ROUND((#REF!-TIME(0,0,0))*1440,0)&lt;tbl_Case_mins[[#This Row],[Anaesth End]],tbl_Case_mins[[#This Row],[Surgery End Date]]&gt;tbl_Case_mins[[#This Row],[Surgery Start Date]]),ROUND((#REF!-TIME(0,0,0))*1440,0)+1440,ROUND((#REF!-TIME(0,0,0))*1440,0))</f>
        <v>#REF!</v>
      </c>
      <c r="V312" s="9" t="e">
        <f>IF(AND(ROUND((#REF!-TIME(0,0,0))*1440,0)&gt;0,ROUND((#REF!-TIME(0,0,0))*1440,0)&lt;tbl_Case_mins[[#This Row],[Into Recov]],tbl_Case_mins[[#This Row],[Surgery End Date]]&gt;tbl_Case_mins[[#This Row],[Surgery Start Date]]),ROUND((#REF!-TIME(0,0,0))*1440,0)+1440,ROUND((#REF!-TIME(0,0,0))*1440,0))</f>
        <v>#REF!</v>
      </c>
      <c r="W312" s="9" t="e">
        <f>IF(AND(ROUND((#REF!-TIME(0,0,0))*1440,0)&gt;0,ROUND((#REF!-TIME(0,0,0))*1440,0)&lt;tbl_Case_mins[[#This Row],[Ward Called]],tbl_Case_mins[[#This Row],[Surgery End Date]]&gt;tbl_Case_mins[[#This Row],[Surgery Start Date]]),ROUND((#REF!-TIME(0,0,0))*1440,0)+1440,ROUND((#REF!-TIME(0,0,0))*1440,0))</f>
        <v>#REF!</v>
      </c>
      <c r="X312" s="4" t="e">
        <f>IF(ISBLANK(#REF!),tbl_Case_mins[[#This Row],[Surgery Start Date]],#REF!)</f>
        <v>#REF!</v>
      </c>
      <c r="Y312">
        <f>IFERROR(IF(VLOOKUP(tbl_Case_mins[[#This Row],[Theatre]],'Mng Theatres'!$C$7:$G$12,3,FALSE)="Yes","Yes","No"),0)</f>
        <v>0</v>
      </c>
      <c r="Z312" s="9" t="e" cm="1">
        <f t="array" ref="Z31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2" s="9" t="e" cm="1">
        <f t="array" ref="AA31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2" s="9" t="e">
        <f>IF(tbl_Case_mins[[#This Row],[Case Type]]="Unsch",1,0)</f>
        <v>#REF!</v>
      </c>
      <c r="AD312" s="9" t="e">
        <f>IF(tbl_Case_mins[[#This Row],[Case Type]]="Sch",1,0)</f>
        <v>#REF!</v>
      </c>
      <c r="AE31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2" s="9">
        <f>IFERROR(IF(ISBLANK(INDEX(Am_Close,MATCH(1,INDEX((tbl_Case_mins[[#This Row],[Theatre]]=Theatre_No)*(tbl_Case_mins[[#This Row],[Surgery Start Date]]=Date),0,1),0))*1440),0,INDEX(Am_Close,MATCH(1,INDEX((tbl_Case_mins[[#This Row],[Theatre]]=Theatre_No)*(tbl_Case_mins[[#This Row],[Surgery Start Date]]=Date),0,1),0))*1440),0)</f>
        <v>0</v>
      </c>
      <c r="AG312" s="9">
        <f>IFERROR(IF(ISBLANK(INDEX(PM_Open,MATCH(1,INDEX((tbl_Case_mins[[#This Row],[Theatre]]=Theatre_No)*(tbl_Case_mins[[#This Row],[Surgery Start Date]]=Date),0,1),0))*1440),0,INDEX(PM_Open,MATCH(1,INDEX((tbl_Case_mins[[#This Row],[Theatre]]=Theatre_No)*(tbl_Case_mins[[#This Row],[Surgery Start Date]]=Date),0,1),0))*1440),0)</f>
        <v>0</v>
      </c>
      <c r="AH31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2" s="9" t="e">
        <f>IF(tbl_Case_mins[[#This Row],[ThOpenAm]]=0,tbl_Case_mins[[#This Row],[ThOpenPM]],tbl_Case_mins[[#This Row],[ThOpenAm]])</f>
        <v>#REF!</v>
      </c>
      <c r="AJ312" s="9" t="e">
        <f>IF(tbl_Case_mins[[#This Row],[ThCloseAm]]&gt;0,IF(tbl_Case_mins[[#This Row],[ThOpenPM]]&gt;0,tbl_Case_mins[[#This Row],[ThClosePm]],tbl_Case_mins[[#This Row],[ThCloseAm]]),tbl_Case_mins[[#This Row],[ThClosePm]])</f>
        <v>#REF!</v>
      </c>
      <c r="AK312" s="9" t="e">
        <f>IF(tbl_Case_mins[[#This Row],[TOT]]&gt;0,1,0)</f>
        <v>#REF!</v>
      </c>
      <c r="AL31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2" s="9" t="e">
        <f>IF(AND(tbl_Case_mins[[#This Row],[Surgery Status]]&lt;&gt;2,tbl_Case_mins[[#This Row],[InCoreCase]]=0,tbl_Case_mins[[#This Row],[CancelledCase]]=0),1,0)</f>
        <v>#REF!</v>
      </c>
      <c r="AN312" s="9" t="e">
        <f>IF(tbl_Case_mins[[#This Row],[Surgery Status]]=1,1,0)</f>
        <v>#REF!</v>
      </c>
      <c r="AO31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2" s="9" t="e">
        <f>IF(AND(tbl_Case_mins[[#This Row],[NonCoreCase]]=1,tbl_Case_mins[[#This Row],[NoInCoreTime]]=0),1,0)</f>
        <v>#REF!</v>
      </c>
      <c r="AQ312" s="9" t="e">
        <f>IF(tbl_Case_mins[[#This Row],[Rank_AnaEnd]]&lt;tbl_Case_mins[[#This Row],[Rank_AnaSt]],1,0)</f>
        <v>#REF!</v>
      </c>
      <c r="AR312" s="9" t="e">
        <f>IF(AND(tbl_Case_mins[[#This Row],[InCoreCase]]=1,tbl_Case_mins[[#This Row],[Sch]]=1),1,0)</f>
        <v>#REF!</v>
      </c>
      <c r="AS312" s="9" t="e">
        <f>IF(AND(tbl_Case_mins[[#This Row],[InCoreCase]]=1,tbl_Case_mins[[#This Row],[Unsch]]=1),1,0)</f>
        <v>#REF!</v>
      </c>
      <c r="AT31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2" s="9" t="e">
        <f>IF(tbl_Case_mins[[#This Row],[Surgery Status]]=0,(tbl_Case_mins[[#This Row],[Anaesth End]]-tbl_Case_mins[[#This Row],[AnaesthStart]]),0)</f>
        <v>#REF!</v>
      </c>
      <c r="AX312" s="9" t="e">
        <f>IF(tbl_Case_mins[[#This Row],[Surgery Status]]=0,(tbl_Case_mins[[#This Row],[Surgery Finish]]-tbl_Case_mins[[#This Row],[Surgery Start]]),0)</f>
        <v>#REF!</v>
      </c>
      <c r="AY312" s="9" t="e">
        <f>tbl_Case_mins[[#This Row],[Surgery Start]]-tbl_Case_mins[[#This Row],[AnaesthStart]]</f>
        <v>#REF!</v>
      </c>
      <c r="AZ312" s="9" t="e">
        <f>tbl_Case_mins[[#This Row],[Anaesth End]]-tbl_Case_mins[[#This Row],[Surgery Finish]]</f>
        <v>#REF!</v>
      </c>
      <c r="BA31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2" s="16" cm="1">
        <f t="array" ref="BC31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2" s="16" t="e">
        <f>IF(AND(tbl_Case_mins[[#This Row],[FirstAMCase]]=1,tbl_Case_mins[[#This Row],[CancelledCase]]=0,OR(tbl_Case_mins[[#This Row],[EarlyStartAM]]&gt;0,tbl_Case_mins[[#This Row],[AnaesthStart]]=tbl_Case_mins[[#This Row],[ThOpenAm]])),1,0)</f>
        <v>#REF!</v>
      </c>
      <c r="BE312" s="16" t="e">
        <f>IF(AND(tbl_Case_mins[[#This Row],[Rank_AnaSt]]=tbl_Case_mins[[#This Row],[Min_RankAnaSt]],tbl_Case_mins[[#This Row],[Anaesth End]]&gt;=tbl_Case_mins[[#This Row],[ThOpenAm]],tbl_Case_mins[[#This Row],[PmCase]]=0),1,0)</f>
        <v>#REF!</v>
      </c>
      <c r="BF31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2" s="9" t="e" cm="1">
        <f t="array" ref="BH31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2" s="9" t="e">
        <f>IF(AND(tbl_Case_mins[[#This Row],[ThOpenPM]]&gt;0,tbl_Case_mins[[#This Row],[AnaesthStart]]&gt;tbl_Case_mins[[#This Row],[ThOpenPM]],tbl_Case_mins[[#This Row],[First PM Case]]=1),tbl_Case_mins[[#This Row],[AnaesthStart]]-tbl_Case_mins[[#This Row],[ThOpenPM]],0)</f>
        <v>#REF!</v>
      </c>
      <c r="BL31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2" s="9" t="e" cm="1">
        <f t="array" ref="BN31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2" s="9" t="e">
        <f>IF(AND(tbl_Case_mins[[#This Row],[ThClosePm]]&gt;0,tbl_Case_mins[[#This Row],[Anaesth End]]&gt;tbl_Case_mins[[#This Row],[ThClosePm]],tbl_Case_mins[[#This Row],[AnaesthStart]]&gt;tbl_Case_mins[[#This Row],[ThClosePm]]),tbl_Case_mins[[#This Row],[Into Recov]]-tbl_Case_mins[[#This Row],[AnaesthStart]],0)</f>
        <v>#REF!</v>
      </c>
      <c r="BP312" s="9" t="e">
        <f>IF(AND(tbl_Case_mins[[#This Row],[AnaesthStart]]&lt;tbl_Case_mins[[#This Row],[ThClosePm]],tbl_Case_mins[[#This Row],[Anaesth End]]&gt;tbl_Case_mins[[#This Row],[ThClosePm]]),tbl_Case_mins[[#This Row],[Anaesth End]]-tbl_Case_mins[[#This Row],[ThClosePm]],0)</f>
        <v>#REF!</v>
      </c>
      <c r="BQ312" s="9" t="e" cm="1">
        <f t="array" ref="BQ31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2" s="9" t="e" cm="1">
        <f t="array" ref="BR312">IF(tbl_Case_mins[[#This Row],[Rank_Adjust]]=SUMPRODUCT(-(tbl_Case_mins[Surgery Start Date]=tbl_Case_mins[[#This Row],[Surgery Start Date]]),-(tbl_Case_mins[Theatre]=tbl_Case_mins[[#This Row],[Theatre]])),INDEX(Poss_Time,MATCH(TEXT(tbl_Case_mins[[#This Row],[Surgery Start Date]],"ddd"),Day,0)),0)</f>
        <v>#REF!</v>
      </c>
      <c r="BS312" s="9" t="e">
        <f>tbl_Case_mins[[#This Row],[Core_Time]]*Util_Goal</f>
        <v>#REF!</v>
      </c>
      <c r="BT312" s="9" t="e" cm="1">
        <f t="array" ref="BT3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2" s="9" t="e" cm="1">
        <f t="array" ref="BU3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2" s="9" t="e">
        <f>IF(tbl_Case_mins[[#This Row],[Surgery End Date]]&gt;tbl_Case_mins[[#This Row],[Surgery Start Date]],tbl_Case_mins[[#This Row],[Anaesth End]]-1440,0)</f>
        <v>#REF!</v>
      </c>
      <c r="BY312" s="9" t="e">
        <f>tbl_Case_mins[[#This Row],[Total_NonCore]]-tbl_Case_mins[[#This Row],[NextDay_NonCore]]</f>
        <v>#REF!</v>
      </c>
      <c r="BZ312" s="10" t="e">
        <f>tbl_Case_mins[[#This Row],[InCoreUse]]/60</f>
        <v>#REF!</v>
      </c>
      <c r="CA312" s="10" t="e">
        <f>tbl_Case_mins[[#This Row],[Total_NonCore]]/60</f>
        <v>#REF!</v>
      </c>
      <c r="CB312" t="e" cm="1">
        <f t="array" ref="CB3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2" s="9" t="e" cm="1">
        <f t="array" ref="CC31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2" s="9" t="e" cm="1">
        <f t="array" ref="CD3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2" s="9" t="e" cm="1">
        <f t="array" ref="CE31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2" s="9" cm="1">
        <f t="array" ref="CF312">IFERROR(_xlfn.AGGREGATE(14,6,(tbl_Case_mins[Rank_AnaEnd])/((tbl_Case_mins[Surgery Start Date]=tbl_Case_mins[[#This Row],[Surgery Start Date]])*(tbl_Case_mins[Theatre]=tbl_Case_mins[[#This Row],[Theatre]])*(tbl_Case_mins[NoInCoreTime]=0)),1),-1)</f>
        <v>-1</v>
      </c>
      <c r="CG312" s="9" cm="1">
        <f t="array" ref="CG312">IFERROR(_xlfn.AGGREGATE(15,6,(tbl_Case_mins[Rank_AnaSt])/((tbl_Case_mins[Surgery Start Date]=tbl_Case_mins[[#This Row],[Surgery Start Date]])*(tbl_Case_mins[Theatre]=tbl_Case_mins[[#This Row],[Theatre]])*(tbl_Case_mins[NoInCoreTime]=0)),1),-1)</f>
        <v>-1</v>
      </c>
      <c r="CH31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2" t="e" cm="1">
        <f t="array" ref="CJ31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2" s="9" cm="1">
        <f t="array" ref="CO3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2" s="9" cm="1">
        <f t="array" ref="CP3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2" s="9" cm="1">
        <f t="array" ref="CQ312">IFERROR(IF(AND(tbl_Case_mins[[#This Row],[FirstAMCase]]=0,tbl_Case_mins[[#This Row],[Rank]]=_xlfn.AGGREGATE(14,6,(tbl_Case_mins[Rank])/((tbl_Case_mins[Surgery Start Date]=tbl_Case_mins[[#This Row],[Surgery Start Date]])*(tbl_Case_mins[Theatre]=tbl_Case_mins[[#This Row],[Theatre]])*(tbl_Case_mins[AmCase]=1)),1)),1,0),0)</f>
        <v>0</v>
      </c>
      <c r="CR312" s="9" cm="1">
        <f t="array" ref="CR31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2" s="9" t="e" cm="1">
        <f t="array" ref="CS31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2" s="9" cm="1">
        <f t="array" ref="CT312">IFERROR(IF(tbl_Case_mins[[#This Row],[Rank]]=_xlfn.AGGREGATE(15,6,(tbl_Case_mins[Rank])/((tbl_Case_mins[Surgery Start Date]=tbl_Case_mins[[#This Row],[Surgery Start Date]])*(tbl_Case_mins[Theatre]=tbl_Case_mins[[#This Row],[Theatre]])*(tbl_Case_mins[PmCase]=1)),1),1,0),0)</f>
        <v>0</v>
      </c>
      <c r="CU312">
        <f>IFERROR(#REF!,0)</f>
        <v>0</v>
      </c>
      <c r="CV312" s="9" t="e" cm="1">
        <f t="array" ref="CV31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2" s="9">
        <f>IFERROR(IF(ISBLANK(INDEX(Bay_AmClose,MATCH(1,INDEX((tbl_Case_mins[[#This Row],[Bay]]=BayNo)*(tbl_Case_mins[[#This Row],[Surgery Start Date]]=BDate),0,1),0))*1440),0,INDEX(Bay_AmClose,MATCH(1,INDEX((tbl_Case_mins[[#This Row],[Bay]]=BayNo)*(tbl_Case_mins[[#This Row],[Surgery Start Date]]=BDate),0,1),0))*1440),0)</f>
        <v>0</v>
      </c>
      <c r="CX312" s="9" cm="1">
        <f t="array" ref="CX312">IFERROR(IF(ISBLANK(INDEX(Bay_PmOpen,MATCH(1,INDEX((tbl_Case_mins[[#This Row],[Bay]]=BayNo)*(tbl_Case_mins[[#This Row],[Surgery Start Date]]=BDate),0,1),0))*1440),0,INDEX(Bay_PmOpen,MATCH(1,INDEX((tbl_Case_mins[[#This Row],[Bay]]=BayNo)*(tbl_Case_mins[[#This Row],[Surgery Start Date]]=BDate),0,1),0))*1440),0)</f>
        <v>0</v>
      </c>
      <c r="CY31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2" s="9"/>
    </row>
    <row r="313" spans="1:104" x14ac:dyDescent="0.2">
      <c r="A313">
        <v>312</v>
      </c>
      <c r="B313" t="e">
        <f>#REF!</f>
        <v>#REF!</v>
      </c>
      <c r="C313" t="e">
        <f>#REF!</f>
        <v>#REF!</v>
      </c>
      <c r="D313" t="e">
        <f>#REF!</f>
        <v>#REF!</v>
      </c>
      <c r="E313" t="e">
        <f>#REF!</f>
        <v>#REF!</v>
      </c>
      <c r="F313" t="e">
        <f>#REF!</f>
        <v>#REF!</v>
      </c>
      <c r="G313" t="e">
        <f>#REF!</f>
        <v>#REF!</v>
      </c>
      <c r="H313" t="e">
        <f>#REF!</f>
        <v>#REF!</v>
      </c>
      <c r="I313" t="e">
        <f>IF(#REF!="Case Cancelled",1,IF(#REF!="No Cases",2,0))</f>
        <v>#REF!</v>
      </c>
      <c r="J313" t="e">
        <f>#REF!</f>
        <v>#REF!</v>
      </c>
      <c r="K313" s="4" t="e">
        <f>#REF!</f>
        <v>#REF!</v>
      </c>
      <c r="L313" t="e">
        <f>"Wk "&amp;WEEKNUM(tbl_Case_mins[[#This Row],[Surgery Start Date]],21)</f>
        <v>#REF!</v>
      </c>
      <c r="M313" t="e">
        <f>TEXT(tbl_Case_mins[[#This Row],[Surgery Start Date]],"ddd")</f>
        <v>#REF!</v>
      </c>
      <c r="N313" s="9" t="e">
        <f>(#REF!-TIME(0,0,0))*1440</f>
        <v>#REF!</v>
      </c>
      <c r="O313" t="e">
        <f>IF(AND(ROUND((#REF!-TIME(0,0,0))*1440,0)&gt;0,ROUND((#REF!-TIME(0,0,0))*1440,0)&lt;tbl_Case_mins[[#This Row],[Patient Called]],tbl_Case_mins[[#This Row],[Surgery End Date]]&gt;tbl_Case_mins[[#This Row],[Surgery Start Date]]),ROUND((#REF!-TIME(0,0,0))*1440,0)+1440,ROUND((#REF!-TIME(0,0,0))*1440,0))</f>
        <v>#REF!</v>
      </c>
      <c r="P313" s="9" t="e">
        <f>IF(AND(ROUND((#REF!-TIME(0,0,0))*1440,0)&gt;0,ROUND((#REF!-TIME(0,0,0))*1440,0)&lt;tbl_Case_mins[[#This Row],[Arrival]],tbl_Case_mins[[#This Row],[Surgery End Date]]&gt;tbl_Case_mins[[#This Row],[Surgery Start Date]]),ROUND((#REF!-TIME(0,0,0))*1440,0)+1440,ROUND((#REF!-TIME(0,0,0))*1440,0))</f>
        <v>#REF!</v>
      </c>
      <c r="Q313" s="9" t="e">
        <f>IF(AND(ROUND((#REF!-TIME(0,0,0))*1440,0)&gt;0,ROUND((#REF!-TIME(0,0,0))*1440,0)&lt;tbl_Case_mins[[#This Row],[Into Th or AR]],tbl_Case_mins[[#This Row],[Surgery End Date]]&gt;tbl_Case_mins[[#This Row],[Surgery Start Date]]),ROUND((#REF!-TIME(0,0,0))*1440,0)+1440,ROUND((#REF!-TIME(0,0,0))*1440,0))</f>
        <v>#REF!</v>
      </c>
      <c r="R313" s="9" t="e">
        <f>IF(AND(ROUND((#REF!-TIME(0,0,0))*1440,0)&gt;0,ROUND((#REF!-TIME(0,0,0))*1440,0)&lt;tbl_Case_mins[[#This Row],[AnaesthStart]],tbl_Case_mins[[#This Row],[Surgery End Date]]&gt;tbl_Case_mins[[#This Row],[Surgery Start Date]]),ROUND((#REF!-TIME(0,0,0))*1440,0)+1440,ROUND((#REF!-TIME(0,0,0))*1440,0))</f>
        <v>#REF!</v>
      </c>
      <c r="S313" s="9" t="e">
        <f>IF(AND(ROUND((#REF!-TIME(0,0,0))*1440,0),ROUND((#REF!-TIME(0,0,0))*1440,0)&lt;tbl_Case_mins[[#This Row],[Surgery Start]],tbl_Case_mins[[#This Row],[Surgery End Date]]&gt;tbl_Case_mins[[#This Row],[Surgery Start Date]]),ROUND((#REF!-TIME(0,0,0))*1440,0)+1440,ROUND((#REF!-TIME(0,0,0))*1440,0))</f>
        <v>#REF!</v>
      </c>
      <c r="T313" s="9" t="e">
        <f>IF(AND(ROUND((#REF!-TIME(0,0,0))*1440,0)&gt;0,ROUND((#REF!-TIME(0,0,0))*1440,0)&lt;tbl_Case_mins[[#This Row],[Surgery Finish]],tbl_Case_mins[[#This Row],[Surgery End Date]]&gt;tbl_Case_mins[[#This Row],[Surgery Start Date]]),ROUND((#REF!-TIME(0,0,0))*1440,0)+1440,ROUND((#REF!-TIME(0,0,0))*1440,0))</f>
        <v>#REF!</v>
      </c>
      <c r="U313" s="9" t="e">
        <f>IF(AND(ROUND((#REF!-TIME(0,0,0))*1440,0)&gt;0,ROUND((#REF!-TIME(0,0,0))*1440,0)&lt;tbl_Case_mins[[#This Row],[Anaesth End]],tbl_Case_mins[[#This Row],[Surgery End Date]]&gt;tbl_Case_mins[[#This Row],[Surgery Start Date]]),ROUND((#REF!-TIME(0,0,0))*1440,0)+1440,ROUND((#REF!-TIME(0,0,0))*1440,0))</f>
        <v>#REF!</v>
      </c>
      <c r="V313" s="9" t="e">
        <f>IF(AND(ROUND((#REF!-TIME(0,0,0))*1440,0)&gt;0,ROUND((#REF!-TIME(0,0,0))*1440,0)&lt;tbl_Case_mins[[#This Row],[Into Recov]],tbl_Case_mins[[#This Row],[Surgery End Date]]&gt;tbl_Case_mins[[#This Row],[Surgery Start Date]]),ROUND((#REF!-TIME(0,0,0))*1440,0)+1440,ROUND((#REF!-TIME(0,0,0))*1440,0))</f>
        <v>#REF!</v>
      </c>
      <c r="W313" s="9" t="e">
        <f>IF(AND(ROUND((#REF!-TIME(0,0,0))*1440,0)&gt;0,ROUND((#REF!-TIME(0,0,0))*1440,0)&lt;tbl_Case_mins[[#This Row],[Ward Called]],tbl_Case_mins[[#This Row],[Surgery End Date]]&gt;tbl_Case_mins[[#This Row],[Surgery Start Date]]),ROUND((#REF!-TIME(0,0,0))*1440,0)+1440,ROUND((#REF!-TIME(0,0,0))*1440,0))</f>
        <v>#REF!</v>
      </c>
      <c r="X313" s="4" t="e">
        <f>IF(ISBLANK(#REF!),tbl_Case_mins[[#This Row],[Surgery Start Date]],#REF!)</f>
        <v>#REF!</v>
      </c>
      <c r="Y313">
        <f>IFERROR(IF(VLOOKUP(tbl_Case_mins[[#This Row],[Theatre]],'Mng Theatres'!$C$7:$G$12,3,FALSE)="Yes","Yes","No"),0)</f>
        <v>0</v>
      </c>
      <c r="Z313" s="9" t="e" cm="1">
        <f t="array" ref="Z31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3" s="9" t="e" cm="1">
        <f t="array" ref="AA31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3" s="9" t="e">
        <f>IF(tbl_Case_mins[[#This Row],[Case Type]]="Unsch",1,0)</f>
        <v>#REF!</v>
      </c>
      <c r="AD313" s="9" t="e">
        <f>IF(tbl_Case_mins[[#This Row],[Case Type]]="Sch",1,0)</f>
        <v>#REF!</v>
      </c>
      <c r="AE31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3" s="9">
        <f>IFERROR(IF(ISBLANK(INDEX(Am_Close,MATCH(1,INDEX((tbl_Case_mins[[#This Row],[Theatre]]=Theatre_No)*(tbl_Case_mins[[#This Row],[Surgery Start Date]]=Date),0,1),0))*1440),0,INDEX(Am_Close,MATCH(1,INDEX((tbl_Case_mins[[#This Row],[Theatre]]=Theatre_No)*(tbl_Case_mins[[#This Row],[Surgery Start Date]]=Date),0,1),0))*1440),0)</f>
        <v>0</v>
      </c>
      <c r="AG313" s="9">
        <f>IFERROR(IF(ISBLANK(INDEX(PM_Open,MATCH(1,INDEX((tbl_Case_mins[[#This Row],[Theatre]]=Theatre_No)*(tbl_Case_mins[[#This Row],[Surgery Start Date]]=Date),0,1),0))*1440),0,INDEX(PM_Open,MATCH(1,INDEX((tbl_Case_mins[[#This Row],[Theatre]]=Theatre_No)*(tbl_Case_mins[[#This Row],[Surgery Start Date]]=Date),0,1),0))*1440),0)</f>
        <v>0</v>
      </c>
      <c r="AH31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3" s="9" t="e">
        <f>IF(tbl_Case_mins[[#This Row],[ThOpenAm]]=0,tbl_Case_mins[[#This Row],[ThOpenPM]],tbl_Case_mins[[#This Row],[ThOpenAm]])</f>
        <v>#REF!</v>
      </c>
      <c r="AJ313" s="9" t="e">
        <f>IF(tbl_Case_mins[[#This Row],[ThCloseAm]]&gt;0,IF(tbl_Case_mins[[#This Row],[ThOpenPM]]&gt;0,tbl_Case_mins[[#This Row],[ThClosePm]],tbl_Case_mins[[#This Row],[ThCloseAm]]),tbl_Case_mins[[#This Row],[ThClosePm]])</f>
        <v>#REF!</v>
      </c>
      <c r="AK313" s="9" t="e">
        <f>IF(tbl_Case_mins[[#This Row],[TOT]]&gt;0,1,0)</f>
        <v>#REF!</v>
      </c>
      <c r="AL31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3" s="9" t="e">
        <f>IF(AND(tbl_Case_mins[[#This Row],[Surgery Status]]&lt;&gt;2,tbl_Case_mins[[#This Row],[InCoreCase]]=0,tbl_Case_mins[[#This Row],[CancelledCase]]=0),1,0)</f>
        <v>#REF!</v>
      </c>
      <c r="AN313" s="9" t="e">
        <f>IF(tbl_Case_mins[[#This Row],[Surgery Status]]=1,1,0)</f>
        <v>#REF!</v>
      </c>
      <c r="AO31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3" s="9" t="e">
        <f>IF(AND(tbl_Case_mins[[#This Row],[NonCoreCase]]=1,tbl_Case_mins[[#This Row],[NoInCoreTime]]=0),1,0)</f>
        <v>#REF!</v>
      </c>
      <c r="AQ313" s="9" t="e">
        <f>IF(tbl_Case_mins[[#This Row],[Rank_AnaEnd]]&lt;tbl_Case_mins[[#This Row],[Rank_AnaSt]],1,0)</f>
        <v>#REF!</v>
      </c>
      <c r="AR313" s="9" t="e">
        <f>IF(AND(tbl_Case_mins[[#This Row],[InCoreCase]]=1,tbl_Case_mins[[#This Row],[Sch]]=1),1,0)</f>
        <v>#REF!</v>
      </c>
      <c r="AS313" s="9" t="e">
        <f>IF(AND(tbl_Case_mins[[#This Row],[InCoreCase]]=1,tbl_Case_mins[[#This Row],[Unsch]]=1),1,0)</f>
        <v>#REF!</v>
      </c>
      <c r="AT31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3" s="9" t="e">
        <f>IF(tbl_Case_mins[[#This Row],[Surgery Status]]=0,(tbl_Case_mins[[#This Row],[Anaesth End]]-tbl_Case_mins[[#This Row],[AnaesthStart]]),0)</f>
        <v>#REF!</v>
      </c>
      <c r="AX313" s="9" t="e">
        <f>IF(tbl_Case_mins[[#This Row],[Surgery Status]]=0,(tbl_Case_mins[[#This Row],[Surgery Finish]]-tbl_Case_mins[[#This Row],[Surgery Start]]),0)</f>
        <v>#REF!</v>
      </c>
      <c r="AY313" s="9" t="e">
        <f>tbl_Case_mins[[#This Row],[Surgery Start]]-tbl_Case_mins[[#This Row],[AnaesthStart]]</f>
        <v>#REF!</v>
      </c>
      <c r="AZ313" s="9" t="e">
        <f>tbl_Case_mins[[#This Row],[Anaesth End]]-tbl_Case_mins[[#This Row],[Surgery Finish]]</f>
        <v>#REF!</v>
      </c>
      <c r="BA31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3" s="16" cm="1">
        <f t="array" ref="BC31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3" s="16" t="e">
        <f>IF(AND(tbl_Case_mins[[#This Row],[FirstAMCase]]=1,tbl_Case_mins[[#This Row],[CancelledCase]]=0,OR(tbl_Case_mins[[#This Row],[EarlyStartAM]]&gt;0,tbl_Case_mins[[#This Row],[AnaesthStart]]=tbl_Case_mins[[#This Row],[ThOpenAm]])),1,0)</f>
        <v>#REF!</v>
      </c>
      <c r="BE313" s="16" t="e">
        <f>IF(AND(tbl_Case_mins[[#This Row],[Rank_AnaSt]]=tbl_Case_mins[[#This Row],[Min_RankAnaSt]],tbl_Case_mins[[#This Row],[Anaesth End]]&gt;=tbl_Case_mins[[#This Row],[ThOpenAm]],tbl_Case_mins[[#This Row],[PmCase]]=0),1,0)</f>
        <v>#REF!</v>
      </c>
      <c r="BF31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3" s="9" t="e" cm="1">
        <f t="array" ref="BH31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3" s="9" t="e">
        <f>IF(AND(tbl_Case_mins[[#This Row],[ThOpenPM]]&gt;0,tbl_Case_mins[[#This Row],[AnaesthStart]]&gt;tbl_Case_mins[[#This Row],[ThOpenPM]],tbl_Case_mins[[#This Row],[First PM Case]]=1),tbl_Case_mins[[#This Row],[AnaesthStart]]-tbl_Case_mins[[#This Row],[ThOpenPM]],0)</f>
        <v>#REF!</v>
      </c>
      <c r="BL31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3" s="9" t="e" cm="1">
        <f t="array" ref="BN31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3" s="9" t="e">
        <f>IF(AND(tbl_Case_mins[[#This Row],[ThClosePm]]&gt;0,tbl_Case_mins[[#This Row],[Anaesth End]]&gt;tbl_Case_mins[[#This Row],[ThClosePm]],tbl_Case_mins[[#This Row],[AnaesthStart]]&gt;tbl_Case_mins[[#This Row],[ThClosePm]]),tbl_Case_mins[[#This Row],[Into Recov]]-tbl_Case_mins[[#This Row],[AnaesthStart]],0)</f>
        <v>#REF!</v>
      </c>
      <c r="BP313" s="9" t="e">
        <f>IF(AND(tbl_Case_mins[[#This Row],[AnaesthStart]]&lt;tbl_Case_mins[[#This Row],[ThClosePm]],tbl_Case_mins[[#This Row],[Anaesth End]]&gt;tbl_Case_mins[[#This Row],[ThClosePm]]),tbl_Case_mins[[#This Row],[Anaesth End]]-tbl_Case_mins[[#This Row],[ThClosePm]],0)</f>
        <v>#REF!</v>
      </c>
      <c r="BQ313" s="9" t="e" cm="1">
        <f t="array" ref="BQ31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3" s="9" t="e" cm="1">
        <f t="array" ref="BR313">IF(tbl_Case_mins[[#This Row],[Rank_Adjust]]=SUMPRODUCT(-(tbl_Case_mins[Surgery Start Date]=tbl_Case_mins[[#This Row],[Surgery Start Date]]),-(tbl_Case_mins[Theatre]=tbl_Case_mins[[#This Row],[Theatre]])),INDEX(Poss_Time,MATCH(TEXT(tbl_Case_mins[[#This Row],[Surgery Start Date]],"ddd"),Day,0)),0)</f>
        <v>#REF!</v>
      </c>
      <c r="BS313" s="9" t="e">
        <f>tbl_Case_mins[[#This Row],[Core_Time]]*Util_Goal</f>
        <v>#REF!</v>
      </c>
      <c r="BT313" s="9" t="e" cm="1">
        <f t="array" ref="BT3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3" s="9" t="e" cm="1">
        <f t="array" ref="BU3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3" s="9" t="e">
        <f>IF(tbl_Case_mins[[#This Row],[Surgery End Date]]&gt;tbl_Case_mins[[#This Row],[Surgery Start Date]],tbl_Case_mins[[#This Row],[Anaesth End]]-1440,0)</f>
        <v>#REF!</v>
      </c>
      <c r="BY313" s="9" t="e">
        <f>tbl_Case_mins[[#This Row],[Total_NonCore]]-tbl_Case_mins[[#This Row],[NextDay_NonCore]]</f>
        <v>#REF!</v>
      </c>
      <c r="BZ313" s="10" t="e">
        <f>tbl_Case_mins[[#This Row],[InCoreUse]]/60</f>
        <v>#REF!</v>
      </c>
      <c r="CA313" s="10" t="e">
        <f>tbl_Case_mins[[#This Row],[Total_NonCore]]/60</f>
        <v>#REF!</v>
      </c>
      <c r="CB313" t="e" cm="1">
        <f t="array" ref="CB3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3" s="9" t="e" cm="1">
        <f t="array" ref="CC31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3" s="9" t="e" cm="1">
        <f t="array" ref="CD3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3" s="9" t="e" cm="1">
        <f t="array" ref="CE31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3" s="9" cm="1">
        <f t="array" ref="CF313">IFERROR(_xlfn.AGGREGATE(14,6,(tbl_Case_mins[Rank_AnaEnd])/((tbl_Case_mins[Surgery Start Date]=tbl_Case_mins[[#This Row],[Surgery Start Date]])*(tbl_Case_mins[Theatre]=tbl_Case_mins[[#This Row],[Theatre]])*(tbl_Case_mins[NoInCoreTime]=0)),1),-1)</f>
        <v>-1</v>
      </c>
      <c r="CG313" s="9" cm="1">
        <f t="array" ref="CG313">IFERROR(_xlfn.AGGREGATE(15,6,(tbl_Case_mins[Rank_AnaSt])/((tbl_Case_mins[Surgery Start Date]=tbl_Case_mins[[#This Row],[Surgery Start Date]])*(tbl_Case_mins[Theatre]=tbl_Case_mins[[#This Row],[Theatre]])*(tbl_Case_mins[NoInCoreTime]=0)),1),-1)</f>
        <v>-1</v>
      </c>
      <c r="CH31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3" t="e" cm="1">
        <f t="array" ref="CJ31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3" s="9" cm="1">
        <f t="array" ref="CO3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3" s="9" cm="1">
        <f t="array" ref="CP3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3" s="9" cm="1">
        <f t="array" ref="CQ313">IFERROR(IF(AND(tbl_Case_mins[[#This Row],[FirstAMCase]]=0,tbl_Case_mins[[#This Row],[Rank]]=_xlfn.AGGREGATE(14,6,(tbl_Case_mins[Rank])/((tbl_Case_mins[Surgery Start Date]=tbl_Case_mins[[#This Row],[Surgery Start Date]])*(tbl_Case_mins[Theatre]=tbl_Case_mins[[#This Row],[Theatre]])*(tbl_Case_mins[AmCase]=1)),1)),1,0),0)</f>
        <v>0</v>
      </c>
      <c r="CR313" s="9" cm="1">
        <f t="array" ref="CR31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3" s="9" t="e" cm="1">
        <f t="array" ref="CS31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3" s="9" cm="1">
        <f t="array" ref="CT313">IFERROR(IF(tbl_Case_mins[[#This Row],[Rank]]=_xlfn.AGGREGATE(15,6,(tbl_Case_mins[Rank])/((tbl_Case_mins[Surgery Start Date]=tbl_Case_mins[[#This Row],[Surgery Start Date]])*(tbl_Case_mins[Theatre]=tbl_Case_mins[[#This Row],[Theatre]])*(tbl_Case_mins[PmCase]=1)),1),1,0),0)</f>
        <v>0</v>
      </c>
      <c r="CU313">
        <f>IFERROR(#REF!,0)</f>
        <v>0</v>
      </c>
      <c r="CV313" s="9" t="e" cm="1">
        <f t="array" ref="CV31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3" s="9">
        <f>IFERROR(IF(ISBLANK(INDEX(Bay_AmClose,MATCH(1,INDEX((tbl_Case_mins[[#This Row],[Bay]]=BayNo)*(tbl_Case_mins[[#This Row],[Surgery Start Date]]=BDate),0,1),0))*1440),0,INDEX(Bay_AmClose,MATCH(1,INDEX((tbl_Case_mins[[#This Row],[Bay]]=BayNo)*(tbl_Case_mins[[#This Row],[Surgery Start Date]]=BDate),0,1),0))*1440),0)</f>
        <v>0</v>
      </c>
      <c r="CX313" s="9" cm="1">
        <f t="array" ref="CX313">IFERROR(IF(ISBLANK(INDEX(Bay_PmOpen,MATCH(1,INDEX((tbl_Case_mins[[#This Row],[Bay]]=BayNo)*(tbl_Case_mins[[#This Row],[Surgery Start Date]]=BDate),0,1),0))*1440),0,INDEX(Bay_PmOpen,MATCH(1,INDEX((tbl_Case_mins[[#This Row],[Bay]]=BayNo)*(tbl_Case_mins[[#This Row],[Surgery Start Date]]=BDate),0,1),0))*1440),0)</f>
        <v>0</v>
      </c>
      <c r="CY31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3" s="9"/>
    </row>
    <row r="314" spans="1:104" x14ac:dyDescent="0.2">
      <c r="A314">
        <v>313</v>
      </c>
      <c r="B314" t="e">
        <f>#REF!</f>
        <v>#REF!</v>
      </c>
      <c r="C314" t="e">
        <f>#REF!</f>
        <v>#REF!</v>
      </c>
      <c r="D314" t="e">
        <f>#REF!</f>
        <v>#REF!</v>
      </c>
      <c r="E314" t="e">
        <f>#REF!</f>
        <v>#REF!</v>
      </c>
      <c r="F314" t="e">
        <f>#REF!</f>
        <v>#REF!</v>
      </c>
      <c r="G314" t="e">
        <f>#REF!</f>
        <v>#REF!</v>
      </c>
      <c r="H314" t="e">
        <f>#REF!</f>
        <v>#REF!</v>
      </c>
      <c r="I314" t="e">
        <f>IF(#REF!="Case Cancelled",1,IF(#REF!="No Cases",2,0))</f>
        <v>#REF!</v>
      </c>
      <c r="J314" t="e">
        <f>#REF!</f>
        <v>#REF!</v>
      </c>
      <c r="K314" s="4" t="e">
        <f>#REF!</f>
        <v>#REF!</v>
      </c>
      <c r="L314" t="e">
        <f>"Wk "&amp;WEEKNUM(tbl_Case_mins[[#This Row],[Surgery Start Date]],21)</f>
        <v>#REF!</v>
      </c>
      <c r="M314" t="e">
        <f>TEXT(tbl_Case_mins[[#This Row],[Surgery Start Date]],"ddd")</f>
        <v>#REF!</v>
      </c>
      <c r="N314" s="9" t="e">
        <f>(#REF!-TIME(0,0,0))*1440</f>
        <v>#REF!</v>
      </c>
      <c r="O314" t="e">
        <f>IF(AND(ROUND((#REF!-TIME(0,0,0))*1440,0)&gt;0,ROUND((#REF!-TIME(0,0,0))*1440,0)&lt;tbl_Case_mins[[#This Row],[Patient Called]],tbl_Case_mins[[#This Row],[Surgery End Date]]&gt;tbl_Case_mins[[#This Row],[Surgery Start Date]]),ROUND((#REF!-TIME(0,0,0))*1440,0)+1440,ROUND((#REF!-TIME(0,0,0))*1440,0))</f>
        <v>#REF!</v>
      </c>
      <c r="P314" s="9" t="e">
        <f>IF(AND(ROUND((#REF!-TIME(0,0,0))*1440,0)&gt;0,ROUND((#REF!-TIME(0,0,0))*1440,0)&lt;tbl_Case_mins[[#This Row],[Arrival]],tbl_Case_mins[[#This Row],[Surgery End Date]]&gt;tbl_Case_mins[[#This Row],[Surgery Start Date]]),ROUND((#REF!-TIME(0,0,0))*1440,0)+1440,ROUND((#REF!-TIME(0,0,0))*1440,0))</f>
        <v>#REF!</v>
      </c>
      <c r="Q314" s="9" t="e">
        <f>IF(AND(ROUND((#REF!-TIME(0,0,0))*1440,0)&gt;0,ROUND((#REF!-TIME(0,0,0))*1440,0)&lt;tbl_Case_mins[[#This Row],[Into Th or AR]],tbl_Case_mins[[#This Row],[Surgery End Date]]&gt;tbl_Case_mins[[#This Row],[Surgery Start Date]]),ROUND((#REF!-TIME(0,0,0))*1440,0)+1440,ROUND((#REF!-TIME(0,0,0))*1440,0))</f>
        <v>#REF!</v>
      </c>
      <c r="R314" s="9" t="e">
        <f>IF(AND(ROUND((#REF!-TIME(0,0,0))*1440,0)&gt;0,ROUND((#REF!-TIME(0,0,0))*1440,0)&lt;tbl_Case_mins[[#This Row],[AnaesthStart]],tbl_Case_mins[[#This Row],[Surgery End Date]]&gt;tbl_Case_mins[[#This Row],[Surgery Start Date]]),ROUND((#REF!-TIME(0,0,0))*1440,0)+1440,ROUND((#REF!-TIME(0,0,0))*1440,0))</f>
        <v>#REF!</v>
      </c>
      <c r="S314" s="9" t="e">
        <f>IF(AND(ROUND((#REF!-TIME(0,0,0))*1440,0),ROUND((#REF!-TIME(0,0,0))*1440,0)&lt;tbl_Case_mins[[#This Row],[Surgery Start]],tbl_Case_mins[[#This Row],[Surgery End Date]]&gt;tbl_Case_mins[[#This Row],[Surgery Start Date]]),ROUND((#REF!-TIME(0,0,0))*1440,0)+1440,ROUND((#REF!-TIME(0,0,0))*1440,0))</f>
        <v>#REF!</v>
      </c>
      <c r="T314" s="9" t="e">
        <f>IF(AND(ROUND((#REF!-TIME(0,0,0))*1440,0)&gt;0,ROUND((#REF!-TIME(0,0,0))*1440,0)&lt;tbl_Case_mins[[#This Row],[Surgery Finish]],tbl_Case_mins[[#This Row],[Surgery End Date]]&gt;tbl_Case_mins[[#This Row],[Surgery Start Date]]),ROUND((#REF!-TIME(0,0,0))*1440,0)+1440,ROUND((#REF!-TIME(0,0,0))*1440,0))</f>
        <v>#REF!</v>
      </c>
      <c r="U314" s="9" t="e">
        <f>IF(AND(ROUND((#REF!-TIME(0,0,0))*1440,0)&gt;0,ROUND((#REF!-TIME(0,0,0))*1440,0)&lt;tbl_Case_mins[[#This Row],[Anaesth End]],tbl_Case_mins[[#This Row],[Surgery End Date]]&gt;tbl_Case_mins[[#This Row],[Surgery Start Date]]),ROUND((#REF!-TIME(0,0,0))*1440,0)+1440,ROUND((#REF!-TIME(0,0,0))*1440,0))</f>
        <v>#REF!</v>
      </c>
      <c r="V314" s="9" t="e">
        <f>IF(AND(ROUND((#REF!-TIME(0,0,0))*1440,0)&gt;0,ROUND((#REF!-TIME(0,0,0))*1440,0)&lt;tbl_Case_mins[[#This Row],[Into Recov]],tbl_Case_mins[[#This Row],[Surgery End Date]]&gt;tbl_Case_mins[[#This Row],[Surgery Start Date]]),ROUND((#REF!-TIME(0,0,0))*1440,0)+1440,ROUND((#REF!-TIME(0,0,0))*1440,0))</f>
        <v>#REF!</v>
      </c>
      <c r="W314" s="9" t="e">
        <f>IF(AND(ROUND((#REF!-TIME(0,0,0))*1440,0)&gt;0,ROUND((#REF!-TIME(0,0,0))*1440,0)&lt;tbl_Case_mins[[#This Row],[Ward Called]],tbl_Case_mins[[#This Row],[Surgery End Date]]&gt;tbl_Case_mins[[#This Row],[Surgery Start Date]]),ROUND((#REF!-TIME(0,0,0))*1440,0)+1440,ROUND((#REF!-TIME(0,0,0))*1440,0))</f>
        <v>#REF!</v>
      </c>
      <c r="X314" s="4" t="e">
        <f>IF(ISBLANK(#REF!),tbl_Case_mins[[#This Row],[Surgery Start Date]],#REF!)</f>
        <v>#REF!</v>
      </c>
      <c r="Y314">
        <f>IFERROR(IF(VLOOKUP(tbl_Case_mins[[#This Row],[Theatre]],'Mng Theatres'!$C$7:$G$12,3,FALSE)="Yes","Yes","No"),0)</f>
        <v>0</v>
      </c>
      <c r="Z314" s="9" t="e" cm="1">
        <f t="array" ref="Z31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4" s="9" t="e" cm="1">
        <f t="array" ref="AA31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4" s="9" t="e">
        <f>IF(tbl_Case_mins[[#This Row],[Case Type]]="Unsch",1,0)</f>
        <v>#REF!</v>
      </c>
      <c r="AD314" s="9" t="e">
        <f>IF(tbl_Case_mins[[#This Row],[Case Type]]="Sch",1,0)</f>
        <v>#REF!</v>
      </c>
      <c r="AE31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4" s="9">
        <f>IFERROR(IF(ISBLANK(INDEX(Am_Close,MATCH(1,INDEX((tbl_Case_mins[[#This Row],[Theatre]]=Theatre_No)*(tbl_Case_mins[[#This Row],[Surgery Start Date]]=Date),0,1),0))*1440),0,INDEX(Am_Close,MATCH(1,INDEX((tbl_Case_mins[[#This Row],[Theatre]]=Theatre_No)*(tbl_Case_mins[[#This Row],[Surgery Start Date]]=Date),0,1),0))*1440),0)</f>
        <v>0</v>
      </c>
      <c r="AG314" s="9">
        <f>IFERROR(IF(ISBLANK(INDEX(PM_Open,MATCH(1,INDEX((tbl_Case_mins[[#This Row],[Theatre]]=Theatre_No)*(tbl_Case_mins[[#This Row],[Surgery Start Date]]=Date),0,1),0))*1440),0,INDEX(PM_Open,MATCH(1,INDEX((tbl_Case_mins[[#This Row],[Theatre]]=Theatre_No)*(tbl_Case_mins[[#This Row],[Surgery Start Date]]=Date),0,1),0))*1440),0)</f>
        <v>0</v>
      </c>
      <c r="AH31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4" s="9" t="e">
        <f>IF(tbl_Case_mins[[#This Row],[ThOpenAm]]=0,tbl_Case_mins[[#This Row],[ThOpenPM]],tbl_Case_mins[[#This Row],[ThOpenAm]])</f>
        <v>#REF!</v>
      </c>
      <c r="AJ314" s="9" t="e">
        <f>IF(tbl_Case_mins[[#This Row],[ThCloseAm]]&gt;0,IF(tbl_Case_mins[[#This Row],[ThOpenPM]]&gt;0,tbl_Case_mins[[#This Row],[ThClosePm]],tbl_Case_mins[[#This Row],[ThCloseAm]]),tbl_Case_mins[[#This Row],[ThClosePm]])</f>
        <v>#REF!</v>
      </c>
      <c r="AK314" s="9" t="e">
        <f>IF(tbl_Case_mins[[#This Row],[TOT]]&gt;0,1,0)</f>
        <v>#REF!</v>
      </c>
      <c r="AL31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4" s="9" t="e">
        <f>IF(AND(tbl_Case_mins[[#This Row],[Surgery Status]]&lt;&gt;2,tbl_Case_mins[[#This Row],[InCoreCase]]=0,tbl_Case_mins[[#This Row],[CancelledCase]]=0),1,0)</f>
        <v>#REF!</v>
      </c>
      <c r="AN314" s="9" t="e">
        <f>IF(tbl_Case_mins[[#This Row],[Surgery Status]]=1,1,0)</f>
        <v>#REF!</v>
      </c>
      <c r="AO31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4" s="9" t="e">
        <f>IF(AND(tbl_Case_mins[[#This Row],[NonCoreCase]]=1,tbl_Case_mins[[#This Row],[NoInCoreTime]]=0),1,0)</f>
        <v>#REF!</v>
      </c>
      <c r="AQ314" s="9" t="e">
        <f>IF(tbl_Case_mins[[#This Row],[Rank_AnaEnd]]&lt;tbl_Case_mins[[#This Row],[Rank_AnaSt]],1,0)</f>
        <v>#REF!</v>
      </c>
      <c r="AR314" s="9" t="e">
        <f>IF(AND(tbl_Case_mins[[#This Row],[InCoreCase]]=1,tbl_Case_mins[[#This Row],[Sch]]=1),1,0)</f>
        <v>#REF!</v>
      </c>
      <c r="AS314" s="9" t="e">
        <f>IF(AND(tbl_Case_mins[[#This Row],[InCoreCase]]=1,tbl_Case_mins[[#This Row],[Unsch]]=1),1,0)</f>
        <v>#REF!</v>
      </c>
      <c r="AT31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4" s="9" t="e">
        <f>IF(tbl_Case_mins[[#This Row],[Surgery Status]]=0,(tbl_Case_mins[[#This Row],[Anaesth End]]-tbl_Case_mins[[#This Row],[AnaesthStart]]),0)</f>
        <v>#REF!</v>
      </c>
      <c r="AX314" s="9" t="e">
        <f>IF(tbl_Case_mins[[#This Row],[Surgery Status]]=0,(tbl_Case_mins[[#This Row],[Surgery Finish]]-tbl_Case_mins[[#This Row],[Surgery Start]]),0)</f>
        <v>#REF!</v>
      </c>
      <c r="AY314" s="9" t="e">
        <f>tbl_Case_mins[[#This Row],[Surgery Start]]-tbl_Case_mins[[#This Row],[AnaesthStart]]</f>
        <v>#REF!</v>
      </c>
      <c r="AZ314" s="9" t="e">
        <f>tbl_Case_mins[[#This Row],[Anaesth End]]-tbl_Case_mins[[#This Row],[Surgery Finish]]</f>
        <v>#REF!</v>
      </c>
      <c r="BA31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4" s="16" cm="1">
        <f t="array" ref="BC31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4" s="16" t="e">
        <f>IF(AND(tbl_Case_mins[[#This Row],[FirstAMCase]]=1,tbl_Case_mins[[#This Row],[CancelledCase]]=0,OR(tbl_Case_mins[[#This Row],[EarlyStartAM]]&gt;0,tbl_Case_mins[[#This Row],[AnaesthStart]]=tbl_Case_mins[[#This Row],[ThOpenAm]])),1,0)</f>
        <v>#REF!</v>
      </c>
      <c r="BE314" s="16" t="e">
        <f>IF(AND(tbl_Case_mins[[#This Row],[Rank_AnaSt]]=tbl_Case_mins[[#This Row],[Min_RankAnaSt]],tbl_Case_mins[[#This Row],[Anaesth End]]&gt;=tbl_Case_mins[[#This Row],[ThOpenAm]],tbl_Case_mins[[#This Row],[PmCase]]=0),1,0)</f>
        <v>#REF!</v>
      </c>
      <c r="BF31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4" s="9" t="e" cm="1">
        <f t="array" ref="BH31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4" s="9" t="e">
        <f>IF(AND(tbl_Case_mins[[#This Row],[ThOpenPM]]&gt;0,tbl_Case_mins[[#This Row],[AnaesthStart]]&gt;tbl_Case_mins[[#This Row],[ThOpenPM]],tbl_Case_mins[[#This Row],[First PM Case]]=1),tbl_Case_mins[[#This Row],[AnaesthStart]]-tbl_Case_mins[[#This Row],[ThOpenPM]],0)</f>
        <v>#REF!</v>
      </c>
      <c r="BL31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4" s="9" t="e" cm="1">
        <f t="array" ref="BN31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4" s="9" t="e">
        <f>IF(AND(tbl_Case_mins[[#This Row],[ThClosePm]]&gt;0,tbl_Case_mins[[#This Row],[Anaesth End]]&gt;tbl_Case_mins[[#This Row],[ThClosePm]],tbl_Case_mins[[#This Row],[AnaesthStart]]&gt;tbl_Case_mins[[#This Row],[ThClosePm]]),tbl_Case_mins[[#This Row],[Into Recov]]-tbl_Case_mins[[#This Row],[AnaesthStart]],0)</f>
        <v>#REF!</v>
      </c>
      <c r="BP314" s="9" t="e">
        <f>IF(AND(tbl_Case_mins[[#This Row],[AnaesthStart]]&lt;tbl_Case_mins[[#This Row],[ThClosePm]],tbl_Case_mins[[#This Row],[Anaesth End]]&gt;tbl_Case_mins[[#This Row],[ThClosePm]]),tbl_Case_mins[[#This Row],[Anaesth End]]-tbl_Case_mins[[#This Row],[ThClosePm]],0)</f>
        <v>#REF!</v>
      </c>
      <c r="BQ314" s="9" t="e" cm="1">
        <f t="array" ref="BQ31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4" s="9" t="e" cm="1">
        <f t="array" ref="BR314">IF(tbl_Case_mins[[#This Row],[Rank_Adjust]]=SUMPRODUCT(-(tbl_Case_mins[Surgery Start Date]=tbl_Case_mins[[#This Row],[Surgery Start Date]]),-(tbl_Case_mins[Theatre]=tbl_Case_mins[[#This Row],[Theatre]])),INDEX(Poss_Time,MATCH(TEXT(tbl_Case_mins[[#This Row],[Surgery Start Date]],"ddd"),Day,0)),0)</f>
        <v>#REF!</v>
      </c>
      <c r="BS314" s="9" t="e">
        <f>tbl_Case_mins[[#This Row],[Core_Time]]*Util_Goal</f>
        <v>#REF!</v>
      </c>
      <c r="BT314" s="9" t="e" cm="1">
        <f t="array" ref="BT3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4" s="9" t="e" cm="1">
        <f t="array" ref="BU3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4" s="9" t="e">
        <f>IF(tbl_Case_mins[[#This Row],[Surgery End Date]]&gt;tbl_Case_mins[[#This Row],[Surgery Start Date]],tbl_Case_mins[[#This Row],[Anaesth End]]-1440,0)</f>
        <v>#REF!</v>
      </c>
      <c r="BY314" s="9" t="e">
        <f>tbl_Case_mins[[#This Row],[Total_NonCore]]-tbl_Case_mins[[#This Row],[NextDay_NonCore]]</f>
        <v>#REF!</v>
      </c>
      <c r="BZ314" s="10" t="e">
        <f>tbl_Case_mins[[#This Row],[InCoreUse]]/60</f>
        <v>#REF!</v>
      </c>
      <c r="CA314" s="10" t="e">
        <f>tbl_Case_mins[[#This Row],[Total_NonCore]]/60</f>
        <v>#REF!</v>
      </c>
      <c r="CB314" t="e" cm="1">
        <f t="array" ref="CB3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4" s="9" t="e" cm="1">
        <f t="array" ref="CC31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4" s="9" t="e" cm="1">
        <f t="array" ref="CD3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4" s="9" t="e" cm="1">
        <f t="array" ref="CE31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4" s="9" cm="1">
        <f t="array" ref="CF314">IFERROR(_xlfn.AGGREGATE(14,6,(tbl_Case_mins[Rank_AnaEnd])/((tbl_Case_mins[Surgery Start Date]=tbl_Case_mins[[#This Row],[Surgery Start Date]])*(tbl_Case_mins[Theatre]=tbl_Case_mins[[#This Row],[Theatre]])*(tbl_Case_mins[NoInCoreTime]=0)),1),-1)</f>
        <v>-1</v>
      </c>
      <c r="CG314" s="9" cm="1">
        <f t="array" ref="CG314">IFERROR(_xlfn.AGGREGATE(15,6,(tbl_Case_mins[Rank_AnaSt])/((tbl_Case_mins[Surgery Start Date]=tbl_Case_mins[[#This Row],[Surgery Start Date]])*(tbl_Case_mins[Theatre]=tbl_Case_mins[[#This Row],[Theatre]])*(tbl_Case_mins[NoInCoreTime]=0)),1),-1)</f>
        <v>-1</v>
      </c>
      <c r="CH31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4" t="e" cm="1">
        <f t="array" ref="CJ31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4" s="9" cm="1">
        <f t="array" ref="CO3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4" s="9" cm="1">
        <f t="array" ref="CP3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4" s="9" cm="1">
        <f t="array" ref="CQ314">IFERROR(IF(AND(tbl_Case_mins[[#This Row],[FirstAMCase]]=0,tbl_Case_mins[[#This Row],[Rank]]=_xlfn.AGGREGATE(14,6,(tbl_Case_mins[Rank])/((tbl_Case_mins[Surgery Start Date]=tbl_Case_mins[[#This Row],[Surgery Start Date]])*(tbl_Case_mins[Theatre]=tbl_Case_mins[[#This Row],[Theatre]])*(tbl_Case_mins[AmCase]=1)),1)),1,0),0)</f>
        <v>0</v>
      </c>
      <c r="CR314" s="9" cm="1">
        <f t="array" ref="CR31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4" s="9" t="e" cm="1">
        <f t="array" ref="CS31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4" s="9" cm="1">
        <f t="array" ref="CT314">IFERROR(IF(tbl_Case_mins[[#This Row],[Rank]]=_xlfn.AGGREGATE(15,6,(tbl_Case_mins[Rank])/((tbl_Case_mins[Surgery Start Date]=tbl_Case_mins[[#This Row],[Surgery Start Date]])*(tbl_Case_mins[Theatre]=tbl_Case_mins[[#This Row],[Theatre]])*(tbl_Case_mins[PmCase]=1)),1),1,0),0)</f>
        <v>0</v>
      </c>
      <c r="CU314">
        <f>IFERROR(#REF!,0)</f>
        <v>0</v>
      </c>
      <c r="CV314" s="9" t="e" cm="1">
        <f t="array" ref="CV31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4" s="9">
        <f>IFERROR(IF(ISBLANK(INDEX(Bay_AmClose,MATCH(1,INDEX((tbl_Case_mins[[#This Row],[Bay]]=BayNo)*(tbl_Case_mins[[#This Row],[Surgery Start Date]]=BDate),0,1),0))*1440),0,INDEX(Bay_AmClose,MATCH(1,INDEX((tbl_Case_mins[[#This Row],[Bay]]=BayNo)*(tbl_Case_mins[[#This Row],[Surgery Start Date]]=BDate),0,1),0))*1440),0)</f>
        <v>0</v>
      </c>
      <c r="CX314" s="9" cm="1">
        <f t="array" ref="CX314">IFERROR(IF(ISBLANK(INDEX(Bay_PmOpen,MATCH(1,INDEX((tbl_Case_mins[[#This Row],[Bay]]=BayNo)*(tbl_Case_mins[[#This Row],[Surgery Start Date]]=BDate),0,1),0))*1440),0,INDEX(Bay_PmOpen,MATCH(1,INDEX((tbl_Case_mins[[#This Row],[Bay]]=BayNo)*(tbl_Case_mins[[#This Row],[Surgery Start Date]]=BDate),0,1),0))*1440),0)</f>
        <v>0</v>
      </c>
      <c r="CY31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4" s="9"/>
    </row>
    <row r="315" spans="1:104" x14ac:dyDescent="0.2">
      <c r="A315">
        <v>314</v>
      </c>
      <c r="B315" t="e">
        <f>#REF!</f>
        <v>#REF!</v>
      </c>
      <c r="C315" t="e">
        <f>#REF!</f>
        <v>#REF!</v>
      </c>
      <c r="D315" t="e">
        <f>#REF!</f>
        <v>#REF!</v>
      </c>
      <c r="E315" t="e">
        <f>#REF!</f>
        <v>#REF!</v>
      </c>
      <c r="F315" t="e">
        <f>#REF!</f>
        <v>#REF!</v>
      </c>
      <c r="G315" t="e">
        <f>#REF!</f>
        <v>#REF!</v>
      </c>
      <c r="H315" t="e">
        <f>#REF!</f>
        <v>#REF!</v>
      </c>
      <c r="I315" t="e">
        <f>IF(#REF!="Case Cancelled",1,IF(#REF!="No Cases",2,0))</f>
        <v>#REF!</v>
      </c>
      <c r="J315" t="e">
        <f>#REF!</f>
        <v>#REF!</v>
      </c>
      <c r="K315" s="4" t="e">
        <f>#REF!</f>
        <v>#REF!</v>
      </c>
      <c r="L315" t="e">
        <f>"Wk "&amp;WEEKNUM(tbl_Case_mins[[#This Row],[Surgery Start Date]],21)</f>
        <v>#REF!</v>
      </c>
      <c r="M315" t="e">
        <f>TEXT(tbl_Case_mins[[#This Row],[Surgery Start Date]],"ddd")</f>
        <v>#REF!</v>
      </c>
      <c r="N315" s="9" t="e">
        <f>(#REF!-TIME(0,0,0))*1440</f>
        <v>#REF!</v>
      </c>
      <c r="O315" t="e">
        <f>IF(AND(ROUND((#REF!-TIME(0,0,0))*1440,0)&gt;0,ROUND((#REF!-TIME(0,0,0))*1440,0)&lt;tbl_Case_mins[[#This Row],[Patient Called]],tbl_Case_mins[[#This Row],[Surgery End Date]]&gt;tbl_Case_mins[[#This Row],[Surgery Start Date]]),ROUND((#REF!-TIME(0,0,0))*1440,0)+1440,ROUND((#REF!-TIME(0,0,0))*1440,0))</f>
        <v>#REF!</v>
      </c>
      <c r="P315" s="9" t="e">
        <f>IF(AND(ROUND((#REF!-TIME(0,0,0))*1440,0)&gt;0,ROUND((#REF!-TIME(0,0,0))*1440,0)&lt;tbl_Case_mins[[#This Row],[Arrival]],tbl_Case_mins[[#This Row],[Surgery End Date]]&gt;tbl_Case_mins[[#This Row],[Surgery Start Date]]),ROUND((#REF!-TIME(0,0,0))*1440,0)+1440,ROUND((#REF!-TIME(0,0,0))*1440,0))</f>
        <v>#REF!</v>
      </c>
      <c r="Q315" s="9" t="e">
        <f>IF(AND(ROUND((#REF!-TIME(0,0,0))*1440,0)&gt;0,ROUND((#REF!-TIME(0,0,0))*1440,0)&lt;tbl_Case_mins[[#This Row],[Into Th or AR]],tbl_Case_mins[[#This Row],[Surgery End Date]]&gt;tbl_Case_mins[[#This Row],[Surgery Start Date]]),ROUND((#REF!-TIME(0,0,0))*1440,0)+1440,ROUND((#REF!-TIME(0,0,0))*1440,0))</f>
        <v>#REF!</v>
      </c>
      <c r="R315" s="9" t="e">
        <f>IF(AND(ROUND((#REF!-TIME(0,0,0))*1440,0)&gt;0,ROUND((#REF!-TIME(0,0,0))*1440,0)&lt;tbl_Case_mins[[#This Row],[AnaesthStart]],tbl_Case_mins[[#This Row],[Surgery End Date]]&gt;tbl_Case_mins[[#This Row],[Surgery Start Date]]),ROUND((#REF!-TIME(0,0,0))*1440,0)+1440,ROUND((#REF!-TIME(0,0,0))*1440,0))</f>
        <v>#REF!</v>
      </c>
      <c r="S315" s="9" t="e">
        <f>IF(AND(ROUND((#REF!-TIME(0,0,0))*1440,0),ROUND((#REF!-TIME(0,0,0))*1440,0)&lt;tbl_Case_mins[[#This Row],[Surgery Start]],tbl_Case_mins[[#This Row],[Surgery End Date]]&gt;tbl_Case_mins[[#This Row],[Surgery Start Date]]),ROUND((#REF!-TIME(0,0,0))*1440,0)+1440,ROUND((#REF!-TIME(0,0,0))*1440,0))</f>
        <v>#REF!</v>
      </c>
      <c r="T315" s="9" t="e">
        <f>IF(AND(ROUND((#REF!-TIME(0,0,0))*1440,0)&gt;0,ROUND((#REF!-TIME(0,0,0))*1440,0)&lt;tbl_Case_mins[[#This Row],[Surgery Finish]],tbl_Case_mins[[#This Row],[Surgery End Date]]&gt;tbl_Case_mins[[#This Row],[Surgery Start Date]]),ROUND((#REF!-TIME(0,0,0))*1440,0)+1440,ROUND((#REF!-TIME(0,0,0))*1440,0))</f>
        <v>#REF!</v>
      </c>
      <c r="U315" s="9" t="e">
        <f>IF(AND(ROUND((#REF!-TIME(0,0,0))*1440,0)&gt;0,ROUND((#REF!-TIME(0,0,0))*1440,0)&lt;tbl_Case_mins[[#This Row],[Anaesth End]],tbl_Case_mins[[#This Row],[Surgery End Date]]&gt;tbl_Case_mins[[#This Row],[Surgery Start Date]]),ROUND((#REF!-TIME(0,0,0))*1440,0)+1440,ROUND((#REF!-TIME(0,0,0))*1440,0))</f>
        <v>#REF!</v>
      </c>
      <c r="V315" s="9" t="e">
        <f>IF(AND(ROUND((#REF!-TIME(0,0,0))*1440,0)&gt;0,ROUND((#REF!-TIME(0,0,0))*1440,0)&lt;tbl_Case_mins[[#This Row],[Into Recov]],tbl_Case_mins[[#This Row],[Surgery End Date]]&gt;tbl_Case_mins[[#This Row],[Surgery Start Date]]),ROUND((#REF!-TIME(0,0,0))*1440,0)+1440,ROUND((#REF!-TIME(0,0,0))*1440,0))</f>
        <v>#REF!</v>
      </c>
      <c r="W315" s="9" t="e">
        <f>IF(AND(ROUND((#REF!-TIME(0,0,0))*1440,0)&gt;0,ROUND((#REF!-TIME(0,0,0))*1440,0)&lt;tbl_Case_mins[[#This Row],[Ward Called]],tbl_Case_mins[[#This Row],[Surgery End Date]]&gt;tbl_Case_mins[[#This Row],[Surgery Start Date]]),ROUND((#REF!-TIME(0,0,0))*1440,0)+1440,ROUND((#REF!-TIME(0,0,0))*1440,0))</f>
        <v>#REF!</v>
      </c>
      <c r="X315" s="4" t="e">
        <f>IF(ISBLANK(#REF!),tbl_Case_mins[[#This Row],[Surgery Start Date]],#REF!)</f>
        <v>#REF!</v>
      </c>
      <c r="Y315">
        <f>IFERROR(IF(VLOOKUP(tbl_Case_mins[[#This Row],[Theatre]],'Mng Theatres'!$C$7:$G$12,3,FALSE)="Yes","Yes","No"),0)</f>
        <v>0</v>
      </c>
      <c r="Z315" s="9" t="e" cm="1">
        <f t="array" ref="Z31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5" s="9" t="e" cm="1">
        <f t="array" ref="AA31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5" s="9" t="e">
        <f>IF(tbl_Case_mins[[#This Row],[Case Type]]="Unsch",1,0)</f>
        <v>#REF!</v>
      </c>
      <c r="AD315" s="9" t="e">
        <f>IF(tbl_Case_mins[[#This Row],[Case Type]]="Sch",1,0)</f>
        <v>#REF!</v>
      </c>
      <c r="AE31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5" s="9">
        <f>IFERROR(IF(ISBLANK(INDEX(Am_Close,MATCH(1,INDEX((tbl_Case_mins[[#This Row],[Theatre]]=Theatre_No)*(tbl_Case_mins[[#This Row],[Surgery Start Date]]=Date),0,1),0))*1440),0,INDEX(Am_Close,MATCH(1,INDEX((tbl_Case_mins[[#This Row],[Theatre]]=Theatre_No)*(tbl_Case_mins[[#This Row],[Surgery Start Date]]=Date),0,1),0))*1440),0)</f>
        <v>0</v>
      </c>
      <c r="AG315" s="9">
        <f>IFERROR(IF(ISBLANK(INDEX(PM_Open,MATCH(1,INDEX((tbl_Case_mins[[#This Row],[Theatre]]=Theatre_No)*(tbl_Case_mins[[#This Row],[Surgery Start Date]]=Date),0,1),0))*1440),0,INDEX(PM_Open,MATCH(1,INDEX((tbl_Case_mins[[#This Row],[Theatre]]=Theatre_No)*(tbl_Case_mins[[#This Row],[Surgery Start Date]]=Date),0,1),0))*1440),0)</f>
        <v>0</v>
      </c>
      <c r="AH31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5" s="9" t="e">
        <f>IF(tbl_Case_mins[[#This Row],[ThOpenAm]]=0,tbl_Case_mins[[#This Row],[ThOpenPM]],tbl_Case_mins[[#This Row],[ThOpenAm]])</f>
        <v>#REF!</v>
      </c>
      <c r="AJ315" s="9" t="e">
        <f>IF(tbl_Case_mins[[#This Row],[ThCloseAm]]&gt;0,IF(tbl_Case_mins[[#This Row],[ThOpenPM]]&gt;0,tbl_Case_mins[[#This Row],[ThClosePm]],tbl_Case_mins[[#This Row],[ThCloseAm]]),tbl_Case_mins[[#This Row],[ThClosePm]])</f>
        <v>#REF!</v>
      </c>
      <c r="AK315" s="9" t="e">
        <f>IF(tbl_Case_mins[[#This Row],[TOT]]&gt;0,1,0)</f>
        <v>#REF!</v>
      </c>
      <c r="AL31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5" s="9" t="e">
        <f>IF(AND(tbl_Case_mins[[#This Row],[Surgery Status]]&lt;&gt;2,tbl_Case_mins[[#This Row],[InCoreCase]]=0,tbl_Case_mins[[#This Row],[CancelledCase]]=0),1,0)</f>
        <v>#REF!</v>
      </c>
      <c r="AN315" s="9" t="e">
        <f>IF(tbl_Case_mins[[#This Row],[Surgery Status]]=1,1,0)</f>
        <v>#REF!</v>
      </c>
      <c r="AO31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5" s="9" t="e">
        <f>IF(AND(tbl_Case_mins[[#This Row],[NonCoreCase]]=1,tbl_Case_mins[[#This Row],[NoInCoreTime]]=0),1,0)</f>
        <v>#REF!</v>
      </c>
      <c r="AQ315" s="9" t="e">
        <f>IF(tbl_Case_mins[[#This Row],[Rank_AnaEnd]]&lt;tbl_Case_mins[[#This Row],[Rank_AnaSt]],1,0)</f>
        <v>#REF!</v>
      </c>
      <c r="AR315" s="9" t="e">
        <f>IF(AND(tbl_Case_mins[[#This Row],[InCoreCase]]=1,tbl_Case_mins[[#This Row],[Sch]]=1),1,0)</f>
        <v>#REF!</v>
      </c>
      <c r="AS315" s="9" t="e">
        <f>IF(AND(tbl_Case_mins[[#This Row],[InCoreCase]]=1,tbl_Case_mins[[#This Row],[Unsch]]=1),1,0)</f>
        <v>#REF!</v>
      </c>
      <c r="AT31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5" s="9" t="e">
        <f>IF(tbl_Case_mins[[#This Row],[Surgery Status]]=0,(tbl_Case_mins[[#This Row],[Anaesth End]]-tbl_Case_mins[[#This Row],[AnaesthStart]]),0)</f>
        <v>#REF!</v>
      </c>
      <c r="AX315" s="9" t="e">
        <f>IF(tbl_Case_mins[[#This Row],[Surgery Status]]=0,(tbl_Case_mins[[#This Row],[Surgery Finish]]-tbl_Case_mins[[#This Row],[Surgery Start]]),0)</f>
        <v>#REF!</v>
      </c>
      <c r="AY315" s="9" t="e">
        <f>tbl_Case_mins[[#This Row],[Surgery Start]]-tbl_Case_mins[[#This Row],[AnaesthStart]]</f>
        <v>#REF!</v>
      </c>
      <c r="AZ315" s="9" t="e">
        <f>tbl_Case_mins[[#This Row],[Anaesth End]]-tbl_Case_mins[[#This Row],[Surgery Finish]]</f>
        <v>#REF!</v>
      </c>
      <c r="BA31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5" s="16" cm="1">
        <f t="array" ref="BC31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5" s="16" t="e">
        <f>IF(AND(tbl_Case_mins[[#This Row],[FirstAMCase]]=1,tbl_Case_mins[[#This Row],[CancelledCase]]=0,OR(tbl_Case_mins[[#This Row],[EarlyStartAM]]&gt;0,tbl_Case_mins[[#This Row],[AnaesthStart]]=tbl_Case_mins[[#This Row],[ThOpenAm]])),1,0)</f>
        <v>#REF!</v>
      </c>
      <c r="BE315" s="16" t="e">
        <f>IF(AND(tbl_Case_mins[[#This Row],[Rank_AnaSt]]=tbl_Case_mins[[#This Row],[Min_RankAnaSt]],tbl_Case_mins[[#This Row],[Anaesth End]]&gt;=tbl_Case_mins[[#This Row],[ThOpenAm]],tbl_Case_mins[[#This Row],[PmCase]]=0),1,0)</f>
        <v>#REF!</v>
      </c>
      <c r="BF31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5" s="9" t="e" cm="1">
        <f t="array" ref="BH31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5" s="9" t="e">
        <f>IF(AND(tbl_Case_mins[[#This Row],[ThOpenPM]]&gt;0,tbl_Case_mins[[#This Row],[AnaesthStart]]&gt;tbl_Case_mins[[#This Row],[ThOpenPM]],tbl_Case_mins[[#This Row],[First PM Case]]=1),tbl_Case_mins[[#This Row],[AnaesthStart]]-tbl_Case_mins[[#This Row],[ThOpenPM]],0)</f>
        <v>#REF!</v>
      </c>
      <c r="BL31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5" s="9" t="e" cm="1">
        <f t="array" ref="BN31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5" s="9" t="e">
        <f>IF(AND(tbl_Case_mins[[#This Row],[ThClosePm]]&gt;0,tbl_Case_mins[[#This Row],[Anaesth End]]&gt;tbl_Case_mins[[#This Row],[ThClosePm]],tbl_Case_mins[[#This Row],[AnaesthStart]]&gt;tbl_Case_mins[[#This Row],[ThClosePm]]),tbl_Case_mins[[#This Row],[Into Recov]]-tbl_Case_mins[[#This Row],[AnaesthStart]],0)</f>
        <v>#REF!</v>
      </c>
      <c r="BP315" s="9" t="e">
        <f>IF(AND(tbl_Case_mins[[#This Row],[AnaesthStart]]&lt;tbl_Case_mins[[#This Row],[ThClosePm]],tbl_Case_mins[[#This Row],[Anaesth End]]&gt;tbl_Case_mins[[#This Row],[ThClosePm]]),tbl_Case_mins[[#This Row],[Anaesth End]]-tbl_Case_mins[[#This Row],[ThClosePm]],0)</f>
        <v>#REF!</v>
      </c>
      <c r="BQ315" s="9" t="e" cm="1">
        <f t="array" ref="BQ31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5" s="9" t="e" cm="1">
        <f t="array" ref="BR315">IF(tbl_Case_mins[[#This Row],[Rank_Adjust]]=SUMPRODUCT(-(tbl_Case_mins[Surgery Start Date]=tbl_Case_mins[[#This Row],[Surgery Start Date]]),-(tbl_Case_mins[Theatre]=tbl_Case_mins[[#This Row],[Theatre]])),INDEX(Poss_Time,MATCH(TEXT(tbl_Case_mins[[#This Row],[Surgery Start Date]],"ddd"),Day,0)),0)</f>
        <v>#REF!</v>
      </c>
      <c r="BS315" s="9" t="e">
        <f>tbl_Case_mins[[#This Row],[Core_Time]]*Util_Goal</f>
        <v>#REF!</v>
      </c>
      <c r="BT315" s="9" t="e" cm="1">
        <f t="array" ref="BT3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5" s="9" t="e" cm="1">
        <f t="array" ref="BU3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5" s="9" t="e">
        <f>IF(tbl_Case_mins[[#This Row],[Surgery End Date]]&gt;tbl_Case_mins[[#This Row],[Surgery Start Date]],tbl_Case_mins[[#This Row],[Anaesth End]]-1440,0)</f>
        <v>#REF!</v>
      </c>
      <c r="BY315" s="9" t="e">
        <f>tbl_Case_mins[[#This Row],[Total_NonCore]]-tbl_Case_mins[[#This Row],[NextDay_NonCore]]</f>
        <v>#REF!</v>
      </c>
      <c r="BZ315" s="10" t="e">
        <f>tbl_Case_mins[[#This Row],[InCoreUse]]/60</f>
        <v>#REF!</v>
      </c>
      <c r="CA315" s="10" t="e">
        <f>tbl_Case_mins[[#This Row],[Total_NonCore]]/60</f>
        <v>#REF!</v>
      </c>
      <c r="CB315" t="e" cm="1">
        <f t="array" ref="CB3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5" s="9" t="e" cm="1">
        <f t="array" ref="CC31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5" s="9" t="e" cm="1">
        <f t="array" ref="CD3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5" s="9" t="e" cm="1">
        <f t="array" ref="CE31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5" s="9" cm="1">
        <f t="array" ref="CF315">IFERROR(_xlfn.AGGREGATE(14,6,(tbl_Case_mins[Rank_AnaEnd])/((tbl_Case_mins[Surgery Start Date]=tbl_Case_mins[[#This Row],[Surgery Start Date]])*(tbl_Case_mins[Theatre]=tbl_Case_mins[[#This Row],[Theatre]])*(tbl_Case_mins[NoInCoreTime]=0)),1),-1)</f>
        <v>-1</v>
      </c>
      <c r="CG315" s="9" cm="1">
        <f t="array" ref="CG315">IFERROR(_xlfn.AGGREGATE(15,6,(tbl_Case_mins[Rank_AnaSt])/((tbl_Case_mins[Surgery Start Date]=tbl_Case_mins[[#This Row],[Surgery Start Date]])*(tbl_Case_mins[Theatre]=tbl_Case_mins[[#This Row],[Theatre]])*(tbl_Case_mins[NoInCoreTime]=0)),1),-1)</f>
        <v>-1</v>
      </c>
      <c r="CH31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5" t="e" cm="1">
        <f t="array" ref="CJ31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5" s="9" cm="1">
        <f t="array" ref="CO3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5" s="9" cm="1">
        <f t="array" ref="CP3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5" s="9" cm="1">
        <f t="array" ref="CQ315">IFERROR(IF(AND(tbl_Case_mins[[#This Row],[FirstAMCase]]=0,tbl_Case_mins[[#This Row],[Rank]]=_xlfn.AGGREGATE(14,6,(tbl_Case_mins[Rank])/((tbl_Case_mins[Surgery Start Date]=tbl_Case_mins[[#This Row],[Surgery Start Date]])*(tbl_Case_mins[Theatre]=tbl_Case_mins[[#This Row],[Theatre]])*(tbl_Case_mins[AmCase]=1)),1)),1,0),0)</f>
        <v>0</v>
      </c>
      <c r="CR315" s="9" cm="1">
        <f t="array" ref="CR31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5" s="9" t="e" cm="1">
        <f t="array" ref="CS31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5" s="9" cm="1">
        <f t="array" ref="CT315">IFERROR(IF(tbl_Case_mins[[#This Row],[Rank]]=_xlfn.AGGREGATE(15,6,(tbl_Case_mins[Rank])/((tbl_Case_mins[Surgery Start Date]=tbl_Case_mins[[#This Row],[Surgery Start Date]])*(tbl_Case_mins[Theatre]=tbl_Case_mins[[#This Row],[Theatre]])*(tbl_Case_mins[PmCase]=1)),1),1,0),0)</f>
        <v>0</v>
      </c>
      <c r="CU315">
        <f>IFERROR(#REF!,0)</f>
        <v>0</v>
      </c>
      <c r="CV315" s="9" t="e" cm="1">
        <f t="array" ref="CV31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5" s="9">
        <f>IFERROR(IF(ISBLANK(INDEX(Bay_AmClose,MATCH(1,INDEX((tbl_Case_mins[[#This Row],[Bay]]=BayNo)*(tbl_Case_mins[[#This Row],[Surgery Start Date]]=BDate),0,1),0))*1440),0,INDEX(Bay_AmClose,MATCH(1,INDEX((tbl_Case_mins[[#This Row],[Bay]]=BayNo)*(tbl_Case_mins[[#This Row],[Surgery Start Date]]=BDate),0,1),0))*1440),0)</f>
        <v>0</v>
      </c>
      <c r="CX315" s="9" cm="1">
        <f t="array" ref="CX315">IFERROR(IF(ISBLANK(INDEX(Bay_PmOpen,MATCH(1,INDEX((tbl_Case_mins[[#This Row],[Bay]]=BayNo)*(tbl_Case_mins[[#This Row],[Surgery Start Date]]=BDate),0,1),0))*1440),0,INDEX(Bay_PmOpen,MATCH(1,INDEX((tbl_Case_mins[[#This Row],[Bay]]=BayNo)*(tbl_Case_mins[[#This Row],[Surgery Start Date]]=BDate),0,1),0))*1440),0)</f>
        <v>0</v>
      </c>
      <c r="CY31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5" s="9"/>
    </row>
    <row r="316" spans="1:104" x14ac:dyDescent="0.2">
      <c r="A316">
        <v>315</v>
      </c>
      <c r="B316" t="e">
        <f>#REF!</f>
        <v>#REF!</v>
      </c>
      <c r="C316" t="e">
        <f>#REF!</f>
        <v>#REF!</v>
      </c>
      <c r="D316" t="e">
        <f>#REF!</f>
        <v>#REF!</v>
      </c>
      <c r="E316" t="e">
        <f>#REF!</f>
        <v>#REF!</v>
      </c>
      <c r="F316" t="e">
        <f>#REF!</f>
        <v>#REF!</v>
      </c>
      <c r="G316" t="e">
        <f>#REF!</f>
        <v>#REF!</v>
      </c>
      <c r="H316" t="e">
        <f>#REF!</f>
        <v>#REF!</v>
      </c>
      <c r="I316" t="e">
        <f>IF(#REF!="Case Cancelled",1,IF(#REF!="No Cases",2,0))</f>
        <v>#REF!</v>
      </c>
      <c r="J316" t="e">
        <f>#REF!</f>
        <v>#REF!</v>
      </c>
      <c r="K316" s="4" t="e">
        <f>#REF!</f>
        <v>#REF!</v>
      </c>
      <c r="L316" t="e">
        <f>"Wk "&amp;WEEKNUM(tbl_Case_mins[[#This Row],[Surgery Start Date]],21)</f>
        <v>#REF!</v>
      </c>
      <c r="M316" t="e">
        <f>TEXT(tbl_Case_mins[[#This Row],[Surgery Start Date]],"ddd")</f>
        <v>#REF!</v>
      </c>
      <c r="N316" s="9" t="e">
        <f>(#REF!-TIME(0,0,0))*1440</f>
        <v>#REF!</v>
      </c>
      <c r="O316" t="e">
        <f>IF(AND(ROUND((#REF!-TIME(0,0,0))*1440,0)&gt;0,ROUND((#REF!-TIME(0,0,0))*1440,0)&lt;tbl_Case_mins[[#This Row],[Patient Called]],tbl_Case_mins[[#This Row],[Surgery End Date]]&gt;tbl_Case_mins[[#This Row],[Surgery Start Date]]),ROUND((#REF!-TIME(0,0,0))*1440,0)+1440,ROUND((#REF!-TIME(0,0,0))*1440,0))</f>
        <v>#REF!</v>
      </c>
      <c r="P316" s="9" t="e">
        <f>IF(AND(ROUND((#REF!-TIME(0,0,0))*1440,0)&gt;0,ROUND((#REF!-TIME(0,0,0))*1440,0)&lt;tbl_Case_mins[[#This Row],[Arrival]],tbl_Case_mins[[#This Row],[Surgery End Date]]&gt;tbl_Case_mins[[#This Row],[Surgery Start Date]]),ROUND((#REF!-TIME(0,0,0))*1440,0)+1440,ROUND((#REF!-TIME(0,0,0))*1440,0))</f>
        <v>#REF!</v>
      </c>
      <c r="Q316" s="9" t="e">
        <f>IF(AND(ROUND((#REF!-TIME(0,0,0))*1440,0)&gt;0,ROUND((#REF!-TIME(0,0,0))*1440,0)&lt;tbl_Case_mins[[#This Row],[Into Th or AR]],tbl_Case_mins[[#This Row],[Surgery End Date]]&gt;tbl_Case_mins[[#This Row],[Surgery Start Date]]),ROUND((#REF!-TIME(0,0,0))*1440,0)+1440,ROUND((#REF!-TIME(0,0,0))*1440,0))</f>
        <v>#REF!</v>
      </c>
      <c r="R316" s="9" t="e">
        <f>IF(AND(ROUND((#REF!-TIME(0,0,0))*1440,0)&gt;0,ROUND((#REF!-TIME(0,0,0))*1440,0)&lt;tbl_Case_mins[[#This Row],[AnaesthStart]],tbl_Case_mins[[#This Row],[Surgery End Date]]&gt;tbl_Case_mins[[#This Row],[Surgery Start Date]]),ROUND((#REF!-TIME(0,0,0))*1440,0)+1440,ROUND((#REF!-TIME(0,0,0))*1440,0))</f>
        <v>#REF!</v>
      </c>
      <c r="S316" s="9" t="e">
        <f>IF(AND(ROUND((#REF!-TIME(0,0,0))*1440,0),ROUND((#REF!-TIME(0,0,0))*1440,0)&lt;tbl_Case_mins[[#This Row],[Surgery Start]],tbl_Case_mins[[#This Row],[Surgery End Date]]&gt;tbl_Case_mins[[#This Row],[Surgery Start Date]]),ROUND((#REF!-TIME(0,0,0))*1440,0)+1440,ROUND((#REF!-TIME(0,0,0))*1440,0))</f>
        <v>#REF!</v>
      </c>
      <c r="T316" s="9" t="e">
        <f>IF(AND(ROUND((#REF!-TIME(0,0,0))*1440,0)&gt;0,ROUND((#REF!-TIME(0,0,0))*1440,0)&lt;tbl_Case_mins[[#This Row],[Surgery Finish]],tbl_Case_mins[[#This Row],[Surgery End Date]]&gt;tbl_Case_mins[[#This Row],[Surgery Start Date]]),ROUND((#REF!-TIME(0,0,0))*1440,0)+1440,ROUND((#REF!-TIME(0,0,0))*1440,0))</f>
        <v>#REF!</v>
      </c>
      <c r="U316" s="9" t="e">
        <f>IF(AND(ROUND((#REF!-TIME(0,0,0))*1440,0)&gt;0,ROUND((#REF!-TIME(0,0,0))*1440,0)&lt;tbl_Case_mins[[#This Row],[Anaesth End]],tbl_Case_mins[[#This Row],[Surgery End Date]]&gt;tbl_Case_mins[[#This Row],[Surgery Start Date]]),ROUND((#REF!-TIME(0,0,0))*1440,0)+1440,ROUND((#REF!-TIME(0,0,0))*1440,0))</f>
        <v>#REF!</v>
      </c>
      <c r="V316" s="9" t="e">
        <f>IF(AND(ROUND((#REF!-TIME(0,0,0))*1440,0)&gt;0,ROUND((#REF!-TIME(0,0,0))*1440,0)&lt;tbl_Case_mins[[#This Row],[Into Recov]],tbl_Case_mins[[#This Row],[Surgery End Date]]&gt;tbl_Case_mins[[#This Row],[Surgery Start Date]]),ROUND((#REF!-TIME(0,0,0))*1440,0)+1440,ROUND((#REF!-TIME(0,0,0))*1440,0))</f>
        <v>#REF!</v>
      </c>
      <c r="W316" s="9" t="e">
        <f>IF(AND(ROUND((#REF!-TIME(0,0,0))*1440,0)&gt;0,ROUND((#REF!-TIME(0,0,0))*1440,0)&lt;tbl_Case_mins[[#This Row],[Ward Called]],tbl_Case_mins[[#This Row],[Surgery End Date]]&gt;tbl_Case_mins[[#This Row],[Surgery Start Date]]),ROUND((#REF!-TIME(0,0,0))*1440,0)+1440,ROUND((#REF!-TIME(0,0,0))*1440,0))</f>
        <v>#REF!</v>
      </c>
      <c r="X316" s="4" t="e">
        <f>IF(ISBLANK(#REF!),tbl_Case_mins[[#This Row],[Surgery Start Date]],#REF!)</f>
        <v>#REF!</v>
      </c>
      <c r="Y316">
        <f>IFERROR(IF(VLOOKUP(tbl_Case_mins[[#This Row],[Theatre]],'Mng Theatres'!$C$7:$G$12,3,FALSE)="Yes","Yes","No"),0)</f>
        <v>0</v>
      </c>
      <c r="Z316" s="9" t="e" cm="1">
        <f t="array" ref="Z31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6" s="9" t="e" cm="1">
        <f t="array" ref="AA31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6" s="9" t="e">
        <f>IF(tbl_Case_mins[[#This Row],[Case Type]]="Unsch",1,0)</f>
        <v>#REF!</v>
      </c>
      <c r="AD316" s="9" t="e">
        <f>IF(tbl_Case_mins[[#This Row],[Case Type]]="Sch",1,0)</f>
        <v>#REF!</v>
      </c>
      <c r="AE31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6" s="9">
        <f>IFERROR(IF(ISBLANK(INDEX(Am_Close,MATCH(1,INDEX((tbl_Case_mins[[#This Row],[Theatre]]=Theatre_No)*(tbl_Case_mins[[#This Row],[Surgery Start Date]]=Date),0,1),0))*1440),0,INDEX(Am_Close,MATCH(1,INDEX((tbl_Case_mins[[#This Row],[Theatre]]=Theatre_No)*(tbl_Case_mins[[#This Row],[Surgery Start Date]]=Date),0,1),0))*1440),0)</f>
        <v>0</v>
      </c>
      <c r="AG316" s="9">
        <f>IFERROR(IF(ISBLANK(INDEX(PM_Open,MATCH(1,INDEX((tbl_Case_mins[[#This Row],[Theatre]]=Theatre_No)*(tbl_Case_mins[[#This Row],[Surgery Start Date]]=Date),0,1),0))*1440),0,INDEX(PM_Open,MATCH(1,INDEX((tbl_Case_mins[[#This Row],[Theatre]]=Theatre_No)*(tbl_Case_mins[[#This Row],[Surgery Start Date]]=Date),0,1),0))*1440),0)</f>
        <v>0</v>
      </c>
      <c r="AH31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6" s="9" t="e">
        <f>IF(tbl_Case_mins[[#This Row],[ThOpenAm]]=0,tbl_Case_mins[[#This Row],[ThOpenPM]],tbl_Case_mins[[#This Row],[ThOpenAm]])</f>
        <v>#REF!</v>
      </c>
      <c r="AJ316" s="9" t="e">
        <f>IF(tbl_Case_mins[[#This Row],[ThCloseAm]]&gt;0,IF(tbl_Case_mins[[#This Row],[ThOpenPM]]&gt;0,tbl_Case_mins[[#This Row],[ThClosePm]],tbl_Case_mins[[#This Row],[ThCloseAm]]),tbl_Case_mins[[#This Row],[ThClosePm]])</f>
        <v>#REF!</v>
      </c>
      <c r="AK316" s="9" t="e">
        <f>IF(tbl_Case_mins[[#This Row],[TOT]]&gt;0,1,0)</f>
        <v>#REF!</v>
      </c>
      <c r="AL31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6" s="9" t="e">
        <f>IF(AND(tbl_Case_mins[[#This Row],[Surgery Status]]&lt;&gt;2,tbl_Case_mins[[#This Row],[InCoreCase]]=0,tbl_Case_mins[[#This Row],[CancelledCase]]=0),1,0)</f>
        <v>#REF!</v>
      </c>
      <c r="AN316" s="9" t="e">
        <f>IF(tbl_Case_mins[[#This Row],[Surgery Status]]=1,1,0)</f>
        <v>#REF!</v>
      </c>
      <c r="AO31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6" s="9" t="e">
        <f>IF(AND(tbl_Case_mins[[#This Row],[NonCoreCase]]=1,tbl_Case_mins[[#This Row],[NoInCoreTime]]=0),1,0)</f>
        <v>#REF!</v>
      </c>
      <c r="AQ316" s="9" t="e">
        <f>IF(tbl_Case_mins[[#This Row],[Rank_AnaEnd]]&lt;tbl_Case_mins[[#This Row],[Rank_AnaSt]],1,0)</f>
        <v>#REF!</v>
      </c>
      <c r="AR316" s="9" t="e">
        <f>IF(AND(tbl_Case_mins[[#This Row],[InCoreCase]]=1,tbl_Case_mins[[#This Row],[Sch]]=1),1,0)</f>
        <v>#REF!</v>
      </c>
      <c r="AS316" s="9" t="e">
        <f>IF(AND(tbl_Case_mins[[#This Row],[InCoreCase]]=1,tbl_Case_mins[[#This Row],[Unsch]]=1),1,0)</f>
        <v>#REF!</v>
      </c>
      <c r="AT31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6" s="9" t="e">
        <f>IF(tbl_Case_mins[[#This Row],[Surgery Status]]=0,(tbl_Case_mins[[#This Row],[Anaesth End]]-tbl_Case_mins[[#This Row],[AnaesthStart]]),0)</f>
        <v>#REF!</v>
      </c>
      <c r="AX316" s="9" t="e">
        <f>IF(tbl_Case_mins[[#This Row],[Surgery Status]]=0,(tbl_Case_mins[[#This Row],[Surgery Finish]]-tbl_Case_mins[[#This Row],[Surgery Start]]),0)</f>
        <v>#REF!</v>
      </c>
      <c r="AY316" s="9" t="e">
        <f>tbl_Case_mins[[#This Row],[Surgery Start]]-tbl_Case_mins[[#This Row],[AnaesthStart]]</f>
        <v>#REF!</v>
      </c>
      <c r="AZ316" s="9" t="e">
        <f>tbl_Case_mins[[#This Row],[Anaesth End]]-tbl_Case_mins[[#This Row],[Surgery Finish]]</f>
        <v>#REF!</v>
      </c>
      <c r="BA31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6" s="16" cm="1">
        <f t="array" ref="BC31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6" s="16" t="e">
        <f>IF(AND(tbl_Case_mins[[#This Row],[FirstAMCase]]=1,tbl_Case_mins[[#This Row],[CancelledCase]]=0,OR(tbl_Case_mins[[#This Row],[EarlyStartAM]]&gt;0,tbl_Case_mins[[#This Row],[AnaesthStart]]=tbl_Case_mins[[#This Row],[ThOpenAm]])),1,0)</f>
        <v>#REF!</v>
      </c>
      <c r="BE316" s="16" t="e">
        <f>IF(AND(tbl_Case_mins[[#This Row],[Rank_AnaSt]]=tbl_Case_mins[[#This Row],[Min_RankAnaSt]],tbl_Case_mins[[#This Row],[Anaesth End]]&gt;=tbl_Case_mins[[#This Row],[ThOpenAm]],tbl_Case_mins[[#This Row],[PmCase]]=0),1,0)</f>
        <v>#REF!</v>
      </c>
      <c r="BF31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6" s="9" t="e" cm="1">
        <f t="array" ref="BH31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6" s="9" t="e">
        <f>IF(AND(tbl_Case_mins[[#This Row],[ThOpenPM]]&gt;0,tbl_Case_mins[[#This Row],[AnaesthStart]]&gt;tbl_Case_mins[[#This Row],[ThOpenPM]],tbl_Case_mins[[#This Row],[First PM Case]]=1),tbl_Case_mins[[#This Row],[AnaesthStart]]-tbl_Case_mins[[#This Row],[ThOpenPM]],0)</f>
        <v>#REF!</v>
      </c>
      <c r="BL31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6" s="9" t="e" cm="1">
        <f t="array" ref="BN31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6" s="9" t="e">
        <f>IF(AND(tbl_Case_mins[[#This Row],[ThClosePm]]&gt;0,tbl_Case_mins[[#This Row],[Anaesth End]]&gt;tbl_Case_mins[[#This Row],[ThClosePm]],tbl_Case_mins[[#This Row],[AnaesthStart]]&gt;tbl_Case_mins[[#This Row],[ThClosePm]]),tbl_Case_mins[[#This Row],[Into Recov]]-tbl_Case_mins[[#This Row],[AnaesthStart]],0)</f>
        <v>#REF!</v>
      </c>
      <c r="BP316" s="9" t="e">
        <f>IF(AND(tbl_Case_mins[[#This Row],[AnaesthStart]]&lt;tbl_Case_mins[[#This Row],[ThClosePm]],tbl_Case_mins[[#This Row],[Anaesth End]]&gt;tbl_Case_mins[[#This Row],[ThClosePm]]),tbl_Case_mins[[#This Row],[Anaesth End]]-tbl_Case_mins[[#This Row],[ThClosePm]],0)</f>
        <v>#REF!</v>
      </c>
      <c r="BQ316" s="9" t="e" cm="1">
        <f t="array" ref="BQ31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6" s="9" t="e" cm="1">
        <f t="array" ref="BR316">IF(tbl_Case_mins[[#This Row],[Rank_Adjust]]=SUMPRODUCT(-(tbl_Case_mins[Surgery Start Date]=tbl_Case_mins[[#This Row],[Surgery Start Date]]),-(tbl_Case_mins[Theatre]=tbl_Case_mins[[#This Row],[Theatre]])),INDEX(Poss_Time,MATCH(TEXT(tbl_Case_mins[[#This Row],[Surgery Start Date]],"ddd"),Day,0)),0)</f>
        <v>#REF!</v>
      </c>
      <c r="BS316" s="9" t="e">
        <f>tbl_Case_mins[[#This Row],[Core_Time]]*Util_Goal</f>
        <v>#REF!</v>
      </c>
      <c r="BT316" s="9" t="e" cm="1">
        <f t="array" ref="BT3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6" s="9" t="e" cm="1">
        <f t="array" ref="BU3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6" s="9" t="e">
        <f>IF(tbl_Case_mins[[#This Row],[Surgery End Date]]&gt;tbl_Case_mins[[#This Row],[Surgery Start Date]],tbl_Case_mins[[#This Row],[Anaesth End]]-1440,0)</f>
        <v>#REF!</v>
      </c>
      <c r="BY316" s="9" t="e">
        <f>tbl_Case_mins[[#This Row],[Total_NonCore]]-tbl_Case_mins[[#This Row],[NextDay_NonCore]]</f>
        <v>#REF!</v>
      </c>
      <c r="BZ316" s="10" t="e">
        <f>tbl_Case_mins[[#This Row],[InCoreUse]]/60</f>
        <v>#REF!</v>
      </c>
      <c r="CA316" s="10" t="e">
        <f>tbl_Case_mins[[#This Row],[Total_NonCore]]/60</f>
        <v>#REF!</v>
      </c>
      <c r="CB316" t="e" cm="1">
        <f t="array" ref="CB3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6" s="9" t="e" cm="1">
        <f t="array" ref="CC31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6" s="9" t="e" cm="1">
        <f t="array" ref="CD3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6" s="9" t="e" cm="1">
        <f t="array" ref="CE31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6" s="9" cm="1">
        <f t="array" ref="CF316">IFERROR(_xlfn.AGGREGATE(14,6,(tbl_Case_mins[Rank_AnaEnd])/((tbl_Case_mins[Surgery Start Date]=tbl_Case_mins[[#This Row],[Surgery Start Date]])*(tbl_Case_mins[Theatre]=tbl_Case_mins[[#This Row],[Theatre]])*(tbl_Case_mins[NoInCoreTime]=0)),1),-1)</f>
        <v>-1</v>
      </c>
      <c r="CG316" s="9" cm="1">
        <f t="array" ref="CG316">IFERROR(_xlfn.AGGREGATE(15,6,(tbl_Case_mins[Rank_AnaSt])/((tbl_Case_mins[Surgery Start Date]=tbl_Case_mins[[#This Row],[Surgery Start Date]])*(tbl_Case_mins[Theatre]=tbl_Case_mins[[#This Row],[Theatre]])*(tbl_Case_mins[NoInCoreTime]=0)),1),-1)</f>
        <v>-1</v>
      </c>
      <c r="CH31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6" t="e" cm="1">
        <f t="array" ref="CJ31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6" s="9" cm="1">
        <f t="array" ref="CO3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6" s="9" cm="1">
        <f t="array" ref="CP3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6" s="9" cm="1">
        <f t="array" ref="CQ316">IFERROR(IF(AND(tbl_Case_mins[[#This Row],[FirstAMCase]]=0,tbl_Case_mins[[#This Row],[Rank]]=_xlfn.AGGREGATE(14,6,(tbl_Case_mins[Rank])/((tbl_Case_mins[Surgery Start Date]=tbl_Case_mins[[#This Row],[Surgery Start Date]])*(tbl_Case_mins[Theatre]=tbl_Case_mins[[#This Row],[Theatre]])*(tbl_Case_mins[AmCase]=1)),1)),1,0),0)</f>
        <v>0</v>
      </c>
      <c r="CR316" s="9" cm="1">
        <f t="array" ref="CR31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6" s="9" t="e" cm="1">
        <f t="array" ref="CS31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6" s="9" cm="1">
        <f t="array" ref="CT316">IFERROR(IF(tbl_Case_mins[[#This Row],[Rank]]=_xlfn.AGGREGATE(15,6,(tbl_Case_mins[Rank])/((tbl_Case_mins[Surgery Start Date]=tbl_Case_mins[[#This Row],[Surgery Start Date]])*(tbl_Case_mins[Theatre]=tbl_Case_mins[[#This Row],[Theatre]])*(tbl_Case_mins[PmCase]=1)),1),1,0),0)</f>
        <v>0</v>
      </c>
      <c r="CU316">
        <f>IFERROR(#REF!,0)</f>
        <v>0</v>
      </c>
      <c r="CV316" s="9" t="e" cm="1">
        <f t="array" ref="CV31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6" s="9">
        <f>IFERROR(IF(ISBLANK(INDEX(Bay_AmClose,MATCH(1,INDEX((tbl_Case_mins[[#This Row],[Bay]]=BayNo)*(tbl_Case_mins[[#This Row],[Surgery Start Date]]=BDate),0,1),0))*1440),0,INDEX(Bay_AmClose,MATCH(1,INDEX((tbl_Case_mins[[#This Row],[Bay]]=BayNo)*(tbl_Case_mins[[#This Row],[Surgery Start Date]]=BDate),0,1),0))*1440),0)</f>
        <v>0</v>
      </c>
      <c r="CX316" s="9" cm="1">
        <f t="array" ref="CX316">IFERROR(IF(ISBLANK(INDEX(Bay_PmOpen,MATCH(1,INDEX((tbl_Case_mins[[#This Row],[Bay]]=BayNo)*(tbl_Case_mins[[#This Row],[Surgery Start Date]]=BDate),0,1),0))*1440),0,INDEX(Bay_PmOpen,MATCH(1,INDEX((tbl_Case_mins[[#This Row],[Bay]]=BayNo)*(tbl_Case_mins[[#This Row],[Surgery Start Date]]=BDate),0,1),0))*1440),0)</f>
        <v>0</v>
      </c>
      <c r="CY31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6" s="9"/>
    </row>
    <row r="317" spans="1:104" x14ac:dyDescent="0.2">
      <c r="A317">
        <v>316</v>
      </c>
      <c r="B317" t="e">
        <f>#REF!</f>
        <v>#REF!</v>
      </c>
      <c r="C317" t="e">
        <f>#REF!</f>
        <v>#REF!</v>
      </c>
      <c r="D317" t="e">
        <f>#REF!</f>
        <v>#REF!</v>
      </c>
      <c r="E317" t="e">
        <f>#REF!</f>
        <v>#REF!</v>
      </c>
      <c r="F317" t="e">
        <f>#REF!</f>
        <v>#REF!</v>
      </c>
      <c r="G317" t="e">
        <f>#REF!</f>
        <v>#REF!</v>
      </c>
      <c r="H317" t="e">
        <f>#REF!</f>
        <v>#REF!</v>
      </c>
      <c r="I317" t="e">
        <f>IF(#REF!="Case Cancelled",1,IF(#REF!="No Cases",2,0))</f>
        <v>#REF!</v>
      </c>
      <c r="J317" t="e">
        <f>#REF!</f>
        <v>#REF!</v>
      </c>
      <c r="K317" s="4" t="e">
        <f>#REF!</f>
        <v>#REF!</v>
      </c>
      <c r="L317" t="e">
        <f>"Wk "&amp;WEEKNUM(tbl_Case_mins[[#This Row],[Surgery Start Date]],21)</f>
        <v>#REF!</v>
      </c>
      <c r="M317" t="e">
        <f>TEXT(tbl_Case_mins[[#This Row],[Surgery Start Date]],"ddd")</f>
        <v>#REF!</v>
      </c>
      <c r="N317" s="9" t="e">
        <f>(#REF!-TIME(0,0,0))*1440</f>
        <v>#REF!</v>
      </c>
      <c r="O317" t="e">
        <f>IF(AND(ROUND((#REF!-TIME(0,0,0))*1440,0)&gt;0,ROUND((#REF!-TIME(0,0,0))*1440,0)&lt;tbl_Case_mins[[#This Row],[Patient Called]],tbl_Case_mins[[#This Row],[Surgery End Date]]&gt;tbl_Case_mins[[#This Row],[Surgery Start Date]]),ROUND((#REF!-TIME(0,0,0))*1440,0)+1440,ROUND((#REF!-TIME(0,0,0))*1440,0))</f>
        <v>#REF!</v>
      </c>
      <c r="P317" s="9" t="e">
        <f>IF(AND(ROUND((#REF!-TIME(0,0,0))*1440,0)&gt;0,ROUND((#REF!-TIME(0,0,0))*1440,0)&lt;tbl_Case_mins[[#This Row],[Arrival]],tbl_Case_mins[[#This Row],[Surgery End Date]]&gt;tbl_Case_mins[[#This Row],[Surgery Start Date]]),ROUND((#REF!-TIME(0,0,0))*1440,0)+1440,ROUND((#REF!-TIME(0,0,0))*1440,0))</f>
        <v>#REF!</v>
      </c>
      <c r="Q317" s="9" t="e">
        <f>IF(AND(ROUND((#REF!-TIME(0,0,0))*1440,0)&gt;0,ROUND((#REF!-TIME(0,0,0))*1440,0)&lt;tbl_Case_mins[[#This Row],[Into Th or AR]],tbl_Case_mins[[#This Row],[Surgery End Date]]&gt;tbl_Case_mins[[#This Row],[Surgery Start Date]]),ROUND((#REF!-TIME(0,0,0))*1440,0)+1440,ROUND((#REF!-TIME(0,0,0))*1440,0))</f>
        <v>#REF!</v>
      </c>
      <c r="R317" s="9" t="e">
        <f>IF(AND(ROUND((#REF!-TIME(0,0,0))*1440,0)&gt;0,ROUND((#REF!-TIME(0,0,0))*1440,0)&lt;tbl_Case_mins[[#This Row],[AnaesthStart]],tbl_Case_mins[[#This Row],[Surgery End Date]]&gt;tbl_Case_mins[[#This Row],[Surgery Start Date]]),ROUND((#REF!-TIME(0,0,0))*1440,0)+1440,ROUND((#REF!-TIME(0,0,0))*1440,0))</f>
        <v>#REF!</v>
      </c>
      <c r="S317" s="9" t="e">
        <f>IF(AND(ROUND((#REF!-TIME(0,0,0))*1440,0),ROUND((#REF!-TIME(0,0,0))*1440,0)&lt;tbl_Case_mins[[#This Row],[Surgery Start]],tbl_Case_mins[[#This Row],[Surgery End Date]]&gt;tbl_Case_mins[[#This Row],[Surgery Start Date]]),ROUND((#REF!-TIME(0,0,0))*1440,0)+1440,ROUND((#REF!-TIME(0,0,0))*1440,0))</f>
        <v>#REF!</v>
      </c>
      <c r="T317" s="9" t="e">
        <f>IF(AND(ROUND((#REF!-TIME(0,0,0))*1440,0)&gt;0,ROUND((#REF!-TIME(0,0,0))*1440,0)&lt;tbl_Case_mins[[#This Row],[Surgery Finish]],tbl_Case_mins[[#This Row],[Surgery End Date]]&gt;tbl_Case_mins[[#This Row],[Surgery Start Date]]),ROUND((#REF!-TIME(0,0,0))*1440,0)+1440,ROUND((#REF!-TIME(0,0,0))*1440,0))</f>
        <v>#REF!</v>
      </c>
      <c r="U317" s="9" t="e">
        <f>IF(AND(ROUND((#REF!-TIME(0,0,0))*1440,0)&gt;0,ROUND((#REF!-TIME(0,0,0))*1440,0)&lt;tbl_Case_mins[[#This Row],[Anaesth End]],tbl_Case_mins[[#This Row],[Surgery End Date]]&gt;tbl_Case_mins[[#This Row],[Surgery Start Date]]),ROUND((#REF!-TIME(0,0,0))*1440,0)+1440,ROUND((#REF!-TIME(0,0,0))*1440,0))</f>
        <v>#REF!</v>
      </c>
      <c r="V317" s="9" t="e">
        <f>IF(AND(ROUND((#REF!-TIME(0,0,0))*1440,0)&gt;0,ROUND((#REF!-TIME(0,0,0))*1440,0)&lt;tbl_Case_mins[[#This Row],[Into Recov]],tbl_Case_mins[[#This Row],[Surgery End Date]]&gt;tbl_Case_mins[[#This Row],[Surgery Start Date]]),ROUND((#REF!-TIME(0,0,0))*1440,0)+1440,ROUND((#REF!-TIME(0,0,0))*1440,0))</f>
        <v>#REF!</v>
      </c>
      <c r="W317" s="9" t="e">
        <f>IF(AND(ROUND((#REF!-TIME(0,0,0))*1440,0)&gt;0,ROUND((#REF!-TIME(0,0,0))*1440,0)&lt;tbl_Case_mins[[#This Row],[Ward Called]],tbl_Case_mins[[#This Row],[Surgery End Date]]&gt;tbl_Case_mins[[#This Row],[Surgery Start Date]]),ROUND((#REF!-TIME(0,0,0))*1440,0)+1440,ROUND((#REF!-TIME(0,0,0))*1440,0))</f>
        <v>#REF!</v>
      </c>
      <c r="X317" s="4" t="e">
        <f>IF(ISBLANK(#REF!),tbl_Case_mins[[#This Row],[Surgery Start Date]],#REF!)</f>
        <v>#REF!</v>
      </c>
      <c r="Y317">
        <f>IFERROR(IF(VLOOKUP(tbl_Case_mins[[#This Row],[Theatre]],'Mng Theatres'!$C$7:$G$12,3,FALSE)="Yes","Yes","No"),0)</f>
        <v>0</v>
      </c>
      <c r="Z317" s="9" t="e" cm="1">
        <f t="array" ref="Z31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7" s="9" t="e" cm="1">
        <f t="array" ref="AA31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7" s="9" t="e">
        <f>IF(tbl_Case_mins[[#This Row],[Case Type]]="Unsch",1,0)</f>
        <v>#REF!</v>
      </c>
      <c r="AD317" s="9" t="e">
        <f>IF(tbl_Case_mins[[#This Row],[Case Type]]="Sch",1,0)</f>
        <v>#REF!</v>
      </c>
      <c r="AE31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7" s="9">
        <f>IFERROR(IF(ISBLANK(INDEX(Am_Close,MATCH(1,INDEX((tbl_Case_mins[[#This Row],[Theatre]]=Theatre_No)*(tbl_Case_mins[[#This Row],[Surgery Start Date]]=Date),0,1),0))*1440),0,INDEX(Am_Close,MATCH(1,INDEX((tbl_Case_mins[[#This Row],[Theatre]]=Theatre_No)*(tbl_Case_mins[[#This Row],[Surgery Start Date]]=Date),0,1),0))*1440),0)</f>
        <v>0</v>
      </c>
      <c r="AG317" s="9">
        <f>IFERROR(IF(ISBLANK(INDEX(PM_Open,MATCH(1,INDEX((tbl_Case_mins[[#This Row],[Theatre]]=Theatre_No)*(tbl_Case_mins[[#This Row],[Surgery Start Date]]=Date),0,1),0))*1440),0,INDEX(PM_Open,MATCH(1,INDEX((tbl_Case_mins[[#This Row],[Theatre]]=Theatre_No)*(tbl_Case_mins[[#This Row],[Surgery Start Date]]=Date),0,1),0))*1440),0)</f>
        <v>0</v>
      </c>
      <c r="AH31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7" s="9" t="e">
        <f>IF(tbl_Case_mins[[#This Row],[ThOpenAm]]=0,tbl_Case_mins[[#This Row],[ThOpenPM]],tbl_Case_mins[[#This Row],[ThOpenAm]])</f>
        <v>#REF!</v>
      </c>
      <c r="AJ317" s="9" t="e">
        <f>IF(tbl_Case_mins[[#This Row],[ThCloseAm]]&gt;0,IF(tbl_Case_mins[[#This Row],[ThOpenPM]]&gt;0,tbl_Case_mins[[#This Row],[ThClosePm]],tbl_Case_mins[[#This Row],[ThCloseAm]]),tbl_Case_mins[[#This Row],[ThClosePm]])</f>
        <v>#REF!</v>
      </c>
      <c r="AK317" s="9" t="e">
        <f>IF(tbl_Case_mins[[#This Row],[TOT]]&gt;0,1,0)</f>
        <v>#REF!</v>
      </c>
      <c r="AL31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7" s="9" t="e">
        <f>IF(AND(tbl_Case_mins[[#This Row],[Surgery Status]]&lt;&gt;2,tbl_Case_mins[[#This Row],[InCoreCase]]=0,tbl_Case_mins[[#This Row],[CancelledCase]]=0),1,0)</f>
        <v>#REF!</v>
      </c>
      <c r="AN317" s="9" t="e">
        <f>IF(tbl_Case_mins[[#This Row],[Surgery Status]]=1,1,0)</f>
        <v>#REF!</v>
      </c>
      <c r="AO31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7" s="9" t="e">
        <f>IF(AND(tbl_Case_mins[[#This Row],[NonCoreCase]]=1,tbl_Case_mins[[#This Row],[NoInCoreTime]]=0),1,0)</f>
        <v>#REF!</v>
      </c>
      <c r="AQ317" s="9" t="e">
        <f>IF(tbl_Case_mins[[#This Row],[Rank_AnaEnd]]&lt;tbl_Case_mins[[#This Row],[Rank_AnaSt]],1,0)</f>
        <v>#REF!</v>
      </c>
      <c r="AR317" s="9" t="e">
        <f>IF(AND(tbl_Case_mins[[#This Row],[InCoreCase]]=1,tbl_Case_mins[[#This Row],[Sch]]=1),1,0)</f>
        <v>#REF!</v>
      </c>
      <c r="AS317" s="9" t="e">
        <f>IF(AND(tbl_Case_mins[[#This Row],[InCoreCase]]=1,tbl_Case_mins[[#This Row],[Unsch]]=1),1,0)</f>
        <v>#REF!</v>
      </c>
      <c r="AT31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7" s="9" t="e">
        <f>IF(tbl_Case_mins[[#This Row],[Surgery Status]]=0,(tbl_Case_mins[[#This Row],[Anaesth End]]-tbl_Case_mins[[#This Row],[AnaesthStart]]),0)</f>
        <v>#REF!</v>
      </c>
      <c r="AX317" s="9" t="e">
        <f>IF(tbl_Case_mins[[#This Row],[Surgery Status]]=0,(tbl_Case_mins[[#This Row],[Surgery Finish]]-tbl_Case_mins[[#This Row],[Surgery Start]]),0)</f>
        <v>#REF!</v>
      </c>
      <c r="AY317" s="9" t="e">
        <f>tbl_Case_mins[[#This Row],[Surgery Start]]-tbl_Case_mins[[#This Row],[AnaesthStart]]</f>
        <v>#REF!</v>
      </c>
      <c r="AZ317" s="9" t="e">
        <f>tbl_Case_mins[[#This Row],[Anaesth End]]-tbl_Case_mins[[#This Row],[Surgery Finish]]</f>
        <v>#REF!</v>
      </c>
      <c r="BA31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7" s="16" cm="1">
        <f t="array" ref="BC31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7" s="16" t="e">
        <f>IF(AND(tbl_Case_mins[[#This Row],[FirstAMCase]]=1,tbl_Case_mins[[#This Row],[CancelledCase]]=0,OR(tbl_Case_mins[[#This Row],[EarlyStartAM]]&gt;0,tbl_Case_mins[[#This Row],[AnaesthStart]]=tbl_Case_mins[[#This Row],[ThOpenAm]])),1,0)</f>
        <v>#REF!</v>
      </c>
      <c r="BE317" s="16" t="e">
        <f>IF(AND(tbl_Case_mins[[#This Row],[Rank_AnaSt]]=tbl_Case_mins[[#This Row],[Min_RankAnaSt]],tbl_Case_mins[[#This Row],[Anaesth End]]&gt;=tbl_Case_mins[[#This Row],[ThOpenAm]],tbl_Case_mins[[#This Row],[PmCase]]=0),1,0)</f>
        <v>#REF!</v>
      </c>
      <c r="BF31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7" s="9" t="e" cm="1">
        <f t="array" ref="BH31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7" s="9" t="e">
        <f>IF(AND(tbl_Case_mins[[#This Row],[ThOpenPM]]&gt;0,tbl_Case_mins[[#This Row],[AnaesthStart]]&gt;tbl_Case_mins[[#This Row],[ThOpenPM]],tbl_Case_mins[[#This Row],[First PM Case]]=1),tbl_Case_mins[[#This Row],[AnaesthStart]]-tbl_Case_mins[[#This Row],[ThOpenPM]],0)</f>
        <v>#REF!</v>
      </c>
      <c r="BL31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7" s="9" t="e" cm="1">
        <f t="array" ref="BN31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7" s="9" t="e">
        <f>IF(AND(tbl_Case_mins[[#This Row],[ThClosePm]]&gt;0,tbl_Case_mins[[#This Row],[Anaesth End]]&gt;tbl_Case_mins[[#This Row],[ThClosePm]],tbl_Case_mins[[#This Row],[AnaesthStart]]&gt;tbl_Case_mins[[#This Row],[ThClosePm]]),tbl_Case_mins[[#This Row],[Into Recov]]-tbl_Case_mins[[#This Row],[AnaesthStart]],0)</f>
        <v>#REF!</v>
      </c>
      <c r="BP317" s="9" t="e">
        <f>IF(AND(tbl_Case_mins[[#This Row],[AnaesthStart]]&lt;tbl_Case_mins[[#This Row],[ThClosePm]],tbl_Case_mins[[#This Row],[Anaesth End]]&gt;tbl_Case_mins[[#This Row],[ThClosePm]]),tbl_Case_mins[[#This Row],[Anaesth End]]-tbl_Case_mins[[#This Row],[ThClosePm]],0)</f>
        <v>#REF!</v>
      </c>
      <c r="BQ317" s="9" t="e" cm="1">
        <f t="array" ref="BQ31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7" s="9" t="e" cm="1">
        <f t="array" ref="BR317">IF(tbl_Case_mins[[#This Row],[Rank_Adjust]]=SUMPRODUCT(-(tbl_Case_mins[Surgery Start Date]=tbl_Case_mins[[#This Row],[Surgery Start Date]]),-(tbl_Case_mins[Theatre]=tbl_Case_mins[[#This Row],[Theatre]])),INDEX(Poss_Time,MATCH(TEXT(tbl_Case_mins[[#This Row],[Surgery Start Date]],"ddd"),Day,0)),0)</f>
        <v>#REF!</v>
      </c>
      <c r="BS317" s="9" t="e">
        <f>tbl_Case_mins[[#This Row],[Core_Time]]*Util_Goal</f>
        <v>#REF!</v>
      </c>
      <c r="BT317" s="9" t="e" cm="1">
        <f t="array" ref="BT3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7" s="9" t="e" cm="1">
        <f t="array" ref="BU3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7" s="9" t="e">
        <f>IF(tbl_Case_mins[[#This Row],[Surgery End Date]]&gt;tbl_Case_mins[[#This Row],[Surgery Start Date]],tbl_Case_mins[[#This Row],[Anaesth End]]-1440,0)</f>
        <v>#REF!</v>
      </c>
      <c r="BY317" s="9" t="e">
        <f>tbl_Case_mins[[#This Row],[Total_NonCore]]-tbl_Case_mins[[#This Row],[NextDay_NonCore]]</f>
        <v>#REF!</v>
      </c>
      <c r="BZ317" s="10" t="e">
        <f>tbl_Case_mins[[#This Row],[InCoreUse]]/60</f>
        <v>#REF!</v>
      </c>
      <c r="CA317" s="10" t="e">
        <f>tbl_Case_mins[[#This Row],[Total_NonCore]]/60</f>
        <v>#REF!</v>
      </c>
      <c r="CB317" t="e" cm="1">
        <f t="array" ref="CB3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7" s="9" t="e" cm="1">
        <f t="array" ref="CC31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7" s="9" t="e" cm="1">
        <f t="array" ref="CD3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7" s="9" t="e" cm="1">
        <f t="array" ref="CE31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7" s="9" cm="1">
        <f t="array" ref="CF317">IFERROR(_xlfn.AGGREGATE(14,6,(tbl_Case_mins[Rank_AnaEnd])/((tbl_Case_mins[Surgery Start Date]=tbl_Case_mins[[#This Row],[Surgery Start Date]])*(tbl_Case_mins[Theatre]=tbl_Case_mins[[#This Row],[Theatre]])*(tbl_Case_mins[NoInCoreTime]=0)),1),-1)</f>
        <v>-1</v>
      </c>
      <c r="CG317" s="9" cm="1">
        <f t="array" ref="CG317">IFERROR(_xlfn.AGGREGATE(15,6,(tbl_Case_mins[Rank_AnaSt])/((tbl_Case_mins[Surgery Start Date]=tbl_Case_mins[[#This Row],[Surgery Start Date]])*(tbl_Case_mins[Theatre]=tbl_Case_mins[[#This Row],[Theatre]])*(tbl_Case_mins[NoInCoreTime]=0)),1),-1)</f>
        <v>-1</v>
      </c>
      <c r="CH31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7" t="e" cm="1">
        <f t="array" ref="CJ31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7" s="9" cm="1">
        <f t="array" ref="CO3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7" s="9" cm="1">
        <f t="array" ref="CP3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7" s="9" cm="1">
        <f t="array" ref="CQ317">IFERROR(IF(AND(tbl_Case_mins[[#This Row],[FirstAMCase]]=0,tbl_Case_mins[[#This Row],[Rank]]=_xlfn.AGGREGATE(14,6,(tbl_Case_mins[Rank])/((tbl_Case_mins[Surgery Start Date]=tbl_Case_mins[[#This Row],[Surgery Start Date]])*(tbl_Case_mins[Theatre]=tbl_Case_mins[[#This Row],[Theatre]])*(tbl_Case_mins[AmCase]=1)),1)),1,0),0)</f>
        <v>0</v>
      </c>
      <c r="CR317" s="9" cm="1">
        <f t="array" ref="CR31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7" s="9" t="e" cm="1">
        <f t="array" ref="CS31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7" s="9" cm="1">
        <f t="array" ref="CT317">IFERROR(IF(tbl_Case_mins[[#This Row],[Rank]]=_xlfn.AGGREGATE(15,6,(tbl_Case_mins[Rank])/((tbl_Case_mins[Surgery Start Date]=tbl_Case_mins[[#This Row],[Surgery Start Date]])*(tbl_Case_mins[Theatre]=tbl_Case_mins[[#This Row],[Theatre]])*(tbl_Case_mins[PmCase]=1)),1),1,0),0)</f>
        <v>0</v>
      </c>
      <c r="CU317">
        <f>IFERROR(#REF!,0)</f>
        <v>0</v>
      </c>
      <c r="CV317" s="9" t="e" cm="1">
        <f t="array" ref="CV31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7" s="9">
        <f>IFERROR(IF(ISBLANK(INDEX(Bay_AmClose,MATCH(1,INDEX((tbl_Case_mins[[#This Row],[Bay]]=BayNo)*(tbl_Case_mins[[#This Row],[Surgery Start Date]]=BDate),0,1),0))*1440),0,INDEX(Bay_AmClose,MATCH(1,INDEX((tbl_Case_mins[[#This Row],[Bay]]=BayNo)*(tbl_Case_mins[[#This Row],[Surgery Start Date]]=BDate),0,1),0))*1440),0)</f>
        <v>0</v>
      </c>
      <c r="CX317" s="9" cm="1">
        <f t="array" ref="CX317">IFERROR(IF(ISBLANK(INDEX(Bay_PmOpen,MATCH(1,INDEX((tbl_Case_mins[[#This Row],[Bay]]=BayNo)*(tbl_Case_mins[[#This Row],[Surgery Start Date]]=BDate),0,1),0))*1440),0,INDEX(Bay_PmOpen,MATCH(1,INDEX((tbl_Case_mins[[#This Row],[Bay]]=BayNo)*(tbl_Case_mins[[#This Row],[Surgery Start Date]]=BDate),0,1),0))*1440),0)</f>
        <v>0</v>
      </c>
      <c r="CY31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7" s="9"/>
    </row>
    <row r="318" spans="1:104" x14ac:dyDescent="0.2">
      <c r="A318">
        <v>317</v>
      </c>
      <c r="B318" t="e">
        <f>#REF!</f>
        <v>#REF!</v>
      </c>
      <c r="C318" t="e">
        <f>#REF!</f>
        <v>#REF!</v>
      </c>
      <c r="D318" t="e">
        <f>#REF!</f>
        <v>#REF!</v>
      </c>
      <c r="E318" t="e">
        <f>#REF!</f>
        <v>#REF!</v>
      </c>
      <c r="F318" t="e">
        <f>#REF!</f>
        <v>#REF!</v>
      </c>
      <c r="G318" t="e">
        <f>#REF!</f>
        <v>#REF!</v>
      </c>
      <c r="H318" t="e">
        <f>#REF!</f>
        <v>#REF!</v>
      </c>
      <c r="I318" t="e">
        <f>IF(#REF!="Case Cancelled",1,IF(#REF!="No Cases",2,0))</f>
        <v>#REF!</v>
      </c>
      <c r="J318" t="e">
        <f>#REF!</f>
        <v>#REF!</v>
      </c>
      <c r="K318" s="4" t="e">
        <f>#REF!</f>
        <v>#REF!</v>
      </c>
      <c r="L318" t="e">
        <f>"Wk "&amp;WEEKNUM(tbl_Case_mins[[#This Row],[Surgery Start Date]],21)</f>
        <v>#REF!</v>
      </c>
      <c r="M318" t="e">
        <f>TEXT(tbl_Case_mins[[#This Row],[Surgery Start Date]],"ddd")</f>
        <v>#REF!</v>
      </c>
      <c r="N318" s="9" t="e">
        <f>(#REF!-TIME(0,0,0))*1440</f>
        <v>#REF!</v>
      </c>
      <c r="O318" t="e">
        <f>IF(AND(ROUND((#REF!-TIME(0,0,0))*1440,0)&gt;0,ROUND((#REF!-TIME(0,0,0))*1440,0)&lt;tbl_Case_mins[[#This Row],[Patient Called]],tbl_Case_mins[[#This Row],[Surgery End Date]]&gt;tbl_Case_mins[[#This Row],[Surgery Start Date]]),ROUND((#REF!-TIME(0,0,0))*1440,0)+1440,ROUND((#REF!-TIME(0,0,0))*1440,0))</f>
        <v>#REF!</v>
      </c>
      <c r="P318" s="9" t="e">
        <f>IF(AND(ROUND((#REF!-TIME(0,0,0))*1440,0)&gt;0,ROUND((#REF!-TIME(0,0,0))*1440,0)&lt;tbl_Case_mins[[#This Row],[Arrival]],tbl_Case_mins[[#This Row],[Surgery End Date]]&gt;tbl_Case_mins[[#This Row],[Surgery Start Date]]),ROUND((#REF!-TIME(0,0,0))*1440,0)+1440,ROUND((#REF!-TIME(0,0,0))*1440,0))</f>
        <v>#REF!</v>
      </c>
      <c r="Q318" s="9" t="e">
        <f>IF(AND(ROUND((#REF!-TIME(0,0,0))*1440,0)&gt;0,ROUND((#REF!-TIME(0,0,0))*1440,0)&lt;tbl_Case_mins[[#This Row],[Into Th or AR]],tbl_Case_mins[[#This Row],[Surgery End Date]]&gt;tbl_Case_mins[[#This Row],[Surgery Start Date]]),ROUND((#REF!-TIME(0,0,0))*1440,0)+1440,ROUND((#REF!-TIME(0,0,0))*1440,0))</f>
        <v>#REF!</v>
      </c>
      <c r="R318" s="9" t="e">
        <f>IF(AND(ROUND((#REF!-TIME(0,0,0))*1440,0)&gt;0,ROUND((#REF!-TIME(0,0,0))*1440,0)&lt;tbl_Case_mins[[#This Row],[AnaesthStart]],tbl_Case_mins[[#This Row],[Surgery End Date]]&gt;tbl_Case_mins[[#This Row],[Surgery Start Date]]),ROUND((#REF!-TIME(0,0,0))*1440,0)+1440,ROUND((#REF!-TIME(0,0,0))*1440,0))</f>
        <v>#REF!</v>
      </c>
      <c r="S318" s="9" t="e">
        <f>IF(AND(ROUND((#REF!-TIME(0,0,0))*1440,0),ROUND((#REF!-TIME(0,0,0))*1440,0)&lt;tbl_Case_mins[[#This Row],[Surgery Start]],tbl_Case_mins[[#This Row],[Surgery End Date]]&gt;tbl_Case_mins[[#This Row],[Surgery Start Date]]),ROUND((#REF!-TIME(0,0,0))*1440,0)+1440,ROUND((#REF!-TIME(0,0,0))*1440,0))</f>
        <v>#REF!</v>
      </c>
      <c r="T318" s="9" t="e">
        <f>IF(AND(ROUND((#REF!-TIME(0,0,0))*1440,0)&gt;0,ROUND((#REF!-TIME(0,0,0))*1440,0)&lt;tbl_Case_mins[[#This Row],[Surgery Finish]],tbl_Case_mins[[#This Row],[Surgery End Date]]&gt;tbl_Case_mins[[#This Row],[Surgery Start Date]]),ROUND((#REF!-TIME(0,0,0))*1440,0)+1440,ROUND((#REF!-TIME(0,0,0))*1440,0))</f>
        <v>#REF!</v>
      </c>
      <c r="U318" s="9" t="e">
        <f>IF(AND(ROUND((#REF!-TIME(0,0,0))*1440,0)&gt;0,ROUND((#REF!-TIME(0,0,0))*1440,0)&lt;tbl_Case_mins[[#This Row],[Anaesth End]],tbl_Case_mins[[#This Row],[Surgery End Date]]&gt;tbl_Case_mins[[#This Row],[Surgery Start Date]]),ROUND((#REF!-TIME(0,0,0))*1440,0)+1440,ROUND((#REF!-TIME(0,0,0))*1440,0))</f>
        <v>#REF!</v>
      </c>
      <c r="V318" s="9" t="e">
        <f>IF(AND(ROUND((#REF!-TIME(0,0,0))*1440,0)&gt;0,ROUND((#REF!-TIME(0,0,0))*1440,0)&lt;tbl_Case_mins[[#This Row],[Into Recov]],tbl_Case_mins[[#This Row],[Surgery End Date]]&gt;tbl_Case_mins[[#This Row],[Surgery Start Date]]),ROUND((#REF!-TIME(0,0,0))*1440,0)+1440,ROUND((#REF!-TIME(0,0,0))*1440,0))</f>
        <v>#REF!</v>
      </c>
      <c r="W318" s="9" t="e">
        <f>IF(AND(ROUND((#REF!-TIME(0,0,0))*1440,0)&gt;0,ROUND((#REF!-TIME(0,0,0))*1440,0)&lt;tbl_Case_mins[[#This Row],[Ward Called]],tbl_Case_mins[[#This Row],[Surgery End Date]]&gt;tbl_Case_mins[[#This Row],[Surgery Start Date]]),ROUND((#REF!-TIME(0,0,0))*1440,0)+1440,ROUND((#REF!-TIME(0,0,0))*1440,0))</f>
        <v>#REF!</v>
      </c>
      <c r="X318" s="4" t="e">
        <f>IF(ISBLANK(#REF!),tbl_Case_mins[[#This Row],[Surgery Start Date]],#REF!)</f>
        <v>#REF!</v>
      </c>
      <c r="Y318">
        <f>IFERROR(IF(VLOOKUP(tbl_Case_mins[[#This Row],[Theatre]],'Mng Theatres'!$C$7:$G$12,3,FALSE)="Yes","Yes","No"),0)</f>
        <v>0</v>
      </c>
      <c r="Z318" s="9" t="e" cm="1">
        <f t="array" ref="Z31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8" s="9" t="e" cm="1">
        <f t="array" ref="AA31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8" s="9" t="e">
        <f>IF(tbl_Case_mins[[#This Row],[Case Type]]="Unsch",1,0)</f>
        <v>#REF!</v>
      </c>
      <c r="AD318" s="9" t="e">
        <f>IF(tbl_Case_mins[[#This Row],[Case Type]]="Sch",1,0)</f>
        <v>#REF!</v>
      </c>
      <c r="AE31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8" s="9">
        <f>IFERROR(IF(ISBLANK(INDEX(Am_Close,MATCH(1,INDEX((tbl_Case_mins[[#This Row],[Theatre]]=Theatre_No)*(tbl_Case_mins[[#This Row],[Surgery Start Date]]=Date),0,1),0))*1440),0,INDEX(Am_Close,MATCH(1,INDEX((tbl_Case_mins[[#This Row],[Theatre]]=Theatre_No)*(tbl_Case_mins[[#This Row],[Surgery Start Date]]=Date),0,1),0))*1440),0)</f>
        <v>0</v>
      </c>
      <c r="AG318" s="9">
        <f>IFERROR(IF(ISBLANK(INDEX(PM_Open,MATCH(1,INDEX((tbl_Case_mins[[#This Row],[Theatre]]=Theatre_No)*(tbl_Case_mins[[#This Row],[Surgery Start Date]]=Date),0,1),0))*1440),0,INDEX(PM_Open,MATCH(1,INDEX((tbl_Case_mins[[#This Row],[Theatre]]=Theatre_No)*(tbl_Case_mins[[#This Row],[Surgery Start Date]]=Date),0,1),0))*1440),0)</f>
        <v>0</v>
      </c>
      <c r="AH31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8" s="9" t="e">
        <f>IF(tbl_Case_mins[[#This Row],[ThOpenAm]]=0,tbl_Case_mins[[#This Row],[ThOpenPM]],tbl_Case_mins[[#This Row],[ThOpenAm]])</f>
        <v>#REF!</v>
      </c>
      <c r="AJ318" s="9" t="e">
        <f>IF(tbl_Case_mins[[#This Row],[ThCloseAm]]&gt;0,IF(tbl_Case_mins[[#This Row],[ThOpenPM]]&gt;0,tbl_Case_mins[[#This Row],[ThClosePm]],tbl_Case_mins[[#This Row],[ThCloseAm]]),tbl_Case_mins[[#This Row],[ThClosePm]])</f>
        <v>#REF!</v>
      </c>
      <c r="AK318" s="9" t="e">
        <f>IF(tbl_Case_mins[[#This Row],[TOT]]&gt;0,1,0)</f>
        <v>#REF!</v>
      </c>
      <c r="AL31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8" s="9" t="e">
        <f>IF(AND(tbl_Case_mins[[#This Row],[Surgery Status]]&lt;&gt;2,tbl_Case_mins[[#This Row],[InCoreCase]]=0,tbl_Case_mins[[#This Row],[CancelledCase]]=0),1,0)</f>
        <v>#REF!</v>
      </c>
      <c r="AN318" s="9" t="e">
        <f>IF(tbl_Case_mins[[#This Row],[Surgery Status]]=1,1,0)</f>
        <v>#REF!</v>
      </c>
      <c r="AO31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8" s="9" t="e">
        <f>IF(AND(tbl_Case_mins[[#This Row],[NonCoreCase]]=1,tbl_Case_mins[[#This Row],[NoInCoreTime]]=0),1,0)</f>
        <v>#REF!</v>
      </c>
      <c r="AQ318" s="9" t="e">
        <f>IF(tbl_Case_mins[[#This Row],[Rank_AnaEnd]]&lt;tbl_Case_mins[[#This Row],[Rank_AnaSt]],1,0)</f>
        <v>#REF!</v>
      </c>
      <c r="AR318" s="9" t="e">
        <f>IF(AND(tbl_Case_mins[[#This Row],[InCoreCase]]=1,tbl_Case_mins[[#This Row],[Sch]]=1),1,0)</f>
        <v>#REF!</v>
      </c>
      <c r="AS318" s="9" t="e">
        <f>IF(AND(tbl_Case_mins[[#This Row],[InCoreCase]]=1,tbl_Case_mins[[#This Row],[Unsch]]=1),1,0)</f>
        <v>#REF!</v>
      </c>
      <c r="AT31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8" s="9" t="e">
        <f>IF(tbl_Case_mins[[#This Row],[Surgery Status]]=0,(tbl_Case_mins[[#This Row],[Anaesth End]]-tbl_Case_mins[[#This Row],[AnaesthStart]]),0)</f>
        <v>#REF!</v>
      </c>
      <c r="AX318" s="9" t="e">
        <f>IF(tbl_Case_mins[[#This Row],[Surgery Status]]=0,(tbl_Case_mins[[#This Row],[Surgery Finish]]-tbl_Case_mins[[#This Row],[Surgery Start]]),0)</f>
        <v>#REF!</v>
      </c>
      <c r="AY318" s="9" t="e">
        <f>tbl_Case_mins[[#This Row],[Surgery Start]]-tbl_Case_mins[[#This Row],[AnaesthStart]]</f>
        <v>#REF!</v>
      </c>
      <c r="AZ318" s="9" t="e">
        <f>tbl_Case_mins[[#This Row],[Anaesth End]]-tbl_Case_mins[[#This Row],[Surgery Finish]]</f>
        <v>#REF!</v>
      </c>
      <c r="BA31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8" s="16" cm="1">
        <f t="array" ref="BC31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8" s="16" t="e">
        <f>IF(AND(tbl_Case_mins[[#This Row],[FirstAMCase]]=1,tbl_Case_mins[[#This Row],[CancelledCase]]=0,OR(tbl_Case_mins[[#This Row],[EarlyStartAM]]&gt;0,tbl_Case_mins[[#This Row],[AnaesthStart]]=tbl_Case_mins[[#This Row],[ThOpenAm]])),1,0)</f>
        <v>#REF!</v>
      </c>
      <c r="BE318" s="16" t="e">
        <f>IF(AND(tbl_Case_mins[[#This Row],[Rank_AnaSt]]=tbl_Case_mins[[#This Row],[Min_RankAnaSt]],tbl_Case_mins[[#This Row],[Anaesth End]]&gt;=tbl_Case_mins[[#This Row],[ThOpenAm]],tbl_Case_mins[[#This Row],[PmCase]]=0),1,0)</f>
        <v>#REF!</v>
      </c>
      <c r="BF31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8" s="9" t="e" cm="1">
        <f t="array" ref="BH31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8" s="9" t="e">
        <f>IF(AND(tbl_Case_mins[[#This Row],[ThOpenPM]]&gt;0,tbl_Case_mins[[#This Row],[AnaesthStart]]&gt;tbl_Case_mins[[#This Row],[ThOpenPM]],tbl_Case_mins[[#This Row],[First PM Case]]=1),tbl_Case_mins[[#This Row],[AnaesthStart]]-tbl_Case_mins[[#This Row],[ThOpenPM]],0)</f>
        <v>#REF!</v>
      </c>
      <c r="BL31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8" s="9" t="e" cm="1">
        <f t="array" ref="BN31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8" s="9" t="e">
        <f>IF(AND(tbl_Case_mins[[#This Row],[ThClosePm]]&gt;0,tbl_Case_mins[[#This Row],[Anaesth End]]&gt;tbl_Case_mins[[#This Row],[ThClosePm]],tbl_Case_mins[[#This Row],[AnaesthStart]]&gt;tbl_Case_mins[[#This Row],[ThClosePm]]),tbl_Case_mins[[#This Row],[Into Recov]]-tbl_Case_mins[[#This Row],[AnaesthStart]],0)</f>
        <v>#REF!</v>
      </c>
      <c r="BP318" s="9" t="e">
        <f>IF(AND(tbl_Case_mins[[#This Row],[AnaesthStart]]&lt;tbl_Case_mins[[#This Row],[ThClosePm]],tbl_Case_mins[[#This Row],[Anaesth End]]&gt;tbl_Case_mins[[#This Row],[ThClosePm]]),tbl_Case_mins[[#This Row],[Anaesth End]]-tbl_Case_mins[[#This Row],[ThClosePm]],0)</f>
        <v>#REF!</v>
      </c>
      <c r="BQ318" s="9" t="e" cm="1">
        <f t="array" ref="BQ31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8" s="9" t="e" cm="1">
        <f t="array" ref="BR318">IF(tbl_Case_mins[[#This Row],[Rank_Adjust]]=SUMPRODUCT(-(tbl_Case_mins[Surgery Start Date]=tbl_Case_mins[[#This Row],[Surgery Start Date]]),-(tbl_Case_mins[Theatre]=tbl_Case_mins[[#This Row],[Theatre]])),INDEX(Poss_Time,MATCH(TEXT(tbl_Case_mins[[#This Row],[Surgery Start Date]],"ddd"),Day,0)),0)</f>
        <v>#REF!</v>
      </c>
      <c r="BS318" s="9" t="e">
        <f>tbl_Case_mins[[#This Row],[Core_Time]]*Util_Goal</f>
        <v>#REF!</v>
      </c>
      <c r="BT318" s="9" t="e" cm="1">
        <f t="array" ref="BT3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8" s="9" t="e" cm="1">
        <f t="array" ref="BU3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8" s="9" t="e">
        <f>IF(tbl_Case_mins[[#This Row],[Surgery End Date]]&gt;tbl_Case_mins[[#This Row],[Surgery Start Date]],tbl_Case_mins[[#This Row],[Anaesth End]]-1440,0)</f>
        <v>#REF!</v>
      </c>
      <c r="BY318" s="9" t="e">
        <f>tbl_Case_mins[[#This Row],[Total_NonCore]]-tbl_Case_mins[[#This Row],[NextDay_NonCore]]</f>
        <v>#REF!</v>
      </c>
      <c r="BZ318" s="10" t="e">
        <f>tbl_Case_mins[[#This Row],[InCoreUse]]/60</f>
        <v>#REF!</v>
      </c>
      <c r="CA318" s="10" t="e">
        <f>tbl_Case_mins[[#This Row],[Total_NonCore]]/60</f>
        <v>#REF!</v>
      </c>
      <c r="CB318" t="e" cm="1">
        <f t="array" ref="CB3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8" s="9" t="e" cm="1">
        <f t="array" ref="CC31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8" s="9" t="e" cm="1">
        <f t="array" ref="CD3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8" s="9" t="e" cm="1">
        <f t="array" ref="CE31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8" s="9" cm="1">
        <f t="array" ref="CF318">IFERROR(_xlfn.AGGREGATE(14,6,(tbl_Case_mins[Rank_AnaEnd])/((tbl_Case_mins[Surgery Start Date]=tbl_Case_mins[[#This Row],[Surgery Start Date]])*(tbl_Case_mins[Theatre]=tbl_Case_mins[[#This Row],[Theatre]])*(tbl_Case_mins[NoInCoreTime]=0)),1),-1)</f>
        <v>-1</v>
      </c>
      <c r="CG318" s="9" cm="1">
        <f t="array" ref="CG318">IFERROR(_xlfn.AGGREGATE(15,6,(tbl_Case_mins[Rank_AnaSt])/((tbl_Case_mins[Surgery Start Date]=tbl_Case_mins[[#This Row],[Surgery Start Date]])*(tbl_Case_mins[Theatre]=tbl_Case_mins[[#This Row],[Theatre]])*(tbl_Case_mins[NoInCoreTime]=0)),1),-1)</f>
        <v>-1</v>
      </c>
      <c r="CH31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8" t="e" cm="1">
        <f t="array" ref="CJ31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8" s="9" cm="1">
        <f t="array" ref="CO3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8" s="9" cm="1">
        <f t="array" ref="CP3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8" s="9" cm="1">
        <f t="array" ref="CQ318">IFERROR(IF(AND(tbl_Case_mins[[#This Row],[FirstAMCase]]=0,tbl_Case_mins[[#This Row],[Rank]]=_xlfn.AGGREGATE(14,6,(tbl_Case_mins[Rank])/((tbl_Case_mins[Surgery Start Date]=tbl_Case_mins[[#This Row],[Surgery Start Date]])*(tbl_Case_mins[Theatre]=tbl_Case_mins[[#This Row],[Theatre]])*(tbl_Case_mins[AmCase]=1)),1)),1,0),0)</f>
        <v>0</v>
      </c>
      <c r="CR318" s="9" cm="1">
        <f t="array" ref="CR31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8" s="9" t="e" cm="1">
        <f t="array" ref="CS31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8" s="9" cm="1">
        <f t="array" ref="CT318">IFERROR(IF(tbl_Case_mins[[#This Row],[Rank]]=_xlfn.AGGREGATE(15,6,(tbl_Case_mins[Rank])/((tbl_Case_mins[Surgery Start Date]=tbl_Case_mins[[#This Row],[Surgery Start Date]])*(tbl_Case_mins[Theatre]=tbl_Case_mins[[#This Row],[Theatre]])*(tbl_Case_mins[PmCase]=1)),1),1,0),0)</f>
        <v>0</v>
      </c>
      <c r="CU318">
        <f>IFERROR(#REF!,0)</f>
        <v>0</v>
      </c>
      <c r="CV318" s="9" t="e" cm="1">
        <f t="array" ref="CV31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8" s="9">
        <f>IFERROR(IF(ISBLANK(INDEX(Bay_AmClose,MATCH(1,INDEX((tbl_Case_mins[[#This Row],[Bay]]=BayNo)*(tbl_Case_mins[[#This Row],[Surgery Start Date]]=BDate),0,1),0))*1440),0,INDEX(Bay_AmClose,MATCH(1,INDEX((tbl_Case_mins[[#This Row],[Bay]]=BayNo)*(tbl_Case_mins[[#This Row],[Surgery Start Date]]=BDate),0,1),0))*1440),0)</f>
        <v>0</v>
      </c>
      <c r="CX318" s="9" cm="1">
        <f t="array" ref="CX318">IFERROR(IF(ISBLANK(INDEX(Bay_PmOpen,MATCH(1,INDEX((tbl_Case_mins[[#This Row],[Bay]]=BayNo)*(tbl_Case_mins[[#This Row],[Surgery Start Date]]=BDate),0,1),0))*1440),0,INDEX(Bay_PmOpen,MATCH(1,INDEX((tbl_Case_mins[[#This Row],[Bay]]=BayNo)*(tbl_Case_mins[[#This Row],[Surgery Start Date]]=BDate),0,1),0))*1440),0)</f>
        <v>0</v>
      </c>
      <c r="CY31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8" s="9"/>
    </row>
    <row r="319" spans="1:104" x14ac:dyDescent="0.2">
      <c r="A319">
        <v>318</v>
      </c>
      <c r="B319" t="e">
        <f>#REF!</f>
        <v>#REF!</v>
      </c>
      <c r="C319" t="e">
        <f>#REF!</f>
        <v>#REF!</v>
      </c>
      <c r="D319" t="e">
        <f>#REF!</f>
        <v>#REF!</v>
      </c>
      <c r="E319" t="e">
        <f>#REF!</f>
        <v>#REF!</v>
      </c>
      <c r="F319" t="e">
        <f>#REF!</f>
        <v>#REF!</v>
      </c>
      <c r="G319" t="e">
        <f>#REF!</f>
        <v>#REF!</v>
      </c>
      <c r="H319" t="e">
        <f>#REF!</f>
        <v>#REF!</v>
      </c>
      <c r="I319" t="e">
        <f>IF(#REF!="Case Cancelled",1,IF(#REF!="No Cases",2,0))</f>
        <v>#REF!</v>
      </c>
      <c r="J319" t="e">
        <f>#REF!</f>
        <v>#REF!</v>
      </c>
      <c r="K319" s="4" t="e">
        <f>#REF!</f>
        <v>#REF!</v>
      </c>
      <c r="L319" t="e">
        <f>"Wk "&amp;WEEKNUM(tbl_Case_mins[[#This Row],[Surgery Start Date]],21)</f>
        <v>#REF!</v>
      </c>
      <c r="M319" t="e">
        <f>TEXT(tbl_Case_mins[[#This Row],[Surgery Start Date]],"ddd")</f>
        <v>#REF!</v>
      </c>
      <c r="N319" s="9" t="e">
        <f>(#REF!-TIME(0,0,0))*1440</f>
        <v>#REF!</v>
      </c>
      <c r="O319" t="e">
        <f>IF(AND(ROUND((#REF!-TIME(0,0,0))*1440,0)&gt;0,ROUND((#REF!-TIME(0,0,0))*1440,0)&lt;tbl_Case_mins[[#This Row],[Patient Called]],tbl_Case_mins[[#This Row],[Surgery End Date]]&gt;tbl_Case_mins[[#This Row],[Surgery Start Date]]),ROUND((#REF!-TIME(0,0,0))*1440,0)+1440,ROUND((#REF!-TIME(0,0,0))*1440,0))</f>
        <v>#REF!</v>
      </c>
      <c r="P319" s="9" t="e">
        <f>IF(AND(ROUND((#REF!-TIME(0,0,0))*1440,0)&gt;0,ROUND((#REF!-TIME(0,0,0))*1440,0)&lt;tbl_Case_mins[[#This Row],[Arrival]],tbl_Case_mins[[#This Row],[Surgery End Date]]&gt;tbl_Case_mins[[#This Row],[Surgery Start Date]]),ROUND((#REF!-TIME(0,0,0))*1440,0)+1440,ROUND((#REF!-TIME(0,0,0))*1440,0))</f>
        <v>#REF!</v>
      </c>
      <c r="Q319" s="9" t="e">
        <f>IF(AND(ROUND((#REF!-TIME(0,0,0))*1440,0)&gt;0,ROUND((#REF!-TIME(0,0,0))*1440,0)&lt;tbl_Case_mins[[#This Row],[Into Th or AR]],tbl_Case_mins[[#This Row],[Surgery End Date]]&gt;tbl_Case_mins[[#This Row],[Surgery Start Date]]),ROUND((#REF!-TIME(0,0,0))*1440,0)+1440,ROUND((#REF!-TIME(0,0,0))*1440,0))</f>
        <v>#REF!</v>
      </c>
      <c r="R319" s="9" t="e">
        <f>IF(AND(ROUND((#REF!-TIME(0,0,0))*1440,0)&gt;0,ROUND((#REF!-TIME(0,0,0))*1440,0)&lt;tbl_Case_mins[[#This Row],[AnaesthStart]],tbl_Case_mins[[#This Row],[Surgery End Date]]&gt;tbl_Case_mins[[#This Row],[Surgery Start Date]]),ROUND((#REF!-TIME(0,0,0))*1440,0)+1440,ROUND((#REF!-TIME(0,0,0))*1440,0))</f>
        <v>#REF!</v>
      </c>
      <c r="S319" s="9" t="e">
        <f>IF(AND(ROUND((#REF!-TIME(0,0,0))*1440,0),ROUND((#REF!-TIME(0,0,0))*1440,0)&lt;tbl_Case_mins[[#This Row],[Surgery Start]],tbl_Case_mins[[#This Row],[Surgery End Date]]&gt;tbl_Case_mins[[#This Row],[Surgery Start Date]]),ROUND((#REF!-TIME(0,0,0))*1440,0)+1440,ROUND((#REF!-TIME(0,0,0))*1440,0))</f>
        <v>#REF!</v>
      </c>
      <c r="T319" s="9" t="e">
        <f>IF(AND(ROUND((#REF!-TIME(0,0,0))*1440,0)&gt;0,ROUND((#REF!-TIME(0,0,0))*1440,0)&lt;tbl_Case_mins[[#This Row],[Surgery Finish]],tbl_Case_mins[[#This Row],[Surgery End Date]]&gt;tbl_Case_mins[[#This Row],[Surgery Start Date]]),ROUND((#REF!-TIME(0,0,0))*1440,0)+1440,ROUND((#REF!-TIME(0,0,0))*1440,0))</f>
        <v>#REF!</v>
      </c>
      <c r="U319" s="9" t="e">
        <f>IF(AND(ROUND((#REF!-TIME(0,0,0))*1440,0)&gt;0,ROUND((#REF!-TIME(0,0,0))*1440,0)&lt;tbl_Case_mins[[#This Row],[Anaesth End]],tbl_Case_mins[[#This Row],[Surgery End Date]]&gt;tbl_Case_mins[[#This Row],[Surgery Start Date]]),ROUND((#REF!-TIME(0,0,0))*1440,0)+1440,ROUND((#REF!-TIME(0,0,0))*1440,0))</f>
        <v>#REF!</v>
      </c>
      <c r="V319" s="9" t="e">
        <f>IF(AND(ROUND((#REF!-TIME(0,0,0))*1440,0)&gt;0,ROUND((#REF!-TIME(0,0,0))*1440,0)&lt;tbl_Case_mins[[#This Row],[Into Recov]],tbl_Case_mins[[#This Row],[Surgery End Date]]&gt;tbl_Case_mins[[#This Row],[Surgery Start Date]]),ROUND((#REF!-TIME(0,0,0))*1440,0)+1440,ROUND((#REF!-TIME(0,0,0))*1440,0))</f>
        <v>#REF!</v>
      </c>
      <c r="W319" s="9" t="e">
        <f>IF(AND(ROUND((#REF!-TIME(0,0,0))*1440,0)&gt;0,ROUND((#REF!-TIME(0,0,0))*1440,0)&lt;tbl_Case_mins[[#This Row],[Ward Called]],tbl_Case_mins[[#This Row],[Surgery End Date]]&gt;tbl_Case_mins[[#This Row],[Surgery Start Date]]),ROUND((#REF!-TIME(0,0,0))*1440,0)+1440,ROUND((#REF!-TIME(0,0,0))*1440,0))</f>
        <v>#REF!</v>
      </c>
      <c r="X319" s="4" t="e">
        <f>IF(ISBLANK(#REF!),tbl_Case_mins[[#This Row],[Surgery Start Date]],#REF!)</f>
        <v>#REF!</v>
      </c>
      <c r="Y319">
        <f>IFERROR(IF(VLOOKUP(tbl_Case_mins[[#This Row],[Theatre]],'Mng Theatres'!$C$7:$G$12,3,FALSE)="Yes","Yes","No"),0)</f>
        <v>0</v>
      </c>
      <c r="Z319" s="9" t="e" cm="1">
        <f t="array" ref="Z31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19" s="9" t="e" cm="1">
        <f t="array" ref="AA31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1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19" s="9" t="e">
        <f>IF(tbl_Case_mins[[#This Row],[Case Type]]="Unsch",1,0)</f>
        <v>#REF!</v>
      </c>
      <c r="AD319" s="9" t="e">
        <f>IF(tbl_Case_mins[[#This Row],[Case Type]]="Sch",1,0)</f>
        <v>#REF!</v>
      </c>
      <c r="AE31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19" s="9">
        <f>IFERROR(IF(ISBLANK(INDEX(Am_Close,MATCH(1,INDEX((tbl_Case_mins[[#This Row],[Theatre]]=Theatre_No)*(tbl_Case_mins[[#This Row],[Surgery Start Date]]=Date),0,1),0))*1440),0,INDEX(Am_Close,MATCH(1,INDEX((tbl_Case_mins[[#This Row],[Theatre]]=Theatre_No)*(tbl_Case_mins[[#This Row],[Surgery Start Date]]=Date),0,1),0))*1440),0)</f>
        <v>0</v>
      </c>
      <c r="AG319" s="9">
        <f>IFERROR(IF(ISBLANK(INDEX(PM_Open,MATCH(1,INDEX((tbl_Case_mins[[#This Row],[Theatre]]=Theatre_No)*(tbl_Case_mins[[#This Row],[Surgery Start Date]]=Date),0,1),0))*1440),0,INDEX(PM_Open,MATCH(1,INDEX((tbl_Case_mins[[#This Row],[Theatre]]=Theatre_No)*(tbl_Case_mins[[#This Row],[Surgery Start Date]]=Date),0,1),0))*1440),0)</f>
        <v>0</v>
      </c>
      <c r="AH31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19" s="9" t="e">
        <f>IF(tbl_Case_mins[[#This Row],[ThOpenAm]]=0,tbl_Case_mins[[#This Row],[ThOpenPM]],tbl_Case_mins[[#This Row],[ThOpenAm]])</f>
        <v>#REF!</v>
      </c>
      <c r="AJ319" s="9" t="e">
        <f>IF(tbl_Case_mins[[#This Row],[ThCloseAm]]&gt;0,IF(tbl_Case_mins[[#This Row],[ThOpenPM]]&gt;0,tbl_Case_mins[[#This Row],[ThClosePm]],tbl_Case_mins[[#This Row],[ThCloseAm]]),tbl_Case_mins[[#This Row],[ThClosePm]])</f>
        <v>#REF!</v>
      </c>
      <c r="AK319" s="9" t="e">
        <f>IF(tbl_Case_mins[[#This Row],[TOT]]&gt;0,1,0)</f>
        <v>#REF!</v>
      </c>
      <c r="AL31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19" s="9" t="e">
        <f>IF(AND(tbl_Case_mins[[#This Row],[Surgery Status]]&lt;&gt;2,tbl_Case_mins[[#This Row],[InCoreCase]]=0,tbl_Case_mins[[#This Row],[CancelledCase]]=0),1,0)</f>
        <v>#REF!</v>
      </c>
      <c r="AN319" s="9" t="e">
        <f>IF(tbl_Case_mins[[#This Row],[Surgery Status]]=1,1,0)</f>
        <v>#REF!</v>
      </c>
      <c r="AO31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19" s="9" t="e">
        <f>IF(AND(tbl_Case_mins[[#This Row],[NonCoreCase]]=1,tbl_Case_mins[[#This Row],[NoInCoreTime]]=0),1,0)</f>
        <v>#REF!</v>
      </c>
      <c r="AQ319" s="9" t="e">
        <f>IF(tbl_Case_mins[[#This Row],[Rank_AnaEnd]]&lt;tbl_Case_mins[[#This Row],[Rank_AnaSt]],1,0)</f>
        <v>#REF!</v>
      </c>
      <c r="AR319" s="9" t="e">
        <f>IF(AND(tbl_Case_mins[[#This Row],[InCoreCase]]=1,tbl_Case_mins[[#This Row],[Sch]]=1),1,0)</f>
        <v>#REF!</v>
      </c>
      <c r="AS319" s="9" t="e">
        <f>IF(AND(tbl_Case_mins[[#This Row],[InCoreCase]]=1,tbl_Case_mins[[#This Row],[Unsch]]=1),1,0)</f>
        <v>#REF!</v>
      </c>
      <c r="AT31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1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1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19" s="9" t="e">
        <f>IF(tbl_Case_mins[[#This Row],[Surgery Status]]=0,(tbl_Case_mins[[#This Row],[Anaesth End]]-tbl_Case_mins[[#This Row],[AnaesthStart]]),0)</f>
        <v>#REF!</v>
      </c>
      <c r="AX319" s="9" t="e">
        <f>IF(tbl_Case_mins[[#This Row],[Surgery Status]]=0,(tbl_Case_mins[[#This Row],[Surgery Finish]]-tbl_Case_mins[[#This Row],[Surgery Start]]),0)</f>
        <v>#REF!</v>
      </c>
      <c r="AY319" s="9" t="e">
        <f>tbl_Case_mins[[#This Row],[Surgery Start]]-tbl_Case_mins[[#This Row],[AnaesthStart]]</f>
        <v>#REF!</v>
      </c>
      <c r="AZ319" s="9" t="e">
        <f>tbl_Case_mins[[#This Row],[Anaesth End]]-tbl_Case_mins[[#This Row],[Surgery Finish]]</f>
        <v>#REF!</v>
      </c>
      <c r="BA31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1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19" s="16" cm="1">
        <f t="array" ref="BC31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19" s="16" t="e">
        <f>IF(AND(tbl_Case_mins[[#This Row],[FirstAMCase]]=1,tbl_Case_mins[[#This Row],[CancelledCase]]=0,OR(tbl_Case_mins[[#This Row],[EarlyStartAM]]&gt;0,tbl_Case_mins[[#This Row],[AnaesthStart]]=tbl_Case_mins[[#This Row],[ThOpenAm]])),1,0)</f>
        <v>#REF!</v>
      </c>
      <c r="BE319" s="16" t="e">
        <f>IF(AND(tbl_Case_mins[[#This Row],[Rank_AnaSt]]=tbl_Case_mins[[#This Row],[Min_RankAnaSt]],tbl_Case_mins[[#This Row],[Anaesth End]]&gt;=tbl_Case_mins[[#This Row],[ThOpenAm]],tbl_Case_mins[[#This Row],[PmCase]]=0),1,0)</f>
        <v>#REF!</v>
      </c>
      <c r="BF31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1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19" s="9" t="e" cm="1">
        <f t="array" ref="BH31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1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1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19" s="9" t="e">
        <f>IF(AND(tbl_Case_mins[[#This Row],[ThOpenPM]]&gt;0,tbl_Case_mins[[#This Row],[AnaesthStart]]&gt;tbl_Case_mins[[#This Row],[ThOpenPM]],tbl_Case_mins[[#This Row],[First PM Case]]=1),tbl_Case_mins[[#This Row],[AnaesthStart]]-tbl_Case_mins[[#This Row],[ThOpenPM]],0)</f>
        <v>#REF!</v>
      </c>
      <c r="BL31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1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19" s="9" t="e" cm="1">
        <f t="array" ref="BN31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19" s="9" t="e">
        <f>IF(AND(tbl_Case_mins[[#This Row],[ThClosePm]]&gt;0,tbl_Case_mins[[#This Row],[Anaesth End]]&gt;tbl_Case_mins[[#This Row],[ThClosePm]],tbl_Case_mins[[#This Row],[AnaesthStart]]&gt;tbl_Case_mins[[#This Row],[ThClosePm]]),tbl_Case_mins[[#This Row],[Into Recov]]-tbl_Case_mins[[#This Row],[AnaesthStart]],0)</f>
        <v>#REF!</v>
      </c>
      <c r="BP319" s="9" t="e">
        <f>IF(AND(tbl_Case_mins[[#This Row],[AnaesthStart]]&lt;tbl_Case_mins[[#This Row],[ThClosePm]],tbl_Case_mins[[#This Row],[Anaesth End]]&gt;tbl_Case_mins[[#This Row],[ThClosePm]]),tbl_Case_mins[[#This Row],[Anaesth End]]-tbl_Case_mins[[#This Row],[ThClosePm]],0)</f>
        <v>#REF!</v>
      </c>
      <c r="BQ319" s="9" t="e" cm="1">
        <f t="array" ref="BQ31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19" s="9" t="e" cm="1">
        <f t="array" ref="BR319">IF(tbl_Case_mins[[#This Row],[Rank_Adjust]]=SUMPRODUCT(-(tbl_Case_mins[Surgery Start Date]=tbl_Case_mins[[#This Row],[Surgery Start Date]]),-(tbl_Case_mins[Theatre]=tbl_Case_mins[[#This Row],[Theatre]])),INDEX(Poss_Time,MATCH(TEXT(tbl_Case_mins[[#This Row],[Surgery Start Date]],"ddd"),Day,0)),0)</f>
        <v>#REF!</v>
      </c>
      <c r="BS319" s="9" t="e">
        <f>tbl_Case_mins[[#This Row],[Core_Time]]*Util_Goal</f>
        <v>#REF!</v>
      </c>
      <c r="BT319" s="9" t="e" cm="1">
        <f t="array" ref="BT3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19" s="9" t="e" cm="1">
        <f t="array" ref="BU3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1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1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19" s="9" t="e">
        <f>IF(tbl_Case_mins[[#This Row],[Surgery End Date]]&gt;tbl_Case_mins[[#This Row],[Surgery Start Date]],tbl_Case_mins[[#This Row],[Anaesth End]]-1440,0)</f>
        <v>#REF!</v>
      </c>
      <c r="BY319" s="9" t="e">
        <f>tbl_Case_mins[[#This Row],[Total_NonCore]]-tbl_Case_mins[[#This Row],[NextDay_NonCore]]</f>
        <v>#REF!</v>
      </c>
      <c r="BZ319" s="10" t="e">
        <f>tbl_Case_mins[[#This Row],[InCoreUse]]/60</f>
        <v>#REF!</v>
      </c>
      <c r="CA319" s="10" t="e">
        <f>tbl_Case_mins[[#This Row],[Total_NonCore]]/60</f>
        <v>#REF!</v>
      </c>
      <c r="CB319" t="e" cm="1">
        <f t="array" ref="CB3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19" s="9" t="e" cm="1">
        <f t="array" ref="CC31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19" s="9" t="e" cm="1">
        <f t="array" ref="CD3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19" s="9" t="e" cm="1">
        <f t="array" ref="CE31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19" s="9" cm="1">
        <f t="array" ref="CF319">IFERROR(_xlfn.AGGREGATE(14,6,(tbl_Case_mins[Rank_AnaEnd])/((tbl_Case_mins[Surgery Start Date]=tbl_Case_mins[[#This Row],[Surgery Start Date]])*(tbl_Case_mins[Theatre]=tbl_Case_mins[[#This Row],[Theatre]])*(tbl_Case_mins[NoInCoreTime]=0)),1),-1)</f>
        <v>-1</v>
      </c>
      <c r="CG319" s="9" cm="1">
        <f t="array" ref="CG319">IFERROR(_xlfn.AGGREGATE(15,6,(tbl_Case_mins[Rank_AnaSt])/((tbl_Case_mins[Surgery Start Date]=tbl_Case_mins[[#This Row],[Surgery Start Date]])*(tbl_Case_mins[Theatre]=tbl_Case_mins[[#This Row],[Theatre]])*(tbl_Case_mins[NoInCoreTime]=0)),1),-1)</f>
        <v>-1</v>
      </c>
      <c r="CH31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1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19" t="e" cm="1">
        <f t="array" ref="CJ31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1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1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19" s="9" cm="1">
        <f t="array" ref="CO3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19" s="9" cm="1">
        <f t="array" ref="CP3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19" s="9" cm="1">
        <f t="array" ref="CQ319">IFERROR(IF(AND(tbl_Case_mins[[#This Row],[FirstAMCase]]=0,tbl_Case_mins[[#This Row],[Rank]]=_xlfn.AGGREGATE(14,6,(tbl_Case_mins[Rank])/((tbl_Case_mins[Surgery Start Date]=tbl_Case_mins[[#This Row],[Surgery Start Date]])*(tbl_Case_mins[Theatre]=tbl_Case_mins[[#This Row],[Theatre]])*(tbl_Case_mins[AmCase]=1)),1)),1,0),0)</f>
        <v>0</v>
      </c>
      <c r="CR319" s="9" cm="1">
        <f t="array" ref="CR31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19" s="9" t="e" cm="1">
        <f t="array" ref="CS31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19" s="9" cm="1">
        <f t="array" ref="CT319">IFERROR(IF(tbl_Case_mins[[#This Row],[Rank]]=_xlfn.AGGREGATE(15,6,(tbl_Case_mins[Rank])/((tbl_Case_mins[Surgery Start Date]=tbl_Case_mins[[#This Row],[Surgery Start Date]])*(tbl_Case_mins[Theatre]=tbl_Case_mins[[#This Row],[Theatre]])*(tbl_Case_mins[PmCase]=1)),1),1,0),0)</f>
        <v>0</v>
      </c>
      <c r="CU319">
        <f>IFERROR(#REF!,0)</f>
        <v>0</v>
      </c>
      <c r="CV319" s="9" t="e" cm="1">
        <f t="array" ref="CV31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19" s="9">
        <f>IFERROR(IF(ISBLANK(INDEX(Bay_AmClose,MATCH(1,INDEX((tbl_Case_mins[[#This Row],[Bay]]=BayNo)*(tbl_Case_mins[[#This Row],[Surgery Start Date]]=BDate),0,1),0))*1440),0,INDEX(Bay_AmClose,MATCH(1,INDEX((tbl_Case_mins[[#This Row],[Bay]]=BayNo)*(tbl_Case_mins[[#This Row],[Surgery Start Date]]=BDate),0,1),0))*1440),0)</f>
        <v>0</v>
      </c>
      <c r="CX319" s="9" cm="1">
        <f t="array" ref="CX319">IFERROR(IF(ISBLANK(INDEX(Bay_PmOpen,MATCH(1,INDEX((tbl_Case_mins[[#This Row],[Bay]]=BayNo)*(tbl_Case_mins[[#This Row],[Surgery Start Date]]=BDate),0,1),0))*1440),0,INDEX(Bay_PmOpen,MATCH(1,INDEX((tbl_Case_mins[[#This Row],[Bay]]=BayNo)*(tbl_Case_mins[[#This Row],[Surgery Start Date]]=BDate),0,1),0))*1440),0)</f>
        <v>0</v>
      </c>
      <c r="CY31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19" s="9"/>
    </row>
    <row r="320" spans="1:104" x14ac:dyDescent="0.2">
      <c r="A320">
        <v>319</v>
      </c>
      <c r="B320" t="e">
        <f>#REF!</f>
        <v>#REF!</v>
      </c>
      <c r="C320" t="e">
        <f>#REF!</f>
        <v>#REF!</v>
      </c>
      <c r="D320" t="e">
        <f>#REF!</f>
        <v>#REF!</v>
      </c>
      <c r="E320" t="e">
        <f>#REF!</f>
        <v>#REF!</v>
      </c>
      <c r="F320" t="e">
        <f>#REF!</f>
        <v>#REF!</v>
      </c>
      <c r="G320" t="e">
        <f>#REF!</f>
        <v>#REF!</v>
      </c>
      <c r="H320" t="e">
        <f>#REF!</f>
        <v>#REF!</v>
      </c>
      <c r="I320" t="e">
        <f>IF(#REF!="Case Cancelled",1,IF(#REF!="No Cases",2,0))</f>
        <v>#REF!</v>
      </c>
      <c r="J320" t="e">
        <f>#REF!</f>
        <v>#REF!</v>
      </c>
      <c r="K320" s="4" t="e">
        <f>#REF!</f>
        <v>#REF!</v>
      </c>
      <c r="L320" t="e">
        <f>"Wk "&amp;WEEKNUM(tbl_Case_mins[[#This Row],[Surgery Start Date]],21)</f>
        <v>#REF!</v>
      </c>
      <c r="M320" t="e">
        <f>TEXT(tbl_Case_mins[[#This Row],[Surgery Start Date]],"ddd")</f>
        <v>#REF!</v>
      </c>
      <c r="N320" s="9" t="e">
        <f>(#REF!-TIME(0,0,0))*1440</f>
        <v>#REF!</v>
      </c>
      <c r="O320" t="e">
        <f>IF(AND(ROUND((#REF!-TIME(0,0,0))*1440,0)&gt;0,ROUND((#REF!-TIME(0,0,0))*1440,0)&lt;tbl_Case_mins[[#This Row],[Patient Called]],tbl_Case_mins[[#This Row],[Surgery End Date]]&gt;tbl_Case_mins[[#This Row],[Surgery Start Date]]),ROUND((#REF!-TIME(0,0,0))*1440,0)+1440,ROUND((#REF!-TIME(0,0,0))*1440,0))</f>
        <v>#REF!</v>
      </c>
      <c r="P320" s="9" t="e">
        <f>IF(AND(ROUND((#REF!-TIME(0,0,0))*1440,0)&gt;0,ROUND((#REF!-TIME(0,0,0))*1440,0)&lt;tbl_Case_mins[[#This Row],[Arrival]],tbl_Case_mins[[#This Row],[Surgery End Date]]&gt;tbl_Case_mins[[#This Row],[Surgery Start Date]]),ROUND((#REF!-TIME(0,0,0))*1440,0)+1440,ROUND((#REF!-TIME(0,0,0))*1440,0))</f>
        <v>#REF!</v>
      </c>
      <c r="Q320" s="9" t="e">
        <f>IF(AND(ROUND((#REF!-TIME(0,0,0))*1440,0)&gt;0,ROUND((#REF!-TIME(0,0,0))*1440,0)&lt;tbl_Case_mins[[#This Row],[Into Th or AR]],tbl_Case_mins[[#This Row],[Surgery End Date]]&gt;tbl_Case_mins[[#This Row],[Surgery Start Date]]),ROUND((#REF!-TIME(0,0,0))*1440,0)+1440,ROUND((#REF!-TIME(0,0,0))*1440,0))</f>
        <v>#REF!</v>
      </c>
      <c r="R320" s="9" t="e">
        <f>IF(AND(ROUND((#REF!-TIME(0,0,0))*1440,0)&gt;0,ROUND((#REF!-TIME(0,0,0))*1440,0)&lt;tbl_Case_mins[[#This Row],[AnaesthStart]],tbl_Case_mins[[#This Row],[Surgery End Date]]&gt;tbl_Case_mins[[#This Row],[Surgery Start Date]]),ROUND((#REF!-TIME(0,0,0))*1440,0)+1440,ROUND((#REF!-TIME(0,0,0))*1440,0))</f>
        <v>#REF!</v>
      </c>
      <c r="S320" s="9" t="e">
        <f>IF(AND(ROUND((#REF!-TIME(0,0,0))*1440,0),ROUND((#REF!-TIME(0,0,0))*1440,0)&lt;tbl_Case_mins[[#This Row],[Surgery Start]],tbl_Case_mins[[#This Row],[Surgery End Date]]&gt;tbl_Case_mins[[#This Row],[Surgery Start Date]]),ROUND((#REF!-TIME(0,0,0))*1440,0)+1440,ROUND((#REF!-TIME(0,0,0))*1440,0))</f>
        <v>#REF!</v>
      </c>
      <c r="T320" s="9" t="e">
        <f>IF(AND(ROUND((#REF!-TIME(0,0,0))*1440,0)&gt;0,ROUND((#REF!-TIME(0,0,0))*1440,0)&lt;tbl_Case_mins[[#This Row],[Surgery Finish]],tbl_Case_mins[[#This Row],[Surgery End Date]]&gt;tbl_Case_mins[[#This Row],[Surgery Start Date]]),ROUND((#REF!-TIME(0,0,0))*1440,0)+1440,ROUND((#REF!-TIME(0,0,0))*1440,0))</f>
        <v>#REF!</v>
      </c>
      <c r="U320" s="9" t="e">
        <f>IF(AND(ROUND((#REF!-TIME(0,0,0))*1440,0)&gt;0,ROUND((#REF!-TIME(0,0,0))*1440,0)&lt;tbl_Case_mins[[#This Row],[Anaesth End]],tbl_Case_mins[[#This Row],[Surgery End Date]]&gt;tbl_Case_mins[[#This Row],[Surgery Start Date]]),ROUND((#REF!-TIME(0,0,0))*1440,0)+1440,ROUND((#REF!-TIME(0,0,0))*1440,0))</f>
        <v>#REF!</v>
      </c>
      <c r="V320" s="9" t="e">
        <f>IF(AND(ROUND((#REF!-TIME(0,0,0))*1440,0)&gt;0,ROUND((#REF!-TIME(0,0,0))*1440,0)&lt;tbl_Case_mins[[#This Row],[Into Recov]],tbl_Case_mins[[#This Row],[Surgery End Date]]&gt;tbl_Case_mins[[#This Row],[Surgery Start Date]]),ROUND((#REF!-TIME(0,0,0))*1440,0)+1440,ROUND((#REF!-TIME(0,0,0))*1440,0))</f>
        <v>#REF!</v>
      </c>
      <c r="W320" s="9" t="e">
        <f>IF(AND(ROUND((#REF!-TIME(0,0,0))*1440,0)&gt;0,ROUND((#REF!-TIME(0,0,0))*1440,0)&lt;tbl_Case_mins[[#This Row],[Ward Called]],tbl_Case_mins[[#This Row],[Surgery End Date]]&gt;tbl_Case_mins[[#This Row],[Surgery Start Date]]),ROUND((#REF!-TIME(0,0,0))*1440,0)+1440,ROUND((#REF!-TIME(0,0,0))*1440,0))</f>
        <v>#REF!</v>
      </c>
      <c r="X320" s="4" t="e">
        <f>IF(ISBLANK(#REF!),tbl_Case_mins[[#This Row],[Surgery Start Date]],#REF!)</f>
        <v>#REF!</v>
      </c>
      <c r="Y320">
        <f>IFERROR(IF(VLOOKUP(tbl_Case_mins[[#This Row],[Theatre]],'Mng Theatres'!$C$7:$G$12,3,FALSE)="Yes","Yes","No"),0)</f>
        <v>0</v>
      </c>
      <c r="Z320" s="9" t="e" cm="1">
        <f t="array" ref="Z32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0" s="9" t="e" cm="1">
        <f t="array" ref="AA32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0" s="9" t="e">
        <f>IF(tbl_Case_mins[[#This Row],[Case Type]]="Unsch",1,0)</f>
        <v>#REF!</v>
      </c>
      <c r="AD320" s="9" t="e">
        <f>IF(tbl_Case_mins[[#This Row],[Case Type]]="Sch",1,0)</f>
        <v>#REF!</v>
      </c>
      <c r="AE32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0" s="9">
        <f>IFERROR(IF(ISBLANK(INDEX(Am_Close,MATCH(1,INDEX((tbl_Case_mins[[#This Row],[Theatre]]=Theatre_No)*(tbl_Case_mins[[#This Row],[Surgery Start Date]]=Date),0,1),0))*1440),0,INDEX(Am_Close,MATCH(1,INDEX((tbl_Case_mins[[#This Row],[Theatre]]=Theatre_No)*(tbl_Case_mins[[#This Row],[Surgery Start Date]]=Date),0,1),0))*1440),0)</f>
        <v>0</v>
      </c>
      <c r="AG320" s="9">
        <f>IFERROR(IF(ISBLANK(INDEX(PM_Open,MATCH(1,INDEX((tbl_Case_mins[[#This Row],[Theatre]]=Theatre_No)*(tbl_Case_mins[[#This Row],[Surgery Start Date]]=Date),0,1),0))*1440),0,INDEX(PM_Open,MATCH(1,INDEX((tbl_Case_mins[[#This Row],[Theatre]]=Theatre_No)*(tbl_Case_mins[[#This Row],[Surgery Start Date]]=Date),0,1),0))*1440),0)</f>
        <v>0</v>
      </c>
      <c r="AH32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0" s="9" t="e">
        <f>IF(tbl_Case_mins[[#This Row],[ThOpenAm]]=0,tbl_Case_mins[[#This Row],[ThOpenPM]],tbl_Case_mins[[#This Row],[ThOpenAm]])</f>
        <v>#REF!</v>
      </c>
      <c r="AJ320" s="9" t="e">
        <f>IF(tbl_Case_mins[[#This Row],[ThCloseAm]]&gt;0,IF(tbl_Case_mins[[#This Row],[ThOpenPM]]&gt;0,tbl_Case_mins[[#This Row],[ThClosePm]],tbl_Case_mins[[#This Row],[ThCloseAm]]),tbl_Case_mins[[#This Row],[ThClosePm]])</f>
        <v>#REF!</v>
      </c>
      <c r="AK320" s="9" t="e">
        <f>IF(tbl_Case_mins[[#This Row],[TOT]]&gt;0,1,0)</f>
        <v>#REF!</v>
      </c>
      <c r="AL32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0" s="9" t="e">
        <f>IF(AND(tbl_Case_mins[[#This Row],[Surgery Status]]&lt;&gt;2,tbl_Case_mins[[#This Row],[InCoreCase]]=0,tbl_Case_mins[[#This Row],[CancelledCase]]=0),1,0)</f>
        <v>#REF!</v>
      </c>
      <c r="AN320" s="9" t="e">
        <f>IF(tbl_Case_mins[[#This Row],[Surgery Status]]=1,1,0)</f>
        <v>#REF!</v>
      </c>
      <c r="AO32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0" s="9" t="e">
        <f>IF(AND(tbl_Case_mins[[#This Row],[NonCoreCase]]=1,tbl_Case_mins[[#This Row],[NoInCoreTime]]=0),1,0)</f>
        <v>#REF!</v>
      </c>
      <c r="AQ320" s="9" t="e">
        <f>IF(tbl_Case_mins[[#This Row],[Rank_AnaEnd]]&lt;tbl_Case_mins[[#This Row],[Rank_AnaSt]],1,0)</f>
        <v>#REF!</v>
      </c>
      <c r="AR320" s="9" t="e">
        <f>IF(AND(tbl_Case_mins[[#This Row],[InCoreCase]]=1,tbl_Case_mins[[#This Row],[Sch]]=1),1,0)</f>
        <v>#REF!</v>
      </c>
      <c r="AS320" s="9" t="e">
        <f>IF(AND(tbl_Case_mins[[#This Row],[InCoreCase]]=1,tbl_Case_mins[[#This Row],[Unsch]]=1),1,0)</f>
        <v>#REF!</v>
      </c>
      <c r="AT32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0" s="9" t="e">
        <f>IF(tbl_Case_mins[[#This Row],[Surgery Status]]=0,(tbl_Case_mins[[#This Row],[Anaesth End]]-tbl_Case_mins[[#This Row],[AnaesthStart]]),0)</f>
        <v>#REF!</v>
      </c>
      <c r="AX320" s="9" t="e">
        <f>IF(tbl_Case_mins[[#This Row],[Surgery Status]]=0,(tbl_Case_mins[[#This Row],[Surgery Finish]]-tbl_Case_mins[[#This Row],[Surgery Start]]),0)</f>
        <v>#REF!</v>
      </c>
      <c r="AY320" s="9" t="e">
        <f>tbl_Case_mins[[#This Row],[Surgery Start]]-tbl_Case_mins[[#This Row],[AnaesthStart]]</f>
        <v>#REF!</v>
      </c>
      <c r="AZ320" s="9" t="e">
        <f>tbl_Case_mins[[#This Row],[Anaesth End]]-tbl_Case_mins[[#This Row],[Surgery Finish]]</f>
        <v>#REF!</v>
      </c>
      <c r="BA32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0" s="16" cm="1">
        <f t="array" ref="BC32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0" s="16" t="e">
        <f>IF(AND(tbl_Case_mins[[#This Row],[FirstAMCase]]=1,tbl_Case_mins[[#This Row],[CancelledCase]]=0,OR(tbl_Case_mins[[#This Row],[EarlyStartAM]]&gt;0,tbl_Case_mins[[#This Row],[AnaesthStart]]=tbl_Case_mins[[#This Row],[ThOpenAm]])),1,0)</f>
        <v>#REF!</v>
      </c>
      <c r="BE320" s="16" t="e">
        <f>IF(AND(tbl_Case_mins[[#This Row],[Rank_AnaSt]]=tbl_Case_mins[[#This Row],[Min_RankAnaSt]],tbl_Case_mins[[#This Row],[Anaesth End]]&gt;=tbl_Case_mins[[#This Row],[ThOpenAm]],tbl_Case_mins[[#This Row],[PmCase]]=0),1,0)</f>
        <v>#REF!</v>
      </c>
      <c r="BF32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0" s="9" t="e" cm="1">
        <f t="array" ref="BH32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0" s="9" t="e">
        <f>IF(AND(tbl_Case_mins[[#This Row],[ThOpenPM]]&gt;0,tbl_Case_mins[[#This Row],[AnaesthStart]]&gt;tbl_Case_mins[[#This Row],[ThOpenPM]],tbl_Case_mins[[#This Row],[First PM Case]]=1),tbl_Case_mins[[#This Row],[AnaesthStart]]-tbl_Case_mins[[#This Row],[ThOpenPM]],0)</f>
        <v>#REF!</v>
      </c>
      <c r="BL32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0" s="9" t="e" cm="1">
        <f t="array" ref="BN32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0" s="9" t="e">
        <f>IF(AND(tbl_Case_mins[[#This Row],[ThClosePm]]&gt;0,tbl_Case_mins[[#This Row],[Anaesth End]]&gt;tbl_Case_mins[[#This Row],[ThClosePm]],tbl_Case_mins[[#This Row],[AnaesthStart]]&gt;tbl_Case_mins[[#This Row],[ThClosePm]]),tbl_Case_mins[[#This Row],[Into Recov]]-tbl_Case_mins[[#This Row],[AnaesthStart]],0)</f>
        <v>#REF!</v>
      </c>
      <c r="BP320" s="9" t="e">
        <f>IF(AND(tbl_Case_mins[[#This Row],[AnaesthStart]]&lt;tbl_Case_mins[[#This Row],[ThClosePm]],tbl_Case_mins[[#This Row],[Anaesth End]]&gt;tbl_Case_mins[[#This Row],[ThClosePm]]),tbl_Case_mins[[#This Row],[Anaesth End]]-tbl_Case_mins[[#This Row],[ThClosePm]],0)</f>
        <v>#REF!</v>
      </c>
      <c r="BQ320" s="9" t="e" cm="1">
        <f t="array" ref="BQ32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0" s="9" t="e" cm="1">
        <f t="array" ref="BR320">IF(tbl_Case_mins[[#This Row],[Rank_Adjust]]=SUMPRODUCT(-(tbl_Case_mins[Surgery Start Date]=tbl_Case_mins[[#This Row],[Surgery Start Date]]),-(tbl_Case_mins[Theatre]=tbl_Case_mins[[#This Row],[Theatre]])),INDEX(Poss_Time,MATCH(TEXT(tbl_Case_mins[[#This Row],[Surgery Start Date]],"ddd"),Day,0)),0)</f>
        <v>#REF!</v>
      </c>
      <c r="BS320" s="9" t="e">
        <f>tbl_Case_mins[[#This Row],[Core_Time]]*Util_Goal</f>
        <v>#REF!</v>
      </c>
      <c r="BT320" s="9" t="e" cm="1">
        <f t="array" ref="BT3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0" s="9" t="e" cm="1">
        <f t="array" ref="BU3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0" s="9" t="e">
        <f>IF(tbl_Case_mins[[#This Row],[Surgery End Date]]&gt;tbl_Case_mins[[#This Row],[Surgery Start Date]],tbl_Case_mins[[#This Row],[Anaesth End]]-1440,0)</f>
        <v>#REF!</v>
      </c>
      <c r="BY320" s="9" t="e">
        <f>tbl_Case_mins[[#This Row],[Total_NonCore]]-tbl_Case_mins[[#This Row],[NextDay_NonCore]]</f>
        <v>#REF!</v>
      </c>
      <c r="BZ320" s="10" t="e">
        <f>tbl_Case_mins[[#This Row],[InCoreUse]]/60</f>
        <v>#REF!</v>
      </c>
      <c r="CA320" s="10" t="e">
        <f>tbl_Case_mins[[#This Row],[Total_NonCore]]/60</f>
        <v>#REF!</v>
      </c>
      <c r="CB320" t="e" cm="1">
        <f t="array" ref="CB3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0" s="9" t="e" cm="1">
        <f t="array" ref="CC32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0" s="9" t="e" cm="1">
        <f t="array" ref="CD3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0" s="9" t="e" cm="1">
        <f t="array" ref="CE32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0" s="9" cm="1">
        <f t="array" ref="CF320">IFERROR(_xlfn.AGGREGATE(14,6,(tbl_Case_mins[Rank_AnaEnd])/((tbl_Case_mins[Surgery Start Date]=tbl_Case_mins[[#This Row],[Surgery Start Date]])*(tbl_Case_mins[Theatre]=tbl_Case_mins[[#This Row],[Theatre]])*(tbl_Case_mins[NoInCoreTime]=0)),1),-1)</f>
        <v>-1</v>
      </c>
      <c r="CG320" s="9" cm="1">
        <f t="array" ref="CG320">IFERROR(_xlfn.AGGREGATE(15,6,(tbl_Case_mins[Rank_AnaSt])/((tbl_Case_mins[Surgery Start Date]=tbl_Case_mins[[#This Row],[Surgery Start Date]])*(tbl_Case_mins[Theatre]=tbl_Case_mins[[#This Row],[Theatre]])*(tbl_Case_mins[NoInCoreTime]=0)),1),-1)</f>
        <v>-1</v>
      </c>
      <c r="CH32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0" t="e" cm="1">
        <f t="array" ref="CJ32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0" s="9" cm="1">
        <f t="array" ref="CO3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0" s="9" cm="1">
        <f t="array" ref="CP3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0" s="9" cm="1">
        <f t="array" ref="CQ320">IFERROR(IF(AND(tbl_Case_mins[[#This Row],[FirstAMCase]]=0,tbl_Case_mins[[#This Row],[Rank]]=_xlfn.AGGREGATE(14,6,(tbl_Case_mins[Rank])/((tbl_Case_mins[Surgery Start Date]=tbl_Case_mins[[#This Row],[Surgery Start Date]])*(tbl_Case_mins[Theatre]=tbl_Case_mins[[#This Row],[Theatre]])*(tbl_Case_mins[AmCase]=1)),1)),1,0),0)</f>
        <v>0</v>
      </c>
      <c r="CR320" s="9" cm="1">
        <f t="array" ref="CR32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0" s="9" t="e" cm="1">
        <f t="array" ref="CS32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0" s="9" cm="1">
        <f t="array" ref="CT320">IFERROR(IF(tbl_Case_mins[[#This Row],[Rank]]=_xlfn.AGGREGATE(15,6,(tbl_Case_mins[Rank])/((tbl_Case_mins[Surgery Start Date]=tbl_Case_mins[[#This Row],[Surgery Start Date]])*(tbl_Case_mins[Theatre]=tbl_Case_mins[[#This Row],[Theatre]])*(tbl_Case_mins[PmCase]=1)),1),1,0),0)</f>
        <v>0</v>
      </c>
      <c r="CU320">
        <f>IFERROR(#REF!,0)</f>
        <v>0</v>
      </c>
      <c r="CV320" s="9" t="e" cm="1">
        <f t="array" ref="CV32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0" s="9">
        <f>IFERROR(IF(ISBLANK(INDEX(Bay_AmClose,MATCH(1,INDEX((tbl_Case_mins[[#This Row],[Bay]]=BayNo)*(tbl_Case_mins[[#This Row],[Surgery Start Date]]=BDate),0,1),0))*1440),0,INDEX(Bay_AmClose,MATCH(1,INDEX((tbl_Case_mins[[#This Row],[Bay]]=BayNo)*(tbl_Case_mins[[#This Row],[Surgery Start Date]]=BDate),0,1),0))*1440),0)</f>
        <v>0</v>
      </c>
      <c r="CX320" s="9" cm="1">
        <f t="array" ref="CX320">IFERROR(IF(ISBLANK(INDEX(Bay_PmOpen,MATCH(1,INDEX((tbl_Case_mins[[#This Row],[Bay]]=BayNo)*(tbl_Case_mins[[#This Row],[Surgery Start Date]]=BDate),0,1),0))*1440),0,INDEX(Bay_PmOpen,MATCH(1,INDEX((tbl_Case_mins[[#This Row],[Bay]]=BayNo)*(tbl_Case_mins[[#This Row],[Surgery Start Date]]=BDate),0,1),0))*1440),0)</f>
        <v>0</v>
      </c>
      <c r="CY32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0" s="9"/>
    </row>
    <row r="321" spans="1:104" x14ac:dyDescent="0.2">
      <c r="A321">
        <v>320</v>
      </c>
      <c r="B321" t="e">
        <f>#REF!</f>
        <v>#REF!</v>
      </c>
      <c r="C321" t="e">
        <f>#REF!</f>
        <v>#REF!</v>
      </c>
      <c r="D321" t="e">
        <f>#REF!</f>
        <v>#REF!</v>
      </c>
      <c r="E321" t="e">
        <f>#REF!</f>
        <v>#REF!</v>
      </c>
      <c r="F321" t="e">
        <f>#REF!</f>
        <v>#REF!</v>
      </c>
      <c r="G321" t="e">
        <f>#REF!</f>
        <v>#REF!</v>
      </c>
      <c r="H321" t="e">
        <f>#REF!</f>
        <v>#REF!</v>
      </c>
      <c r="I321" t="e">
        <f>IF(#REF!="Case Cancelled",1,IF(#REF!="No Cases",2,0))</f>
        <v>#REF!</v>
      </c>
      <c r="J321" t="e">
        <f>#REF!</f>
        <v>#REF!</v>
      </c>
      <c r="K321" s="4" t="e">
        <f>#REF!</f>
        <v>#REF!</v>
      </c>
      <c r="L321" t="e">
        <f>"Wk "&amp;WEEKNUM(tbl_Case_mins[[#This Row],[Surgery Start Date]],21)</f>
        <v>#REF!</v>
      </c>
      <c r="M321" t="e">
        <f>TEXT(tbl_Case_mins[[#This Row],[Surgery Start Date]],"ddd")</f>
        <v>#REF!</v>
      </c>
      <c r="N321" s="9" t="e">
        <f>(#REF!-TIME(0,0,0))*1440</f>
        <v>#REF!</v>
      </c>
      <c r="O321" t="e">
        <f>IF(AND(ROUND((#REF!-TIME(0,0,0))*1440,0)&gt;0,ROUND((#REF!-TIME(0,0,0))*1440,0)&lt;tbl_Case_mins[[#This Row],[Patient Called]],tbl_Case_mins[[#This Row],[Surgery End Date]]&gt;tbl_Case_mins[[#This Row],[Surgery Start Date]]),ROUND((#REF!-TIME(0,0,0))*1440,0)+1440,ROUND((#REF!-TIME(0,0,0))*1440,0))</f>
        <v>#REF!</v>
      </c>
      <c r="P321" s="9" t="e">
        <f>IF(AND(ROUND((#REF!-TIME(0,0,0))*1440,0)&gt;0,ROUND((#REF!-TIME(0,0,0))*1440,0)&lt;tbl_Case_mins[[#This Row],[Arrival]],tbl_Case_mins[[#This Row],[Surgery End Date]]&gt;tbl_Case_mins[[#This Row],[Surgery Start Date]]),ROUND((#REF!-TIME(0,0,0))*1440,0)+1440,ROUND((#REF!-TIME(0,0,0))*1440,0))</f>
        <v>#REF!</v>
      </c>
      <c r="Q321" s="9" t="e">
        <f>IF(AND(ROUND((#REF!-TIME(0,0,0))*1440,0)&gt;0,ROUND((#REF!-TIME(0,0,0))*1440,0)&lt;tbl_Case_mins[[#This Row],[Into Th or AR]],tbl_Case_mins[[#This Row],[Surgery End Date]]&gt;tbl_Case_mins[[#This Row],[Surgery Start Date]]),ROUND((#REF!-TIME(0,0,0))*1440,0)+1440,ROUND((#REF!-TIME(0,0,0))*1440,0))</f>
        <v>#REF!</v>
      </c>
      <c r="R321" s="9" t="e">
        <f>IF(AND(ROUND((#REF!-TIME(0,0,0))*1440,0)&gt;0,ROUND((#REF!-TIME(0,0,0))*1440,0)&lt;tbl_Case_mins[[#This Row],[AnaesthStart]],tbl_Case_mins[[#This Row],[Surgery End Date]]&gt;tbl_Case_mins[[#This Row],[Surgery Start Date]]),ROUND((#REF!-TIME(0,0,0))*1440,0)+1440,ROUND((#REF!-TIME(0,0,0))*1440,0))</f>
        <v>#REF!</v>
      </c>
      <c r="S321" s="9" t="e">
        <f>IF(AND(ROUND((#REF!-TIME(0,0,0))*1440,0),ROUND((#REF!-TIME(0,0,0))*1440,0)&lt;tbl_Case_mins[[#This Row],[Surgery Start]],tbl_Case_mins[[#This Row],[Surgery End Date]]&gt;tbl_Case_mins[[#This Row],[Surgery Start Date]]),ROUND((#REF!-TIME(0,0,0))*1440,0)+1440,ROUND((#REF!-TIME(0,0,0))*1440,0))</f>
        <v>#REF!</v>
      </c>
      <c r="T321" s="9" t="e">
        <f>IF(AND(ROUND((#REF!-TIME(0,0,0))*1440,0)&gt;0,ROUND((#REF!-TIME(0,0,0))*1440,0)&lt;tbl_Case_mins[[#This Row],[Surgery Finish]],tbl_Case_mins[[#This Row],[Surgery End Date]]&gt;tbl_Case_mins[[#This Row],[Surgery Start Date]]),ROUND((#REF!-TIME(0,0,0))*1440,0)+1440,ROUND((#REF!-TIME(0,0,0))*1440,0))</f>
        <v>#REF!</v>
      </c>
      <c r="U321" s="9" t="e">
        <f>IF(AND(ROUND((#REF!-TIME(0,0,0))*1440,0)&gt;0,ROUND((#REF!-TIME(0,0,0))*1440,0)&lt;tbl_Case_mins[[#This Row],[Anaesth End]],tbl_Case_mins[[#This Row],[Surgery End Date]]&gt;tbl_Case_mins[[#This Row],[Surgery Start Date]]),ROUND((#REF!-TIME(0,0,0))*1440,0)+1440,ROUND((#REF!-TIME(0,0,0))*1440,0))</f>
        <v>#REF!</v>
      </c>
      <c r="V321" s="9" t="e">
        <f>IF(AND(ROUND((#REF!-TIME(0,0,0))*1440,0)&gt;0,ROUND((#REF!-TIME(0,0,0))*1440,0)&lt;tbl_Case_mins[[#This Row],[Into Recov]],tbl_Case_mins[[#This Row],[Surgery End Date]]&gt;tbl_Case_mins[[#This Row],[Surgery Start Date]]),ROUND((#REF!-TIME(0,0,0))*1440,0)+1440,ROUND((#REF!-TIME(0,0,0))*1440,0))</f>
        <v>#REF!</v>
      </c>
      <c r="W321" s="9" t="e">
        <f>IF(AND(ROUND((#REF!-TIME(0,0,0))*1440,0)&gt;0,ROUND((#REF!-TIME(0,0,0))*1440,0)&lt;tbl_Case_mins[[#This Row],[Ward Called]],tbl_Case_mins[[#This Row],[Surgery End Date]]&gt;tbl_Case_mins[[#This Row],[Surgery Start Date]]),ROUND((#REF!-TIME(0,0,0))*1440,0)+1440,ROUND((#REF!-TIME(0,0,0))*1440,0))</f>
        <v>#REF!</v>
      </c>
      <c r="X321" s="4" t="e">
        <f>IF(ISBLANK(#REF!),tbl_Case_mins[[#This Row],[Surgery Start Date]],#REF!)</f>
        <v>#REF!</v>
      </c>
      <c r="Y321">
        <f>IFERROR(IF(VLOOKUP(tbl_Case_mins[[#This Row],[Theatre]],'Mng Theatres'!$C$7:$G$12,3,FALSE)="Yes","Yes","No"),0)</f>
        <v>0</v>
      </c>
      <c r="Z321" s="9" t="e" cm="1">
        <f t="array" ref="Z32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1" s="9" t="e" cm="1">
        <f t="array" ref="AA32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1" s="9" t="e">
        <f>IF(tbl_Case_mins[[#This Row],[Case Type]]="Unsch",1,0)</f>
        <v>#REF!</v>
      </c>
      <c r="AD321" s="9" t="e">
        <f>IF(tbl_Case_mins[[#This Row],[Case Type]]="Sch",1,0)</f>
        <v>#REF!</v>
      </c>
      <c r="AE32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1" s="9">
        <f>IFERROR(IF(ISBLANK(INDEX(Am_Close,MATCH(1,INDEX((tbl_Case_mins[[#This Row],[Theatre]]=Theatre_No)*(tbl_Case_mins[[#This Row],[Surgery Start Date]]=Date),0,1),0))*1440),0,INDEX(Am_Close,MATCH(1,INDEX((tbl_Case_mins[[#This Row],[Theatre]]=Theatre_No)*(tbl_Case_mins[[#This Row],[Surgery Start Date]]=Date),0,1),0))*1440),0)</f>
        <v>0</v>
      </c>
      <c r="AG321" s="9">
        <f>IFERROR(IF(ISBLANK(INDEX(PM_Open,MATCH(1,INDEX((tbl_Case_mins[[#This Row],[Theatre]]=Theatre_No)*(tbl_Case_mins[[#This Row],[Surgery Start Date]]=Date),0,1),0))*1440),0,INDEX(PM_Open,MATCH(1,INDEX((tbl_Case_mins[[#This Row],[Theatre]]=Theatre_No)*(tbl_Case_mins[[#This Row],[Surgery Start Date]]=Date),0,1),0))*1440),0)</f>
        <v>0</v>
      </c>
      <c r="AH32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1" s="9" t="e">
        <f>IF(tbl_Case_mins[[#This Row],[ThOpenAm]]=0,tbl_Case_mins[[#This Row],[ThOpenPM]],tbl_Case_mins[[#This Row],[ThOpenAm]])</f>
        <v>#REF!</v>
      </c>
      <c r="AJ321" s="9" t="e">
        <f>IF(tbl_Case_mins[[#This Row],[ThCloseAm]]&gt;0,IF(tbl_Case_mins[[#This Row],[ThOpenPM]]&gt;0,tbl_Case_mins[[#This Row],[ThClosePm]],tbl_Case_mins[[#This Row],[ThCloseAm]]),tbl_Case_mins[[#This Row],[ThClosePm]])</f>
        <v>#REF!</v>
      </c>
      <c r="AK321" s="9" t="e">
        <f>IF(tbl_Case_mins[[#This Row],[TOT]]&gt;0,1,0)</f>
        <v>#REF!</v>
      </c>
      <c r="AL32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1" s="9" t="e">
        <f>IF(AND(tbl_Case_mins[[#This Row],[Surgery Status]]&lt;&gt;2,tbl_Case_mins[[#This Row],[InCoreCase]]=0,tbl_Case_mins[[#This Row],[CancelledCase]]=0),1,0)</f>
        <v>#REF!</v>
      </c>
      <c r="AN321" s="9" t="e">
        <f>IF(tbl_Case_mins[[#This Row],[Surgery Status]]=1,1,0)</f>
        <v>#REF!</v>
      </c>
      <c r="AO32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1" s="9" t="e">
        <f>IF(AND(tbl_Case_mins[[#This Row],[NonCoreCase]]=1,tbl_Case_mins[[#This Row],[NoInCoreTime]]=0),1,0)</f>
        <v>#REF!</v>
      </c>
      <c r="AQ321" s="9" t="e">
        <f>IF(tbl_Case_mins[[#This Row],[Rank_AnaEnd]]&lt;tbl_Case_mins[[#This Row],[Rank_AnaSt]],1,0)</f>
        <v>#REF!</v>
      </c>
      <c r="AR321" s="9" t="e">
        <f>IF(AND(tbl_Case_mins[[#This Row],[InCoreCase]]=1,tbl_Case_mins[[#This Row],[Sch]]=1),1,0)</f>
        <v>#REF!</v>
      </c>
      <c r="AS321" s="9" t="e">
        <f>IF(AND(tbl_Case_mins[[#This Row],[InCoreCase]]=1,tbl_Case_mins[[#This Row],[Unsch]]=1),1,0)</f>
        <v>#REF!</v>
      </c>
      <c r="AT32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1" s="9" t="e">
        <f>IF(tbl_Case_mins[[#This Row],[Surgery Status]]=0,(tbl_Case_mins[[#This Row],[Anaesth End]]-tbl_Case_mins[[#This Row],[AnaesthStart]]),0)</f>
        <v>#REF!</v>
      </c>
      <c r="AX321" s="9" t="e">
        <f>IF(tbl_Case_mins[[#This Row],[Surgery Status]]=0,(tbl_Case_mins[[#This Row],[Surgery Finish]]-tbl_Case_mins[[#This Row],[Surgery Start]]),0)</f>
        <v>#REF!</v>
      </c>
      <c r="AY321" s="9" t="e">
        <f>tbl_Case_mins[[#This Row],[Surgery Start]]-tbl_Case_mins[[#This Row],[AnaesthStart]]</f>
        <v>#REF!</v>
      </c>
      <c r="AZ321" s="9" t="e">
        <f>tbl_Case_mins[[#This Row],[Anaesth End]]-tbl_Case_mins[[#This Row],[Surgery Finish]]</f>
        <v>#REF!</v>
      </c>
      <c r="BA32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1" s="16" cm="1">
        <f t="array" ref="BC32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1" s="16" t="e">
        <f>IF(AND(tbl_Case_mins[[#This Row],[FirstAMCase]]=1,tbl_Case_mins[[#This Row],[CancelledCase]]=0,OR(tbl_Case_mins[[#This Row],[EarlyStartAM]]&gt;0,tbl_Case_mins[[#This Row],[AnaesthStart]]=tbl_Case_mins[[#This Row],[ThOpenAm]])),1,0)</f>
        <v>#REF!</v>
      </c>
      <c r="BE321" s="16" t="e">
        <f>IF(AND(tbl_Case_mins[[#This Row],[Rank_AnaSt]]=tbl_Case_mins[[#This Row],[Min_RankAnaSt]],tbl_Case_mins[[#This Row],[Anaesth End]]&gt;=tbl_Case_mins[[#This Row],[ThOpenAm]],tbl_Case_mins[[#This Row],[PmCase]]=0),1,0)</f>
        <v>#REF!</v>
      </c>
      <c r="BF32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1" s="9" t="e" cm="1">
        <f t="array" ref="BH32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1" s="9" t="e">
        <f>IF(AND(tbl_Case_mins[[#This Row],[ThOpenPM]]&gt;0,tbl_Case_mins[[#This Row],[AnaesthStart]]&gt;tbl_Case_mins[[#This Row],[ThOpenPM]],tbl_Case_mins[[#This Row],[First PM Case]]=1),tbl_Case_mins[[#This Row],[AnaesthStart]]-tbl_Case_mins[[#This Row],[ThOpenPM]],0)</f>
        <v>#REF!</v>
      </c>
      <c r="BL32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1" s="9" t="e" cm="1">
        <f t="array" ref="BN32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1" s="9" t="e">
        <f>IF(AND(tbl_Case_mins[[#This Row],[ThClosePm]]&gt;0,tbl_Case_mins[[#This Row],[Anaesth End]]&gt;tbl_Case_mins[[#This Row],[ThClosePm]],tbl_Case_mins[[#This Row],[AnaesthStart]]&gt;tbl_Case_mins[[#This Row],[ThClosePm]]),tbl_Case_mins[[#This Row],[Into Recov]]-tbl_Case_mins[[#This Row],[AnaesthStart]],0)</f>
        <v>#REF!</v>
      </c>
      <c r="BP321" s="9" t="e">
        <f>IF(AND(tbl_Case_mins[[#This Row],[AnaesthStart]]&lt;tbl_Case_mins[[#This Row],[ThClosePm]],tbl_Case_mins[[#This Row],[Anaesth End]]&gt;tbl_Case_mins[[#This Row],[ThClosePm]]),tbl_Case_mins[[#This Row],[Anaesth End]]-tbl_Case_mins[[#This Row],[ThClosePm]],0)</f>
        <v>#REF!</v>
      </c>
      <c r="BQ321" s="9" t="e" cm="1">
        <f t="array" ref="BQ32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1" s="9" t="e" cm="1">
        <f t="array" ref="BR321">IF(tbl_Case_mins[[#This Row],[Rank_Adjust]]=SUMPRODUCT(-(tbl_Case_mins[Surgery Start Date]=tbl_Case_mins[[#This Row],[Surgery Start Date]]),-(tbl_Case_mins[Theatre]=tbl_Case_mins[[#This Row],[Theatre]])),INDEX(Poss_Time,MATCH(TEXT(tbl_Case_mins[[#This Row],[Surgery Start Date]],"ddd"),Day,0)),0)</f>
        <v>#REF!</v>
      </c>
      <c r="BS321" s="9" t="e">
        <f>tbl_Case_mins[[#This Row],[Core_Time]]*Util_Goal</f>
        <v>#REF!</v>
      </c>
      <c r="BT321" s="9" t="e" cm="1">
        <f t="array" ref="BT3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1" s="9" t="e" cm="1">
        <f t="array" ref="BU3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1" s="9" t="e">
        <f>IF(tbl_Case_mins[[#This Row],[Surgery End Date]]&gt;tbl_Case_mins[[#This Row],[Surgery Start Date]],tbl_Case_mins[[#This Row],[Anaesth End]]-1440,0)</f>
        <v>#REF!</v>
      </c>
      <c r="BY321" s="9" t="e">
        <f>tbl_Case_mins[[#This Row],[Total_NonCore]]-tbl_Case_mins[[#This Row],[NextDay_NonCore]]</f>
        <v>#REF!</v>
      </c>
      <c r="BZ321" s="10" t="e">
        <f>tbl_Case_mins[[#This Row],[InCoreUse]]/60</f>
        <v>#REF!</v>
      </c>
      <c r="CA321" s="10" t="e">
        <f>tbl_Case_mins[[#This Row],[Total_NonCore]]/60</f>
        <v>#REF!</v>
      </c>
      <c r="CB321" t="e" cm="1">
        <f t="array" ref="CB3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1" s="9" t="e" cm="1">
        <f t="array" ref="CC32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1" s="9" t="e" cm="1">
        <f t="array" ref="CD3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1" s="9" t="e" cm="1">
        <f t="array" ref="CE32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1" s="9" cm="1">
        <f t="array" ref="CF321">IFERROR(_xlfn.AGGREGATE(14,6,(tbl_Case_mins[Rank_AnaEnd])/((tbl_Case_mins[Surgery Start Date]=tbl_Case_mins[[#This Row],[Surgery Start Date]])*(tbl_Case_mins[Theatre]=tbl_Case_mins[[#This Row],[Theatre]])*(tbl_Case_mins[NoInCoreTime]=0)),1),-1)</f>
        <v>-1</v>
      </c>
      <c r="CG321" s="9" cm="1">
        <f t="array" ref="CG321">IFERROR(_xlfn.AGGREGATE(15,6,(tbl_Case_mins[Rank_AnaSt])/((tbl_Case_mins[Surgery Start Date]=tbl_Case_mins[[#This Row],[Surgery Start Date]])*(tbl_Case_mins[Theatre]=tbl_Case_mins[[#This Row],[Theatre]])*(tbl_Case_mins[NoInCoreTime]=0)),1),-1)</f>
        <v>-1</v>
      </c>
      <c r="CH32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1" t="e" cm="1">
        <f t="array" ref="CJ32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1" s="9" cm="1">
        <f t="array" ref="CO3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1" s="9" cm="1">
        <f t="array" ref="CP3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1" s="9" cm="1">
        <f t="array" ref="CQ321">IFERROR(IF(AND(tbl_Case_mins[[#This Row],[FirstAMCase]]=0,tbl_Case_mins[[#This Row],[Rank]]=_xlfn.AGGREGATE(14,6,(tbl_Case_mins[Rank])/((tbl_Case_mins[Surgery Start Date]=tbl_Case_mins[[#This Row],[Surgery Start Date]])*(tbl_Case_mins[Theatre]=tbl_Case_mins[[#This Row],[Theatre]])*(tbl_Case_mins[AmCase]=1)),1)),1,0),0)</f>
        <v>0</v>
      </c>
      <c r="CR321" s="9" cm="1">
        <f t="array" ref="CR32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1" s="9" t="e" cm="1">
        <f t="array" ref="CS32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1" s="9" cm="1">
        <f t="array" ref="CT321">IFERROR(IF(tbl_Case_mins[[#This Row],[Rank]]=_xlfn.AGGREGATE(15,6,(tbl_Case_mins[Rank])/((tbl_Case_mins[Surgery Start Date]=tbl_Case_mins[[#This Row],[Surgery Start Date]])*(tbl_Case_mins[Theatre]=tbl_Case_mins[[#This Row],[Theatre]])*(tbl_Case_mins[PmCase]=1)),1),1,0),0)</f>
        <v>0</v>
      </c>
      <c r="CU321">
        <f>IFERROR(#REF!,0)</f>
        <v>0</v>
      </c>
      <c r="CV321" s="9" t="e" cm="1">
        <f t="array" ref="CV32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1" s="9">
        <f>IFERROR(IF(ISBLANK(INDEX(Bay_AmClose,MATCH(1,INDEX((tbl_Case_mins[[#This Row],[Bay]]=BayNo)*(tbl_Case_mins[[#This Row],[Surgery Start Date]]=BDate),0,1),0))*1440),0,INDEX(Bay_AmClose,MATCH(1,INDEX((tbl_Case_mins[[#This Row],[Bay]]=BayNo)*(tbl_Case_mins[[#This Row],[Surgery Start Date]]=BDate),0,1),0))*1440),0)</f>
        <v>0</v>
      </c>
      <c r="CX321" s="9" cm="1">
        <f t="array" ref="CX321">IFERROR(IF(ISBLANK(INDEX(Bay_PmOpen,MATCH(1,INDEX((tbl_Case_mins[[#This Row],[Bay]]=BayNo)*(tbl_Case_mins[[#This Row],[Surgery Start Date]]=BDate),0,1),0))*1440),0,INDEX(Bay_PmOpen,MATCH(1,INDEX((tbl_Case_mins[[#This Row],[Bay]]=BayNo)*(tbl_Case_mins[[#This Row],[Surgery Start Date]]=BDate),0,1),0))*1440),0)</f>
        <v>0</v>
      </c>
      <c r="CY32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1" s="9"/>
    </row>
    <row r="322" spans="1:104" x14ac:dyDescent="0.2">
      <c r="A322">
        <v>321</v>
      </c>
      <c r="B322" t="e">
        <f>#REF!</f>
        <v>#REF!</v>
      </c>
      <c r="C322" t="e">
        <f>#REF!</f>
        <v>#REF!</v>
      </c>
      <c r="D322" t="e">
        <f>#REF!</f>
        <v>#REF!</v>
      </c>
      <c r="E322" t="e">
        <f>#REF!</f>
        <v>#REF!</v>
      </c>
      <c r="F322" t="e">
        <f>#REF!</f>
        <v>#REF!</v>
      </c>
      <c r="G322" t="e">
        <f>#REF!</f>
        <v>#REF!</v>
      </c>
      <c r="H322" t="e">
        <f>#REF!</f>
        <v>#REF!</v>
      </c>
      <c r="I322" t="e">
        <f>IF(#REF!="Case Cancelled",1,IF(#REF!="No Cases",2,0))</f>
        <v>#REF!</v>
      </c>
      <c r="J322" t="e">
        <f>#REF!</f>
        <v>#REF!</v>
      </c>
      <c r="K322" s="4" t="e">
        <f>#REF!</f>
        <v>#REF!</v>
      </c>
      <c r="L322" t="e">
        <f>"Wk "&amp;WEEKNUM(tbl_Case_mins[[#This Row],[Surgery Start Date]],21)</f>
        <v>#REF!</v>
      </c>
      <c r="M322" t="e">
        <f>TEXT(tbl_Case_mins[[#This Row],[Surgery Start Date]],"ddd")</f>
        <v>#REF!</v>
      </c>
      <c r="N322" s="9" t="e">
        <f>(#REF!-TIME(0,0,0))*1440</f>
        <v>#REF!</v>
      </c>
      <c r="O322" t="e">
        <f>IF(AND(ROUND((#REF!-TIME(0,0,0))*1440,0)&gt;0,ROUND((#REF!-TIME(0,0,0))*1440,0)&lt;tbl_Case_mins[[#This Row],[Patient Called]],tbl_Case_mins[[#This Row],[Surgery End Date]]&gt;tbl_Case_mins[[#This Row],[Surgery Start Date]]),ROUND((#REF!-TIME(0,0,0))*1440,0)+1440,ROUND((#REF!-TIME(0,0,0))*1440,0))</f>
        <v>#REF!</v>
      </c>
      <c r="P322" s="9" t="e">
        <f>IF(AND(ROUND((#REF!-TIME(0,0,0))*1440,0)&gt;0,ROUND((#REF!-TIME(0,0,0))*1440,0)&lt;tbl_Case_mins[[#This Row],[Arrival]],tbl_Case_mins[[#This Row],[Surgery End Date]]&gt;tbl_Case_mins[[#This Row],[Surgery Start Date]]),ROUND((#REF!-TIME(0,0,0))*1440,0)+1440,ROUND((#REF!-TIME(0,0,0))*1440,0))</f>
        <v>#REF!</v>
      </c>
      <c r="Q322" s="9" t="e">
        <f>IF(AND(ROUND((#REF!-TIME(0,0,0))*1440,0)&gt;0,ROUND((#REF!-TIME(0,0,0))*1440,0)&lt;tbl_Case_mins[[#This Row],[Into Th or AR]],tbl_Case_mins[[#This Row],[Surgery End Date]]&gt;tbl_Case_mins[[#This Row],[Surgery Start Date]]),ROUND((#REF!-TIME(0,0,0))*1440,0)+1440,ROUND((#REF!-TIME(0,0,0))*1440,0))</f>
        <v>#REF!</v>
      </c>
      <c r="R322" s="9" t="e">
        <f>IF(AND(ROUND((#REF!-TIME(0,0,0))*1440,0)&gt;0,ROUND((#REF!-TIME(0,0,0))*1440,0)&lt;tbl_Case_mins[[#This Row],[AnaesthStart]],tbl_Case_mins[[#This Row],[Surgery End Date]]&gt;tbl_Case_mins[[#This Row],[Surgery Start Date]]),ROUND((#REF!-TIME(0,0,0))*1440,0)+1440,ROUND((#REF!-TIME(0,0,0))*1440,0))</f>
        <v>#REF!</v>
      </c>
      <c r="S322" s="9" t="e">
        <f>IF(AND(ROUND((#REF!-TIME(0,0,0))*1440,0),ROUND((#REF!-TIME(0,0,0))*1440,0)&lt;tbl_Case_mins[[#This Row],[Surgery Start]],tbl_Case_mins[[#This Row],[Surgery End Date]]&gt;tbl_Case_mins[[#This Row],[Surgery Start Date]]),ROUND((#REF!-TIME(0,0,0))*1440,0)+1440,ROUND((#REF!-TIME(0,0,0))*1440,0))</f>
        <v>#REF!</v>
      </c>
      <c r="T322" s="9" t="e">
        <f>IF(AND(ROUND((#REF!-TIME(0,0,0))*1440,0)&gt;0,ROUND((#REF!-TIME(0,0,0))*1440,0)&lt;tbl_Case_mins[[#This Row],[Surgery Finish]],tbl_Case_mins[[#This Row],[Surgery End Date]]&gt;tbl_Case_mins[[#This Row],[Surgery Start Date]]),ROUND((#REF!-TIME(0,0,0))*1440,0)+1440,ROUND((#REF!-TIME(0,0,0))*1440,0))</f>
        <v>#REF!</v>
      </c>
      <c r="U322" s="9" t="e">
        <f>IF(AND(ROUND((#REF!-TIME(0,0,0))*1440,0)&gt;0,ROUND((#REF!-TIME(0,0,0))*1440,0)&lt;tbl_Case_mins[[#This Row],[Anaesth End]],tbl_Case_mins[[#This Row],[Surgery End Date]]&gt;tbl_Case_mins[[#This Row],[Surgery Start Date]]),ROUND((#REF!-TIME(0,0,0))*1440,0)+1440,ROUND((#REF!-TIME(0,0,0))*1440,0))</f>
        <v>#REF!</v>
      </c>
      <c r="V322" s="9" t="e">
        <f>IF(AND(ROUND((#REF!-TIME(0,0,0))*1440,0)&gt;0,ROUND((#REF!-TIME(0,0,0))*1440,0)&lt;tbl_Case_mins[[#This Row],[Into Recov]],tbl_Case_mins[[#This Row],[Surgery End Date]]&gt;tbl_Case_mins[[#This Row],[Surgery Start Date]]),ROUND((#REF!-TIME(0,0,0))*1440,0)+1440,ROUND((#REF!-TIME(0,0,0))*1440,0))</f>
        <v>#REF!</v>
      </c>
      <c r="W322" s="9" t="e">
        <f>IF(AND(ROUND((#REF!-TIME(0,0,0))*1440,0)&gt;0,ROUND((#REF!-TIME(0,0,0))*1440,0)&lt;tbl_Case_mins[[#This Row],[Ward Called]],tbl_Case_mins[[#This Row],[Surgery End Date]]&gt;tbl_Case_mins[[#This Row],[Surgery Start Date]]),ROUND((#REF!-TIME(0,0,0))*1440,0)+1440,ROUND((#REF!-TIME(0,0,0))*1440,0))</f>
        <v>#REF!</v>
      </c>
      <c r="X322" s="4" t="e">
        <f>IF(ISBLANK(#REF!),tbl_Case_mins[[#This Row],[Surgery Start Date]],#REF!)</f>
        <v>#REF!</v>
      </c>
      <c r="Y322">
        <f>IFERROR(IF(VLOOKUP(tbl_Case_mins[[#This Row],[Theatre]],'Mng Theatres'!$C$7:$G$12,3,FALSE)="Yes","Yes","No"),0)</f>
        <v>0</v>
      </c>
      <c r="Z322" s="9" t="e" cm="1">
        <f t="array" ref="Z32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2" s="9" t="e" cm="1">
        <f t="array" ref="AA32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2" s="9" t="e">
        <f>IF(tbl_Case_mins[[#This Row],[Case Type]]="Unsch",1,0)</f>
        <v>#REF!</v>
      </c>
      <c r="AD322" s="9" t="e">
        <f>IF(tbl_Case_mins[[#This Row],[Case Type]]="Sch",1,0)</f>
        <v>#REF!</v>
      </c>
      <c r="AE32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2" s="9">
        <f>IFERROR(IF(ISBLANK(INDEX(Am_Close,MATCH(1,INDEX((tbl_Case_mins[[#This Row],[Theatre]]=Theatre_No)*(tbl_Case_mins[[#This Row],[Surgery Start Date]]=Date),0,1),0))*1440),0,INDEX(Am_Close,MATCH(1,INDEX((tbl_Case_mins[[#This Row],[Theatre]]=Theatre_No)*(tbl_Case_mins[[#This Row],[Surgery Start Date]]=Date),0,1),0))*1440),0)</f>
        <v>0</v>
      </c>
      <c r="AG322" s="9">
        <f>IFERROR(IF(ISBLANK(INDEX(PM_Open,MATCH(1,INDEX((tbl_Case_mins[[#This Row],[Theatre]]=Theatre_No)*(tbl_Case_mins[[#This Row],[Surgery Start Date]]=Date),0,1),0))*1440),0,INDEX(PM_Open,MATCH(1,INDEX((tbl_Case_mins[[#This Row],[Theatre]]=Theatre_No)*(tbl_Case_mins[[#This Row],[Surgery Start Date]]=Date),0,1),0))*1440),0)</f>
        <v>0</v>
      </c>
      <c r="AH32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2" s="9" t="e">
        <f>IF(tbl_Case_mins[[#This Row],[ThOpenAm]]=0,tbl_Case_mins[[#This Row],[ThOpenPM]],tbl_Case_mins[[#This Row],[ThOpenAm]])</f>
        <v>#REF!</v>
      </c>
      <c r="AJ322" s="9" t="e">
        <f>IF(tbl_Case_mins[[#This Row],[ThCloseAm]]&gt;0,IF(tbl_Case_mins[[#This Row],[ThOpenPM]]&gt;0,tbl_Case_mins[[#This Row],[ThClosePm]],tbl_Case_mins[[#This Row],[ThCloseAm]]),tbl_Case_mins[[#This Row],[ThClosePm]])</f>
        <v>#REF!</v>
      </c>
      <c r="AK322" s="9" t="e">
        <f>IF(tbl_Case_mins[[#This Row],[TOT]]&gt;0,1,0)</f>
        <v>#REF!</v>
      </c>
      <c r="AL32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2" s="9" t="e">
        <f>IF(AND(tbl_Case_mins[[#This Row],[Surgery Status]]&lt;&gt;2,tbl_Case_mins[[#This Row],[InCoreCase]]=0,tbl_Case_mins[[#This Row],[CancelledCase]]=0),1,0)</f>
        <v>#REF!</v>
      </c>
      <c r="AN322" s="9" t="e">
        <f>IF(tbl_Case_mins[[#This Row],[Surgery Status]]=1,1,0)</f>
        <v>#REF!</v>
      </c>
      <c r="AO32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2" s="9" t="e">
        <f>IF(AND(tbl_Case_mins[[#This Row],[NonCoreCase]]=1,tbl_Case_mins[[#This Row],[NoInCoreTime]]=0),1,0)</f>
        <v>#REF!</v>
      </c>
      <c r="AQ322" s="9" t="e">
        <f>IF(tbl_Case_mins[[#This Row],[Rank_AnaEnd]]&lt;tbl_Case_mins[[#This Row],[Rank_AnaSt]],1,0)</f>
        <v>#REF!</v>
      </c>
      <c r="AR322" s="9" t="e">
        <f>IF(AND(tbl_Case_mins[[#This Row],[InCoreCase]]=1,tbl_Case_mins[[#This Row],[Sch]]=1),1,0)</f>
        <v>#REF!</v>
      </c>
      <c r="AS322" s="9" t="e">
        <f>IF(AND(tbl_Case_mins[[#This Row],[InCoreCase]]=1,tbl_Case_mins[[#This Row],[Unsch]]=1),1,0)</f>
        <v>#REF!</v>
      </c>
      <c r="AT32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2" s="9" t="e">
        <f>IF(tbl_Case_mins[[#This Row],[Surgery Status]]=0,(tbl_Case_mins[[#This Row],[Anaesth End]]-tbl_Case_mins[[#This Row],[AnaesthStart]]),0)</f>
        <v>#REF!</v>
      </c>
      <c r="AX322" s="9" t="e">
        <f>IF(tbl_Case_mins[[#This Row],[Surgery Status]]=0,(tbl_Case_mins[[#This Row],[Surgery Finish]]-tbl_Case_mins[[#This Row],[Surgery Start]]),0)</f>
        <v>#REF!</v>
      </c>
      <c r="AY322" s="9" t="e">
        <f>tbl_Case_mins[[#This Row],[Surgery Start]]-tbl_Case_mins[[#This Row],[AnaesthStart]]</f>
        <v>#REF!</v>
      </c>
      <c r="AZ322" s="9" t="e">
        <f>tbl_Case_mins[[#This Row],[Anaesth End]]-tbl_Case_mins[[#This Row],[Surgery Finish]]</f>
        <v>#REF!</v>
      </c>
      <c r="BA32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2" s="16" cm="1">
        <f t="array" ref="BC32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2" s="16" t="e">
        <f>IF(AND(tbl_Case_mins[[#This Row],[FirstAMCase]]=1,tbl_Case_mins[[#This Row],[CancelledCase]]=0,OR(tbl_Case_mins[[#This Row],[EarlyStartAM]]&gt;0,tbl_Case_mins[[#This Row],[AnaesthStart]]=tbl_Case_mins[[#This Row],[ThOpenAm]])),1,0)</f>
        <v>#REF!</v>
      </c>
      <c r="BE322" s="16" t="e">
        <f>IF(AND(tbl_Case_mins[[#This Row],[Rank_AnaSt]]=tbl_Case_mins[[#This Row],[Min_RankAnaSt]],tbl_Case_mins[[#This Row],[Anaesth End]]&gt;=tbl_Case_mins[[#This Row],[ThOpenAm]],tbl_Case_mins[[#This Row],[PmCase]]=0),1,0)</f>
        <v>#REF!</v>
      </c>
      <c r="BF32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2" s="9" t="e" cm="1">
        <f t="array" ref="BH32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2" s="9" t="e">
        <f>IF(AND(tbl_Case_mins[[#This Row],[ThOpenPM]]&gt;0,tbl_Case_mins[[#This Row],[AnaesthStart]]&gt;tbl_Case_mins[[#This Row],[ThOpenPM]],tbl_Case_mins[[#This Row],[First PM Case]]=1),tbl_Case_mins[[#This Row],[AnaesthStart]]-tbl_Case_mins[[#This Row],[ThOpenPM]],0)</f>
        <v>#REF!</v>
      </c>
      <c r="BL32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2" s="9" t="e" cm="1">
        <f t="array" ref="BN32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2" s="9" t="e">
        <f>IF(AND(tbl_Case_mins[[#This Row],[ThClosePm]]&gt;0,tbl_Case_mins[[#This Row],[Anaesth End]]&gt;tbl_Case_mins[[#This Row],[ThClosePm]],tbl_Case_mins[[#This Row],[AnaesthStart]]&gt;tbl_Case_mins[[#This Row],[ThClosePm]]),tbl_Case_mins[[#This Row],[Into Recov]]-tbl_Case_mins[[#This Row],[AnaesthStart]],0)</f>
        <v>#REF!</v>
      </c>
      <c r="BP322" s="9" t="e">
        <f>IF(AND(tbl_Case_mins[[#This Row],[AnaesthStart]]&lt;tbl_Case_mins[[#This Row],[ThClosePm]],tbl_Case_mins[[#This Row],[Anaesth End]]&gt;tbl_Case_mins[[#This Row],[ThClosePm]]),tbl_Case_mins[[#This Row],[Anaesth End]]-tbl_Case_mins[[#This Row],[ThClosePm]],0)</f>
        <v>#REF!</v>
      </c>
      <c r="BQ322" s="9" t="e" cm="1">
        <f t="array" ref="BQ32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2" s="9" t="e" cm="1">
        <f t="array" ref="BR322">IF(tbl_Case_mins[[#This Row],[Rank_Adjust]]=SUMPRODUCT(-(tbl_Case_mins[Surgery Start Date]=tbl_Case_mins[[#This Row],[Surgery Start Date]]),-(tbl_Case_mins[Theatre]=tbl_Case_mins[[#This Row],[Theatre]])),INDEX(Poss_Time,MATCH(TEXT(tbl_Case_mins[[#This Row],[Surgery Start Date]],"ddd"),Day,0)),0)</f>
        <v>#REF!</v>
      </c>
      <c r="BS322" s="9" t="e">
        <f>tbl_Case_mins[[#This Row],[Core_Time]]*Util_Goal</f>
        <v>#REF!</v>
      </c>
      <c r="BT322" s="9" t="e" cm="1">
        <f t="array" ref="BT3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2" s="9" t="e" cm="1">
        <f t="array" ref="BU3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2" s="9" t="e">
        <f>IF(tbl_Case_mins[[#This Row],[Surgery End Date]]&gt;tbl_Case_mins[[#This Row],[Surgery Start Date]],tbl_Case_mins[[#This Row],[Anaesth End]]-1440,0)</f>
        <v>#REF!</v>
      </c>
      <c r="BY322" s="9" t="e">
        <f>tbl_Case_mins[[#This Row],[Total_NonCore]]-tbl_Case_mins[[#This Row],[NextDay_NonCore]]</f>
        <v>#REF!</v>
      </c>
      <c r="BZ322" s="10" t="e">
        <f>tbl_Case_mins[[#This Row],[InCoreUse]]/60</f>
        <v>#REF!</v>
      </c>
      <c r="CA322" s="10" t="e">
        <f>tbl_Case_mins[[#This Row],[Total_NonCore]]/60</f>
        <v>#REF!</v>
      </c>
      <c r="CB322" t="e" cm="1">
        <f t="array" ref="CB3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2" s="9" t="e" cm="1">
        <f t="array" ref="CC32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2" s="9" t="e" cm="1">
        <f t="array" ref="CD3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2" s="9" t="e" cm="1">
        <f t="array" ref="CE32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2" s="9" cm="1">
        <f t="array" ref="CF322">IFERROR(_xlfn.AGGREGATE(14,6,(tbl_Case_mins[Rank_AnaEnd])/((tbl_Case_mins[Surgery Start Date]=tbl_Case_mins[[#This Row],[Surgery Start Date]])*(tbl_Case_mins[Theatre]=tbl_Case_mins[[#This Row],[Theatre]])*(tbl_Case_mins[NoInCoreTime]=0)),1),-1)</f>
        <v>-1</v>
      </c>
      <c r="CG322" s="9" cm="1">
        <f t="array" ref="CG322">IFERROR(_xlfn.AGGREGATE(15,6,(tbl_Case_mins[Rank_AnaSt])/((tbl_Case_mins[Surgery Start Date]=tbl_Case_mins[[#This Row],[Surgery Start Date]])*(tbl_Case_mins[Theatre]=tbl_Case_mins[[#This Row],[Theatre]])*(tbl_Case_mins[NoInCoreTime]=0)),1),-1)</f>
        <v>-1</v>
      </c>
      <c r="CH32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2" t="e" cm="1">
        <f t="array" ref="CJ32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2" s="9" cm="1">
        <f t="array" ref="CO3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2" s="9" cm="1">
        <f t="array" ref="CP3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2" s="9" cm="1">
        <f t="array" ref="CQ322">IFERROR(IF(AND(tbl_Case_mins[[#This Row],[FirstAMCase]]=0,tbl_Case_mins[[#This Row],[Rank]]=_xlfn.AGGREGATE(14,6,(tbl_Case_mins[Rank])/((tbl_Case_mins[Surgery Start Date]=tbl_Case_mins[[#This Row],[Surgery Start Date]])*(tbl_Case_mins[Theatre]=tbl_Case_mins[[#This Row],[Theatre]])*(tbl_Case_mins[AmCase]=1)),1)),1,0),0)</f>
        <v>0</v>
      </c>
      <c r="CR322" s="9" cm="1">
        <f t="array" ref="CR32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2" s="9" t="e" cm="1">
        <f t="array" ref="CS32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2" s="9" cm="1">
        <f t="array" ref="CT322">IFERROR(IF(tbl_Case_mins[[#This Row],[Rank]]=_xlfn.AGGREGATE(15,6,(tbl_Case_mins[Rank])/((tbl_Case_mins[Surgery Start Date]=tbl_Case_mins[[#This Row],[Surgery Start Date]])*(tbl_Case_mins[Theatre]=tbl_Case_mins[[#This Row],[Theatre]])*(tbl_Case_mins[PmCase]=1)),1),1,0),0)</f>
        <v>0</v>
      </c>
      <c r="CU322">
        <f>IFERROR(#REF!,0)</f>
        <v>0</v>
      </c>
      <c r="CV322" s="9" t="e" cm="1">
        <f t="array" ref="CV32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2" s="9">
        <f>IFERROR(IF(ISBLANK(INDEX(Bay_AmClose,MATCH(1,INDEX((tbl_Case_mins[[#This Row],[Bay]]=BayNo)*(tbl_Case_mins[[#This Row],[Surgery Start Date]]=BDate),0,1),0))*1440),0,INDEX(Bay_AmClose,MATCH(1,INDEX((tbl_Case_mins[[#This Row],[Bay]]=BayNo)*(tbl_Case_mins[[#This Row],[Surgery Start Date]]=BDate),0,1),0))*1440),0)</f>
        <v>0</v>
      </c>
      <c r="CX322" s="9" cm="1">
        <f t="array" ref="CX322">IFERROR(IF(ISBLANK(INDEX(Bay_PmOpen,MATCH(1,INDEX((tbl_Case_mins[[#This Row],[Bay]]=BayNo)*(tbl_Case_mins[[#This Row],[Surgery Start Date]]=BDate),0,1),0))*1440),0,INDEX(Bay_PmOpen,MATCH(1,INDEX((tbl_Case_mins[[#This Row],[Bay]]=BayNo)*(tbl_Case_mins[[#This Row],[Surgery Start Date]]=BDate),0,1),0))*1440),0)</f>
        <v>0</v>
      </c>
      <c r="CY32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2" s="9"/>
    </row>
    <row r="323" spans="1:104" x14ac:dyDescent="0.2">
      <c r="A323">
        <v>322</v>
      </c>
      <c r="B323" t="e">
        <f>#REF!</f>
        <v>#REF!</v>
      </c>
      <c r="C323" t="e">
        <f>#REF!</f>
        <v>#REF!</v>
      </c>
      <c r="D323" t="e">
        <f>#REF!</f>
        <v>#REF!</v>
      </c>
      <c r="E323" t="e">
        <f>#REF!</f>
        <v>#REF!</v>
      </c>
      <c r="F323" t="e">
        <f>#REF!</f>
        <v>#REF!</v>
      </c>
      <c r="G323" t="e">
        <f>#REF!</f>
        <v>#REF!</v>
      </c>
      <c r="H323" t="e">
        <f>#REF!</f>
        <v>#REF!</v>
      </c>
      <c r="I323" t="e">
        <f>IF(#REF!="Case Cancelled",1,IF(#REF!="No Cases",2,0))</f>
        <v>#REF!</v>
      </c>
      <c r="J323" t="e">
        <f>#REF!</f>
        <v>#REF!</v>
      </c>
      <c r="K323" s="4" t="e">
        <f>#REF!</f>
        <v>#REF!</v>
      </c>
      <c r="L323" t="e">
        <f>"Wk "&amp;WEEKNUM(tbl_Case_mins[[#This Row],[Surgery Start Date]],21)</f>
        <v>#REF!</v>
      </c>
      <c r="M323" t="e">
        <f>TEXT(tbl_Case_mins[[#This Row],[Surgery Start Date]],"ddd")</f>
        <v>#REF!</v>
      </c>
      <c r="N323" s="9" t="e">
        <f>(#REF!-TIME(0,0,0))*1440</f>
        <v>#REF!</v>
      </c>
      <c r="O323" t="e">
        <f>IF(AND(ROUND((#REF!-TIME(0,0,0))*1440,0)&gt;0,ROUND((#REF!-TIME(0,0,0))*1440,0)&lt;tbl_Case_mins[[#This Row],[Patient Called]],tbl_Case_mins[[#This Row],[Surgery End Date]]&gt;tbl_Case_mins[[#This Row],[Surgery Start Date]]),ROUND((#REF!-TIME(0,0,0))*1440,0)+1440,ROUND((#REF!-TIME(0,0,0))*1440,0))</f>
        <v>#REF!</v>
      </c>
      <c r="P323" s="9" t="e">
        <f>IF(AND(ROUND((#REF!-TIME(0,0,0))*1440,0)&gt;0,ROUND((#REF!-TIME(0,0,0))*1440,0)&lt;tbl_Case_mins[[#This Row],[Arrival]],tbl_Case_mins[[#This Row],[Surgery End Date]]&gt;tbl_Case_mins[[#This Row],[Surgery Start Date]]),ROUND((#REF!-TIME(0,0,0))*1440,0)+1440,ROUND((#REF!-TIME(0,0,0))*1440,0))</f>
        <v>#REF!</v>
      </c>
      <c r="Q323" s="9" t="e">
        <f>IF(AND(ROUND((#REF!-TIME(0,0,0))*1440,0)&gt;0,ROUND((#REF!-TIME(0,0,0))*1440,0)&lt;tbl_Case_mins[[#This Row],[Into Th or AR]],tbl_Case_mins[[#This Row],[Surgery End Date]]&gt;tbl_Case_mins[[#This Row],[Surgery Start Date]]),ROUND((#REF!-TIME(0,0,0))*1440,0)+1440,ROUND((#REF!-TIME(0,0,0))*1440,0))</f>
        <v>#REF!</v>
      </c>
      <c r="R323" s="9" t="e">
        <f>IF(AND(ROUND((#REF!-TIME(0,0,0))*1440,0)&gt;0,ROUND((#REF!-TIME(0,0,0))*1440,0)&lt;tbl_Case_mins[[#This Row],[AnaesthStart]],tbl_Case_mins[[#This Row],[Surgery End Date]]&gt;tbl_Case_mins[[#This Row],[Surgery Start Date]]),ROUND((#REF!-TIME(0,0,0))*1440,0)+1440,ROUND((#REF!-TIME(0,0,0))*1440,0))</f>
        <v>#REF!</v>
      </c>
      <c r="S323" s="9" t="e">
        <f>IF(AND(ROUND((#REF!-TIME(0,0,0))*1440,0),ROUND((#REF!-TIME(0,0,0))*1440,0)&lt;tbl_Case_mins[[#This Row],[Surgery Start]],tbl_Case_mins[[#This Row],[Surgery End Date]]&gt;tbl_Case_mins[[#This Row],[Surgery Start Date]]),ROUND((#REF!-TIME(0,0,0))*1440,0)+1440,ROUND((#REF!-TIME(0,0,0))*1440,0))</f>
        <v>#REF!</v>
      </c>
      <c r="T323" s="9" t="e">
        <f>IF(AND(ROUND((#REF!-TIME(0,0,0))*1440,0)&gt;0,ROUND((#REF!-TIME(0,0,0))*1440,0)&lt;tbl_Case_mins[[#This Row],[Surgery Finish]],tbl_Case_mins[[#This Row],[Surgery End Date]]&gt;tbl_Case_mins[[#This Row],[Surgery Start Date]]),ROUND((#REF!-TIME(0,0,0))*1440,0)+1440,ROUND((#REF!-TIME(0,0,0))*1440,0))</f>
        <v>#REF!</v>
      </c>
      <c r="U323" s="9" t="e">
        <f>IF(AND(ROUND((#REF!-TIME(0,0,0))*1440,0)&gt;0,ROUND((#REF!-TIME(0,0,0))*1440,0)&lt;tbl_Case_mins[[#This Row],[Anaesth End]],tbl_Case_mins[[#This Row],[Surgery End Date]]&gt;tbl_Case_mins[[#This Row],[Surgery Start Date]]),ROUND((#REF!-TIME(0,0,0))*1440,0)+1440,ROUND((#REF!-TIME(0,0,0))*1440,0))</f>
        <v>#REF!</v>
      </c>
      <c r="V323" s="9" t="e">
        <f>IF(AND(ROUND((#REF!-TIME(0,0,0))*1440,0)&gt;0,ROUND((#REF!-TIME(0,0,0))*1440,0)&lt;tbl_Case_mins[[#This Row],[Into Recov]],tbl_Case_mins[[#This Row],[Surgery End Date]]&gt;tbl_Case_mins[[#This Row],[Surgery Start Date]]),ROUND((#REF!-TIME(0,0,0))*1440,0)+1440,ROUND((#REF!-TIME(0,0,0))*1440,0))</f>
        <v>#REF!</v>
      </c>
      <c r="W323" s="9" t="e">
        <f>IF(AND(ROUND((#REF!-TIME(0,0,0))*1440,0)&gt;0,ROUND((#REF!-TIME(0,0,0))*1440,0)&lt;tbl_Case_mins[[#This Row],[Ward Called]],tbl_Case_mins[[#This Row],[Surgery End Date]]&gt;tbl_Case_mins[[#This Row],[Surgery Start Date]]),ROUND((#REF!-TIME(0,0,0))*1440,0)+1440,ROUND((#REF!-TIME(0,0,0))*1440,0))</f>
        <v>#REF!</v>
      </c>
      <c r="X323" s="4" t="e">
        <f>IF(ISBLANK(#REF!),tbl_Case_mins[[#This Row],[Surgery Start Date]],#REF!)</f>
        <v>#REF!</v>
      </c>
      <c r="Y323">
        <f>IFERROR(IF(VLOOKUP(tbl_Case_mins[[#This Row],[Theatre]],'Mng Theatres'!$C$7:$G$12,3,FALSE)="Yes","Yes","No"),0)</f>
        <v>0</v>
      </c>
      <c r="Z323" s="9" t="e" cm="1">
        <f t="array" ref="Z32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3" s="9" t="e" cm="1">
        <f t="array" ref="AA32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3" s="9" t="e">
        <f>IF(tbl_Case_mins[[#This Row],[Case Type]]="Unsch",1,0)</f>
        <v>#REF!</v>
      </c>
      <c r="AD323" s="9" t="e">
        <f>IF(tbl_Case_mins[[#This Row],[Case Type]]="Sch",1,0)</f>
        <v>#REF!</v>
      </c>
      <c r="AE32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3" s="9">
        <f>IFERROR(IF(ISBLANK(INDEX(Am_Close,MATCH(1,INDEX((tbl_Case_mins[[#This Row],[Theatre]]=Theatre_No)*(tbl_Case_mins[[#This Row],[Surgery Start Date]]=Date),0,1),0))*1440),0,INDEX(Am_Close,MATCH(1,INDEX((tbl_Case_mins[[#This Row],[Theatre]]=Theatre_No)*(tbl_Case_mins[[#This Row],[Surgery Start Date]]=Date),0,1),0))*1440),0)</f>
        <v>0</v>
      </c>
      <c r="AG323" s="9">
        <f>IFERROR(IF(ISBLANK(INDEX(PM_Open,MATCH(1,INDEX((tbl_Case_mins[[#This Row],[Theatre]]=Theatre_No)*(tbl_Case_mins[[#This Row],[Surgery Start Date]]=Date),0,1),0))*1440),0,INDEX(PM_Open,MATCH(1,INDEX((tbl_Case_mins[[#This Row],[Theatre]]=Theatre_No)*(tbl_Case_mins[[#This Row],[Surgery Start Date]]=Date),0,1),0))*1440),0)</f>
        <v>0</v>
      </c>
      <c r="AH32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3" s="9" t="e">
        <f>IF(tbl_Case_mins[[#This Row],[ThOpenAm]]=0,tbl_Case_mins[[#This Row],[ThOpenPM]],tbl_Case_mins[[#This Row],[ThOpenAm]])</f>
        <v>#REF!</v>
      </c>
      <c r="AJ323" s="9" t="e">
        <f>IF(tbl_Case_mins[[#This Row],[ThCloseAm]]&gt;0,IF(tbl_Case_mins[[#This Row],[ThOpenPM]]&gt;0,tbl_Case_mins[[#This Row],[ThClosePm]],tbl_Case_mins[[#This Row],[ThCloseAm]]),tbl_Case_mins[[#This Row],[ThClosePm]])</f>
        <v>#REF!</v>
      </c>
      <c r="AK323" s="9" t="e">
        <f>IF(tbl_Case_mins[[#This Row],[TOT]]&gt;0,1,0)</f>
        <v>#REF!</v>
      </c>
      <c r="AL32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3" s="9" t="e">
        <f>IF(AND(tbl_Case_mins[[#This Row],[Surgery Status]]&lt;&gt;2,tbl_Case_mins[[#This Row],[InCoreCase]]=0,tbl_Case_mins[[#This Row],[CancelledCase]]=0),1,0)</f>
        <v>#REF!</v>
      </c>
      <c r="AN323" s="9" t="e">
        <f>IF(tbl_Case_mins[[#This Row],[Surgery Status]]=1,1,0)</f>
        <v>#REF!</v>
      </c>
      <c r="AO32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3" s="9" t="e">
        <f>IF(AND(tbl_Case_mins[[#This Row],[NonCoreCase]]=1,tbl_Case_mins[[#This Row],[NoInCoreTime]]=0),1,0)</f>
        <v>#REF!</v>
      </c>
      <c r="AQ323" s="9" t="e">
        <f>IF(tbl_Case_mins[[#This Row],[Rank_AnaEnd]]&lt;tbl_Case_mins[[#This Row],[Rank_AnaSt]],1,0)</f>
        <v>#REF!</v>
      </c>
      <c r="AR323" s="9" t="e">
        <f>IF(AND(tbl_Case_mins[[#This Row],[InCoreCase]]=1,tbl_Case_mins[[#This Row],[Sch]]=1),1,0)</f>
        <v>#REF!</v>
      </c>
      <c r="AS323" s="9" t="e">
        <f>IF(AND(tbl_Case_mins[[#This Row],[InCoreCase]]=1,tbl_Case_mins[[#This Row],[Unsch]]=1),1,0)</f>
        <v>#REF!</v>
      </c>
      <c r="AT32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3" s="9" t="e">
        <f>IF(tbl_Case_mins[[#This Row],[Surgery Status]]=0,(tbl_Case_mins[[#This Row],[Anaesth End]]-tbl_Case_mins[[#This Row],[AnaesthStart]]),0)</f>
        <v>#REF!</v>
      </c>
      <c r="AX323" s="9" t="e">
        <f>IF(tbl_Case_mins[[#This Row],[Surgery Status]]=0,(tbl_Case_mins[[#This Row],[Surgery Finish]]-tbl_Case_mins[[#This Row],[Surgery Start]]),0)</f>
        <v>#REF!</v>
      </c>
      <c r="AY323" s="9" t="e">
        <f>tbl_Case_mins[[#This Row],[Surgery Start]]-tbl_Case_mins[[#This Row],[AnaesthStart]]</f>
        <v>#REF!</v>
      </c>
      <c r="AZ323" s="9" t="e">
        <f>tbl_Case_mins[[#This Row],[Anaesth End]]-tbl_Case_mins[[#This Row],[Surgery Finish]]</f>
        <v>#REF!</v>
      </c>
      <c r="BA32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3" s="16" cm="1">
        <f t="array" ref="BC32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3" s="16" t="e">
        <f>IF(AND(tbl_Case_mins[[#This Row],[FirstAMCase]]=1,tbl_Case_mins[[#This Row],[CancelledCase]]=0,OR(tbl_Case_mins[[#This Row],[EarlyStartAM]]&gt;0,tbl_Case_mins[[#This Row],[AnaesthStart]]=tbl_Case_mins[[#This Row],[ThOpenAm]])),1,0)</f>
        <v>#REF!</v>
      </c>
      <c r="BE323" s="16" t="e">
        <f>IF(AND(tbl_Case_mins[[#This Row],[Rank_AnaSt]]=tbl_Case_mins[[#This Row],[Min_RankAnaSt]],tbl_Case_mins[[#This Row],[Anaesth End]]&gt;=tbl_Case_mins[[#This Row],[ThOpenAm]],tbl_Case_mins[[#This Row],[PmCase]]=0),1,0)</f>
        <v>#REF!</v>
      </c>
      <c r="BF32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3" s="9" t="e" cm="1">
        <f t="array" ref="BH32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3" s="9" t="e">
        <f>IF(AND(tbl_Case_mins[[#This Row],[ThOpenPM]]&gt;0,tbl_Case_mins[[#This Row],[AnaesthStart]]&gt;tbl_Case_mins[[#This Row],[ThOpenPM]],tbl_Case_mins[[#This Row],[First PM Case]]=1),tbl_Case_mins[[#This Row],[AnaesthStart]]-tbl_Case_mins[[#This Row],[ThOpenPM]],0)</f>
        <v>#REF!</v>
      </c>
      <c r="BL32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3" s="9" t="e" cm="1">
        <f t="array" ref="BN32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3" s="9" t="e">
        <f>IF(AND(tbl_Case_mins[[#This Row],[ThClosePm]]&gt;0,tbl_Case_mins[[#This Row],[Anaesth End]]&gt;tbl_Case_mins[[#This Row],[ThClosePm]],tbl_Case_mins[[#This Row],[AnaesthStart]]&gt;tbl_Case_mins[[#This Row],[ThClosePm]]),tbl_Case_mins[[#This Row],[Into Recov]]-tbl_Case_mins[[#This Row],[AnaesthStart]],0)</f>
        <v>#REF!</v>
      </c>
      <c r="BP323" s="9" t="e">
        <f>IF(AND(tbl_Case_mins[[#This Row],[AnaesthStart]]&lt;tbl_Case_mins[[#This Row],[ThClosePm]],tbl_Case_mins[[#This Row],[Anaesth End]]&gt;tbl_Case_mins[[#This Row],[ThClosePm]]),tbl_Case_mins[[#This Row],[Anaesth End]]-tbl_Case_mins[[#This Row],[ThClosePm]],0)</f>
        <v>#REF!</v>
      </c>
      <c r="BQ323" s="9" t="e" cm="1">
        <f t="array" ref="BQ32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3" s="9" t="e" cm="1">
        <f t="array" ref="BR323">IF(tbl_Case_mins[[#This Row],[Rank_Adjust]]=SUMPRODUCT(-(tbl_Case_mins[Surgery Start Date]=tbl_Case_mins[[#This Row],[Surgery Start Date]]),-(tbl_Case_mins[Theatre]=tbl_Case_mins[[#This Row],[Theatre]])),INDEX(Poss_Time,MATCH(TEXT(tbl_Case_mins[[#This Row],[Surgery Start Date]],"ddd"),Day,0)),0)</f>
        <v>#REF!</v>
      </c>
      <c r="BS323" s="9" t="e">
        <f>tbl_Case_mins[[#This Row],[Core_Time]]*Util_Goal</f>
        <v>#REF!</v>
      </c>
      <c r="BT323" s="9" t="e" cm="1">
        <f t="array" ref="BT3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3" s="9" t="e" cm="1">
        <f t="array" ref="BU3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3" s="9" t="e">
        <f>IF(tbl_Case_mins[[#This Row],[Surgery End Date]]&gt;tbl_Case_mins[[#This Row],[Surgery Start Date]],tbl_Case_mins[[#This Row],[Anaesth End]]-1440,0)</f>
        <v>#REF!</v>
      </c>
      <c r="BY323" s="9" t="e">
        <f>tbl_Case_mins[[#This Row],[Total_NonCore]]-tbl_Case_mins[[#This Row],[NextDay_NonCore]]</f>
        <v>#REF!</v>
      </c>
      <c r="BZ323" s="10" t="e">
        <f>tbl_Case_mins[[#This Row],[InCoreUse]]/60</f>
        <v>#REF!</v>
      </c>
      <c r="CA323" s="10" t="e">
        <f>tbl_Case_mins[[#This Row],[Total_NonCore]]/60</f>
        <v>#REF!</v>
      </c>
      <c r="CB323" t="e" cm="1">
        <f t="array" ref="CB3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3" s="9" t="e" cm="1">
        <f t="array" ref="CC32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3" s="9" t="e" cm="1">
        <f t="array" ref="CD3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3" s="9" t="e" cm="1">
        <f t="array" ref="CE32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3" s="9" cm="1">
        <f t="array" ref="CF323">IFERROR(_xlfn.AGGREGATE(14,6,(tbl_Case_mins[Rank_AnaEnd])/((tbl_Case_mins[Surgery Start Date]=tbl_Case_mins[[#This Row],[Surgery Start Date]])*(tbl_Case_mins[Theatre]=tbl_Case_mins[[#This Row],[Theatre]])*(tbl_Case_mins[NoInCoreTime]=0)),1),-1)</f>
        <v>-1</v>
      </c>
      <c r="CG323" s="9" cm="1">
        <f t="array" ref="CG323">IFERROR(_xlfn.AGGREGATE(15,6,(tbl_Case_mins[Rank_AnaSt])/((tbl_Case_mins[Surgery Start Date]=tbl_Case_mins[[#This Row],[Surgery Start Date]])*(tbl_Case_mins[Theatre]=tbl_Case_mins[[#This Row],[Theatre]])*(tbl_Case_mins[NoInCoreTime]=0)),1),-1)</f>
        <v>-1</v>
      </c>
      <c r="CH32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3" t="e" cm="1">
        <f t="array" ref="CJ32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3" s="9" cm="1">
        <f t="array" ref="CO3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3" s="9" cm="1">
        <f t="array" ref="CP3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3" s="9" cm="1">
        <f t="array" ref="CQ323">IFERROR(IF(AND(tbl_Case_mins[[#This Row],[FirstAMCase]]=0,tbl_Case_mins[[#This Row],[Rank]]=_xlfn.AGGREGATE(14,6,(tbl_Case_mins[Rank])/((tbl_Case_mins[Surgery Start Date]=tbl_Case_mins[[#This Row],[Surgery Start Date]])*(tbl_Case_mins[Theatre]=tbl_Case_mins[[#This Row],[Theatre]])*(tbl_Case_mins[AmCase]=1)),1)),1,0),0)</f>
        <v>0</v>
      </c>
      <c r="CR323" s="9" cm="1">
        <f t="array" ref="CR32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3" s="9" t="e" cm="1">
        <f t="array" ref="CS32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3" s="9" cm="1">
        <f t="array" ref="CT323">IFERROR(IF(tbl_Case_mins[[#This Row],[Rank]]=_xlfn.AGGREGATE(15,6,(tbl_Case_mins[Rank])/((tbl_Case_mins[Surgery Start Date]=tbl_Case_mins[[#This Row],[Surgery Start Date]])*(tbl_Case_mins[Theatre]=tbl_Case_mins[[#This Row],[Theatre]])*(tbl_Case_mins[PmCase]=1)),1),1,0),0)</f>
        <v>0</v>
      </c>
      <c r="CU323">
        <f>IFERROR(#REF!,0)</f>
        <v>0</v>
      </c>
      <c r="CV323" s="9" t="e" cm="1">
        <f t="array" ref="CV32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3" s="9">
        <f>IFERROR(IF(ISBLANK(INDEX(Bay_AmClose,MATCH(1,INDEX((tbl_Case_mins[[#This Row],[Bay]]=BayNo)*(tbl_Case_mins[[#This Row],[Surgery Start Date]]=BDate),0,1),0))*1440),0,INDEX(Bay_AmClose,MATCH(1,INDEX((tbl_Case_mins[[#This Row],[Bay]]=BayNo)*(tbl_Case_mins[[#This Row],[Surgery Start Date]]=BDate),0,1),0))*1440),0)</f>
        <v>0</v>
      </c>
      <c r="CX323" s="9" cm="1">
        <f t="array" ref="CX323">IFERROR(IF(ISBLANK(INDEX(Bay_PmOpen,MATCH(1,INDEX((tbl_Case_mins[[#This Row],[Bay]]=BayNo)*(tbl_Case_mins[[#This Row],[Surgery Start Date]]=BDate),0,1),0))*1440),0,INDEX(Bay_PmOpen,MATCH(1,INDEX((tbl_Case_mins[[#This Row],[Bay]]=BayNo)*(tbl_Case_mins[[#This Row],[Surgery Start Date]]=BDate),0,1),0))*1440),0)</f>
        <v>0</v>
      </c>
      <c r="CY32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3" s="9"/>
    </row>
    <row r="324" spans="1:104" x14ac:dyDescent="0.2">
      <c r="A324">
        <v>323</v>
      </c>
      <c r="B324" t="e">
        <f>#REF!</f>
        <v>#REF!</v>
      </c>
      <c r="C324" t="e">
        <f>#REF!</f>
        <v>#REF!</v>
      </c>
      <c r="D324" t="e">
        <f>#REF!</f>
        <v>#REF!</v>
      </c>
      <c r="E324" t="e">
        <f>#REF!</f>
        <v>#REF!</v>
      </c>
      <c r="F324" t="e">
        <f>#REF!</f>
        <v>#REF!</v>
      </c>
      <c r="G324" t="e">
        <f>#REF!</f>
        <v>#REF!</v>
      </c>
      <c r="H324" t="e">
        <f>#REF!</f>
        <v>#REF!</v>
      </c>
      <c r="I324" t="e">
        <f>IF(#REF!="Case Cancelled",1,IF(#REF!="No Cases",2,0))</f>
        <v>#REF!</v>
      </c>
      <c r="J324" t="e">
        <f>#REF!</f>
        <v>#REF!</v>
      </c>
      <c r="K324" s="4" t="e">
        <f>#REF!</f>
        <v>#REF!</v>
      </c>
      <c r="L324" t="e">
        <f>"Wk "&amp;WEEKNUM(tbl_Case_mins[[#This Row],[Surgery Start Date]],21)</f>
        <v>#REF!</v>
      </c>
      <c r="M324" t="e">
        <f>TEXT(tbl_Case_mins[[#This Row],[Surgery Start Date]],"ddd")</f>
        <v>#REF!</v>
      </c>
      <c r="N324" s="9" t="e">
        <f>(#REF!-TIME(0,0,0))*1440</f>
        <v>#REF!</v>
      </c>
      <c r="O324" t="e">
        <f>IF(AND(ROUND((#REF!-TIME(0,0,0))*1440,0)&gt;0,ROUND((#REF!-TIME(0,0,0))*1440,0)&lt;tbl_Case_mins[[#This Row],[Patient Called]],tbl_Case_mins[[#This Row],[Surgery End Date]]&gt;tbl_Case_mins[[#This Row],[Surgery Start Date]]),ROUND((#REF!-TIME(0,0,0))*1440,0)+1440,ROUND((#REF!-TIME(0,0,0))*1440,0))</f>
        <v>#REF!</v>
      </c>
      <c r="P324" s="9" t="e">
        <f>IF(AND(ROUND((#REF!-TIME(0,0,0))*1440,0)&gt;0,ROUND((#REF!-TIME(0,0,0))*1440,0)&lt;tbl_Case_mins[[#This Row],[Arrival]],tbl_Case_mins[[#This Row],[Surgery End Date]]&gt;tbl_Case_mins[[#This Row],[Surgery Start Date]]),ROUND((#REF!-TIME(0,0,0))*1440,0)+1440,ROUND((#REF!-TIME(0,0,0))*1440,0))</f>
        <v>#REF!</v>
      </c>
      <c r="Q324" s="9" t="e">
        <f>IF(AND(ROUND((#REF!-TIME(0,0,0))*1440,0)&gt;0,ROUND((#REF!-TIME(0,0,0))*1440,0)&lt;tbl_Case_mins[[#This Row],[Into Th or AR]],tbl_Case_mins[[#This Row],[Surgery End Date]]&gt;tbl_Case_mins[[#This Row],[Surgery Start Date]]),ROUND((#REF!-TIME(0,0,0))*1440,0)+1440,ROUND((#REF!-TIME(0,0,0))*1440,0))</f>
        <v>#REF!</v>
      </c>
      <c r="R324" s="9" t="e">
        <f>IF(AND(ROUND((#REF!-TIME(0,0,0))*1440,0)&gt;0,ROUND((#REF!-TIME(0,0,0))*1440,0)&lt;tbl_Case_mins[[#This Row],[AnaesthStart]],tbl_Case_mins[[#This Row],[Surgery End Date]]&gt;tbl_Case_mins[[#This Row],[Surgery Start Date]]),ROUND((#REF!-TIME(0,0,0))*1440,0)+1440,ROUND((#REF!-TIME(0,0,0))*1440,0))</f>
        <v>#REF!</v>
      </c>
      <c r="S324" s="9" t="e">
        <f>IF(AND(ROUND((#REF!-TIME(0,0,0))*1440,0),ROUND((#REF!-TIME(0,0,0))*1440,0)&lt;tbl_Case_mins[[#This Row],[Surgery Start]],tbl_Case_mins[[#This Row],[Surgery End Date]]&gt;tbl_Case_mins[[#This Row],[Surgery Start Date]]),ROUND((#REF!-TIME(0,0,0))*1440,0)+1440,ROUND((#REF!-TIME(0,0,0))*1440,0))</f>
        <v>#REF!</v>
      </c>
      <c r="T324" s="9" t="e">
        <f>IF(AND(ROUND((#REF!-TIME(0,0,0))*1440,0)&gt;0,ROUND((#REF!-TIME(0,0,0))*1440,0)&lt;tbl_Case_mins[[#This Row],[Surgery Finish]],tbl_Case_mins[[#This Row],[Surgery End Date]]&gt;tbl_Case_mins[[#This Row],[Surgery Start Date]]),ROUND((#REF!-TIME(0,0,0))*1440,0)+1440,ROUND((#REF!-TIME(0,0,0))*1440,0))</f>
        <v>#REF!</v>
      </c>
      <c r="U324" s="9" t="e">
        <f>IF(AND(ROUND((#REF!-TIME(0,0,0))*1440,0)&gt;0,ROUND((#REF!-TIME(0,0,0))*1440,0)&lt;tbl_Case_mins[[#This Row],[Anaesth End]],tbl_Case_mins[[#This Row],[Surgery End Date]]&gt;tbl_Case_mins[[#This Row],[Surgery Start Date]]),ROUND((#REF!-TIME(0,0,0))*1440,0)+1440,ROUND((#REF!-TIME(0,0,0))*1440,0))</f>
        <v>#REF!</v>
      </c>
      <c r="V324" s="9" t="e">
        <f>IF(AND(ROUND((#REF!-TIME(0,0,0))*1440,0)&gt;0,ROUND((#REF!-TIME(0,0,0))*1440,0)&lt;tbl_Case_mins[[#This Row],[Into Recov]],tbl_Case_mins[[#This Row],[Surgery End Date]]&gt;tbl_Case_mins[[#This Row],[Surgery Start Date]]),ROUND((#REF!-TIME(0,0,0))*1440,0)+1440,ROUND((#REF!-TIME(0,0,0))*1440,0))</f>
        <v>#REF!</v>
      </c>
      <c r="W324" s="9" t="e">
        <f>IF(AND(ROUND((#REF!-TIME(0,0,0))*1440,0)&gt;0,ROUND((#REF!-TIME(0,0,0))*1440,0)&lt;tbl_Case_mins[[#This Row],[Ward Called]],tbl_Case_mins[[#This Row],[Surgery End Date]]&gt;tbl_Case_mins[[#This Row],[Surgery Start Date]]),ROUND((#REF!-TIME(0,0,0))*1440,0)+1440,ROUND((#REF!-TIME(0,0,0))*1440,0))</f>
        <v>#REF!</v>
      </c>
      <c r="X324" s="4" t="e">
        <f>IF(ISBLANK(#REF!),tbl_Case_mins[[#This Row],[Surgery Start Date]],#REF!)</f>
        <v>#REF!</v>
      </c>
      <c r="Y324">
        <f>IFERROR(IF(VLOOKUP(tbl_Case_mins[[#This Row],[Theatre]],'Mng Theatres'!$C$7:$G$12,3,FALSE)="Yes","Yes","No"),0)</f>
        <v>0</v>
      </c>
      <c r="Z324" s="9" t="e" cm="1">
        <f t="array" ref="Z32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4" s="9" t="e" cm="1">
        <f t="array" ref="AA32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4" s="9" t="e">
        <f>IF(tbl_Case_mins[[#This Row],[Case Type]]="Unsch",1,0)</f>
        <v>#REF!</v>
      </c>
      <c r="AD324" s="9" t="e">
        <f>IF(tbl_Case_mins[[#This Row],[Case Type]]="Sch",1,0)</f>
        <v>#REF!</v>
      </c>
      <c r="AE32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4" s="9">
        <f>IFERROR(IF(ISBLANK(INDEX(Am_Close,MATCH(1,INDEX((tbl_Case_mins[[#This Row],[Theatre]]=Theatre_No)*(tbl_Case_mins[[#This Row],[Surgery Start Date]]=Date),0,1),0))*1440),0,INDEX(Am_Close,MATCH(1,INDEX((tbl_Case_mins[[#This Row],[Theatre]]=Theatre_No)*(tbl_Case_mins[[#This Row],[Surgery Start Date]]=Date),0,1),0))*1440),0)</f>
        <v>0</v>
      </c>
      <c r="AG324" s="9">
        <f>IFERROR(IF(ISBLANK(INDEX(PM_Open,MATCH(1,INDEX((tbl_Case_mins[[#This Row],[Theatre]]=Theatre_No)*(tbl_Case_mins[[#This Row],[Surgery Start Date]]=Date),0,1),0))*1440),0,INDEX(PM_Open,MATCH(1,INDEX((tbl_Case_mins[[#This Row],[Theatre]]=Theatre_No)*(tbl_Case_mins[[#This Row],[Surgery Start Date]]=Date),0,1),0))*1440),0)</f>
        <v>0</v>
      </c>
      <c r="AH32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4" s="9" t="e">
        <f>IF(tbl_Case_mins[[#This Row],[ThOpenAm]]=0,tbl_Case_mins[[#This Row],[ThOpenPM]],tbl_Case_mins[[#This Row],[ThOpenAm]])</f>
        <v>#REF!</v>
      </c>
      <c r="AJ324" s="9" t="e">
        <f>IF(tbl_Case_mins[[#This Row],[ThCloseAm]]&gt;0,IF(tbl_Case_mins[[#This Row],[ThOpenPM]]&gt;0,tbl_Case_mins[[#This Row],[ThClosePm]],tbl_Case_mins[[#This Row],[ThCloseAm]]),tbl_Case_mins[[#This Row],[ThClosePm]])</f>
        <v>#REF!</v>
      </c>
      <c r="AK324" s="9" t="e">
        <f>IF(tbl_Case_mins[[#This Row],[TOT]]&gt;0,1,0)</f>
        <v>#REF!</v>
      </c>
      <c r="AL32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4" s="9" t="e">
        <f>IF(AND(tbl_Case_mins[[#This Row],[Surgery Status]]&lt;&gt;2,tbl_Case_mins[[#This Row],[InCoreCase]]=0,tbl_Case_mins[[#This Row],[CancelledCase]]=0),1,0)</f>
        <v>#REF!</v>
      </c>
      <c r="AN324" s="9" t="e">
        <f>IF(tbl_Case_mins[[#This Row],[Surgery Status]]=1,1,0)</f>
        <v>#REF!</v>
      </c>
      <c r="AO32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4" s="9" t="e">
        <f>IF(AND(tbl_Case_mins[[#This Row],[NonCoreCase]]=1,tbl_Case_mins[[#This Row],[NoInCoreTime]]=0),1,0)</f>
        <v>#REF!</v>
      </c>
      <c r="AQ324" s="9" t="e">
        <f>IF(tbl_Case_mins[[#This Row],[Rank_AnaEnd]]&lt;tbl_Case_mins[[#This Row],[Rank_AnaSt]],1,0)</f>
        <v>#REF!</v>
      </c>
      <c r="AR324" s="9" t="e">
        <f>IF(AND(tbl_Case_mins[[#This Row],[InCoreCase]]=1,tbl_Case_mins[[#This Row],[Sch]]=1),1,0)</f>
        <v>#REF!</v>
      </c>
      <c r="AS324" s="9" t="e">
        <f>IF(AND(tbl_Case_mins[[#This Row],[InCoreCase]]=1,tbl_Case_mins[[#This Row],[Unsch]]=1),1,0)</f>
        <v>#REF!</v>
      </c>
      <c r="AT32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4" s="9" t="e">
        <f>IF(tbl_Case_mins[[#This Row],[Surgery Status]]=0,(tbl_Case_mins[[#This Row],[Anaesth End]]-tbl_Case_mins[[#This Row],[AnaesthStart]]),0)</f>
        <v>#REF!</v>
      </c>
      <c r="AX324" s="9" t="e">
        <f>IF(tbl_Case_mins[[#This Row],[Surgery Status]]=0,(tbl_Case_mins[[#This Row],[Surgery Finish]]-tbl_Case_mins[[#This Row],[Surgery Start]]),0)</f>
        <v>#REF!</v>
      </c>
      <c r="AY324" s="9" t="e">
        <f>tbl_Case_mins[[#This Row],[Surgery Start]]-tbl_Case_mins[[#This Row],[AnaesthStart]]</f>
        <v>#REF!</v>
      </c>
      <c r="AZ324" s="9" t="e">
        <f>tbl_Case_mins[[#This Row],[Anaesth End]]-tbl_Case_mins[[#This Row],[Surgery Finish]]</f>
        <v>#REF!</v>
      </c>
      <c r="BA32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4" s="16" cm="1">
        <f t="array" ref="BC32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4" s="16" t="e">
        <f>IF(AND(tbl_Case_mins[[#This Row],[FirstAMCase]]=1,tbl_Case_mins[[#This Row],[CancelledCase]]=0,OR(tbl_Case_mins[[#This Row],[EarlyStartAM]]&gt;0,tbl_Case_mins[[#This Row],[AnaesthStart]]=tbl_Case_mins[[#This Row],[ThOpenAm]])),1,0)</f>
        <v>#REF!</v>
      </c>
      <c r="BE324" s="16" t="e">
        <f>IF(AND(tbl_Case_mins[[#This Row],[Rank_AnaSt]]=tbl_Case_mins[[#This Row],[Min_RankAnaSt]],tbl_Case_mins[[#This Row],[Anaesth End]]&gt;=tbl_Case_mins[[#This Row],[ThOpenAm]],tbl_Case_mins[[#This Row],[PmCase]]=0),1,0)</f>
        <v>#REF!</v>
      </c>
      <c r="BF32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4" s="9" t="e" cm="1">
        <f t="array" ref="BH32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4" s="9" t="e">
        <f>IF(AND(tbl_Case_mins[[#This Row],[ThOpenPM]]&gt;0,tbl_Case_mins[[#This Row],[AnaesthStart]]&gt;tbl_Case_mins[[#This Row],[ThOpenPM]],tbl_Case_mins[[#This Row],[First PM Case]]=1),tbl_Case_mins[[#This Row],[AnaesthStart]]-tbl_Case_mins[[#This Row],[ThOpenPM]],0)</f>
        <v>#REF!</v>
      </c>
      <c r="BL32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4" s="9" t="e" cm="1">
        <f t="array" ref="BN32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4" s="9" t="e">
        <f>IF(AND(tbl_Case_mins[[#This Row],[ThClosePm]]&gt;0,tbl_Case_mins[[#This Row],[Anaesth End]]&gt;tbl_Case_mins[[#This Row],[ThClosePm]],tbl_Case_mins[[#This Row],[AnaesthStart]]&gt;tbl_Case_mins[[#This Row],[ThClosePm]]),tbl_Case_mins[[#This Row],[Into Recov]]-tbl_Case_mins[[#This Row],[AnaesthStart]],0)</f>
        <v>#REF!</v>
      </c>
      <c r="BP324" s="9" t="e">
        <f>IF(AND(tbl_Case_mins[[#This Row],[AnaesthStart]]&lt;tbl_Case_mins[[#This Row],[ThClosePm]],tbl_Case_mins[[#This Row],[Anaesth End]]&gt;tbl_Case_mins[[#This Row],[ThClosePm]]),tbl_Case_mins[[#This Row],[Anaesth End]]-tbl_Case_mins[[#This Row],[ThClosePm]],0)</f>
        <v>#REF!</v>
      </c>
      <c r="BQ324" s="9" t="e" cm="1">
        <f t="array" ref="BQ32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4" s="9" t="e" cm="1">
        <f t="array" ref="BR324">IF(tbl_Case_mins[[#This Row],[Rank_Adjust]]=SUMPRODUCT(-(tbl_Case_mins[Surgery Start Date]=tbl_Case_mins[[#This Row],[Surgery Start Date]]),-(tbl_Case_mins[Theatre]=tbl_Case_mins[[#This Row],[Theatre]])),INDEX(Poss_Time,MATCH(TEXT(tbl_Case_mins[[#This Row],[Surgery Start Date]],"ddd"),Day,0)),0)</f>
        <v>#REF!</v>
      </c>
      <c r="BS324" s="9" t="e">
        <f>tbl_Case_mins[[#This Row],[Core_Time]]*Util_Goal</f>
        <v>#REF!</v>
      </c>
      <c r="BT324" s="9" t="e" cm="1">
        <f t="array" ref="BT3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4" s="9" t="e" cm="1">
        <f t="array" ref="BU3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4" s="9" t="e">
        <f>IF(tbl_Case_mins[[#This Row],[Surgery End Date]]&gt;tbl_Case_mins[[#This Row],[Surgery Start Date]],tbl_Case_mins[[#This Row],[Anaesth End]]-1440,0)</f>
        <v>#REF!</v>
      </c>
      <c r="BY324" s="9" t="e">
        <f>tbl_Case_mins[[#This Row],[Total_NonCore]]-tbl_Case_mins[[#This Row],[NextDay_NonCore]]</f>
        <v>#REF!</v>
      </c>
      <c r="BZ324" s="10" t="e">
        <f>tbl_Case_mins[[#This Row],[InCoreUse]]/60</f>
        <v>#REF!</v>
      </c>
      <c r="CA324" s="10" t="e">
        <f>tbl_Case_mins[[#This Row],[Total_NonCore]]/60</f>
        <v>#REF!</v>
      </c>
      <c r="CB324" t="e" cm="1">
        <f t="array" ref="CB3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4" s="9" t="e" cm="1">
        <f t="array" ref="CC32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4" s="9" t="e" cm="1">
        <f t="array" ref="CD3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4" s="9" t="e" cm="1">
        <f t="array" ref="CE32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4" s="9" cm="1">
        <f t="array" ref="CF324">IFERROR(_xlfn.AGGREGATE(14,6,(tbl_Case_mins[Rank_AnaEnd])/((tbl_Case_mins[Surgery Start Date]=tbl_Case_mins[[#This Row],[Surgery Start Date]])*(tbl_Case_mins[Theatre]=tbl_Case_mins[[#This Row],[Theatre]])*(tbl_Case_mins[NoInCoreTime]=0)),1),-1)</f>
        <v>-1</v>
      </c>
      <c r="CG324" s="9" cm="1">
        <f t="array" ref="CG324">IFERROR(_xlfn.AGGREGATE(15,6,(tbl_Case_mins[Rank_AnaSt])/((tbl_Case_mins[Surgery Start Date]=tbl_Case_mins[[#This Row],[Surgery Start Date]])*(tbl_Case_mins[Theatre]=tbl_Case_mins[[#This Row],[Theatre]])*(tbl_Case_mins[NoInCoreTime]=0)),1),-1)</f>
        <v>-1</v>
      </c>
      <c r="CH32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4" t="e" cm="1">
        <f t="array" ref="CJ32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4" s="9" cm="1">
        <f t="array" ref="CO3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4" s="9" cm="1">
        <f t="array" ref="CP3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4" s="9" cm="1">
        <f t="array" ref="CQ324">IFERROR(IF(AND(tbl_Case_mins[[#This Row],[FirstAMCase]]=0,tbl_Case_mins[[#This Row],[Rank]]=_xlfn.AGGREGATE(14,6,(tbl_Case_mins[Rank])/((tbl_Case_mins[Surgery Start Date]=tbl_Case_mins[[#This Row],[Surgery Start Date]])*(tbl_Case_mins[Theatre]=tbl_Case_mins[[#This Row],[Theatre]])*(tbl_Case_mins[AmCase]=1)),1)),1,0),0)</f>
        <v>0</v>
      </c>
      <c r="CR324" s="9" cm="1">
        <f t="array" ref="CR32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4" s="9" t="e" cm="1">
        <f t="array" ref="CS32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4" s="9" cm="1">
        <f t="array" ref="CT324">IFERROR(IF(tbl_Case_mins[[#This Row],[Rank]]=_xlfn.AGGREGATE(15,6,(tbl_Case_mins[Rank])/((tbl_Case_mins[Surgery Start Date]=tbl_Case_mins[[#This Row],[Surgery Start Date]])*(tbl_Case_mins[Theatre]=tbl_Case_mins[[#This Row],[Theatre]])*(tbl_Case_mins[PmCase]=1)),1),1,0),0)</f>
        <v>0</v>
      </c>
      <c r="CU324">
        <f>IFERROR(#REF!,0)</f>
        <v>0</v>
      </c>
      <c r="CV324" s="9" t="e" cm="1">
        <f t="array" ref="CV32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4" s="9">
        <f>IFERROR(IF(ISBLANK(INDEX(Bay_AmClose,MATCH(1,INDEX((tbl_Case_mins[[#This Row],[Bay]]=BayNo)*(tbl_Case_mins[[#This Row],[Surgery Start Date]]=BDate),0,1),0))*1440),0,INDEX(Bay_AmClose,MATCH(1,INDEX((tbl_Case_mins[[#This Row],[Bay]]=BayNo)*(tbl_Case_mins[[#This Row],[Surgery Start Date]]=BDate),0,1),0))*1440),0)</f>
        <v>0</v>
      </c>
      <c r="CX324" s="9" cm="1">
        <f t="array" ref="CX324">IFERROR(IF(ISBLANK(INDEX(Bay_PmOpen,MATCH(1,INDEX((tbl_Case_mins[[#This Row],[Bay]]=BayNo)*(tbl_Case_mins[[#This Row],[Surgery Start Date]]=BDate),0,1),0))*1440),0,INDEX(Bay_PmOpen,MATCH(1,INDEX((tbl_Case_mins[[#This Row],[Bay]]=BayNo)*(tbl_Case_mins[[#This Row],[Surgery Start Date]]=BDate),0,1),0))*1440),0)</f>
        <v>0</v>
      </c>
      <c r="CY32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4" s="9"/>
    </row>
    <row r="325" spans="1:104" x14ac:dyDescent="0.2">
      <c r="A325">
        <v>324</v>
      </c>
      <c r="B325" t="e">
        <f>#REF!</f>
        <v>#REF!</v>
      </c>
      <c r="C325" t="e">
        <f>#REF!</f>
        <v>#REF!</v>
      </c>
      <c r="D325" t="e">
        <f>#REF!</f>
        <v>#REF!</v>
      </c>
      <c r="E325" t="e">
        <f>#REF!</f>
        <v>#REF!</v>
      </c>
      <c r="F325" t="e">
        <f>#REF!</f>
        <v>#REF!</v>
      </c>
      <c r="G325" t="e">
        <f>#REF!</f>
        <v>#REF!</v>
      </c>
      <c r="H325" t="e">
        <f>#REF!</f>
        <v>#REF!</v>
      </c>
      <c r="I325" t="e">
        <f>IF(#REF!="Case Cancelled",1,IF(#REF!="No Cases",2,0))</f>
        <v>#REF!</v>
      </c>
      <c r="J325" t="e">
        <f>#REF!</f>
        <v>#REF!</v>
      </c>
      <c r="K325" s="4" t="e">
        <f>#REF!</f>
        <v>#REF!</v>
      </c>
      <c r="L325" t="e">
        <f>"Wk "&amp;WEEKNUM(tbl_Case_mins[[#This Row],[Surgery Start Date]],21)</f>
        <v>#REF!</v>
      </c>
      <c r="M325" t="e">
        <f>TEXT(tbl_Case_mins[[#This Row],[Surgery Start Date]],"ddd")</f>
        <v>#REF!</v>
      </c>
      <c r="N325" s="9" t="e">
        <f>(#REF!-TIME(0,0,0))*1440</f>
        <v>#REF!</v>
      </c>
      <c r="O325" t="e">
        <f>IF(AND(ROUND((#REF!-TIME(0,0,0))*1440,0)&gt;0,ROUND((#REF!-TIME(0,0,0))*1440,0)&lt;tbl_Case_mins[[#This Row],[Patient Called]],tbl_Case_mins[[#This Row],[Surgery End Date]]&gt;tbl_Case_mins[[#This Row],[Surgery Start Date]]),ROUND((#REF!-TIME(0,0,0))*1440,0)+1440,ROUND((#REF!-TIME(0,0,0))*1440,0))</f>
        <v>#REF!</v>
      </c>
      <c r="P325" s="9" t="e">
        <f>IF(AND(ROUND((#REF!-TIME(0,0,0))*1440,0)&gt;0,ROUND((#REF!-TIME(0,0,0))*1440,0)&lt;tbl_Case_mins[[#This Row],[Arrival]],tbl_Case_mins[[#This Row],[Surgery End Date]]&gt;tbl_Case_mins[[#This Row],[Surgery Start Date]]),ROUND((#REF!-TIME(0,0,0))*1440,0)+1440,ROUND((#REF!-TIME(0,0,0))*1440,0))</f>
        <v>#REF!</v>
      </c>
      <c r="Q325" s="9" t="e">
        <f>IF(AND(ROUND((#REF!-TIME(0,0,0))*1440,0)&gt;0,ROUND((#REF!-TIME(0,0,0))*1440,0)&lt;tbl_Case_mins[[#This Row],[Into Th or AR]],tbl_Case_mins[[#This Row],[Surgery End Date]]&gt;tbl_Case_mins[[#This Row],[Surgery Start Date]]),ROUND((#REF!-TIME(0,0,0))*1440,0)+1440,ROUND((#REF!-TIME(0,0,0))*1440,0))</f>
        <v>#REF!</v>
      </c>
      <c r="R325" s="9" t="e">
        <f>IF(AND(ROUND((#REF!-TIME(0,0,0))*1440,0)&gt;0,ROUND((#REF!-TIME(0,0,0))*1440,0)&lt;tbl_Case_mins[[#This Row],[AnaesthStart]],tbl_Case_mins[[#This Row],[Surgery End Date]]&gt;tbl_Case_mins[[#This Row],[Surgery Start Date]]),ROUND((#REF!-TIME(0,0,0))*1440,0)+1440,ROUND((#REF!-TIME(0,0,0))*1440,0))</f>
        <v>#REF!</v>
      </c>
      <c r="S325" s="9" t="e">
        <f>IF(AND(ROUND((#REF!-TIME(0,0,0))*1440,0),ROUND((#REF!-TIME(0,0,0))*1440,0)&lt;tbl_Case_mins[[#This Row],[Surgery Start]],tbl_Case_mins[[#This Row],[Surgery End Date]]&gt;tbl_Case_mins[[#This Row],[Surgery Start Date]]),ROUND((#REF!-TIME(0,0,0))*1440,0)+1440,ROUND((#REF!-TIME(0,0,0))*1440,0))</f>
        <v>#REF!</v>
      </c>
      <c r="T325" s="9" t="e">
        <f>IF(AND(ROUND((#REF!-TIME(0,0,0))*1440,0)&gt;0,ROUND((#REF!-TIME(0,0,0))*1440,0)&lt;tbl_Case_mins[[#This Row],[Surgery Finish]],tbl_Case_mins[[#This Row],[Surgery End Date]]&gt;tbl_Case_mins[[#This Row],[Surgery Start Date]]),ROUND((#REF!-TIME(0,0,0))*1440,0)+1440,ROUND((#REF!-TIME(0,0,0))*1440,0))</f>
        <v>#REF!</v>
      </c>
      <c r="U325" s="9" t="e">
        <f>IF(AND(ROUND((#REF!-TIME(0,0,0))*1440,0)&gt;0,ROUND((#REF!-TIME(0,0,0))*1440,0)&lt;tbl_Case_mins[[#This Row],[Anaesth End]],tbl_Case_mins[[#This Row],[Surgery End Date]]&gt;tbl_Case_mins[[#This Row],[Surgery Start Date]]),ROUND((#REF!-TIME(0,0,0))*1440,0)+1440,ROUND((#REF!-TIME(0,0,0))*1440,0))</f>
        <v>#REF!</v>
      </c>
      <c r="V325" s="9" t="e">
        <f>IF(AND(ROUND((#REF!-TIME(0,0,0))*1440,0)&gt;0,ROUND((#REF!-TIME(0,0,0))*1440,0)&lt;tbl_Case_mins[[#This Row],[Into Recov]],tbl_Case_mins[[#This Row],[Surgery End Date]]&gt;tbl_Case_mins[[#This Row],[Surgery Start Date]]),ROUND((#REF!-TIME(0,0,0))*1440,0)+1440,ROUND((#REF!-TIME(0,0,0))*1440,0))</f>
        <v>#REF!</v>
      </c>
      <c r="W325" s="9" t="e">
        <f>IF(AND(ROUND((#REF!-TIME(0,0,0))*1440,0)&gt;0,ROUND((#REF!-TIME(0,0,0))*1440,0)&lt;tbl_Case_mins[[#This Row],[Ward Called]],tbl_Case_mins[[#This Row],[Surgery End Date]]&gt;tbl_Case_mins[[#This Row],[Surgery Start Date]]),ROUND((#REF!-TIME(0,0,0))*1440,0)+1440,ROUND((#REF!-TIME(0,0,0))*1440,0))</f>
        <v>#REF!</v>
      </c>
      <c r="X325" s="4" t="e">
        <f>IF(ISBLANK(#REF!),tbl_Case_mins[[#This Row],[Surgery Start Date]],#REF!)</f>
        <v>#REF!</v>
      </c>
      <c r="Y325">
        <f>IFERROR(IF(VLOOKUP(tbl_Case_mins[[#This Row],[Theatre]],'Mng Theatres'!$C$7:$G$12,3,FALSE)="Yes","Yes","No"),0)</f>
        <v>0</v>
      </c>
      <c r="Z325" s="9" t="e" cm="1">
        <f t="array" ref="Z32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5" s="9" t="e" cm="1">
        <f t="array" ref="AA32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5" s="9" t="e">
        <f>IF(tbl_Case_mins[[#This Row],[Case Type]]="Unsch",1,0)</f>
        <v>#REF!</v>
      </c>
      <c r="AD325" s="9" t="e">
        <f>IF(tbl_Case_mins[[#This Row],[Case Type]]="Sch",1,0)</f>
        <v>#REF!</v>
      </c>
      <c r="AE32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5" s="9">
        <f>IFERROR(IF(ISBLANK(INDEX(Am_Close,MATCH(1,INDEX((tbl_Case_mins[[#This Row],[Theatre]]=Theatre_No)*(tbl_Case_mins[[#This Row],[Surgery Start Date]]=Date),0,1),0))*1440),0,INDEX(Am_Close,MATCH(1,INDEX((tbl_Case_mins[[#This Row],[Theatre]]=Theatre_No)*(tbl_Case_mins[[#This Row],[Surgery Start Date]]=Date),0,1),0))*1440),0)</f>
        <v>0</v>
      </c>
      <c r="AG325" s="9">
        <f>IFERROR(IF(ISBLANK(INDEX(PM_Open,MATCH(1,INDEX((tbl_Case_mins[[#This Row],[Theatre]]=Theatre_No)*(tbl_Case_mins[[#This Row],[Surgery Start Date]]=Date),0,1),0))*1440),0,INDEX(PM_Open,MATCH(1,INDEX((tbl_Case_mins[[#This Row],[Theatre]]=Theatre_No)*(tbl_Case_mins[[#This Row],[Surgery Start Date]]=Date),0,1),0))*1440),0)</f>
        <v>0</v>
      </c>
      <c r="AH32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5" s="9" t="e">
        <f>IF(tbl_Case_mins[[#This Row],[ThOpenAm]]=0,tbl_Case_mins[[#This Row],[ThOpenPM]],tbl_Case_mins[[#This Row],[ThOpenAm]])</f>
        <v>#REF!</v>
      </c>
      <c r="AJ325" s="9" t="e">
        <f>IF(tbl_Case_mins[[#This Row],[ThCloseAm]]&gt;0,IF(tbl_Case_mins[[#This Row],[ThOpenPM]]&gt;0,tbl_Case_mins[[#This Row],[ThClosePm]],tbl_Case_mins[[#This Row],[ThCloseAm]]),tbl_Case_mins[[#This Row],[ThClosePm]])</f>
        <v>#REF!</v>
      </c>
      <c r="AK325" s="9" t="e">
        <f>IF(tbl_Case_mins[[#This Row],[TOT]]&gt;0,1,0)</f>
        <v>#REF!</v>
      </c>
      <c r="AL32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5" s="9" t="e">
        <f>IF(AND(tbl_Case_mins[[#This Row],[Surgery Status]]&lt;&gt;2,tbl_Case_mins[[#This Row],[InCoreCase]]=0,tbl_Case_mins[[#This Row],[CancelledCase]]=0),1,0)</f>
        <v>#REF!</v>
      </c>
      <c r="AN325" s="9" t="e">
        <f>IF(tbl_Case_mins[[#This Row],[Surgery Status]]=1,1,0)</f>
        <v>#REF!</v>
      </c>
      <c r="AO32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5" s="9" t="e">
        <f>IF(AND(tbl_Case_mins[[#This Row],[NonCoreCase]]=1,tbl_Case_mins[[#This Row],[NoInCoreTime]]=0),1,0)</f>
        <v>#REF!</v>
      </c>
      <c r="AQ325" s="9" t="e">
        <f>IF(tbl_Case_mins[[#This Row],[Rank_AnaEnd]]&lt;tbl_Case_mins[[#This Row],[Rank_AnaSt]],1,0)</f>
        <v>#REF!</v>
      </c>
      <c r="AR325" s="9" t="e">
        <f>IF(AND(tbl_Case_mins[[#This Row],[InCoreCase]]=1,tbl_Case_mins[[#This Row],[Sch]]=1),1,0)</f>
        <v>#REF!</v>
      </c>
      <c r="AS325" s="9" t="e">
        <f>IF(AND(tbl_Case_mins[[#This Row],[InCoreCase]]=1,tbl_Case_mins[[#This Row],[Unsch]]=1),1,0)</f>
        <v>#REF!</v>
      </c>
      <c r="AT32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5" s="9" t="e">
        <f>IF(tbl_Case_mins[[#This Row],[Surgery Status]]=0,(tbl_Case_mins[[#This Row],[Anaesth End]]-tbl_Case_mins[[#This Row],[AnaesthStart]]),0)</f>
        <v>#REF!</v>
      </c>
      <c r="AX325" s="9" t="e">
        <f>IF(tbl_Case_mins[[#This Row],[Surgery Status]]=0,(tbl_Case_mins[[#This Row],[Surgery Finish]]-tbl_Case_mins[[#This Row],[Surgery Start]]),0)</f>
        <v>#REF!</v>
      </c>
      <c r="AY325" s="9" t="e">
        <f>tbl_Case_mins[[#This Row],[Surgery Start]]-tbl_Case_mins[[#This Row],[AnaesthStart]]</f>
        <v>#REF!</v>
      </c>
      <c r="AZ325" s="9" t="e">
        <f>tbl_Case_mins[[#This Row],[Anaesth End]]-tbl_Case_mins[[#This Row],[Surgery Finish]]</f>
        <v>#REF!</v>
      </c>
      <c r="BA32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5" s="16" cm="1">
        <f t="array" ref="BC32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5" s="16" t="e">
        <f>IF(AND(tbl_Case_mins[[#This Row],[FirstAMCase]]=1,tbl_Case_mins[[#This Row],[CancelledCase]]=0,OR(tbl_Case_mins[[#This Row],[EarlyStartAM]]&gt;0,tbl_Case_mins[[#This Row],[AnaesthStart]]=tbl_Case_mins[[#This Row],[ThOpenAm]])),1,0)</f>
        <v>#REF!</v>
      </c>
      <c r="BE325" s="16" t="e">
        <f>IF(AND(tbl_Case_mins[[#This Row],[Rank_AnaSt]]=tbl_Case_mins[[#This Row],[Min_RankAnaSt]],tbl_Case_mins[[#This Row],[Anaesth End]]&gt;=tbl_Case_mins[[#This Row],[ThOpenAm]],tbl_Case_mins[[#This Row],[PmCase]]=0),1,0)</f>
        <v>#REF!</v>
      </c>
      <c r="BF32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5" s="9" t="e" cm="1">
        <f t="array" ref="BH32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5" s="9" t="e">
        <f>IF(AND(tbl_Case_mins[[#This Row],[ThOpenPM]]&gt;0,tbl_Case_mins[[#This Row],[AnaesthStart]]&gt;tbl_Case_mins[[#This Row],[ThOpenPM]],tbl_Case_mins[[#This Row],[First PM Case]]=1),tbl_Case_mins[[#This Row],[AnaesthStart]]-tbl_Case_mins[[#This Row],[ThOpenPM]],0)</f>
        <v>#REF!</v>
      </c>
      <c r="BL32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5" s="9" t="e" cm="1">
        <f t="array" ref="BN32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5" s="9" t="e">
        <f>IF(AND(tbl_Case_mins[[#This Row],[ThClosePm]]&gt;0,tbl_Case_mins[[#This Row],[Anaesth End]]&gt;tbl_Case_mins[[#This Row],[ThClosePm]],tbl_Case_mins[[#This Row],[AnaesthStart]]&gt;tbl_Case_mins[[#This Row],[ThClosePm]]),tbl_Case_mins[[#This Row],[Into Recov]]-tbl_Case_mins[[#This Row],[AnaesthStart]],0)</f>
        <v>#REF!</v>
      </c>
      <c r="BP325" s="9" t="e">
        <f>IF(AND(tbl_Case_mins[[#This Row],[AnaesthStart]]&lt;tbl_Case_mins[[#This Row],[ThClosePm]],tbl_Case_mins[[#This Row],[Anaesth End]]&gt;tbl_Case_mins[[#This Row],[ThClosePm]]),tbl_Case_mins[[#This Row],[Anaesth End]]-tbl_Case_mins[[#This Row],[ThClosePm]],0)</f>
        <v>#REF!</v>
      </c>
      <c r="BQ325" s="9" t="e" cm="1">
        <f t="array" ref="BQ32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5" s="9" t="e" cm="1">
        <f t="array" ref="BR325">IF(tbl_Case_mins[[#This Row],[Rank_Adjust]]=SUMPRODUCT(-(tbl_Case_mins[Surgery Start Date]=tbl_Case_mins[[#This Row],[Surgery Start Date]]),-(tbl_Case_mins[Theatre]=tbl_Case_mins[[#This Row],[Theatre]])),INDEX(Poss_Time,MATCH(TEXT(tbl_Case_mins[[#This Row],[Surgery Start Date]],"ddd"),Day,0)),0)</f>
        <v>#REF!</v>
      </c>
      <c r="BS325" s="9" t="e">
        <f>tbl_Case_mins[[#This Row],[Core_Time]]*Util_Goal</f>
        <v>#REF!</v>
      </c>
      <c r="BT325" s="9" t="e" cm="1">
        <f t="array" ref="BT3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5" s="9" t="e" cm="1">
        <f t="array" ref="BU3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5" s="9" t="e">
        <f>IF(tbl_Case_mins[[#This Row],[Surgery End Date]]&gt;tbl_Case_mins[[#This Row],[Surgery Start Date]],tbl_Case_mins[[#This Row],[Anaesth End]]-1440,0)</f>
        <v>#REF!</v>
      </c>
      <c r="BY325" s="9" t="e">
        <f>tbl_Case_mins[[#This Row],[Total_NonCore]]-tbl_Case_mins[[#This Row],[NextDay_NonCore]]</f>
        <v>#REF!</v>
      </c>
      <c r="BZ325" s="10" t="e">
        <f>tbl_Case_mins[[#This Row],[InCoreUse]]/60</f>
        <v>#REF!</v>
      </c>
      <c r="CA325" s="10" t="e">
        <f>tbl_Case_mins[[#This Row],[Total_NonCore]]/60</f>
        <v>#REF!</v>
      </c>
      <c r="CB325" t="e" cm="1">
        <f t="array" ref="CB3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5" s="9" t="e" cm="1">
        <f t="array" ref="CC32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5" s="9" t="e" cm="1">
        <f t="array" ref="CD3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5" s="9" t="e" cm="1">
        <f t="array" ref="CE32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5" s="9" cm="1">
        <f t="array" ref="CF325">IFERROR(_xlfn.AGGREGATE(14,6,(tbl_Case_mins[Rank_AnaEnd])/((tbl_Case_mins[Surgery Start Date]=tbl_Case_mins[[#This Row],[Surgery Start Date]])*(tbl_Case_mins[Theatre]=tbl_Case_mins[[#This Row],[Theatre]])*(tbl_Case_mins[NoInCoreTime]=0)),1),-1)</f>
        <v>-1</v>
      </c>
      <c r="CG325" s="9" cm="1">
        <f t="array" ref="CG325">IFERROR(_xlfn.AGGREGATE(15,6,(tbl_Case_mins[Rank_AnaSt])/((tbl_Case_mins[Surgery Start Date]=tbl_Case_mins[[#This Row],[Surgery Start Date]])*(tbl_Case_mins[Theatre]=tbl_Case_mins[[#This Row],[Theatre]])*(tbl_Case_mins[NoInCoreTime]=0)),1),-1)</f>
        <v>-1</v>
      </c>
      <c r="CH32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5" t="e" cm="1">
        <f t="array" ref="CJ32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5" s="9" cm="1">
        <f t="array" ref="CO3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5" s="9" cm="1">
        <f t="array" ref="CP3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5" s="9" cm="1">
        <f t="array" ref="CQ325">IFERROR(IF(AND(tbl_Case_mins[[#This Row],[FirstAMCase]]=0,tbl_Case_mins[[#This Row],[Rank]]=_xlfn.AGGREGATE(14,6,(tbl_Case_mins[Rank])/((tbl_Case_mins[Surgery Start Date]=tbl_Case_mins[[#This Row],[Surgery Start Date]])*(tbl_Case_mins[Theatre]=tbl_Case_mins[[#This Row],[Theatre]])*(tbl_Case_mins[AmCase]=1)),1)),1,0),0)</f>
        <v>0</v>
      </c>
      <c r="CR325" s="9" cm="1">
        <f t="array" ref="CR32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5" s="9" t="e" cm="1">
        <f t="array" ref="CS32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5" s="9" cm="1">
        <f t="array" ref="CT325">IFERROR(IF(tbl_Case_mins[[#This Row],[Rank]]=_xlfn.AGGREGATE(15,6,(tbl_Case_mins[Rank])/((tbl_Case_mins[Surgery Start Date]=tbl_Case_mins[[#This Row],[Surgery Start Date]])*(tbl_Case_mins[Theatre]=tbl_Case_mins[[#This Row],[Theatre]])*(tbl_Case_mins[PmCase]=1)),1),1,0),0)</f>
        <v>0</v>
      </c>
      <c r="CU325">
        <f>IFERROR(#REF!,0)</f>
        <v>0</v>
      </c>
      <c r="CV325" s="9" t="e" cm="1">
        <f t="array" ref="CV32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5" s="9">
        <f>IFERROR(IF(ISBLANK(INDEX(Bay_AmClose,MATCH(1,INDEX((tbl_Case_mins[[#This Row],[Bay]]=BayNo)*(tbl_Case_mins[[#This Row],[Surgery Start Date]]=BDate),0,1),0))*1440),0,INDEX(Bay_AmClose,MATCH(1,INDEX((tbl_Case_mins[[#This Row],[Bay]]=BayNo)*(tbl_Case_mins[[#This Row],[Surgery Start Date]]=BDate),0,1),0))*1440),0)</f>
        <v>0</v>
      </c>
      <c r="CX325" s="9" cm="1">
        <f t="array" ref="CX325">IFERROR(IF(ISBLANK(INDEX(Bay_PmOpen,MATCH(1,INDEX((tbl_Case_mins[[#This Row],[Bay]]=BayNo)*(tbl_Case_mins[[#This Row],[Surgery Start Date]]=BDate),0,1),0))*1440),0,INDEX(Bay_PmOpen,MATCH(1,INDEX((tbl_Case_mins[[#This Row],[Bay]]=BayNo)*(tbl_Case_mins[[#This Row],[Surgery Start Date]]=BDate),0,1),0))*1440),0)</f>
        <v>0</v>
      </c>
      <c r="CY32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5" s="9"/>
    </row>
    <row r="326" spans="1:104" x14ac:dyDescent="0.2">
      <c r="A326">
        <v>325</v>
      </c>
      <c r="B326" t="e">
        <f>#REF!</f>
        <v>#REF!</v>
      </c>
      <c r="C326" t="e">
        <f>#REF!</f>
        <v>#REF!</v>
      </c>
      <c r="D326" t="e">
        <f>#REF!</f>
        <v>#REF!</v>
      </c>
      <c r="E326" t="e">
        <f>#REF!</f>
        <v>#REF!</v>
      </c>
      <c r="F326" t="e">
        <f>#REF!</f>
        <v>#REF!</v>
      </c>
      <c r="G326" t="e">
        <f>#REF!</f>
        <v>#REF!</v>
      </c>
      <c r="H326" t="e">
        <f>#REF!</f>
        <v>#REF!</v>
      </c>
      <c r="I326" t="e">
        <f>IF(#REF!="Case Cancelled",1,IF(#REF!="No Cases",2,0))</f>
        <v>#REF!</v>
      </c>
      <c r="J326" t="e">
        <f>#REF!</f>
        <v>#REF!</v>
      </c>
      <c r="K326" s="4" t="e">
        <f>#REF!</f>
        <v>#REF!</v>
      </c>
      <c r="L326" t="e">
        <f>"Wk "&amp;WEEKNUM(tbl_Case_mins[[#This Row],[Surgery Start Date]],21)</f>
        <v>#REF!</v>
      </c>
      <c r="M326" t="e">
        <f>TEXT(tbl_Case_mins[[#This Row],[Surgery Start Date]],"ddd")</f>
        <v>#REF!</v>
      </c>
      <c r="N326" s="9" t="e">
        <f>(#REF!-TIME(0,0,0))*1440</f>
        <v>#REF!</v>
      </c>
      <c r="O326" t="e">
        <f>IF(AND(ROUND((#REF!-TIME(0,0,0))*1440,0)&gt;0,ROUND((#REF!-TIME(0,0,0))*1440,0)&lt;tbl_Case_mins[[#This Row],[Patient Called]],tbl_Case_mins[[#This Row],[Surgery End Date]]&gt;tbl_Case_mins[[#This Row],[Surgery Start Date]]),ROUND((#REF!-TIME(0,0,0))*1440,0)+1440,ROUND((#REF!-TIME(0,0,0))*1440,0))</f>
        <v>#REF!</v>
      </c>
      <c r="P326" s="9" t="e">
        <f>IF(AND(ROUND((#REF!-TIME(0,0,0))*1440,0)&gt;0,ROUND((#REF!-TIME(0,0,0))*1440,0)&lt;tbl_Case_mins[[#This Row],[Arrival]],tbl_Case_mins[[#This Row],[Surgery End Date]]&gt;tbl_Case_mins[[#This Row],[Surgery Start Date]]),ROUND((#REF!-TIME(0,0,0))*1440,0)+1440,ROUND((#REF!-TIME(0,0,0))*1440,0))</f>
        <v>#REF!</v>
      </c>
      <c r="Q326" s="9" t="e">
        <f>IF(AND(ROUND((#REF!-TIME(0,0,0))*1440,0)&gt;0,ROUND((#REF!-TIME(0,0,0))*1440,0)&lt;tbl_Case_mins[[#This Row],[Into Th or AR]],tbl_Case_mins[[#This Row],[Surgery End Date]]&gt;tbl_Case_mins[[#This Row],[Surgery Start Date]]),ROUND((#REF!-TIME(0,0,0))*1440,0)+1440,ROUND((#REF!-TIME(0,0,0))*1440,0))</f>
        <v>#REF!</v>
      </c>
      <c r="R326" s="9" t="e">
        <f>IF(AND(ROUND((#REF!-TIME(0,0,0))*1440,0)&gt;0,ROUND((#REF!-TIME(0,0,0))*1440,0)&lt;tbl_Case_mins[[#This Row],[AnaesthStart]],tbl_Case_mins[[#This Row],[Surgery End Date]]&gt;tbl_Case_mins[[#This Row],[Surgery Start Date]]),ROUND((#REF!-TIME(0,0,0))*1440,0)+1440,ROUND((#REF!-TIME(0,0,0))*1440,0))</f>
        <v>#REF!</v>
      </c>
      <c r="S326" s="9" t="e">
        <f>IF(AND(ROUND((#REF!-TIME(0,0,0))*1440,0),ROUND((#REF!-TIME(0,0,0))*1440,0)&lt;tbl_Case_mins[[#This Row],[Surgery Start]],tbl_Case_mins[[#This Row],[Surgery End Date]]&gt;tbl_Case_mins[[#This Row],[Surgery Start Date]]),ROUND((#REF!-TIME(0,0,0))*1440,0)+1440,ROUND((#REF!-TIME(0,0,0))*1440,0))</f>
        <v>#REF!</v>
      </c>
      <c r="T326" s="9" t="e">
        <f>IF(AND(ROUND((#REF!-TIME(0,0,0))*1440,0)&gt;0,ROUND((#REF!-TIME(0,0,0))*1440,0)&lt;tbl_Case_mins[[#This Row],[Surgery Finish]],tbl_Case_mins[[#This Row],[Surgery End Date]]&gt;tbl_Case_mins[[#This Row],[Surgery Start Date]]),ROUND((#REF!-TIME(0,0,0))*1440,0)+1440,ROUND((#REF!-TIME(0,0,0))*1440,0))</f>
        <v>#REF!</v>
      </c>
      <c r="U326" s="9" t="e">
        <f>IF(AND(ROUND((#REF!-TIME(0,0,0))*1440,0)&gt;0,ROUND((#REF!-TIME(0,0,0))*1440,0)&lt;tbl_Case_mins[[#This Row],[Anaesth End]],tbl_Case_mins[[#This Row],[Surgery End Date]]&gt;tbl_Case_mins[[#This Row],[Surgery Start Date]]),ROUND((#REF!-TIME(0,0,0))*1440,0)+1440,ROUND((#REF!-TIME(0,0,0))*1440,0))</f>
        <v>#REF!</v>
      </c>
      <c r="V326" s="9" t="e">
        <f>IF(AND(ROUND((#REF!-TIME(0,0,0))*1440,0)&gt;0,ROUND((#REF!-TIME(0,0,0))*1440,0)&lt;tbl_Case_mins[[#This Row],[Into Recov]],tbl_Case_mins[[#This Row],[Surgery End Date]]&gt;tbl_Case_mins[[#This Row],[Surgery Start Date]]),ROUND((#REF!-TIME(0,0,0))*1440,0)+1440,ROUND((#REF!-TIME(0,0,0))*1440,0))</f>
        <v>#REF!</v>
      </c>
      <c r="W326" s="9" t="e">
        <f>IF(AND(ROUND((#REF!-TIME(0,0,0))*1440,0)&gt;0,ROUND((#REF!-TIME(0,0,0))*1440,0)&lt;tbl_Case_mins[[#This Row],[Ward Called]],tbl_Case_mins[[#This Row],[Surgery End Date]]&gt;tbl_Case_mins[[#This Row],[Surgery Start Date]]),ROUND((#REF!-TIME(0,0,0))*1440,0)+1440,ROUND((#REF!-TIME(0,0,0))*1440,0))</f>
        <v>#REF!</v>
      </c>
      <c r="X326" s="4" t="e">
        <f>IF(ISBLANK(#REF!),tbl_Case_mins[[#This Row],[Surgery Start Date]],#REF!)</f>
        <v>#REF!</v>
      </c>
      <c r="Y326">
        <f>IFERROR(IF(VLOOKUP(tbl_Case_mins[[#This Row],[Theatre]],'Mng Theatres'!$C$7:$G$12,3,FALSE)="Yes","Yes","No"),0)</f>
        <v>0</v>
      </c>
      <c r="Z326" s="9" t="e" cm="1">
        <f t="array" ref="Z32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6" s="9" t="e" cm="1">
        <f t="array" ref="AA32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6" s="9" t="e">
        <f>IF(tbl_Case_mins[[#This Row],[Case Type]]="Unsch",1,0)</f>
        <v>#REF!</v>
      </c>
      <c r="AD326" s="9" t="e">
        <f>IF(tbl_Case_mins[[#This Row],[Case Type]]="Sch",1,0)</f>
        <v>#REF!</v>
      </c>
      <c r="AE32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6" s="9">
        <f>IFERROR(IF(ISBLANK(INDEX(Am_Close,MATCH(1,INDEX((tbl_Case_mins[[#This Row],[Theatre]]=Theatre_No)*(tbl_Case_mins[[#This Row],[Surgery Start Date]]=Date),0,1),0))*1440),0,INDEX(Am_Close,MATCH(1,INDEX((tbl_Case_mins[[#This Row],[Theatre]]=Theatre_No)*(tbl_Case_mins[[#This Row],[Surgery Start Date]]=Date),0,1),0))*1440),0)</f>
        <v>0</v>
      </c>
      <c r="AG326" s="9">
        <f>IFERROR(IF(ISBLANK(INDEX(PM_Open,MATCH(1,INDEX((tbl_Case_mins[[#This Row],[Theatre]]=Theatre_No)*(tbl_Case_mins[[#This Row],[Surgery Start Date]]=Date),0,1),0))*1440),0,INDEX(PM_Open,MATCH(1,INDEX((tbl_Case_mins[[#This Row],[Theatre]]=Theatre_No)*(tbl_Case_mins[[#This Row],[Surgery Start Date]]=Date),0,1),0))*1440),0)</f>
        <v>0</v>
      </c>
      <c r="AH32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6" s="9" t="e">
        <f>IF(tbl_Case_mins[[#This Row],[ThOpenAm]]=0,tbl_Case_mins[[#This Row],[ThOpenPM]],tbl_Case_mins[[#This Row],[ThOpenAm]])</f>
        <v>#REF!</v>
      </c>
      <c r="AJ326" s="9" t="e">
        <f>IF(tbl_Case_mins[[#This Row],[ThCloseAm]]&gt;0,IF(tbl_Case_mins[[#This Row],[ThOpenPM]]&gt;0,tbl_Case_mins[[#This Row],[ThClosePm]],tbl_Case_mins[[#This Row],[ThCloseAm]]),tbl_Case_mins[[#This Row],[ThClosePm]])</f>
        <v>#REF!</v>
      </c>
      <c r="AK326" s="9" t="e">
        <f>IF(tbl_Case_mins[[#This Row],[TOT]]&gt;0,1,0)</f>
        <v>#REF!</v>
      </c>
      <c r="AL32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6" s="9" t="e">
        <f>IF(AND(tbl_Case_mins[[#This Row],[Surgery Status]]&lt;&gt;2,tbl_Case_mins[[#This Row],[InCoreCase]]=0,tbl_Case_mins[[#This Row],[CancelledCase]]=0),1,0)</f>
        <v>#REF!</v>
      </c>
      <c r="AN326" s="9" t="e">
        <f>IF(tbl_Case_mins[[#This Row],[Surgery Status]]=1,1,0)</f>
        <v>#REF!</v>
      </c>
      <c r="AO32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6" s="9" t="e">
        <f>IF(AND(tbl_Case_mins[[#This Row],[NonCoreCase]]=1,tbl_Case_mins[[#This Row],[NoInCoreTime]]=0),1,0)</f>
        <v>#REF!</v>
      </c>
      <c r="AQ326" s="9" t="e">
        <f>IF(tbl_Case_mins[[#This Row],[Rank_AnaEnd]]&lt;tbl_Case_mins[[#This Row],[Rank_AnaSt]],1,0)</f>
        <v>#REF!</v>
      </c>
      <c r="AR326" s="9" t="e">
        <f>IF(AND(tbl_Case_mins[[#This Row],[InCoreCase]]=1,tbl_Case_mins[[#This Row],[Sch]]=1),1,0)</f>
        <v>#REF!</v>
      </c>
      <c r="AS326" s="9" t="e">
        <f>IF(AND(tbl_Case_mins[[#This Row],[InCoreCase]]=1,tbl_Case_mins[[#This Row],[Unsch]]=1),1,0)</f>
        <v>#REF!</v>
      </c>
      <c r="AT32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6" s="9" t="e">
        <f>IF(tbl_Case_mins[[#This Row],[Surgery Status]]=0,(tbl_Case_mins[[#This Row],[Anaesth End]]-tbl_Case_mins[[#This Row],[AnaesthStart]]),0)</f>
        <v>#REF!</v>
      </c>
      <c r="AX326" s="9" t="e">
        <f>IF(tbl_Case_mins[[#This Row],[Surgery Status]]=0,(tbl_Case_mins[[#This Row],[Surgery Finish]]-tbl_Case_mins[[#This Row],[Surgery Start]]),0)</f>
        <v>#REF!</v>
      </c>
      <c r="AY326" s="9" t="e">
        <f>tbl_Case_mins[[#This Row],[Surgery Start]]-tbl_Case_mins[[#This Row],[AnaesthStart]]</f>
        <v>#REF!</v>
      </c>
      <c r="AZ326" s="9" t="e">
        <f>tbl_Case_mins[[#This Row],[Anaesth End]]-tbl_Case_mins[[#This Row],[Surgery Finish]]</f>
        <v>#REF!</v>
      </c>
      <c r="BA32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6" s="16" cm="1">
        <f t="array" ref="BC32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6" s="16" t="e">
        <f>IF(AND(tbl_Case_mins[[#This Row],[FirstAMCase]]=1,tbl_Case_mins[[#This Row],[CancelledCase]]=0,OR(tbl_Case_mins[[#This Row],[EarlyStartAM]]&gt;0,tbl_Case_mins[[#This Row],[AnaesthStart]]=tbl_Case_mins[[#This Row],[ThOpenAm]])),1,0)</f>
        <v>#REF!</v>
      </c>
      <c r="BE326" s="16" t="e">
        <f>IF(AND(tbl_Case_mins[[#This Row],[Rank_AnaSt]]=tbl_Case_mins[[#This Row],[Min_RankAnaSt]],tbl_Case_mins[[#This Row],[Anaesth End]]&gt;=tbl_Case_mins[[#This Row],[ThOpenAm]],tbl_Case_mins[[#This Row],[PmCase]]=0),1,0)</f>
        <v>#REF!</v>
      </c>
      <c r="BF32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6" s="9" t="e" cm="1">
        <f t="array" ref="BH32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6" s="9" t="e">
        <f>IF(AND(tbl_Case_mins[[#This Row],[ThOpenPM]]&gt;0,tbl_Case_mins[[#This Row],[AnaesthStart]]&gt;tbl_Case_mins[[#This Row],[ThOpenPM]],tbl_Case_mins[[#This Row],[First PM Case]]=1),tbl_Case_mins[[#This Row],[AnaesthStart]]-tbl_Case_mins[[#This Row],[ThOpenPM]],0)</f>
        <v>#REF!</v>
      </c>
      <c r="BL32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6" s="9" t="e" cm="1">
        <f t="array" ref="BN32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6" s="9" t="e">
        <f>IF(AND(tbl_Case_mins[[#This Row],[ThClosePm]]&gt;0,tbl_Case_mins[[#This Row],[Anaesth End]]&gt;tbl_Case_mins[[#This Row],[ThClosePm]],tbl_Case_mins[[#This Row],[AnaesthStart]]&gt;tbl_Case_mins[[#This Row],[ThClosePm]]),tbl_Case_mins[[#This Row],[Into Recov]]-tbl_Case_mins[[#This Row],[AnaesthStart]],0)</f>
        <v>#REF!</v>
      </c>
      <c r="BP326" s="9" t="e">
        <f>IF(AND(tbl_Case_mins[[#This Row],[AnaesthStart]]&lt;tbl_Case_mins[[#This Row],[ThClosePm]],tbl_Case_mins[[#This Row],[Anaesth End]]&gt;tbl_Case_mins[[#This Row],[ThClosePm]]),tbl_Case_mins[[#This Row],[Anaesth End]]-tbl_Case_mins[[#This Row],[ThClosePm]],0)</f>
        <v>#REF!</v>
      </c>
      <c r="BQ326" s="9" t="e" cm="1">
        <f t="array" ref="BQ32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6" s="9" t="e" cm="1">
        <f t="array" ref="BR326">IF(tbl_Case_mins[[#This Row],[Rank_Adjust]]=SUMPRODUCT(-(tbl_Case_mins[Surgery Start Date]=tbl_Case_mins[[#This Row],[Surgery Start Date]]),-(tbl_Case_mins[Theatre]=tbl_Case_mins[[#This Row],[Theatre]])),INDEX(Poss_Time,MATCH(TEXT(tbl_Case_mins[[#This Row],[Surgery Start Date]],"ddd"),Day,0)),0)</f>
        <v>#REF!</v>
      </c>
      <c r="BS326" s="9" t="e">
        <f>tbl_Case_mins[[#This Row],[Core_Time]]*Util_Goal</f>
        <v>#REF!</v>
      </c>
      <c r="BT326" s="9" t="e" cm="1">
        <f t="array" ref="BT3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6" s="9" t="e" cm="1">
        <f t="array" ref="BU3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6" s="9" t="e">
        <f>IF(tbl_Case_mins[[#This Row],[Surgery End Date]]&gt;tbl_Case_mins[[#This Row],[Surgery Start Date]],tbl_Case_mins[[#This Row],[Anaesth End]]-1440,0)</f>
        <v>#REF!</v>
      </c>
      <c r="BY326" s="9" t="e">
        <f>tbl_Case_mins[[#This Row],[Total_NonCore]]-tbl_Case_mins[[#This Row],[NextDay_NonCore]]</f>
        <v>#REF!</v>
      </c>
      <c r="BZ326" s="10" t="e">
        <f>tbl_Case_mins[[#This Row],[InCoreUse]]/60</f>
        <v>#REF!</v>
      </c>
      <c r="CA326" s="10" t="e">
        <f>tbl_Case_mins[[#This Row],[Total_NonCore]]/60</f>
        <v>#REF!</v>
      </c>
      <c r="CB326" t="e" cm="1">
        <f t="array" ref="CB3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6" s="9" t="e" cm="1">
        <f t="array" ref="CC32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6" s="9" t="e" cm="1">
        <f t="array" ref="CD3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6" s="9" t="e" cm="1">
        <f t="array" ref="CE32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6" s="9" cm="1">
        <f t="array" ref="CF326">IFERROR(_xlfn.AGGREGATE(14,6,(tbl_Case_mins[Rank_AnaEnd])/((tbl_Case_mins[Surgery Start Date]=tbl_Case_mins[[#This Row],[Surgery Start Date]])*(tbl_Case_mins[Theatre]=tbl_Case_mins[[#This Row],[Theatre]])*(tbl_Case_mins[NoInCoreTime]=0)),1),-1)</f>
        <v>-1</v>
      </c>
      <c r="CG326" s="9" cm="1">
        <f t="array" ref="CG326">IFERROR(_xlfn.AGGREGATE(15,6,(tbl_Case_mins[Rank_AnaSt])/((tbl_Case_mins[Surgery Start Date]=tbl_Case_mins[[#This Row],[Surgery Start Date]])*(tbl_Case_mins[Theatre]=tbl_Case_mins[[#This Row],[Theatre]])*(tbl_Case_mins[NoInCoreTime]=0)),1),-1)</f>
        <v>-1</v>
      </c>
      <c r="CH32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6" t="e" cm="1">
        <f t="array" ref="CJ32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6" s="9" cm="1">
        <f t="array" ref="CO3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6" s="9" cm="1">
        <f t="array" ref="CP3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6" s="9" cm="1">
        <f t="array" ref="CQ326">IFERROR(IF(AND(tbl_Case_mins[[#This Row],[FirstAMCase]]=0,tbl_Case_mins[[#This Row],[Rank]]=_xlfn.AGGREGATE(14,6,(tbl_Case_mins[Rank])/((tbl_Case_mins[Surgery Start Date]=tbl_Case_mins[[#This Row],[Surgery Start Date]])*(tbl_Case_mins[Theatre]=tbl_Case_mins[[#This Row],[Theatre]])*(tbl_Case_mins[AmCase]=1)),1)),1,0),0)</f>
        <v>0</v>
      </c>
      <c r="CR326" s="9" cm="1">
        <f t="array" ref="CR32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6" s="9" t="e" cm="1">
        <f t="array" ref="CS32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6" s="9" cm="1">
        <f t="array" ref="CT326">IFERROR(IF(tbl_Case_mins[[#This Row],[Rank]]=_xlfn.AGGREGATE(15,6,(tbl_Case_mins[Rank])/((tbl_Case_mins[Surgery Start Date]=tbl_Case_mins[[#This Row],[Surgery Start Date]])*(tbl_Case_mins[Theatre]=tbl_Case_mins[[#This Row],[Theatre]])*(tbl_Case_mins[PmCase]=1)),1),1,0),0)</f>
        <v>0</v>
      </c>
      <c r="CU326">
        <f>IFERROR(#REF!,0)</f>
        <v>0</v>
      </c>
      <c r="CV326" s="9" t="e" cm="1">
        <f t="array" ref="CV32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6" s="9">
        <f>IFERROR(IF(ISBLANK(INDEX(Bay_AmClose,MATCH(1,INDEX((tbl_Case_mins[[#This Row],[Bay]]=BayNo)*(tbl_Case_mins[[#This Row],[Surgery Start Date]]=BDate),0,1),0))*1440),0,INDEX(Bay_AmClose,MATCH(1,INDEX((tbl_Case_mins[[#This Row],[Bay]]=BayNo)*(tbl_Case_mins[[#This Row],[Surgery Start Date]]=BDate),0,1),0))*1440),0)</f>
        <v>0</v>
      </c>
      <c r="CX326" s="9" cm="1">
        <f t="array" ref="CX326">IFERROR(IF(ISBLANK(INDEX(Bay_PmOpen,MATCH(1,INDEX((tbl_Case_mins[[#This Row],[Bay]]=BayNo)*(tbl_Case_mins[[#This Row],[Surgery Start Date]]=BDate),0,1),0))*1440),0,INDEX(Bay_PmOpen,MATCH(1,INDEX((tbl_Case_mins[[#This Row],[Bay]]=BayNo)*(tbl_Case_mins[[#This Row],[Surgery Start Date]]=BDate),0,1),0))*1440),0)</f>
        <v>0</v>
      </c>
      <c r="CY32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6" s="9"/>
    </row>
    <row r="327" spans="1:104" x14ac:dyDescent="0.2">
      <c r="A327">
        <v>326</v>
      </c>
      <c r="B327" t="e">
        <f>#REF!</f>
        <v>#REF!</v>
      </c>
      <c r="C327" t="e">
        <f>#REF!</f>
        <v>#REF!</v>
      </c>
      <c r="D327" t="e">
        <f>#REF!</f>
        <v>#REF!</v>
      </c>
      <c r="E327" t="e">
        <f>#REF!</f>
        <v>#REF!</v>
      </c>
      <c r="F327" t="e">
        <f>#REF!</f>
        <v>#REF!</v>
      </c>
      <c r="G327" t="e">
        <f>#REF!</f>
        <v>#REF!</v>
      </c>
      <c r="H327" t="e">
        <f>#REF!</f>
        <v>#REF!</v>
      </c>
      <c r="I327" t="e">
        <f>IF(#REF!="Case Cancelled",1,IF(#REF!="No Cases",2,0))</f>
        <v>#REF!</v>
      </c>
      <c r="J327" t="e">
        <f>#REF!</f>
        <v>#REF!</v>
      </c>
      <c r="K327" s="4" t="e">
        <f>#REF!</f>
        <v>#REF!</v>
      </c>
      <c r="L327" t="e">
        <f>"Wk "&amp;WEEKNUM(tbl_Case_mins[[#This Row],[Surgery Start Date]],21)</f>
        <v>#REF!</v>
      </c>
      <c r="M327" t="e">
        <f>TEXT(tbl_Case_mins[[#This Row],[Surgery Start Date]],"ddd")</f>
        <v>#REF!</v>
      </c>
      <c r="N327" s="9" t="e">
        <f>(#REF!-TIME(0,0,0))*1440</f>
        <v>#REF!</v>
      </c>
      <c r="O327" t="e">
        <f>IF(AND(ROUND((#REF!-TIME(0,0,0))*1440,0)&gt;0,ROUND((#REF!-TIME(0,0,0))*1440,0)&lt;tbl_Case_mins[[#This Row],[Patient Called]],tbl_Case_mins[[#This Row],[Surgery End Date]]&gt;tbl_Case_mins[[#This Row],[Surgery Start Date]]),ROUND((#REF!-TIME(0,0,0))*1440,0)+1440,ROUND((#REF!-TIME(0,0,0))*1440,0))</f>
        <v>#REF!</v>
      </c>
      <c r="P327" s="9" t="e">
        <f>IF(AND(ROUND((#REF!-TIME(0,0,0))*1440,0)&gt;0,ROUND((#REF!-TIME(0,0,0))*1440,0)&lt;tbl_Case_mins[[#This Row],[Arrival]],tbl_Case_mins[[#This Row],[Surgery End Date]]&gt;tbl_Case_mins[[#This Row],[Surgery Start Date]]),ROUND((#REF!-TIME(0,0,0))*1440,0)+1440,ROUND((#REF!-TIME(0,0,0))*1440,0))</f>
        <v>#REF!</v>
      </c>
      <c r="Q327" s="9" t="e">
        <f>IF(AND(ROUND((#REF!-TIME(0,0,0))*1440,0)&gt;0,ROUND((#REF!-TIME(0,0,0))*1440,0)&lt;tbl_Case_mins[[#This Row],[Into Th or AR]],tbl_Case_mins[[#This Row],[Surgery End Date]]&gt;tbl_Case_mins[[#This Row],[Surgery Start Date]]),ROUND((#REF!-TIME(0,0,0))*1440,0)+1440,ROUND((#REF!-TIME(0,0,0))*1440,0))</f>
        <v>#REF!</v>
      </c>
      <c r="R327" s="9" t="e">
        <f>IF(AND(ROUND((#REF!-TIME(0,0,0))*1440,0)&gt;0,ROUND((#REF!-TIME(0,0,0))*1440,0)&lt;tbl_Case_mins[[#This Row],[AnaesthStart]],tbl_Case_mins[[#This Row],[Surgery End Date]]&gt;tbl_Case_mins[[#This Row],[Surgery Start Date]]),ROUND((#REF!-TIME(0,0,0))*1440,0)+1440,ROUND((#REF!-TIME(0,0,0))*1440,0))</f>
        <v>#REF!</v>
      </c>
      <c r="S327" s="9" t="e">
        <f>IF(AND(ROUND((#REF!-TIME(0,0,0))*1440,0),ROUND((#REF!-TIME(0,0,0))*1440,0)&lt;tbl_Case_mins[[#This Row],[Surgery Start]],tbl_Case_mins[[#This Row],[Surgery End Date]]&gt;tbl_Case_mins[[#This Row],[Surgery Start Date]]),ROUND((#REF!-TIME(0,0,0))*1440,0)+1440,ROUND((#REF!-TIME(0,0,0))*1440,0))</f>
        <v>#REF!</v>
      </c>
      <c r="T327" s="9" t="e">
        <f>IF(AND(ROUND((#REF!-TIME(0,0,0))*1440,0)&gt;0,ROUND((#REF!-TIME(0,0,0))*1440,0)&lt;tbl_Case_mins[[#This Row],[Surgery Finish]],tbl_Case_mins[[#This Row],[Surgery End Date]]&gt;tbl_Case_mins[[#This Row],[Surgery Start Date]]),ROUND((#REF!-TIME(0,0,0))*1440,0)+1440,ROUND((#REF!-TIME(0,0,0))*1440,0))</f>
        <v>#REF!</v>
      </c>
      <c r="U327" s="9" t="e">
        <f>IF(AND(ROUND((#REF!-TIME(0,0,0))*1440,0)&gt;0,ROUND((#REF!-TIME(0,0,0))*1440,0)&lt;tbl_Case_mins[[#This Row],[Anaesth End]],tbl_Case_mins[[#This Row],[Surgery End Date]]&gt;tbl_Case_mins[[#This Row],[Surgery Start Date]]),ROUND((#REF!-TIME(0,0,0))*1440,0)+1440,ROUND((#REF!-TIME(0,0,0))*1440,0))</f>
        <v>#REF!</v>
      </c>
      <c r="V327" s="9" t="e">
        <f>IF(AND(ROUND((#REF!-TIME(0,0,0))*1440,0)&gt;0,ROUND((#REF!-TIME(0,0,0))*1440,0)&lt;tbl_Case_mins[[#This Row],[Into Recov]],tbl_Case_mins[[#This Row],[Surgery End Date]]&gt;tbl_Case_mins[[#This Row],[Surgery Start Date]]),ROUND((#REF!-TIME(0,0,0))*1440,0)+1440,ROUND((#REF!-TIME(0,0,0))*1440,0))</f>
        <v>#REF!</v>
      </c>
      <c r="W327" s="9" t="e">
        <f>IF(AND(ROUND((#REF!-TIME(0,0,0))*1440,0)&gt;0,ROUND((#REF!-TIME(0,0,0))*1440,0)&lt;tbl_Case_mins[[#This Row],[Ward Called]],tbl_Case_mins[[#This Row],[Surgery End Date]]&gt;tbl_Case_mins[[#This Row],[Surgery Start Date]]),ROUND((#REF!-TIME(0,0,0))*1440,0)+1440,ROUND((#REF!-TIME(0,0,0))*1440,0))</f>
        <v>#REF!</v>
      </c>
      <c r="X327" s="4" t="e">
        <f>IF(ISBLANK(#REF!),tbl_Case_mins[[#This Row],[Surgery Start Date]],#REF!)</f>
        <v>#REF!</v>
      </c>
      <c r="Y327">
        <f>IFERROR(IF(VLOOKUP(tbl_Case_mins[[#This Row],[Theatre]],'Mng Theatres'!$C$7:$G$12,3,FALSE)="Yes","Yes","No"),0)</f>
        <v>0</v>
      </c>
      <c r="Z327" s="9" t="e" cm="1">
        <f t="array" ref="Z32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7" s="9" t="e" cm="1">
        <f t="array" ref="AA32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7" s="9" t="e">
        <f>IF(tbl_Case_mins[[#This Row],[Case Type]]="Unsch",1,0)</f>
        <v>#REF!</v>
      </c>
      <c r="AD327" s="9" t="e">
        <f>IF(tbl_Case_mins[[#This Row],[Case Type]]="Sch",1,0)</f>
        <v>#REF!</v>
      </c>
      <c r="AE32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7" s="9">
        <f>IFERROR(IF(ISBLANK(INDEX(Am_Close,MATCH(1,INDEX((tbl_Case_mins[[#This Row],[Theatre]]=Theatre_No)*(tbl_Case_mins[[#This Row],[Surgery Start Date]]=Date),0,1),0))*1440),0,INDEX(Am_Close,MATCH(1,INDEX((tbl_Case_mins[[#This Row],[Theatre]]=Theatre_No)*(tbl_Case_mins[[#This Row],[Surgery Start Date]]=Date),0,1),0))*1440),0)</f>
        <v>0</v>
      </c>
      <c r="AG327" s="9">
        <f>IFERROR(IF(ISBLANK(INDEX(PM_Open,MATCH(1,INDEX((tbl_Case_mins[[#This Row],[Theatre]]=Theatre_No)*(tbl_Case_mins[[#This Row],[Surgery Start Date]]=Date),0,1),0))*1440),0,INDEX(PM_Open,MATCH(1,INDEX((tbl_Case_mins[[#This Row],[Theatre]]=Theatre_No)*(tbl_Case_mins[[#This Row],[Surgery Start Date]]=Date),0,1),0))*1440),0)</f>
        <v>0</v>
      </c>
      <c r="AH32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7" s="9" t="e">
        <f>IF(tbl_Case_mins[[#This Row],[ThOpenAm]]=0,tbl_Case_mins[[#This Row],[ThOpenPM]],tbl_Case_mins[[#This Row],[ThOpenAm]])</f>
        <v>#REF!</v>
      </c>
      <c r="AJ327" s="9" t="e">
        <f>IF(tbl_Case_mins[[#This Row],[ThCloseAm]]&gt;0,IF(tbl_Case_mins[[#This Row],[ThOpenPM]]&gt;0,tbl_Case_mins[[#This Row],[ThClosePm]],tbl_Case_mins[[#This Row],[ThCloseAm]]),tbl_Case_mins[[#This Row],[ThClosePm]])</f>
        <v>#REF!</v>
      </c>
      <c r="AK327" s="9" t="e">
        <f>IF(tbl_Case_mins[[#This Row],[TOT]]&gt;0,1,0)</f>
        <v>#REF!</v>
      </c>
      <c r="AL32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7" s="9" t="e">
        <f>IF(AND(tbl_Case_mins[[#This Row],[Surgery Status]]&lt;&gt;2,tbl_Case_mins[[#This Row],[InCoreCase]]=0,tbl_Case_mins[[#This Row],[CancelledCase]]=0),1,0)</f>
        <v>#REF!</v>
      </c>
      <c r="AN327" s="9" t="e">
        <f>IF(tbl_Case_mins[[#This Row],[Surgery Status]]=1,1,0)</f>
        <v>#REF!</v>
      </c>
      <c r="AO32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7" s="9" t="e">
        <f>IF(AND(tbl_Case_mins[[#This Row],[NonCoreCase]]=1,tbl_Case_mins[[#This Row],[NoInCoreTime]]=0),1,0)</f>
        <v>#REF!</v>
      </c>
      <c r="AQ327" s="9" t="e">
        <f>IF(tbl_Case_mins[[#This Row],[Rank_AnaEnd]]&lt;tbl_Case_mins[[#This Row],[Rank_AnaSt]],1,0)</f>
        <v>#REF!</v>
      </c>
      <c r="AR327" s="9" t="e">
        <f>IF(AND(tbl_Case_mins[[#This Row],[InCoreCase]]=1,tbl_Case_mins[[#This Row],[Sch]]=1),1,0)</f>
        <v>#REF!</v>
      </c>
      <c r="AS327" s="9" t="e">
        <f>IF(AND(tbl_Case_mins[[#This Row],[InCoreCase]]=1,tbl_Case_mins[[#This Row],[Unsch]]=1),1,0)</f>
        <v>#REF!</v>
      </c>
      <c r="AT32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7" s="9" t="e">
        <f>IF(tbl_Case_mins[[#This Row],[Surgery Status]]=0,(tbl_Case_mins[[#This Row],[Anaesth End]]-tbl_Case_mins[[#This Row],[AnaesthStart]]),0)</f>
        <v>#REF!</v>
      </c>
      <c r="AX327" s="9" t="e">
        <f>IF(tbl_Case_mins[[#This Row],[Surgery Status]]=0,(tbl_Case_mins[[#This Row],[Surgery Finish]]-tbl_Case_mins[[#This Row],[Surgery Start]]),0)</f>
        <v>#REF!</v>
      </c>
      <c r="AY327" s="9" t="e">
        <f>tbl_Case_mins[[#This Row],[Surgery Start]]-tbl_Case_mins[[#This Row],[AnaesthStart]]</f>
        <v>#REF!</v>
      </c>
      <c r="AZ327" s="9" t="e">
        <f>tbl_Case_mins[[#This Row],[Anaesth End]]-tbl_Case_mins[[#This Row],[Surgery Finish]]</f>
        <v>#REF!</v>
      </c>
      <c r="BA32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7" s="16" cm="1">
        <f t="array" ref="BC32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7" s="16" t="e">
        <f>IF(AND(tbl_Case_mins[[#This Row],[FirstAMCase]]=1,tbl_Case_mins[[#This Row],[CancelledCase]]=0,OR(tbl_Case_mins[[#This Row],[EarlyStartAM]]&gt;0,tbl_Case_mins[[#This Row],[AnaesthStart]]=tbl_Case_mins[[#This Row],[ThOpenAm]])),1,0)</f>
        <v>#REF!</v>
      </c>
      <c r="BE327" s="16" t="e">
        <f>IF(AND(tbl_Case_mins[[#This Row],[Rank_AnaSt]]=tbl_Case_mins[[#This Row],[Min_RankAnaSt]],tbl_Case_mins[[#This Row],[Anaesth End]]&gt;=tbl_Case_mins[[#This Row],[ThOpenAm]],tbl_Case_mins[[#This Row],[PmCase]]=0),1,0)</f>
        <v>#REF!</v>
      </c>
      <c r="BF32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7" s="9" t="e" cm="1">
        <f t="array" ref="BH32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7" s="9" t="e">
        <f>IF(AND(tbl_Case_mins[[#This Row],[ThOpenPM]]&gt;0,tbl_Case_mins[[#This Row],[AnaesthStart]]&gt;tbl_Case_mins[[#This Row],[ThOpenPM]],tbl_Case_mins[[#This Row],[First PM Case]]=1),tbl_Case_mins[[#This Row],[AnaesthStart]]-tbl_Case_mins[[#This Row],[ThOpenPM]],0)</f>
        <v>#REF!</v>
      </c>
      <c r="BL32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7" s="9" t="e" cm="1">
        <f t="array" ref="BN32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7" s="9" t="e">
        <f>IF(AND(tbl_Case_mins[[#This Row],[ThClosePm]]&gt;0,tbl_Case_mins[[#This Row],[Anaesth End]]&gt;tbl_Case_mins[[#This Row],[ThClosePm]],tbl_Case_mins[[#This Row],[AnaesthStart]]&gt;tbl_Case_mins[[#This Row],[ThClosePm]]),tbl_Case_mins[[#This Row],[Into Recov]]-tbl_Case_mins[[#This Row],[AnaesthStart]],0)</f>
        <v>#REF!</v>
      </c>
      <c r="BP327" s="9" t="e">
        <f>IF(AND(tbl_Case_mins[[#This Row],[AnaesthStart]]&lt;tbl_Case_mins[[#This Row],[ThClosePm]],tbl_Case_mins[[#This Row],[Anaesth End]]&gt;tbl_Case_mins[[#This Row],[ThClosePm]]),tbl_Case_mins[[#This Row],[Anaesth End]]-tbl_Case_mins[[#This Row],[ThClosePm]],0)</f>
        <v>#REF!</v>
      </c>
      <c r="BQ327" s="9" t="e" cm="1">
        <f t="array" ref="BQ32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7" s="9" t="e" cm="1">
        <f t="array" ref="BR327">IF(tbl_Case_mins[[#This Row],[Rank_Adjust]]=SUMPRODUCT(-(tbl_Case_mins[Surgery Start Date]=tbl_Case_mins[[#This Row],[Surgery Start Date]]),-(tbl_Case_mins[Theatre]=tbl_Case_mins[[#This Row],[Theatre]])),INDEX(Poss_Time,MATCH(TEXT(tbl_Case_mins[[#This Row],[Surgery Start Date]],"ddd"),Day,0)),0)</f>
        <v>#REF!</v>
      </c>
      <c r="BS327" s="9" t="e">
        <f>tbl_Case_mins[[#This Row],[Core_Time]]*Util_Goal</f>
        <v>#REF!</v>
      </c>
      <c r="BT327" s="9" t="e" cm="1">
        <f t="array" ref="BT3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7" s="9" t="e" cm="1">
        <f t="array" ref="BU3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7" s="9" t="e">
        <f>IF(tbl_Case_mins[[#This Row],[Surgery End Date]]&gt;tbl_Case_mins[[#This Row],[Surgery Start Date]],tbl_Case_mins[[#This Row],[Anaesth End]]-1440,0)</f>
        <v>#REF!</v>
      </c>
      <c r="BY327" s="9" t="e">
        <f>tbl_Case_mins[[#This Row],[Total_NonCore]]-tbl_Case_mins[[#This Row],[NextDay_NonCore]]</f>
        <v>#REF!</v>
      </c>
      <c r="BZ327" s="10" t="e">
        <f>tbl_Case_mins[[#This Row],[InCoreUse]]/60</f>
        <v>#REF!</v>
      </c>
      <c r="CA327" s="10" t="e">
        <f>tbl_Case_mins[[#This Row],[Total_NonCore]]/60</f>
        <v>#REF!</v>
      </c>
      <c r="CB327" t="e" cm="1">
        <f t="array" ref="CB3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7" s="9" t="e" cm="1">
        <f t="array" ref="CC32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7" s="9" t="e" cm="1">
        <f t="array" ref="CD3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7" s="9" t="e" cm="1">
        <f t="array" ref="CE32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7" s="9" cm="1">
        <f t="array" ref="CF327">IFERROR(_xlfn.AGGREGATE(14,6,(tbl_Case_mins[Rank_AnaEnd])/((tbl_Case_mins[Surgery Start Date]=tbl_Case_mins[[#This Row],[Surgery Start Date]])*(tbl_Case_mins[Theatre]=tbl_Case_mins[[#This Row],[Theatre]])*(tbl_Case_mins[NoInCoreTime]=0)),1),-1)</f>
        <v>-1</v>
      </c>
      <c r="CG327" s="9" cm="1">
        <f t="array" ref="CG327">IFERROR(_xlfn.AGGREGATE(15,6,(tbl_Case_mins[Rank_AnaSt])/((tbl_Case_mins[Surgery Start Date]=tbl_Case_mins[[#This Row],[Surgery Start Date]])*(tbl_Case_mins[Theatre]=tbl_Case_mins[[#This Row],[Theatre]])*(tbl_Case_mins[NoInCoreTime]=0)),1),-1)</f>
        <v>-1</v>
      </c>
      <c r="CH32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7" t="e" cm="1">
        <f t="array" ref="CJ32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7" s="9" cm="1">
        <f t="array" ref="CO3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7" s="9" cm="1">
        <f t="array" ref="CP3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7" s="9" cm="1">
        <f t="array" ref="CQ327">IFERROR(IF(AND(tbl_Case_mins[[#This Row],[FirstAMCase]]=0,tbl_Case_mins[[#This Row],[Rank]]=_xlfn.AGGREGATE(14,6,(tbl_Case_mins[Rank])/((tbl_Case_mins[Surgery Start Date]=tbl_Case_mins[[#This Row],[Surgery Start Date]])*(tbl_Case_mins[Theatre]=tbl_Case_mins[[#This Row],[Theatre]])*(tbl_Case_mins[AmCase]=1)),1)),1,0),0)</f>
        <v>0</v>
      </c>
      <c r="CR327" s="9" cm="1">
        <f t="array" ref="CR32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7" s="9" t="e" cm="1">
        <f t="array" ref="CS32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7" s="9" cm="1">
        <f t="array" ref="CT327">IFERROR(IF(tbl_Case_mins[[#This Row],[Rank]]=_xlfn.AGGREGATE(15,6,(tbl_Case_mins[Rank])/((tbl_Case_mins[Surgery Start Date]=tbl_Case_mins[[#This Row],[Surgery Start Date]])*(tbl_Case_mins[Theatre]=tbl_Case_mins[[#This Row],[Theatre]])*(tbl_Case_mins[PmCase]=1)),1),1,0),0)</f>
        <v>0</v>
      </c>
      <c r="CU327">
        <f>IFERROR(#REF!,0)</f>
        <v>0</v>
      </c>
      <c r="CV327" s="9" t="e" cm="1">
        <f t="array" ref="CV32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7" s="9">
        <f>IFERROR(IF(ISBLANK(INDEX(Bay_AmClose,MATCH(1,INDEX((tbl_Case_mins[[#This Row],[Bay]]=BayNo)*(tbl_Case_mins[[#This Row],[Surgery Start Date]]=BDate),0,1),0))*1440),0,INDEX(Bay_AmClose,MATCH(1,INDEX((tbl_Case_mins[[#This Row],[Bay]]=BayNo)*(tbl_Case_mins[[#This Row],[Surgery Start Date]]=BDate),0,1),0))*1440),0)</f>
        <v>0</v>
      </c>
      <c r="CX327" s="9" cm="1">
        <f t="array" ref="CX327">IFERROR(IF(ISBLANK(INDEX(Bay_PmOpen,MATCH(1,INDEX((tbl_Case_mins[[#This Row],[Bay]]=BayNo)*(tbl_Case_mins[[#This Row],[Surgery Start Date]]=BDate),0,1),0))*1440),0,INDEX(Bay_PmOpen,MATCH(1,INDEX((tbl_Case_mins[[#This Row],[Bay]]=BayNo)*(tbl_Case_mins[[#This Row],[Surgery Start Date]]=BDate),0,1),0))*1440),0)</f>
        <v>0</v>
      </c>
      <c r="CY32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7" s="9"/>
    </row>
    <row r="328" spans="1:104" x14ac:dyDescent="0.2">
      <c r="A328">
        <v>327</v>
      </c>
      <c r="B328" t="e">
        <f>#REF!</f>
        <v>#REF!</v>
      </c>
      <c r="C328" t="e">
        <f>#REF!</f>
        <v>#REF!</v>
      </c>
      <c r="D328" t="e">
        <f>#REF!</f>
        <v>#REF!</v>
      </c>
      <c r="E328" t="e">
        <f>#REF!</f>
        <v>#REF!</v>
      </c>
      <c r="F328" t="e">
        <f>#REF!</f>
        <v>#REF!</v>
      </c>
      <c r="G328" t="e">
        <f>#REF!</f>
        <v>#REF!</v>
      </c>
      <c r="H328" t="e">
        <f>#REF!</f>
        <v>#REF!</v>
      </c>
      <c r="I328" t="e">
        <f>IF(#REF!="Case Cancelled",1,IF(#REF!="No Cases",2,0))</f>
        <v>#REF!</v>
      </c>
      <c r="J328" t="e">
        <f>#REF!</f>
        <v>#REF!</v>
      </c>
      <c r="K328" s="4" t="e">
        <f>#REF!</f>
        <v>#REF!</v>
      </c>
      <c r="L328" t="e">
        <f>"Wk "&amp;WEEKNUM(tbl_Case_mins[[#This Row],[Surgery Start Date]],21)</f>
        <v>#REF!</v>
      </c>
      <c r="M328" t="e">
        <f>TEXT(tbl_Case_mins[[#This Row],[Surgery Start Date]],"ddd")</f>
        <v>#REF!</v>
      </c>
      <c r="N328" s="9" t="e">
        <f>(#REF!-TIME(0,0,0))*1440</f>
        <v>#REF!</v>
      </c>
      <c r="O328" t="e">
        <f>IF(AND(ROUND((#REF!-TIME(0,0,0))*1440,0)&gt;0,ROUND((#REF!-TIME(0,0,0))*1440,0)&lt;tbl_Case_mins[[#This Row],[Patient Called]],tbl_Case_mins[[#This Row],[Surgery End Date]]&gt;tbl_Case_mins[[#This Row],[Surgery Start Date]]),ROUND((#REF!-TIME(0,0,0))*1440,0)+1440,ROUND((#REF!-TIME(0,0,0))*1440,0))</f>
        <v>#REF!</v>
      </c>
      <c r="P328" s="9" t="e">
        <f>IF(AND(ROUND((#REF!-TIME(0,0,0))*1440,0)&gt;0,ROUND((#REF!-TIME(0,0,0))*1440,0)&lt;tbl_Case_mins[[#This Row],[Arrival]],tbl_Case_mins[[#This Row],[Surgery End Date]]&gt;tbl_Case_mins[[#This Row],[Surgery Start Date]]),ROUND((#REF!-TIME(0,0,0))*1440,0)+1440,ROUND((#REF!-TIME(0,0,0))*1440,0))</f>
        <v>#REF!</v>
      </c>
      <c r="Q328" s="9" t="e">
        <f>IF(AND(ROUND((#REF!-TIME(0,0,0))*1440,0)&gt;0,ROUND((#REF!-TIME(0,0,0))*1440,0)&lt;tbl_Case_mins[[#This Row],[Into Th or AR]],tbl_Case_mins[[#This Row],[Surgery End Date]]&gt;tbl_Case_mins[[#This Row],[Surgery Start Date]]),ROUND((#REF!-TIME(0,0,0))*1440,0)+1440,ROUND((#REF!-TIME(0,0,0))*1440,0))</f>
        <v>#REF!</v>
      </c>
      <c r="R328" s="9" t="e">
        <f>IF(AND(ROUND((#REF!-TIME(0,0,0))*1440,0)&gt;0,ROUND((#REF!-TIME(0,0,0))*1440,0)&lt;tbl_Case_mins[[#This Row],[AnaesthStart]],tbl_Case_mins[[#This Row],[Surgery End Date]]&gt;tbl_Case_mins[[#This Row],[Surgery Start Date]]),ROUND((#REF!-TIME(0,0,0))*1440,0)+1440,ROUND((#REF!-TIME(0,0,0))*1440,0))</f>
        <v>#REF!</v>
      </c>
      <c r="S328" s="9" t="e">
        <f>IF(AND(ROUND((#REF!-TIME(0,0,0))*1440,0),ROUND((#REF!-TIME(0,0,0))*1440,0)&lt;tbl_Case_mins[[#This Row],[Surgery Start]],tbl_Case_mins[[#This Row],[Surgery End Date]]&gt;tbl_Case_mins[[#This Row],[Surgery Start Date]]),ROUND((#REF!-TIME(0,0,0))*1440,0)+1440,ROUND((#REF!-TIME(0,0,0))*1440,0))</f>
        <v>#REF!</v>
      </c>
      <c r="T328" s="9" t="e">
        <f>IF(AND(ROUND((#REF!-TIME(0,0,0))*1440,0)&gt;0,ROUND((#REF!-TIME(0,0,0))*1440,0)&lt;tbl_Case_mins[[#This Row],[Surgery Finish]],tbl_Case_mins[[#This Row],[Surgery End Date]]&gt;tbl_Case_mins[[#This Row],[Surgery Start Date]]),ROUND((#REF!-TIME(0,0,0))*1440,0)+1440,ROUND((#REF!-TIME(0,0,0))*1440,0))</f>
        <v>#REF!</v>
      </c>
      <c r="U328" s="9" t="e">
        <f>IF(AND(ROUND((#REF!-TIME(0,0,0))*1440,0)&gt;0,ROUND((#REF!-TIME(0,0,0))*1440,0)&lt;tbl_Case_mins[[#This Row],[Anaesth End]],tbl_Case_mins[[#This Row],[Surgery End Date]]&gt;tbl_Case_mins[[#This Row],[Surgery Start Date]]),ROUND((#REF!-TIME(0,0,0))*1440,0)+1440,ROUND((#REF!-TIME(0,0,0))*1440,0))</f>
        <v>#REF!</v>
      </c>
      <c r="V328" s="9" t="e">
        <f>IF(AND(ROUND((#REF!-TIME(0,0,0))*1440,0)&gt;0,ROUND((#REF!-TIME(0,0,0))*1440,0)&lt;tbl_Case_mins[[#This Row],[Into Recov]],tbl_Case_mins[[#This Row],[Surgery End Date]]&gt;tbl_Case_mins[[#This Row],[Surgery Start Date]]),ROUND((#REF!-TIME(0,0,0))*1440,0)+1440,ROUND((#REF!-TIME(0,0,0))*1440,0))</f>
        <v>#REF!</v>
      </c>
      <c r="W328" s="9" t="e">
        <f>IF(AND(ROUND((#REF!-TIME(0,0,0))*1440,0)&gt;0,ROUND((#REF!-TIME(0,0,0))*1440,0)&lt;tbl_Case_mins[[#This Row],[Ward Called]],tbl_Case_mins[[#This Row],[Surgery End Date]]&gt;tbl_Case_mins[[#This Row],[Surgery Start Date]]),ROUND((#REF!-TIME(0,0,0))*1440,0)+1440,ROUND((#REF!-TIME(0,0,0))*1440,0))</f>
        <v>#REF!</v>
      </c>
      <c r="X328" s="4" t="e">
        <f>IF(ISBLANK(#REF!),tbl_Case_mins[[#This Row],[Surgery Start Date]],#REF!)</f>
        <v>#REF!</v>
      </c>
      <c r="Y328">
        <f>IFERROR(IF(VLOOKUP(tbl_Case_mins[[#This Row],[Theatre]],'Mng Theatres'!$C$7:$G$12,3,FALSE)="Yes","Yes","No"),0)</f>
        <v>0</v>
      </c>
      <c r="Z328" s="9" t="e" cm="1">
        <f t="array" ref="Z32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8" s="9" t="e" cm="1">
        <f t="array" ref="AA32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8" s="9" t="e">
        <f>IF(tbl_Case_mins[[#This Row],[Case Type]]="Unsch",1,0)</f>
        <v>#REF!</v>
      </c>
      <c r="AD328" s="9" t="e">
        <f>IF(tbl_Case_mins[[#This Row],[Case Type]]="Sch",1,0)</f>
        <v>#REF!</v>
      </c>
      <c r="AE32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8" s="9">
        <f>IFERROR(IF(ISBLANK(INDEX(Am_Close,MATCH(1,INDEX((tbl_Case_mins[[#This Row],[Theatre]]=Theatre_No)*(tbl_Case_mins[[#This Row],[Surgery Start Date]]=Date),0,1),0))*1440),0,INDEX(Am_Close,MATCH(1,INDEX((tbl_Case_mins[[#This Row],[Theatre]]=Theatre_No)*(tbl_Case_mins[[#This Row],[Surgery Start Date]]=Date),0,1),0))*1440),0)</f>
        <v>0</v>
      </c>
      <c r="AG328" s="9">
        <f>IFERROR(IF(ISBLANK(INDEX(PM_Open,MATCH(1,INDEX((tbl_Case_mins[[#This Row],[Theatre]]=Theatre_No)*(tbl_Case_mins[[#This Row],[Surgery Start Date]]=Date),0,1),0))*1440),0,INDEX(PM_Open,MATCH(1,INDEX((tbl_Case_mins[[#This Row],[Theatre]]=Theatre_No)*(tbl_Case_mins[[#This Row],[Surgery Start Date]]=Date),0,1),0))*1440),0)</f>
        <v>0</v>
      </c>
      <c r="AH32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8" s="9" t="e">
        <f>IF(tbl_Case_mins[[#This Row],[ThOpenAm]]=0,tbl_Case_mins[[#This Row],[ThOpenPM]],tbl_Case_mins[[#This Row],[ThOpenAm]])</f>
        <v>#REF!</v>
      </c>
      <c r="AJ328" s="9" t="e">
        <f>IF(tbl_Case_mins[[#This Row],[ThCloseAm]]&gt;0,IF(tbl_Case_mins[[#This Row],[ThOpenPM]]&gt;0,tbl_Case_mins[[#This Row],[ThClosePm]],tbl_Case_mins[[#This Row],[ThCloseAm]]),tbl_Case_mins[[#This Row],[ThClosePm]])</f>
        <v>#REF!</v>
      </c>
      <c r="AK328" s="9" t="e">
        <f>IF(tbl_Case_mins[[#This Row],[TOT]]&gt;0,1,0)</f>
        <v>#REF!</v>
      </c>
      <c r="AL32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8" s="9" t="e">
        <f>IF(AND(tbl_Case_mins[[#This Row],[Surgery Status]]&lt;&gt;2,tbl_Case_mins[[#This Row],[InCoreCase]]=0,tbl_Case_mins[[#This Row],[CancelledCase]]=0),1,0)</f>
        <v>#REF!</v>
      </c>
      <c r="AN328" s="9" t="e">
        <f>IF(tbl_Case_mins[[#This Row],[Surgery Status]]=1,1,0)</f>
        <v>#REF!</v>
      </c>
      <c r="AO32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8" s="9" t="e">
        <f>IF(AND(tbl_Case_mins[[#This Row],[NonCoreCase]]=1,tbl_Case_mins[[#This Row],[NoInCoreTime]]=0),1,0)</f>
        <v>#REF!</v>
      </c>
      <c r="AQ328" s="9" t="e">
        <f>IF(tbl_Case_mins[[#This Row],[Rank_AnaEnd]]&lt;tbl_Case_mins[[#This Row],[Rank_AnaSt]],1,0)</f>
        <v>#REF!</v>
      </c>
      <c r="AR328" s="9" t="e">
        <f>IF(AND(tbl_Case_mins[[#This Row],[InCoreCase]]=1,tbl_Case_mins[[#This Row],[Sch]]=1),1,0)</f>
        <v>#REF!</v>
      </c>
      <c r="AS328" s="9" t="e">
        <f>IF(AND(tbl_Case_mins[[#This Row],[InCoreCase]]=1,tbl_Case_mins[[#This Row],[Unsch]]=1),1,0)</f>
        <v>#REF!</v>
      </c>
      <c r="AT32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8" s="9" t="e">
        <f>IF(tbl_Case_mins[[#This Row],[Surgery Status]]=0,(tbl_Case_mins[[#This Row],[Anaesth End]]-tbl_Case_mins[[#This Row],[AnaesthStart]]),0)</f>
        <v>#REF!</v>
      </c>
      <c r="AX328" s="9" t="e">
        <f>IF(tbl_Case_mins[[#This Row],[Surgery Status]]=0,(tbl_Case_mins[[#This Row],[Surgery Finish]]-tbl_Case_mins[[#This Row],[Surgery Start]]),0)</f>
        <v>#REF!</v>
      </c>
      <c r="AY328" s="9" t="e">
        <f>tbl_Case_mins[[#This Row],[Surgery Start]]-tbl_Case_mins[[#This Row],[AnaesthStart]]</f>
        <v>#REF!</v>
      </c>
      <c r="AZ328" s="9" t="e">
        <f>tbl_Case_mins[[#This Row],[Anaesth End]]-tbl_Case_mins[[#This Row],[Surgery Finish]]</f>
        <v>#REF!</v>
      </c>
      <c r="BA32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8" s="16" cm="1">
        <f t="array" ref="BC32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8" s="16" t="e">
        <f>IF(AND(tbl_Case_mins[[#This Row],[FirstAMCase]]=1,tbl_Case_mins[[#This Row],[CancelledCase]]=0,OR(tbl_Case_mins[[#This Row],[EarlyStartAM]]&gt;0,tbl_Case_mins[[#This Row],[AnaesthStart]]=tbl_Case_mins[[#This Row],[ThOpenAm]])),1,0)</f>
        <v>#REF!</v>
      </c>
      <c r="BE328" s="16" t="e">
        <f>IF(AND(tbl_Case_mins[[#This Row],[Rank_AnaSt]]=tbl_Case_mins[[#This Row],[Min_RankAnaSt]],tbl_Case_mins[[#This Row],[Anaesth End]]&gt;=tbl_Case_mins[[#This Row],[ThOpenAm]],tbl_Case_mins[[#This Row],[PmCase]]=0),1,0)</f>
        <v>#REF!</v>
      </c>
      <c r="BF32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8" s="9" t="e" cm="1">
        <f t="array" ref="BH32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8" s="9" t="e">
        <f>IF(AND(tbl_Case_mins[[#This Row],[ThOpenPM]]&gt;0,tbl_Case_mins[[#This Row],[AnaesthStart]]&gt;tbl_Case_mins[[#This Row],[ThOpenPM]],tbl_Case_mins[[#This Row],[First PM Case]]=1),tbl_Case_mins[[#This Row],[AnaesthStart]]-tbl_Case_mins[[#This Row],[ThOpenPM]],0)</f>
        <v>#REF!</v>
      </c>
      <c r="BL32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8" s="9" t="e" cm="1">
        <f t="array" ref="BN32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8" s="9" t="e">
        <f>IF(AND(tbl_Case_mins[[#This Row],[ThClosePm]]&gt;0,tbl_Case_mins[[#This Row],[Anaesth End]]&gt;tbl_Case_mins[[#This Row],[ThClosePm]],tbl_Case_mins[[#This Row],[AnaesthStart]]&gt;tbl_Case_mins[[#This Row],[ThClosePm]]),tbl_Case_mins[[#This Row],[Into Recov]]-tbl_Case_mins[[#This Row],[AnaesthStart]],0)</f>
        <v>#REF!</v>
      </c>
      <c r="BP328" s="9" t="e">
        <f>IF(AND(tbl_Case_mins[[#This Row],[AnaesthStart]]&lt;tbl_Case_mins[[#This Row],[ThClosePm]],tbl_Case_mins[[#This Row],[Anaesth End]]&gt;tbl_Case_mins[[#This Row],[ThClosePm]]),tbl_Case_mins[[#This Row],[Anaesth End]]-tbl_Case_mins[[#This Row],[ThClosePm]],0)</f>
        <v>#REF!</v>
      </c>
      <c r="BQ328" s="9" t="e" cm="1">
        <f t="array" ref="BQ32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8" s="9" t="e" cm="1">
        <f t="array" ref="BR328">IF(tbl_Case_mins[[#This Row],[Rank_Adjust]]=SUMPRODUCT(-(tbl_Case_mins[Surgery Start Date]=tbl_Case_mins[[#This Row],[Surgery Start Date]]),-(tbl_Case_mins[Theatre]=tbl_Case_mins[[#This Row],[Theatre]])),INDEX(Poss_Time,MATCH(TEXT(tbl_Case_mins[[#This Row],[Surgery Start Date]],"ddd"),Day,0)),0)</f>
        <v>#REF!</v>
      </c>
      <c r="BS328" s="9" t="e">
        <f>tbl_Case_mins[[#This Row],[Core_Time]]*Util_Goal</f>
        <v>#REF!</v>
      </c>
      <c r="BT328" s="9" t="e" cm="1">
        <f t="array" ref="BT3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8" s="9" t="e" cm="1">
        <f t="array" ref="BU3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8" s="9" t="e">
        <f>IF(tbl_Case_mins[[#This Row],[Surgery End Date]]&gt;tbl_Case_mins[[#This Row],[Surgery Start Date]],tbl_Case_mins[[#This Row],[Anaesth End]]-1440,0)</f>
        <v>#REF!</v>
      </c>
      <c r="BY328" s="9" t="e">
        <f>tbl_Case_mins[[#This Row],[Total_NonCore]]-tbl_Case_mins[[#This Row],[NextDay_NonCore]]</f>
        <v>#REF!</v>
      </c>
      <c r="BZ328" s="10" t="e">
        <f>tbl_Case_mins[[#This Row],[InCoreUse]]/60</f>
        <v>#REF!</v>
      </c>
      <c r="CA328" s="10" t="e">
        <f>tbl_Case_mins[[#This Row],[Total_NonCore]]/60</f>
        <v>#REF!</v>
      </c>
      <c r="CB328" t="e" cm="1">
        <f t="array" ref="CB3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8" s="9" t="e" cm="1">
        <f t="array" ref="CC32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8" s="9" t="e" cm="1">
        <f t="array" ref="CD3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8" s="9" t="e" cm="1">
        <f t="array" ref="CE32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8" s="9" cm="1">
        <f t="array" ref="CF328">IFERROR(_xlfn.AGGREGATE(14,6,(tbl_Case_mins[Rank_AnaEnd])/((tbl_Case_mins[Surgery Start Date]=tbl_Case_mins[[#This Row],[Surgery Start Date]])*(tbl_Case_mins[Theatre]=tbl_Case_mins[[#This Row],[Theatre]])*(tbl_Case_mins[NoInCoreTime]=0)),1),-1)</f>
        <v>-1</v>
      </c>
      <c r="CG328" s="9" cm="1">
        <f t="array" ref="CG328">IFERROR(_xlfn.AGGREGATE(15,6,(tbl_Case_mins[Rank_AnaSt])/((tbl_Case_mins[Surgery Start Date]=tbl_Case_mins[[#This Row],[Surgery Start Date]])*(tbl_Case_mins[Theatre]=tbl_Case_mins[[#This Row],[Theatre]])*(tbl_Case_mins[NoInCoreTime]=0)),1),-1)</f>
        <v>-1</v>
      </c>
      <c r="CH32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8" t="e" cm="1">
        <f t="array" ref="CJ32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8" s="9" cm="1">
        <f t="array" ref="CO3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8" s="9" cm="1">
        <f t="array" ref="CP3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8" s="9" cm="1">
        <f t="array" ref="CQ328">IFERROR(IF(AND(tbl_Case_mins[[#This Row],[FirstAMCase]]=0,tbl_Case_mins[[#This Row],[Rank]]=_xlfn.AGGREGATE(14,6,(tbl_Case_mins[Rank])/((tbl_Case_mins[Surgery Start Date]=tbl_Case_mins[[#This Row],[Surgery Start Date]])*(tbl_Case_mins[Theatre]=tbl_Case_mins[[#This Row],[Theatre]])*(tbl_Case_mins[AmCase]=1)),1)),1,0),0)</f>
        <v>0</v>
      </c>
      <c r="CR328" s="9" cm="1">
        <f t="array" ref="CR32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8" s="9" t="e" cm="1">
        <f t="array" ref="CS32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8" s="9" cm="1">
        <f t="array" ref="CT328">IFERROR(IF(tbl_Case_mins[[#This Row],[Rank]]=_xlfn.AGGREGATE(15,6,(tbl_Case_mins[Rank])/((tbl_Case_mins[Surgery Start Date]=tbl_Case_mins[[#This Row],[Surgery Start Date]])*(tbl_Case_mins[Theatre]=tbl_Case_mins[[#This Row],[Theatre]])*(tbl_Case_mins[PmCase]=1)),1),1,0),0)</f>
        <v>0</v>
      </c>
      <c r="CU328">
        <f>IFERROR(#REF!,0)</f>
        <v>0</v>
      </c>
      <c r="CV328" s="9" t="e" cm="1">
        <f t="array" ref="CV32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8" s="9">
        <f>IFERROR(IF(ISBLANK(INDEX(Bay_AmClose,MATCH(1,INDEX((tbl_Case_mins[[#This Row],[Bay]]=BayNo)*(tbl_Case_mins[[#This Row],[Surgery Start Date]]=BDate),0,1),0))*1440),0,INDEX(Bay_AmClose,MATCH(1,INDEX((tbl_Case_mins[[#This Row],[Bay]]=BayNo)*(tbl_Case_mins[[#This Row],[Surgery Start Date]]=BDate),0,1),0))*1440),0)</f>
        <v>0</v>
      </c>
      <c r="CX328" s="9" cm="1">
        <f t="array" ref="CX328">IFERROR(IF(ISBLANK(INDEX(Bay_PmOpen,MATCH(1,INDEX((tbl_Case_mins[[#This Row],[Bay]]=BayNo)*(tbl_Case_mins[[#This Row],[Surgery Start Date]]=BDate),0,1),0))*1440),0,INDEX(Bay_PmOpen,MATCH(1,INDEX((tbl_Case_mins[[#This Row],[Bay]]=BayNo)*(tbl_Case_mins[[#This Row],[Surgery Start Date]]=BDate),0,1),0))*1440),0)</f>
        <v>0</v>
      </c>
      <c r="CY32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8" s="9"/>
    </row>
    <row r="329" spans="1:104" x14ac:dyDescent="0.2">
      <c r="A329">
        <v>328</v>
      </c>
      <c r="B329" t="e">
        <f>#REF!</f>
        <v>#REF!</v>
      </c>
      <c r="C329" t="e">
        <f>#REF!</f>
        <v>#REF!</v>
      </c>
      <c r="D329" t="e">
        <f>#REF!</f>
        <v>#REF!</v>
      </c>
      <c r="E329" t="e">
        <f>#REF!</f>
        <v>#REF!</v>
      </c>
      <c r="F329" t="e">
        <f>#REF!</f>
        <v>#REF!</v>
      </c>
      <c r="G329" t="e">
        <f>#REF!</f>
        <v>#REF!</v>
      </c>
      <c r="H329" t="e">
        <f>#REF!</f>
        <v>#REF!</v>
      </c>
      <c r="I329" t="e">
        <f>IF(#REF!="Case Cancelled",1,IF(#REF!="No Cases",2,0))</f>
        <v>#REF!</v>
      </c>
      <c r="J329" t="e">
        <f>#REF!</f>
        <v>#REF!</v>
      </c>
      <c r="K329" s="4" t="e">
        <f>#REF!</f>
        <v>#REF!</v>
      </c>
      <c r="L329" t="e">
        <f>"Wk "&amp;WEEKNUM(tbl_Case_mins[[#This Row],[Surgery Start Date]],21)</f>
        <v>#REF!</v>
      </c>
      <c r="M329" t="e">
        <f>TEXT(tbl_Case_mins[[#This Row],[Surgery Start Date]],"ddd")</f>
        <v>#REF!</v>
      </c>
      <c r="N329" s="9" t="e">
        <f>(#REF!-TIME(0,0,0))*1440</f>
        <v>#REF!</v>
      </c>
      <c r="O329" t="e">
        <f>IF(AND(ROUND((#REF!-TIME(0,0,0))*1440,0)&gt;0,ROUND((#REF!-TIME(0,0,0))*1440,0)&lt;tbl_Case_mins[[#This Row],[Patient Called]],tbl_Case_mins[[#This Row],[Surgery End Date]]&gt;tbl_Case_mins[[#This Row],[Surgery Start Date]]),ROUND((#REF!-TIME(0,0,0))*1440,0)+1440,ROUND((#REF!-TIME(0,0,0))*1440,0))</f>
        <v>#REF!</v>
      </c>
      <c r="P329" s="9" t="e">
        <f>IF(AND(ROUND((#REF!-TIME(0,0,0))*1440,0)&gt;0,ROUND((#REF!-TIME(0,0,0))*1440,0)&lt;tbl_Case_mins[[#This Row],[Arrival]],tbl_Case_mins[[#This Row],[Surgery End Date]]&gt;tbl_Case_mins[[#This Row],[Surgery Start Date]]),ROUND((#REF!-TIME(0,0,0))*1440,0)+1440,ROUND((#REF!-TIME(0,0,0))*1440,0))</f>
        <v>#REF!</v>
      </c>
      <c r="Q329" s="9" t="e">
        <f>IF(AND(ROUND((#REF!-TIME(0,0,0))*1440,0)&gt;0,ROUND((#REF!-TIME(0,0,0))*1440,0)&lt;tbl_Case_mins[[#This Row],[Into Th or AR]],tbl_Case_mins[[#This Row],[Surgery End Date]]&gt;tbl_Case_mins[[#This Row],[Surgery Start Date]]),ROUND((#REF!-TIME(0,0,0))*1440,0)+1440,ROUND((#REF!-TIME(0,0,0))*1440,0))</f>
        <v>#REF!</v>
      </c>
      <c r="R329" s="9" t="e">
        <f>IF(AND(ROUND((#REF!-TIME(0,0,0))*1440,0)&gt;0,ROUND((#REF!-TIME(0,0,0))*1440,0)&lt;tbl_Case_mins[[#This Row],[AnaesthStart]],tbl_Case_mins[[#This Row],[Surgery End Date]]&gt;tbl_Case_mins[[#This Row],[Surgery Start Date]]),ROUND((#REF!-TIME(0,0,0))*1440,0)+1440,ROUND((#REF!-TIME(0,0,0))*1440,0))</f>
        <v>#REF!</v>
      </c>
      <c r="S329" s="9" t="e">
        <f>IF(AND(ROUND((#REF!-TIME(0,0,0))*1440,0),ROUND((#REF!-TIME(0,0,0))*1440,0)&lt;tbl_Case_mins[[#This Row],[Surgery Start]],tbl_Case_mins[[#This Row],[Surgery End Date]]&gt;tbl_Case_mins[[#This Row],[Surgery Start Date]]),ROUND((#REF!-TIME(0,0,0))*1440,0)+1440,ROUND((#REF!-TIME(0,0,0))*1440,0))</f>
        <v>#REF!</v>
      </c>
      <c r="T329" s="9" t="e">
        <f>IF(AND(ROUND((#REF!-TIME(0,0,0))*1440,0)&gt;0,ROUND((#REF!-TIME(0,0,0))*1440,0)&lt;tbl_Case_mins[[#This Row],[Surgery Finish]],tbl_Case_mins[[#This Row],[Surgery End Date]]&gt;tbl_Case_mins[[#This Row],[Surgery Start Date]]),ROUND((#REF!-TIME(0,0,0))*1440,0)+1440,ROUND((#REF!-TIME(0,0,0))*1440,0))</f>
        <v>#REF!</v>
      </c>
      <c r="U329" s="9" t="e">
        <f>IF(AND(ROUND((#REF!-TIME(0,0,0))*1440,0)&gt;0,ROUND((#REF!-TIME(0,0,0))*1440,0)&lt;tbl_Case_mins[[#This Row],[Anaesth End]],tbl_Case_mins[[#This Row],[Surgery End Date]]&gt;tbl_Case_mins[[#This Row],[Surgery Start Date]]),ROUND((#REF!-TIME(0,0,0))*1440,0)+1440,ROUND((#REF!-TIME(0,0,0))*1440,0))</f>
        <v>#REF!</v>
      </c>
      <c r="V329" s="9" t="e">
        <f>IF(AND(ROUND((#REF!-TIME(0,0,0))*1440,0)&gt;0,ROUND((#REF!-TIME(0,0,0))*1440,0)&lt;tbl_Case_mins[[#This Row],[Into Recov]],tbl_Case_mins[[#This Row],[Surgery End Date]]&gt;tbl_Case_mins[[#This Row],[Surgery Start Date]]),ROUND((#REF!-TIME(0,0,0))*1440,0)+1440,ROUND((#REF!-TIME(0,0,0))*1440,0))</f>
        <v>#REF!</v>
      </c>
      <c r="W329" s="9" t="e">
        <f>IF(AND(ROUND((#REF!-TIME(0,0,0))*1440,0)&gt;0,ROUND((#REF!-TIME(0,0,0))*1440,0)&lt;tbl_Case_mins[[#This Row],[Ward Called]],tbl_Case_mins[[#This Row],[Surgery End Date]]&gt;tbl_Case_mins[[#This Row],[Surgery Start Date]]),ROUND((#REF!-TIME(0,0,0))*1440,0)+1440,ROUND((#REF!-TIME(0,0,0))*1440,0))</f>
        <v>#REF!</v>
      </c>
      <c r="X329" s="4" t="e">
        <f>IF(ISBLANK(#REF!),tbl_Case_mins[[#This Row],[Surgery Start Date]],#REF!)</f>
        <v>#REF!</v>
      </c>
      <c r="Y329">
        <f>IFERROR(IF(VLOOKUP(tbl_Case_mins[[#This Row],[Theatre]],'Mng Theatres'!$C$7:$G$12,3,FALSE)="Yes","Yes","No"),0)</f>
        <v>0</v>
      </c>
      <c r="Z329" s="9" t="e" cm="1">
        <f t="array" ref="Z32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29" s="9" t="e" cm="1">
        <f t="array" ref="AA32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2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29" s="9" t="e">
        <f>IF(tbl_Case_mins[[#This Row],[Case Type]]="Unsch",1,0)</f>
        <v>#REF!</v>
      </c>
      <c r="AD329" s="9" t="e">
        <f>IF(tbl_Case_mins[[#This Row],[Case Type]]="Sch",1,0)</f>
        <v>#REF!</v>
      </c>
      <c r="AE32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29" s="9">
        <f>IFERROR(IF(ISBLANK(INDEX(Am_Close,MATCH(1,INDEX((tbl_Case_mins[[#This Row],[Theatre]]=Theatre_No)*(tbl_Case_mins[[#This Row],[Surgery Start Date]]=Date),0,1),0))*1440),0,INDEX(Am_Close,MATCH(1,INDEX((tbl_Case_mins[[#This Row],[Theatre]]=Theatre_No)*(tbl_Case_mins[[#This Row],[Surgery Start Date]]=Date),0,1),0))*1440),0)</f>
        <v>0</v>
      </c>
      <c r="AG329" s="9">
        <f>IFERROR(IF(ISBLANK(INDEX(PM_Open,MATCH(1,INDEX((tbl_Case_mins[[#This Row],[Theatre]]=Theatre_No)*(tbl_Case_mins[[#This Row],[Surgery Start Date]]=Date),0,1),0))*1440),0,INDEX(PM_Open,MATCH(1,INDEX((tbl_Case_mins[[#This Row],[Theatre]]=Theatre_No)*(tbl_Case_mins[[#This Row],[Surgery Start Date]]=Date),0,1),0))*1440),0)</f>
        <v>0</v>
      </c>
      <c r="AH32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29" s="9" t="e">
        <f>IF(tbl_Case_mins[[#This Row],[ThOpenAm]]=0,tbl_Case_mins[[#This Row],[ThOpenPM]],tbl_Case_mins[[#This Row],[ThOpenAm]])</f>
        <v>#REF!</v>
      </c>
      <c r="AJ329" s="9" t="e">
        <f>IF(tbl_Case_mins[[#This Row],[ThCloseAm]]&gt;0,IF(tbl_Case_mins[[#This Row],[ThOpenPM]]&gt;0,tbl_Case_mins[[#This Row],[ThClosePm]],tbl_Case_mins[[#This Row],[ThCloseAm]]),tbl_Case_mins[[#This Row],[ThClosePm]])</f>
        <v>#REF!</v>
      </c>
      <c r="AK329" s="9" t="e">
        <f>IF(tbl_Case_mins[[#This Row],[TOT]]&gt;0,1,0)</f>
        <v>#REF!</v>
      </c>
      <c r="AL32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29" s="9" t="e">
        <f>IF(AND(tbl_Case_mins[[#This Row],[Surgery Status]]&lt;&gt;2,tbl_Case_mins[[#This Row],[InCoreCase]]=0,tbl_Case_mins[[#This Row],[CancelledCase]]=0),1,0)</f>
        <v>#REF!</v>
      </c>
      <c r="AN329" s="9" t="e">
        <f>IF(tbl_Case_mins[[#This Row],[Surgery Status]]=1,1,0)</f>
        <v>#REF!</v>
      </c>
      <c r="AO32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29" s="9" t="e">
        <f>IF(AND(tbl_Case_mins[[#This Row],[NonCoreCase]]=1,tbl_Case_mins[[#This Row],[NoInCoreTime]]=0),1,0)</f>
        <v>#REF!</v>
      </c>
      <c r="AQ329" s="9" t="e">
        <f>IF(tbl_Case_mins[[#This Row],[Rank_AnaEnd]]&lt;tbl_Case_mins[[#This Row],[Rank_AnaSt]],1,0)</f>
        <v>#REF!</v>
      </c>
      <c r="AR329" s="9" t="e">
        <f>IF(AND(tbl_Case_mins[[#This Row],[InCoreCase]]=1,tbl_Case_mins[[#This Row],[Sch]]=1),1,0)</f>
        <v>#REF!</v>
      </c>
      <c r="AS329" s="9" t="e">
        <f>IF(AND(tbl_Case_mins[[#This Row],[InCoreCase]]=1,tbl_Case_mins[[#This Row],[Unsch]]=1),1,0)</f>
        <v>#REF!</v>
      </c>
      <c r="AT32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2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2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29" s="9" t="e">
        <f>IF(tbl_Case_mins[[#This Row],[Surgery Status]]=0,(tbl_Case_mins[[#This Row],[Anaesth End]]-tbl_Case_mins[[#This Row],[AnaesthStart]]),0)</f>
        <v>#REF!</v>
      </c>
      <c r="AX329" s="9" t="e">
        <f>IF(tbl_Case_mins[[#This Row],[Surgery Status]]=0,(tbl_Case_mins[[#This Row],[Surgery Finish]]-tbl_Case_mins[[#This Row],[Surgery Start]]),0)</f>
        <v>#REF!</v>
      </c>
      <c r="AY329" s="9" t="e">
        <f>tbl_Case_mins[[#This Row],[Surgery Start]]-tbl_Case_mins[[#This Row],[AnaesthStart]]</f>
        <v>#REF!</v>
      </c>
      <c r="AZ329" s="9" t="e">
        <f>tbl_Case_mins[[#This Row],[Anaesth End]]-tbl_Case_mins[[#This Row],[Surgery Finish]]</f>
        <v>#REF!</v>
      </c>
      <c r="BA32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2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29" s="16" cm="1">
        <f t="array" ref="BC32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29" s="16" t="e">
        <f>IF(AND(tbl_Case_mins[[#This Row],[FirstAMCase]]=1,tbl_Case_mins[[#This Row],[CancelledCase]]=0,OR(tbl_Case_mins[[#This Row],[EarlyStartAM]]&gt;0,tbl_Case_mins[[#This Row],[AnaesthStart]]=tbl_Case_mins[[#This Row],[ThOpenAm]])),1,0)</f>
        <v>#REF!</v>
      </c>
      <c r="BE329" s="16" t="e">
        <f>IF(AND(tbl_Case_mins[[#This Row],[Rank_AnaSt]]=tbl_Case_mins[[#This Row],[Min_RankAnaSt]],tbl_Case_mins[[#This Row],[Anaesth End]]&gt;=tbl_Case_mins[[#This Row],[ThOpenAm]],tbl_Case_mins[[#This Row],[PmCase]]=0),1,0)</f>
        <v>#REF!</v>
      </c>
      <c r="BF32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2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29" s="9" t="e" cm="1">
        <f t="array" ref="BH32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2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2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29" s="9" t="e">
        <f>IF(AND(tbl_Case_mins[[#This Row],[ThOpenPM]]&gt;0,tbl_Case_mins[[#This Row],[AnaesthStart]]&gt;tbl_Case_mins[[#This Row],[ThOpenPM]],tbl_Case_mins[[#This Row],[First PM Case]]=1),tbl_Case_mins[[#This Row],[AnaesthStart]]-tbl_Case_mins[[#This Row],[ThOpenPM]],0)</f>
        <v>#REF!</v>
      </c>
      <c r="BL32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2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29" s="9" t="e" cm="1">
        <f t="array" ref="BN32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29" s="9" t="e">
        <f>IF(AND(tbl_Case_mins[[#This Row],[ThClosePm]]&gt;0,tbl_Case_mins[[#This Row],[Anaesth End]]&gt;tbl_Case_mins[[#This Row],[ThClosePm]],tbl_Case_mins[[#This Row],[AnaesthStart]]&gt;tbl_Case_mins[[#This Row],[ThClosePm]]),tbl_Case_mins[[#This Row],[Into Recov]]-tbl_Case_mins[[#This Row],[AnaesthStart]],0)</f>
        <v>#REF!</v>
      </c>
      <c r="BP329" s="9" t="e">
        <f>IF(AND(tbl_Case_mins[[#This Row],[AnaesthStart]]&lt;tbl_Case_mins[[#This Row],[ThClosePm]],tbl_Case_mins[[#This Row],[Anaesth End]]&gt;tbl_Case_mins[[#This Row],[ThClosePm]]),tbl_Case_mins[[#This Row],[Anaesth End]]-tbl_Case_mins[[#This Row],[ThClosePm]],0)</f>
        <v>#REF!</v>
      </c>
      <c r="BQ329" s="9" t="e" cm="1">
        <f t="array" ref="BQ32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29" s="9" t="e" cm="1">
        <f t="array" ref="BR329">IF(tbl_Case_mins[[#This Row],[Rank_Adjust]]=SUMPRODUCT(-(tbl_Case_mins[Surgery Start Date]=tbl_Case_mins[[#This Row],[Surgery Start Date]]),-(tbl_Case_mins[Theatre]=tbl_Case_mins[[#This Row],[Theatre]])),INDEX(Poss_Time,MATCH(TEXT(tbl_Case_mins[[#This Row],[Surgery Start Date]],"ddd"),Day,0)),0)</f>
        <v>#REF!</v>
      </c>
      <c r="BS329" s="9" t="e">
        <f>tbl_Case_mins[[#This Row],[Core_Time]]*Util_Goal</f>
        <v>#REF!</v>
      </c>
      <c r="BT329" s="9" t="e" cm="1">
        <f t="array" ref="BT3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29" s="9" t="e" cm="1">
        <f t="array" ref="BU3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2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2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29" s="9" t="e">
        <f>IF(tbl_Case_mins[[#This Row],[Surgery End Date]]&gt;tbl_Case_mins[[#This Row],[Surgery Start Date]],tbl_Case_mins[[#This Row],[Anaesth End]]-1440,0)</f>
        <v>#REF!</v>
      </c>
      <c r="BY329" s="9" t="e">
        <f>tbl_Case_mins[[#This Row],[Total_NonCore]]-tbl_Case_mins[[#This Row],[NextDay_NonCore]]</f>
        <v>#REF!</v>
      </c>
      <c r="BZ329" s="10" t="e">
        <f>tbl_Case_mins[[#This Row],[InCoreUse]]/60</f>
        <v>#REF!</v>
      </c>
      <c r="CA329" s="10" t="e">
        <f>tbl_Case_mins[[#This Row],[Total_NonCore]]/60</f>
        <v>#REF!</v>
      </c>
      <c r="CB329" t="e" cm="1">
        <f t="array" ref="CB3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29" s="9" t="e" cm="1">
        <f t="array" ref="CC32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29" s="9" t="e" cm="1">
        <f t="array" ref="CD3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29" s="9" t="e" cm="1">
        <f t="array" ref="CE32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29" s="9" cm="1">
        <f t="array" ref="CF329">IFERROR(_xlfn.AGGREGATE(14,6,(tbl_Case_mins[Rank_AnaEnd])/((tbl_Case_mins[Surgery Start Date]=tbl_Case_mins[[#This Row],[Surgery Start Date]])*(tbl_Case_mins[Theatre]=tbl_Case_mins[[#This Row],[Theatre]])*(tbl_Case_mins[NoInCoreTime]=0)),1),-1)</f>
        <v>-1</v>
      </c>
      <c r="CG329" s="9" cm="1">
        <f t="array" ref="CG329">IFERROR(_xlfn.AGGREGATE(15,6,(tbl_Case_mins[Rank_AnaSt])/((tbl_Case_mins[Surgery Start Date]=tbl_Case_mins[[#This Row],[Surgery Start Date]])*(tbl_Case_mins[Theatre]=tbl_Case_mins[[#This Row],[Theatre]])*(tbl_Case_mins[NoInCoreTime]=0)),1),-1)</f>
        <v>-1</v>
      </c>
      <c r="CH32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2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29" t="e" cm="1">
        <f t="array" ref="CJ32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2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2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29" s="9" cm="1">
        <f t="array" ref="CO3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29" s="9" cm="1">
        <f t="array" ref="CP3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29" s="9" cm="1">
        <f t="array" ref="CQ329">IFERROR(IF(AND(tbl_Case_mins[[#This Row],[FirstAMCase]]=0,tbl_Case_mins[[#This Row],[Rank]]=_xlfn.AGGREGATE(14,6,(tbl_Case_mins[Rank])/((tbl_Case_mins[Surgery Start Date]=tbl_Case_mins[[#This Row],[Surgery Start Date]])*(tbl_Case_mins[Theatre]=tbl_Case_mins[[#This Row],[Theatre]])*(tbl_Case_mins[AmCase]=1)),1)),1,0),0)</f>
        <v>0</v>
      </c>
      <c r="CR329" s="9" cm="1">
        <f t="array" ref="CR32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29" s="9" t="e" cm="1">
        <f t="array" ref="CS32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29" s="9" cm="1">
        <f t="array" ref="CT329">IFERROR(IF(tbl_Case_mins[[#This Row],[Rank]]=_xlfn.AGGREGATE(15,6,(tbl_Case_mins[Rank])/((tbl_Case_mins[Surgery Start Date]=tbl_Case_mins[[#This Row],[Surgery Start Date]])*(tbl_Case_mins[Theatre]=tbl_Case_mins[[#This Row],[Theatre]])*(tbl_Case_mins[PmCase]=1)),1),1,0),0)</f>
        <v>0</v>
      </c>
      <c r="CU329">
        <f>IFERROR(#REF!,0)</f>
        <v>0</v>
      </c>
      <c r="CV329" s="9" t="e" cm="1">
        <f t="array" ref="CV32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29" s="9">
        <f>IFERROR(IF(ISBLANK(INDEX(Bay_AmClose,MATCH(1,INDEX((tbl_Case_mins[[#This Row],[Bay]]=BayNo)*(tbl_Case_mins[[#This Row],[Surgery Start Date]]=BDate),0,1),0))*1440),0,INDEX(Bay_AmClose,MATCH(1,INDEX((tbl_Case_mins[[#This Row],[Bay]]=BayNo)*(tbl_Case_mins[[#This Row],[Surgery Start Date]]=BDate),0,1),0))*1440),0)</f>
        <v>0</v>
      </c>
      <c r="CX329" s="9" cm="1">
        <f t="array" ref="CX329">IFERROR(IF(ISBLANK(INDEX(Bay_PmOpen,MATCH(1,INDEX((tbl_Case_mins[[#This Row],[Bay]]=BayNo)*(tbl_Case_mins[[#This Row],[Surgery Start Date]]=BDate),0,1),0))*1440),0,INDEX(Bay_PmOpen,MATCH(1,INDEX((tbl_Case_mins[[#This Row],[Bay]]=BayNo)*(tbl_Case_mins[[#This Row],[Surgery Start Date]]=BDate),0,1),0))*1440),0)</f>
        <v>0</v>
      </c>
      <c r="CY32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29" s="9"/>
    </row>
    <row r="330" spans="1:104" x14ac:dyDescent="0.2">
      <c r="A330">
        <v>329</v>
      </c>
      <c r="B330" t="e">
        <f>#REF!</f>
        <v>#REF!</v>
      </c>
      <c r="C330" t="e">
        <f>#REF!</f>
        <v>#REF!</v>
      </c>
      <c r="D330" t="e">
        <f>#REF!</f>
        <v>#REF!</v>
      </c>
      <c r="E330" t="e">
        <f>#REF!</f>
        <v>#REF!</v>
      </c>
      <c r="F330" t="e">
        <f>#REF!</f>
        <v>#REF!</v>
      </c>
      <c r="G330" t="e">
        <f>#REF!</f>
        <v>#REF!</v>
      </c>
      <c r="H330" t="e">
        <f>#REF!</f>
        <v>#REF!</v>
      </c>
      <c r="I330" t="e">
        <f>IF(#REF!="Case Cancelled",1,IF(#REF!="No Cases",2,0))</f>
        <v>#REF!</v>
      </c>
      <c r="J330" t="e">
        <f>#REF!</f>
        <v>#REF!</v>
      </c>
      <c r="K330" s="4" t="e">
        <f>#REF!</f>
        <v>#REF!</v>
      </c>
      <c r="L330" t="e">
        <f>"Wk "&amp;WEEKNUM(tbl_Case_mins[[#This Row],[Surgery Start Date]],21)</f>
        <v>#REF!</v>
      </c>
      <c r="M330" t="e">
        <f>TEXT(tbl_Case_mins[[#This Row],[Surgery Start Date]],"ddd")</f>
        <v>#REF!</v>
      </c>
      <c r="N330" s="9" t="e">
        <f>(#REF!-TIME(0,0,0))*1440</f>
        <v>#REF!</v>
      </c>
      <c r="O330" t="e">
        <f>IF(AND(ROUND((#REF!-TIME(0,0,0))*1440,0)&gt;0,ROUND((#REF!-TIME(0,0,0))*1440,0)&lt;tbl_Case_mins[[#This Row],[Patient Called]],tbl_Case_mins[[#This Row],[Surgery End Date]]&gt;tbl_Case_mins[[#This Row],[Surgery Start Date]]),ROUND((#REF!-TIME(0,0,0))*1440,0)+1440,ROUND((#REF!-TIME(0,0,0))*1440,0))</f>
        <v>#REF!</v>
      </c>
      <c r="P330" s="9" t="e">
        <f>IF(AND(ROUND((#REF!-TIME(0,0,0))*1440,0)&gt;0,ROUND((#REF!-TIME(0,0,0))*1440,0)&lt;tbl_Case_mins[[#This Row],[Arrival]],tbl_Case_mins[[#This Row],[Surgery End Date]]&gt;tbl_Case_mins[[#This Row],[Surgery Start Date]]),ROUND((#REF!-TIME(0,0,0))*1440,0)+1440,ROUND((#REF!-TIME(0,0,0))*1440,0))</f>
        <v>#REF!</v>
      </c>
      <c r="Q330" s="9" t="e">
        <f>IF(AND(ROUND((#REF!-TIME(0,0,0))*1440,0)&gt;0,ROUND((#REF!-TIME(0,0,0))*1440,0)&lt;tbl_Case_mins[[#This Row],[Into Th or AR]],tbl_Case_mins[[#This Row],[Surgery End Date]]&gt;tbl_Case_mins[[#This Row],[Surgery Start Date]]),ROUND((#REF!-TIME(0,0,0))*1440,0)+1440,ROUND((#REF!-TIME(0,0,0))*1440,0))</f>
        <v>#REF!</v>
      </c>
      <c r="R330" s="9" t="e">
        <f>IF(AND(ROUND((#REF!-TIME(0,0,0))*1440,0)&gt;0,ROUND((#REF!-TIME(0,0,0))*1440,0)&lt;tbl_Case_mins[[#This Row],[AnaesthStart]],tbl_Case_mins[[#This Row],[Surgery End Date]]&gt;tbl_Case_mins[[#This Row],[Surgery Start Date]]),ROUND((#REF!-TIME(0,0,0))*1440,0)+1440,ROUND((#REF!-TIME(0,0,0))*1440,0))</f>
        <v>#REF!</v>
      </c>
      <c r="S330" s="9" t="e">
        <f>IF(AND(ROUND((#REF!-TIME(0,0,0))*1440,0),ROUND((#REF!-TIME(0,0,0))*1440,0)&lt;tbl_Case_mins[[#This Row],[Surgery Start]],tbl_Case_mins[[#This Row],[Surgery End Date]]&gt;tbl_Case_mins[[#This Row],[Surgery Start Date]]),ROUND((#REF!-TIME(0,0,0))*1440,0)+1440,ROUND((#REF!-TIME(0,0,0))*1440,0))</f>
        <v>#REF!</v>
      </c>
      <c r="T330" s="9" t="e">
        <f>IF(AND(ROUND((#REF!-TIME(0,0,0))*1440,0)&gt;0,ROUND((#REF!-TIME(0,0,0))*1440,0)&lt;tbl_Case_mins[[#This Row],[Surgery Finish]],tbl_Case_mins[[#This Row],[Surgery End Date]]&gt;tbl_Case_mins[[#This Row],[Surgery Start Date]]),ROUND((#REF!-TIME(0,0,0))*1440,0)+1440,ROUND((#REF!-TIME(0,0,0))*1440,0))</f>
        <v>#REF!</v>
      </c>
      <c r="U330" s="9" t="e">
        <f>IF(AND(ROUND((#REF!-TIME(0,0,0))*1440,0)&gt;0,ROUND((#REF!-TIME(0,0,0))*1440,0)&lt;tbl_Case_mins[[#This Row],[Anaesth End]],tbl_Case_mins[[#This Row],[Surgery End Date]]&gt;tbl_Case_mins[[#This Row],[Surgery Start Date]]),ROUND((#REF!-TIME(0,0,0))*1440,0)+1440,ROUND((#REF!-TIME(0,0,0))*1440,0))</f>
        <v>#REF!</v>
      </c>
      <c r="V330" s="9" t="e">
        <f>IF(AND(ROUND((#REF!-TIME(0,0,0))*1440,0)&gt;0,ROUND((#REF!-TIME(0,0,0))*1440,0)&lt;tbl_Case_mins[[#This Row],[Into Recov]],tbl_Case_mins[[#This Row],[Surgery End Date]]&gt;tbl_Case_mins[[#This Row],[Surgery Start Date]]),ROUND((#REF!-TIME(0,0,0))*1440,0)+1440,ROUND((#REF!-TIME(0,0,0))*1440,0))</f>
        <v>#REF!</v>
      </c>
      <c r="W330" s="9" t="e">
        <f>IF(AND(ROUND((#REF!-TIME(0,0,0))*1440,0)&gt;0,ROUND((#REF!-TIME(0,0,0))*1440,0)&lt;tbl_Case_mins[[#This Row],[Ward Called]],tbl_Case_mins[[#This Row],[Surgery End Date]]&gt;tbl_Case_mins[[#This Row],[Surgery Start Date]]),ROUND((#REF!-TIME(0,0,0))*1440,0)+1440,ROUND((#REF!-TIME(0,0,0))*1440,0))</f>
        <v>#REF!</v>
      </c>
      <c r="X330" s="4" t="e">
        <f>IF(ISBLANK(#REF!),tbl_Case_mins[[#This Row],[Surgery Start Date]],#REF!)</f>
        <v>#REF!</v>
      </c>
      <c r="Y330">
        <f>IFERROR(IF(VLOOKUP(tbl_Case_mins[[#This Row],[Theatre]],'Mng Theatres'!$C$7:$G$12,3,FALSE)="Yes","Yes","No"),0)</f>
        <v>0</v>
      </c>
      <c r="Z330" s="9" t="e" cm="1">
        <f t="array" ref="Z33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0" s="9" t="e" cm="1">
        <f t="array" ref="AA33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0" s="9" t="e">
        <f>IF(tbl_Case_mins[[#This Row],[Case Type]]="Unsch",1,0)</f>
        <v>#REF!</v>
      </c>
      <c r="AD330" s="9" t="e">
        <f>IF(tbl_Case_mins[[#This Row],[Case Type]]="Sch",1,0)</f>
        <v>#REF!</v>
      </c>
      <c r="AE33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0" s="9">
        <f>IFERROR(IF(ISBLANK(INDEX(Am_Close,MATCH(1,INDEX((tbl_Case_mins[[#This Row],[Theatre]]=Theatre_No)*(tbl_Case_mins[[#This Row],[Surgery Start Date]]=Date),0,1),0))*1440),0,INDEX(Am_Close,MATCH(1,INDEX((tbl_Case_mins[[#This Row],[Theatre]]=Theatre_No)*(tbl_Case_mins[[#This Row],[Surgery Start Date]]=Date),0,1),0))*1440),0)</f>
        <v>0</v>
      </c>
      <c r="AG330" s="9">
        <f>IFERROR(IF(ISBLANK(INDEX(PM_Open,MATCH(1,INDEX((tbl_Case_mins[[#This Row],[Theatre]]=Theatre_No)*(tbl_Case_mins[[#This Row],[Surgery Start Date]]=Date),0,1),0))*1440),0,INDEX(PM_Open,MATCH(1,INDEX((tbl_Case_mins[[#This Row],[Theatre]]=Theatre_No)*(tbl_Case_mins[[#This Row],[Surgery Start Date]]=Date),0,1),0))*1440),0)</f>
        <v>0</v>
      </c>
      <c r="AH33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0" s="9" t="e">
        <f>IF(tbl_Case_mins[[#This Row],[ThOpenAm]]=0,tbl_Case_mins[[#This Row],[ThOpenPM]],tbl_Case_mins[[#This Row],[ThOpenAm]])</f>
        <v>#REF!</v>
      </c>
      <c r="AJ330" s="9" t="e">
        <f>IF(tbl_Case_mins[[#This Row],[ThCloseAm]]&gt;0,IF(tbl_Case_mins[[#This Row],[ThOpenPM]]&gt;0,tbl_Case_mins[[#This Row],[ThClosePm]],tbl_Case_mins[[#This Row],[ThCloseAm]]),tbl_Case_mins[[#This Row],[ThClosePm]])</f>
        <v>#REF!</v>
      </c>
      <c r="AK330" s="9" t="e">
        <f>IF(tbl_Case_mins[[#This Row],[TOT]]&gt;0,1,0)</f>
        <v>#REF!</v>
      </c>
      <c r="AL33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0" s="9" t="e">
        <f>IF(AND(tbl_Case_mins[[#This Row],[Surgery Status]]&lt;&gt;2,tbl_Case_mins[[#This Row],[InCoreCase]]=0,tbl_Case_mins[[#This Row],[CancelledCase]]=0),1,0)</f>
        <v>#REF!</v>
      </c>
      <c r="AN330" s="9" t="e">
        <f>IF(tbl_Case_mins[[#This Row],[Surgery Status]]=1,1,0)</f>
        <v>#REF!</v>
      </c>
      <c r="AO33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0" s="9" t="e">
        <f>IF(AND(tbl_Case_mins[[#This Row],[NonCoreCase]]=1,tbl_Case_mins[[#This Row],[NoInCoreTime]]=0),1,0)</f>
        <v>#REF!</v>
      </c>
      <c r="AQ330" s="9" t="e">
        <f>IF(tbl_Case_mins[[#This Row],[Rank_AnaEnd]]&lt;tbl_Case_mins[[#This Row],[Rank_AnaSt]],1,0)</f>
        <v>#REF!</v>
      </c>
      <c r="AR330" s="9" t="e">
        <f>IF(AND(tbl_Case_mins[[#This Row],[InCoreCase]]=1,tbl_Case_mins[[#This Row],[Sch]]=1),1,0)</f>
        <v>#REF!</v>
      </c>
      <c r="AS330" s="9" t="e">
        <f>IF(AND(tbl_Case_mins[[#This Row],[InCoreCase]]=1,tbl_Case_mins[[#This Row],[Unsch]]=1),1,0)</f>
        <v>#REF!</v>
      </c>
      <c r="AT33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0" s="9" t="e">
        <f>IF(tbl_Case_mins[[#This Row],[Surgery Status]]=0,(tbl_Case_mins[[#This Row],[Anaesth End]]-tbl_Case_mins[[#This Row],[AnaesthStart]]),0)</f>
        <v>#REF!</v>
      </c>
      <c r="AX330" s="9" t="e">
        <f>IF(tbl_Case_mins[[#This Row],[Surgery Status]]=0,(tbl_Case_mins[[#This Row],[Surgery Finish]]-tbl_Case_mins[[#This Row],[Surgery Start]]),0)</f>
        <v>#REF!</v>
      </c>
      <c r="AY330" s="9" t="e">
        <f>tbl_Case_mins[[#This Row],[Surgery Start]]-tbl_Case_mins[[#This Row],[AnaesthStart]]</f>
        <v>#REF!</v>
      </c>
      <c r="AZ330" s="9" t="e">
        <f>tbl_Case_mins[[#This Row],[Anaesth End]]-tbl_Case_mins[[#This Row],[Surgery Finish]]</f>
        <v>#REF!</v>
      </c>
      <c r="BA33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0" s="16" cm="1">
        <f t="array" ref="BC33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0" s="16" t="e">
        <f>IF(AND(tbl_Case_mins[[#This Row],[FirstAMCase]]=1,tbl_Case_mins[[#This Row],[CancelledCase]]=0,OR(tbl_Case_mins[[#This Row],[EarlyStartAM]]&gt;0,tbl_Case_mins[[#This Row],[AnaesthStart]]=tbl_Case_mins[[#This Row],[ThOpenAm]])),1,0)</f>
        <v>#REF!</v>
      </c>
      <c r="BE330" s="16" t="e">
        <f>IF(AND(tbl_Case_mins[[#This Row],[Rank_AnaSt]]=tbl_Case_mins[[#This Row],[Min_RankAnaSt]],tbl_Case_mins[[#This Row],[Anaesth End]]&gt;=tbl_Case_mins[[#This Row],[ThOpenAm]],tbl_Case_mins[[#This Row],[PmCase]]=0),1,0)</f>
        <v>#REF!</v>
      </c>
      <c r="BF33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0" s="9" t="e" cm="1">
        <f t="array" ref="BH33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0" s="9" t="e">
        <f>IF(AND(tbl_Case_mins[[#This Row],[ThOpenPM]]&gt;0,tbl_Case_mins[[#This Row],[AnaesthStart]]&gt;tbl_Case_mins[[#This Row],[ThOpenPM]],tbl_Case_mins[[#This Row],[First PM Case]]=1),tbl_Case_mins[[#This Row],[AnaesthStart]]-tbl_Case_mins[[#This Row],[ThOpenPM]],0)</f>
        <v>#REF!</v>
      </c>
      <c r="BL33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0" s="9" t="e" cm="1">
        <f t="array" ref="BN33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0" s="9" t="e">
        <f>IF(AND(tbl_Case_mins[[#This Row],[ThClosePm]]&gt;0,tbl_Case_mins[[#This Row],[Anaesth End]]&gt;tbl_Case_mins[[#This Row],[ThClosePm]],tbl_Case_mins[[#This Row],[AnaesthStart]]&gt;tbl_Case_mins[[#This Row],[ThClosePm]]),tbl_Case_mins[[#This Row],[Into Recov]]-tbl_Case_mins[[#This Row],[AnaesthStart]],0)</f>
        <v>#REF!</v>
      </c>
      <c r="BP330" s="9" t="e">
        <f>IF(AND(tbl_Case_mins[[#This Row],[AnaesthStart]]&lt;tbl_Case_mins[[#This Row],[ThClosePm]],tbl_Case_mins[[#This Row],[Anaesth End]]&gt;tbl_Case_mins[[#This Row],[ThClosePm]]),tbl_Case_mins[[#This Row],[Anaesth End]]-tbl_Case_mins[[#This Row],[ThClosePm]],0)</f>
        <v>#REF!</v>
      </c>
      <c r="BQ330" s="9" t="e" cm="1">
        <f t="array" ref="BQ33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0" s="9" t="e" cm="1">
        <f t="array" ref="BR330">IF(tbl_Case_mins[[#This Row],[Rank_Adjust]]=SUMPRODUCT(-(tbl_Case_mins[Surgery Start Date]=tbl_Case_mins[[#This Row],[Surgery Start Date]]),-(tbl_Case_mins[Theatre]=tbl_Case_mins[[#This Row],[Theatre]])),INDEX(Poss_Time,MATCH(TEXT(tbl_Case_mins[[#This Row],[Surgery Start Date]],"ddd"),Day,0)),0)</f>
        <v>#REF!</v>
      </c>
      <c r="BS330" s="9" t="e">
        <f>tbl_Case_mins[[#This Row],[Core_Time]]*Util_Goal</f>
        <v>#REF!</v>
      </c>
      <c r="BT330" s="9" t="e" cm="1">
        <f t="array" ref="BT3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0" s="9" t="e" cm="1">
        <f t="array" ref="BU3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0" s="9" t="e">
        <f>IF(tbl_Case_mins[[#This Row],[Surgery End Date]]&gt;tbl_Case_mins[[#This Row],[Surgery Start Date]],tbl_Case_mins[[#This Row],[Anaesth End]]-1440,0)</f>
        <v>#REF!</v>
      </c>
      <c r="BY330" s="9" t="e">
        <f>tbl_Case_mins[[#This Row],[Total_NonCore]]-tbl_Case_mins[[#This Row],[NextDay_NonCore]]</f>
        <v>#REF!</v>
      </c>
      <c r="BZ330" s="10" t="e">
        <f>tbl_Case_mins[[#This Row],[InCoreUse]]/60</f>
        <v>#REF!</v>
      </c>
      <c r="CA330" s="10" t="e">
        <f>tbl_Case_mins[[#This Row],[Total_NonCore]]/60</f>
        <v>#REF!</v>
      </c>
      <c r="CB330" t="e" cm="1">
        <f t="array" ref="CB3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0" s="9" t="e" cm="1">
        <f t="array" ref="CC33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0" s="9" t="e" cm="1">
        <f t="array" ref="CD3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0" s="9" t="e" cm="1">
        <f t="array" ref="CE33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0" s="9" cm="1">
        <f t="array" ref="CF330">IFERROR(_xlfn.AGGREGATE(14,6,(tbl_Case_mins[Rank_AnaEnd])/((tbl_Case_mins[Surgery Start Date]=tbl_Case_mins[[#This Row],[Surgery Start Date]])*(tbl_Case_mins[Theatre]=tbl_Case_mins[[#This Row],[Theatre]])*(tbl_Case_mins[NoInCoreTime]=0)),1),-1)</f>
        <v>-1</v>
      </c>
      <c r="CG330" s="9" cm="1">
        <f t="array" ref="CG330">IFERROR(_xlfn.AGGREGATE(15,6,(tbl_Case_mins[Rank_AnaSt])/((tbl_Case_mins[Surgery Start Date]=tbl_Case_mins[[#This Row],[Surgery Start Date]])*(tbl_Case_mins[Theatre]=tbl_Case_mins[[#This Row],[Theatre]])*(tbl_Case_mins[NoInCoreTime]=0)),1),-1)</f>
        <v>-1</v>
      </c>
      <c r="CH33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0" t="e" cm="1">
        <f t="array" ref="CJ33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0" s="9" cm="1">
        <f t="array" ref="CO3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0" s="9" cm="1">
        <f t="array" ref="CP3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0" s="9" cm="1">
        <f t="array" ref="CQ330">IFERROR(IF(AND(tbl_Case_mins[[#This Row],[FirstAMCase]]=0,tbl_Case_mins[[#This Row],[Rank]]=_xlfn.AGGREGATE(14,6,(tbl_Case_mins[Rank])/((tbl_Case_mins[Surgery Start Date]=tbl_Case_mins[[#This Row],[Surgery Start Date]])*(tbl_Case_mins[Theatre]=tbl_Case_mins[[#This Row],[Theatre]])*(tbl_Case_mins[AmCase]=1)),1)),1,0),0)</f>
        <v>0</v>
      </c>
      <c r="CR330" s="9" cm="1">
        <f t="array" ref="CR33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0" s="9" t="e" cm="1">
        <f t="array" ref="CS33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0" s="9" cm="1">
        <f t="array" ref="CT330">IFERROR(IF(tbl_Case_mins[[#This Row],[Rank]]=_xlfn.AGGREGATE(15,6,(tbl_Case_mins[Rank])/((tbl_Case_mins[Surgery Start Date]=tbl_Case_mins[[#This Row],[Surgery Start Date]])*(tbl_Case_mins[Theatre]=tbl_Case_mins[[#This Row],[Theatre]])*(tbl_Case_mins[PmCase]=1)),1),1,0),0)</f>
        <v>0</v>
      </c>
      <c r="CU330">
        <f>IFERROR(#REF!,0)</f>
        <v>0</v>
      </c>
      <c r="CV330" s="9" t="e" cm="1">
        <f t="array" ref="CV33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0" s="9">
        <f>IFERROR(IF(ISBLANK(INDEX(Bay_AmClose,MATCH(1,INDEX((tbl_Case_mins[[#This Row],[Bay]]=BayNo)*(tbl_Case_mins[[#This Row],[Surgery Start Date]]=BDate),0,1),0))*1440),0,INDEX(Bay_AmClose,MATCH(1,INDEX((tbl_Case_mins[[#This Row],[Bay]]=BayNo)*(tbl_Case_mins[[#This Row],[Surgery Start Date]]=BDate),0,1),0))*1440),0)</f>
        <v>0</v>
      </c>
      <c r="CX330" s="9" cm="1">
        <f t="array" ref="CX330">IFERROR(IF(ISBLANK(INDEX(Bay_PmOpen,MATCH(1,INDEX((tbl_Case_mins[[#This Row],[Bay]]=BayNo)*(tbl_Case_mins[[#This Row],[Surgery Start Date]]=BDate),0,1),0))*1440),0,INDEX(Bay_PmOpen,MATCH(1,INDEX((tbl_Case_mins[[#This Row],[Bay]]=BayNo)*(tbl_Case_mins[[#This Row],[Surgery Start Date]]=BDate),0,1),0))*1440),0)</f>
        <v>0</v>
      </c>
      <c r="CY33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0" s="9"/>
    </row>
    <row r="331" spans="1:104" x14ac:dyDescent="0.2">
      <c r="A331">
        <v>330</v>
      </c>
      <c r="B331" t="e">
        <f>#REF!</f>
        <v>#REF!</v>
      </c>
      <c r="C331" t="e">
        <f>#REF!</f>
        <v>#REF!</v>
      </c>
      <c r="D331" t="e">
        <f>#REF!</f>
        <v>#REF!</v>
      </c>
      <c r="E331" t="e">
        <f>#REF!</f>
        <v>#REF!</v>
      </c>
      <c r="F331" t="e">
        <f>#REF!</f>
        <v>#REF!</v>
      </c>
      <c r="G331" t="e">
        <f>#REF!</f>
        <v>#REF!</v>
      </c>
      <c r="H331" t="e">
        <f>#REF!</f>
        <v>#REF!</v>
      </c>
      <c r="I331" t="e">
        <f>IF(#REF!="Case Cancelled",1,IF(#REF!="No Cases",2,0))</f>
        <v>#REF!</v>
      </c>
      <c r="J331" t="e">
        <f>#REF!</f>
        <v>#REF!</v>
      </c>
      <c r="K331" s="4" t="e">
        <f>#REF!</f>
        <v>#REF!</v>
      </c>
      <c r="L331" t="e">
        <f>"Wk "&amp;WEEKNUM(tbl_Case_mins[[#This Row],[Surgery Start Date]],21)</f>
        <v>#REF!</v>
      </c>
      <c r="M331" t="e">
        <f>TEXT(tbl_Case_mins[[#This Row],[Surgery Start Date]],"ddd")</f>
        <v>#REF!</v>
      </c>
      <c r="N331" s="9" t="e">
        <f>(#REF!-TIME(0,0,0))*1440</f>
        <v>#REF!</v>
      </c>
      <c r="O331" t="e">
        <f>IF(AND(ROUND((#REF!-TIME(0,0,0))*1440,0)&gt;0,ROUND((#REF!-TIME(0,0,0))*1440,0)&lt;tbl_Case_mins[[#This Row],[Patient Called]],tbl_Case_mins[[#This Row],[Surgery End Date]]&gt;tbl_Case_mins[[#This Row],[Surgery Start Date]]),ROUND((#REF!-TIME(0,0,0))*1440,0)+1440,ROUND((#REF!-TIME(0,0,0))*1440,0))</f>
        <v>#REF!</v>
      </c>
      <c r="P331" s="9" t="e">
        <f>IF(AND(ROUND((#REF!-TIME(0,0,0))*1440,0)&gt;0,ROUND((#REF!-TIME(0,0,0))*1440,0)&lt;tbl_Case_mins[[#This Row],[Arrival]],tbl_Case_mins[[#This Row],[Surgery End Date]]&gt;tbl_Case_mins[[#This Row],[Surgery Start Date]]),ROUND((#REF!-TIME(0,0,0))*1440,0)+1440,ROUND((#REF!-TIME(0,0,0))*1440,0))</f>
        <v>#REF!</v>
      </c>
      <c r="Q331" s="9" t="e">
        <f>IF(AND(ROUND((#REF!-TIME(0,0,0))*1440,0)&gt;0,ROUND((#REF!-TIME(0,0,0))*1440,0)&lt;tbl_Case_mins[[#This Row],[Into Th or AR]],tbl_Case_mins[[#This Row],[Surgery End Date]]&gt;tbl_Case_mins[[#This Row],[Surgery Start Date]]),ROUND((#REF!-TIME(0,0,0))*1440,0)+1440,ROUND((#REF!-TIME(0,0,0))*1440,0))</f>
        <v>#REF!</v>
      </c>
      <c r="R331" s="9" t="e">
        <f>IF(AND(ROUND((#REF!-TIME(0,0,0))*1440,0)&gt;0,ROUND((#REF!-TIME(0,0,0))*1440,0)&lt;tbl_Case_mins[[#This Row],[AnaesthStart]],tbl_Case_mins[[#This Row],[Surgery End Date]]&gt;tbl_Case_mins[[#This Row],[Surgery Start Date]]),ROUND((#REF!-TIME(0,0,0))*1440,0)+1440,ROUND((#REF!-TIME(0,0,0))*1440,0))</f>
        <v>#REF!</v>
      </c>
      <c r="S331" s="9" t="e">
        <f>IF(AND(ROUND((#REF!-TIME(0,0,0))*1440,0),ROUND((#REF!-TIME(0,0,0))*1440,0)&lt;tbl_Case_mins[[#This Row],[Surgery Start]],tbl_Case_mins[[#This Row],[Surgery End Date]]&gt;tbl_Case_mins[[#This Row],[Surgery Start Date]]),ROUND((#REF!-TIME(0,0,0))*1440,0)+1440,ROUND((#REF!-TIME(0,0,0))*1440,0))</f>
        <v>#REF!</v>
      </c>
      <c r="T331" s="9" t="e">
        <f>IF(AND(ROUND((#REF!-TIME(0,0,0))*1440,0)&gt;0,ROUND((#REF!-TIME(0,0,0))*1440,0)&lt;tbl_Case_mins[[#This Row],[Surgery Finish]],tbl_Case_mins[[#This Row],[Surgery End Date]]&gt;tbl_Case_mins[[#This Row],[Surgery Start Date]]),ROUND((#REF!-TIME(0,0,0))*1440,0)+1440,ROUND((#REF!-TIME(0,0,0))*1440,0))</f>
        <v>#REF!</v>
      </c>
      <c r="U331" s="9" t="e">
        <f>IF(AND(ROUND((#REF!-TIME(0,0,0))*1440,0)&gt;0,ROUND((#REF!-TIME(0,0,0))*1440,0)&lt;tbl_Case_mins[[#This Row],[Anaesth End]],tbl_Case_mins[[#This Row],[Surgery End Date]]&gt;tbl_Case_mins[[#This Row],[Surgery Start Date]]),ROUND((#REF!-TIME(0,0,0))*1440,0)+1440,ROUND((#REF!-TIME(0,0,0))*1440,0))</f>
        <v>#REF!</v>
      </c>
      <c r="V331" s="9" t="e">
        <f>IF(AND(ROUND((#REF!-TIME(0,0,0))*1440,0)&gt;0,ROUND((#REF!-TIME(0,0,0))*1440,0)&lt;tbl_Case_mins[[#This Row],[Into Recov]],tbl_Case_mins[[#This Row],[Surgery End Date]]&gt;tbl_Case_mins[[#This Row],[Surgery Start Date]]),ROUND((#REF!-TIME(0,0,0))*1440,0)+1440,ROUND((#REF!-TIME(0,0,0))*1440,0))</f>
        <v>#REF!</v>
      </c>
      <c r="W331" s="9" t="e">
        <f>IF(AND(ROUND((#REF!-TIME(0,0,0))*1440,0)&gt;0,ROUND((#REF!-TIME(0,0,0))*1440,0)&lt;tbl_Case_mins[[#This Row],[Ward Called]],tbl_Case_mins[[#This Row],[Surgery End Date]]&gt;tbl_Case_mins[[#This Row],[Surgery Start Date]]),ROUND((#REF!-TIME(0,0,0))*1440,0)+1440,ROUND((#REF!-TIME(0,0,0))*1440,0))</f>
        <v>#REF!</v>
      </c>
      <c r="X331" s="4" t="e">
        <f>IF(ISBLANK(#REF!),tbl_Case_mins[[#This Row],[Surgery Start Date]],#REF!)</f>
        <v>#REF!</v>
      </c>
      <c r="Y331">
        <f>IFERROR(IF(VLOOKUP(tbl_Case_mins[[#This Row],[Theatre]],'Mng Theatres'!$C$7:$G$12,3,FALSE)="Yes","Yes","No"),0)</f>
        <v>0</v>
      </c>
      <c r="Z331" s="9" t="e" cm="1">
        <f t="array" ref="Z33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1" s="9" t="e" cm="1">
        <f t="array" ref="AA33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1" s="9" t="e">
        <f>IF(tbl_Case_mins[[#This Row],[Case Type]]="Unsch",1,0)</f>
        <v>#REF!</v>
      </c>
      <c r="AD331" s="9" t="e">
        <f>IF(tbl_Case_mins[[#This Row],[Case Type]]="Sch",1,0)</f>
        <v>#REF!</v>
      </c>
      <c r="AE33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1" s="9">
        <f>IFERROR(IF(ISBLANK(INDEX(Am_Close,MATCH(1,INDEX((tbl_Case_mins[[#This Row],[Theatre]]=Theatre_No)*(tbl_Case_mins[[#This Row],[Surgery Start Date]]=Date),0,1),0))*1440),0,INDEX(Am_Close,MATCH(1,INDEX((tbl_Case_mins[[#This Row],[Theatre]]=Theatre_No)*(tbl_Case_mins[[#This Row],[Surgery Start Date]]=Date),0,1),0))*1440),0)</f>
        <v>0</v>
      </c>
      <c r="AG331" s="9">
        <f>IFERROR(IF(ISBLANK(INDEX(PM_Open,MATCH(1,INDEX((tbl_Case_mins[[#This Row],[Theatre]]=Theatre_No)*(tbl_Case_mins[[#This Row],[Surgery Start Date]]=Date),0,1),0))*1440),0,INDEX(PM_Open,MATCH(1,INDEX((tbl_Case_mins[[#This Row],[Theatre]]=Theatre_No)*(tbl_Case_mins[[#This Row],[Surgery Start Date]]=Date),0,1),0))*1440),0)</f>
        <v>0</v>
      </c>
      <c r="AH33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1" s="9" t="e">
        <f>IF(tbl_Case_mins[[#This Row],[ThOpenAm]]=0,tbl_Case_mins[[#This Row],[ThOpenPM]],tbl_Case_mins[[#This Row],[ThOpenAm]])</f>
        <v>#REF!</v>
      </c>
      <c r="AJ331" s="9" t="e">
        <f>IF(tbl_Case_mins[[#This Row],[ThCloseAm]]&gt;0,IF(tbl_Case_mins[[#This Row],[ThOpenPM]]&gt;0,tbl_Case_mins[[#This Row],[ThClosePm]],tbl_Case_mins[[#This Row],[ThCloseAm]]),tbl_Case_mins[[#This Row],[ThClosePm]])</f>
        <v>#REF!</v>
      </c>
      <c r="AK331" s="9" t="e">
        <f>IF(tbl_Case_mins[[#This Row],[TOT]]&gt;0,1,0)</f>
        <v>#REF!</v>
      </c>
      <c r="AL33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1" s="9" t="e">
        <f>IF(AND(tbl_Case_mins[[#This Row],[Surgery Status]]&lt;&gt;2,tbl_Case_mins[[#This Row],[InCoreCase]]=0,tbl_Case_mins[[#This Row],[CancelledCase]]=0),1,0)</f>
        <v>#REF!</v>
      </c>
      <c r="AN331" s="9" t="e">
        <f>IF(tbl_Case_mins[[#This Row],[Surgery Status]]=1,1,0)</f>
        <v>#REF!</v>
      </c>
      <c r="AO33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1" s="9" t="e">
        <f>IF(AND(tbl_Case_mins[[#This Row],[NonCoreCase]]=1,tbl_Case_mins[[#This Row],[NoInCoreTime]]=0),1,0)</f>
        <v>#REF!</v>
      </c>
      <c r="AQ331" s="9" t="e">
        <f>IF(tbl_Case_mins[[#This Row],[Rank_AnaEnd]]&lt;tbl_Case_mins[[#This Row],[Rank_AnaSt]],1,0)</f>
        <v>#REF!</v>
      </c>
      <c r="AR331" s="9" t="e">
        <f>IF(AND(tbl_Case_mins[[#This Row],[InCoreCase]]=1,tbl_Case_mins[[#This Row],[Sch]]=1),1,0)</f>
        <v>#REF!</v>
      </c>
      <c r="AS331" s="9" t="e">
        <f>IF(AND(tbl_Case_mins[[#This Row],[InCoreCase]]=1,tbl_Case_mins[[#This Row],[Unsch]]=1),1,0)</f>
        <v>#REF!</v>
      </c>
      <c r="AT33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1" s="9" t="e">
        <f>IF(tbl_Case_mins[[#This Row],[Surgery Status]]=0,(tbl_Case_mins[[#This Row],[Anaesth End]]-tbl_Case_mins[[#This Row],[AnaesthStart]]),0)</f>
        <v>#REF!</v>
      </c>
      <c r="AX331" s="9" t="e">
        <f>IF(tbl_Case_mins[[#This Row],[Surgery Status]]=0,(tbl_Case_mins[[#This Row],[Surgery Finish]]-tbl_Case_mins[[#This Row],[Surgery Start]]),0)</f>
        <v>#REF!</v>
      </c>
      <c r="AY331" s="9" t="e">
        <f>tbl_Case_mins[[#This Row],[Surgery Start]]-tbl_Case_mins[[#This Row],[AnaesthStart]]</f>
        <v>#REF!</v>
      </c>
      <c r="AZ331" s="9" t="e">
        <f>tbl_Case_mins[[#This Row],[Anaesth End]]-tbl_Case_mins[[#This Row],[Surgery Finish]]</f>
        <v>#REF!</v>
      </c>
      <c r="BA33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1" s="16" cm="1">
        <f t="array" ref="BC33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1" s="16" t="e">
        <f>IF(AND(tbl_Case_mins[[#This Row],[FirstAMCase]]=1,tbl_Case_mins[[#This Row],[CancelledCase]]=0,OR(tbl_Case_mins[[#This Row],[EarlyStartAM]]&gt;0,tbl_Case_mins[[#This Row],[AnaesthStart]]=tbl_Case_mins[[#This Row],[ThOpenAm]])),1,0)</f>
        <v>#REF!</v>
      </c>
      <c r="BE331" s="16" t="e">
        <f>IF(AND(tbl_Case_mins[[#This Row],[Rank_AnaSt]]=tbl_Case_mins[[#This Row],[Min_RankAnaSt]],tbl_Case_mins[[#This Row],[Anaesth End]]&gt;=tbl_Case_mins[[#This Row],[ThOpenAm]],tbl_Case_mins[[#This Row],[PmCase]]=0),1,0)</f>
        <v>#REF!</v>
      </c>
      <c r="BF33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1" s="9" t="e" cm="1">
        <f t="array" ref="BH33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1" s="9" t="e">
        <f>IF(AND(tbl_Case_mins[[#This Row],[ThOpenPM]]&gt;0,tbl_Case_mins[[#This Row],[AnaesthStart]]&gt;tbl_Case_mins[[#This Row],[ThOpenPM]],tbl_Case_mins[[#This Row],[First PM Case]]=1),tbl_Case_mins[[#This Row],[AnaesthStart]]-tbl_Case_mins[[#This Row],[ThOpenPM]],0)</f>
        <v>#REF!</v>
      </c>
      <c r="BL33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1" s="9" t="e" cm="1">
        <f t="array" ref="BN33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1" s="9" t="e">
        <f>IF(AND(tbl_Case_mins[[#This Row],[ThClosePm]]&gt;0,tbl_Case_mins[[#This Row],[Anaesth End]]&gt;tbl_Case_mins[[#This Row],[ThClosePm]],tbl_Case_mins[[#This Row],[AnaesthStart]]&gt;tbl_Case_mins[[#This Row],[ThClosePm]]),tbl_Case_mins[[#This Row],[Into Recov]]-tbl_Case_mins[[#This Row],[AnaesthStart]],0)</f>
        <v>#REF!</v>
      </c>
      <c r="BP331" s="9" t="e">
        <f>IF(AND(tbl_Case_mins[[#This Row],[AnaesthStart]]&lt;tbl_Case_mins[[#This Row],[ThClosePm]],tbl_Case_mins[[#This Row],[Anaesth End]]&gt;tbl_Case_mins[[#This Row],[ThClosePm]]),tbl_Case_mins[[#This Row],[Anaesth End]]-tbl_Case_mins[[#This Row],[ThClosePm]],0)</f>
        <v>#REF!</v>
      </c>
      <c r="BQ331" s="9" t="e" cm="1">
        <f t="array" ref="BQ33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1" s="9" t="e" cm="1">
        <f t="array" ref="BR331">IF(tbl_Case_mins[[#This Row],[Rank_Adjust]]=SUMPRODUCT(-(tbl_Case_mins[Surgery Start Date]=tbl_Case_mins[[#This Row],[Surgery Start Date]]),-(tbl_Case_mins[Theatre]=tbl_Case_mins[[#This Row],[Theatre]])),INDEX(Poss_Time,MATCH(TEXT(tbl_Case_mins[[#This Row],[Surgery Start Date]],"ddd"),Day,0)),0)</f>
        <v>#REF!</v>
      </c>
      <c r="BS331" s="9" t="e">
        <f>tbl_Case_mins[[#This Row],[Core_Time]]*Util_Goal</f>
        <v>#REF!</v>
      </c>
      <c r="BT331" s="9" t="e" cm="1">
        <f t="array" ref="BT3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1" s="9" t="e" cm="1">
        <f t="array" ref="BU3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1" s="9" t="e">
        <f>IF(tbl_Case_mins[[#This Row],[Surgery End Date]]&gt;tbl_Case_mins[[#This Row],[Surgery Start Date]],tbl_Case_mins[[#This Row],[Anaesth End]]-1440,0)</f>
        <v>#REF!</v>
      </c>
      <c r="BY331" s="9" t="e">
        <f>tbl_Case_mins[[#This Row],[Total_NonCore]]-tbl_Case_mins[[#This Row],[NextDay_NonCore]]</f>
        <v>#REF!</v>
      </c>
      <c r="BZ331" s="10" t="e">
        <f>tbl_Case_mins[[#This Row],[InCoreUse]]/60</f>
        <v>#REF!</v>
      </c>
      <c r="CA331" s="10" t="e">
        <f>tbl_Case_mins[[#This Row],[Total_NonCore]]/60</f>
        <v>#REF!</v>
      </c>
      <c r="CB331" t="e" cm="1">
        <f t="array" ref="CB3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1" s="9" t="e" cm="1">
        <f t="array" ref="CC33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1" s="9" t="e" cm="1">
        <f t="array" ref="CD3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1" s="9" t="e" cm="1">
        <f t="array" ref="CE33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1" s="9" cm="1">
        <f t="array" ref="CF331">IFERROR(_xlfn.AGGREGATE(14,6,(tbl_Case_mins[Rank_AnaEnd])/((tbl_Case_mins[Surgery Start Date]=tbl_Case_mins[[#This Row],[Surgery Start Date]])*(tbl_Case_mins[Theatre]=tbl_Case_mins[[#This Row],[Theatre]])*(tbl_Case_mins[NoInCoreTime]=0)),1),-1)</f>
        <v>-1</v>
      </c>
      <c r="CG331" s="9" cm="1">
        <f t="array" ref="CG331">IFERROR(_xlfn.AGGREGATE(15,6,(tbl_Case_mins[Rank_AnaSt])/((tbl_Case_mins[Surgery Start Date]=tbl_Case_mins[[#This Row],[Surgery Start Date]])*(tbl_Case_mins[Theatre]=tbl_Case_mins[[#This Row],[Theatre]])*(tbl_Case_mins[NoInCoreTime]=0)),1),-1)</f>
        <v>-1</v>
      </c>
      <c r="CH33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1" t="e" cm="1">
        <f t="array" ref="CJ33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1" s="9" cm="1">
        <f t="array" ref="CO3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1" s="9" cm="1">
        <f t="array" ref="CP3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1" s="9" cm="1">
        <f t="array" ref="CQ331">IFERROR(IF(AND(tbl_Case_mins[[#This Row],[FirstAMCase]]=0,tbl_Case_mins[[#This Row],[Rank]]=_xlfn.AGGREGATE(14,6,(tbl_Case_mins[Rank])/((tbl_Case_mins[Surgery Start Date]=tbl_Case_mins[[#This Row],[Surgery Start Date]])*(tbl_Case_mins[Theatre]=tbl_Case_mins[[#This Row],[Theatre]])*(tbl_Case_mins[AmCase]=1)),1)),1,0),0)</f>
        <v>0</v>
      </c>
      <c r="CR331" s="9" cm="1">
        <f t="array" ref="CR33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1" s="9" t="e" cm="1">
        <f t="array" ref="CS33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1" s="9" cm="1">
        <f t="array" ref="CT331">IFERROR(IF(tbl_Case_mins[[#This Row],[Rank]]=_xlfn.AGGREGATE(15,6,(tbl_Case_mins[Rank])/((tbl_Case_mins[Surgery Start Date]=tbl_Case_mins[[#This Row],[Surgery Start Date]])*(tbl_Case_mins[Theatre]=tbl_Case_mins[[#This Row],[Theatre]])*(tbl_Case_mins[PmCase]=1)),1),1,0),0)</f>
        <v>0</v>
      </c>
      <c r="CU331">
        <f>IFERROR(#REF!,0)</f>
        <v>0</v>
      </c>
      <c r="CV331" s="9" t="e" cm="1">
        <f t="array" ref="CV33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1" s="9">
        <f>IFERROR(IF(ISBLANK(INDEX(Bay_AmClose,MATCH(1,INDEX((tbl_Case_mins[[#This Row],[Bay]]=BayNo)*(tbl_Case_mins[[#This Row],[Surgery Start Date]]=BDate),0,1),0))*1440),0,INDEX(Bay_AmClose,MATCH(1,INDEX((tbl_Case_mins[[#This Row],[Bay]]=BayNo)*(tbl_Case_mins[[#This Row],[Surgery Start Date]]=BDate),0,1),0))*1440),0)</f>
        <v>0</v>
      </c>
      <c r="CX331" s="9" cm="1">
        <f t="array" ref="CX331">IFERROR(IF(ISBLANK(INDEX(Bay_PmOpen,MATCH(1,INDEX((tbl_Case_mins[[#This Row],[Bay]]=BayNo)*(tbl_Case_mins[[#This Row],[Surgery Start Date]]=BDate),0,1),0))*1440),0,INDEX(Bay_PmOpen,MATCH(1,INDEX((tbl_Case_mins[[#This Row],[Bay]]=BayNo)*(tbl_Case_mins[[#This Row],[Surgery Start Date]]=BDate),0,1),0))*1440),0)</f>
        <v>0</v>
      </c>
      <c r="CY33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1" s="9"/>
    </row>
    <row r="332" spans="1:104" x14ac:dyDescent="0.2">
      <c r="A332">
        <v>331</v>
      </c>
      <c r="B332" t="e">
        <f>#REF!</f>
        <v>#REF!</v>
      </c>
      <c r="C332" t="e">
        <f>#REF!</f>
        <v>#REF!</v>
      </c>
      <c r="D332" t="e">
        <f>#REF!</f>
        <v>#REF!</v>
      </c>
      <c r="E332" t="e">
        <f>#REF!</f>
        <v>#REF!</v>
      </c>
      <c r="F332" t="e">
        <f>#REF!</f>
        <v>#REF!</v>
      </c>
      <c r="G332" t="e">
        <f>#REF!</f>
        <v>#REF!</v>
      </c>
      <c r="H332" t="e">
        <f>#REF!</f>
        <v>#REF!</v>
      </c>
      <c r="I332" t="e">
        <f>IF(#REF!="Case Cancelled",1,IF(#REF!="No Cases",2,0))</f>
        <v>#REF!</v>
      </c>
      <c r="J332" t="e">
        <f>#REF!</f>
        <v>#REF!</v>
      </c>
      <c r="K332" s="4" t="e">
        <f>#REF!</f>
        <v>#REF!</v>
      </c>
      <c r="L332" t="e">
        <f>"Wk "&amp;WEEKNUM(tbl_Case_mins[[#This Row],[Surgery Start Date]],21)</f>
        <v>#REF!</v>
      </c>
      <c r="M332" t="e">
        <f>TEXT(tbl_Case_mins[[#This Row],[Surgery Start Date]],"ddd")</f>
        <v>#REF!</v>
      </c>
      <c r="N332" s="9" t="e">
        <f>(#REF!-TIME(0,0,0))*1440</f>
        <v>#REF!</v>
      </c>
      <c r="O332" t="e">
        <f>IF(AND(ROUND((#REF!-TIME(0,0,0))*1440,0)&gt;0,ROUND((#REF!-TIME(0,0,0))*1440,0)&lt;tbl_Case_mins[[#This Row],[Patient Called]],tbl_Case_mins[[#This Row],[Surgery End Date]]&gt;tbl_Case_mins[[#This Row],[Surgery Start Date]]),ROUND((#REF!-TIME(0,0,0))*1440,0)+1440,ROUND((#REF!-TIME(0,0,0))*1440,0))</f>
        <v>#REF!</v>
      </c>
      <c r="P332" s="9" t="e">
        <f>IF(AND(ROUND((#REF!-TIME(0,0,0))*1440,0)&gt;0,ROUND((#REF!-TIME(0,0,0))*1440,0)&lt;tbl_Case_mins[[#This Row],[Arrival]],tbl_Case_mins[[#This Row],[Surgery End Date]]&gt;tbl_Case_mins[[#This Row],[Surgery Start Date]]),ROUND((#REF!-TIME(0,0,0))*1440,0)+1440,ROUND((#REF!-TIME(0,0,0))*1440,0))</f>
        <v>#REF!</v>
      </c>
      <c r="Q332" s="9" t="e">
        <f>IF(AND(ROUND((#REF!-TIME(0,0,0))*1440,0)&gt;0,ROUND((#REF!-TIME(0,0,0))*1440,0)&lt;tbl_Case_mins[[#This Row],[Into Th or AR]],tbl_Case_mins[[#This Row],[Surgery End Date]]&gt;tbl_Case_mins[[#This Row],[Surgery Start Date]]),ROUND((#REF!-TIME(0,0,0))*1440,0)+1440,ROUND((#REF!-TIME(0,0,0))*1440,0))</f>
        <v>#REF!</v>
      </c>
      <c r="R332" s="9" t="e">
        <f>IF(AND(ROUND((#REF!-TIME(0,0,0))*1440,0)&gt;0,ROUND((#REF!-TIME(0,0,0))*1440,0)&lt;tbl_Case_mins[[#This Row],[AnaesthStart]],tbl_Case_mins[[#This Row],[Surgery End Date]]&gt;tbl_Case_mins[[#This Row],[Surgery Start Date]]),ROUND((#REF!-TIME(0,0,0))*1440,0)+1440,ROUND((#REF!-TIME(0,0,0))*1440,0))</f>
        <v>#REF!</v>
      </c>
      <c r="S332" s="9" t="e">
        <f>IF(AND(ROUND((#REF!-TIME(0,0,0))*1440,0),ROUND((#REF!-TIME(0,0,0))*1440,0)&lt;tbl_Case_mins[[#This Row],[Surgery Start]],tbl_Case_mins[[#This Row],[Surgery End Date]]&gt;tbl_Case_mins[[#This Row],[Surgery Start Date]]),ROUND((#REF!-TIME(0,0,0))*1440,0)+1440,ROUND((#REF!-TIME(0,0,0))*1440,0))</f>
        <v>#REF!</v>
      </c>
      <c r="T332" s="9" t="e">
        <f>IF(AND(ROUND((#REF!-TIME(0,0,0))*1440,0)&gt;0,ROUND((#REF!-TIME(0,0,0))*1440,0)&lt;tbl_Case_mins[[#This Row],[Surgery Finish]],tbl_Case_mins[[#This Row],[Surgery End Date]]&gt;tbl_Case_mins[[#This Row],[Surgery Start Date]]),ROUND((#REF!-TIME(0,0,0))*1440,0)+1440,ROUND((#REF!-TIME(0,0,0))*1440,0))</f>
        <v>#REF!</v>
      </c>
      <c r="U332" s="9" t="e">
        <f>IF(AND(ROUND((#REF!-TIME(0,0,0))*1440,0)&gt;0,ROUND((#REF!-TIME(0,0,0))*1440,0)&lt;tbl_Case_mins[[#This Row],[Anaesth End]],tbl_Case_mins[[#This Row],[Surgery End Date]]&gt;tbl_Case_mins[[#This Row],[Surgery Start Date]]),ROUND((#REF!-TIME(0,0,0))*1440,0)+1440,ROUND((#REF!-TIME(0,0,0))*1440,0))</f>
        <v>#REF!</v>
      </c>
      <c r="V332" s="9" t="e">
        <f>IF(AND(ROUND((#REF!-TIME(0,0,0))*1440,0)&gt;0,ROUND((#REF!-TIME(0,0,0))*1440,0)&lt;tbl_Case_mins[[#This Row],[Into Recov]],tbl_Case_mins[[#This Row],[Surgery End Date]]&gt;tbl_Case_mins[[#This Row],[Surgery Start Date]]),ROUND((#REF!-TIME(0,0,0))*1440,0)+1440,ROUND((#REF!-TIME(0,0,0))*1440,0))</f>
        <v>#REF!</v>
      </c>
      <c r="W332" s="9" t="e">
        <f>IF(AND(ROUND((#REF!-TIME(0,0,0))*1440,0)&gt;0,ROUND((#REF!-TIME(0,0,0))*1440,0)&lt;tbl_Case_mins[[#This Row],[Ward Called]],tbl_Case_mins[[#This Row],[Surgery End Date]]&gt;tbl_Case_mins[[#This Row],[Surgery Start Date]]),ROUND((#REF!-TIME(0,0,0))*1440,0)+1440,ROUND((#REF!-TIME(0,0,0))*1440,0))</f>
        <v>#REF!</v>
      </c>
      <c r="X332" s="4" t="e">
        <f>IF(ISBLANK(#REF!),tbl_Case_mins[[#This Row],[Surgery Start Date]],#REF!)</f>
        <v>#REF!</v>
      </c>
      <c r="Y332">
        <f>IFERROR(IF(VLOOKUP(tbl_Case_mins[[#This Row],[Theatre]],'Mng Theatres'!$C$7:$G$12,3,FALSE)="Yes","Yes","No"),0)</f>
        <v>0</v>
      </c>
      <c r="Z332" s="9" t="e" cm="1">
        <f t="array" ref="Z33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2" s="9" t="e" cm="1">
        <f t="array" ref="AA33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2" s="9" t="e">
        <f>IF(tbl_Case_mins[[#This Row],[Case Type]]="Unsch",1,0)</f>
        <v>#REF!</v>
      </c>
      <c r="AD332" s="9" t="e">
        <f>IF(tbl_Case_mins[[#This Row],[Case Type]]="Sch",1,0)</f>
        <v>#REF!</v>
      </c>
      <c r="AE33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2" s="9">
        <f>IFERROR(IF(ISBLANK(INDEX(Am_Close,MATCH(1,INDEX((tbl_Case_mins[[#This Row],[Theatre]]=Theatre_No)*(tbl_Case_mins[[#This Row],[Surgery Start Date]]=Date),0,1),0))*1440),0,INDEX(Am_Close,MATCH(1,INDEX((tbl_Case_mins[[#This Row],[Theatre]]=Theatre_No)*(tbl_Case_mins[[#This Row],[Surgery Start Date]]=Date),0,1),0))*1440),0)</f>
        <v>0</v>
      </c>
      <c r="AG332" s="9">
        <f>IFERROR(IF(ISBLANK(INDEX(PM_Open,MATCH(1,INDEX((tbl_Case_mins[[#This Row],[Theatre]]=Theatre_No)*(tbl_Case_mins[[#This Row],[Surgery Start Date]]=Date),0,1),0))*1440),0,INDEX(PM_Open,MATCH(1,INDEX((tbl_Case_mins[[#This Row],[Theatre]]=Theatre_No)*(tbl_Case_mins[[#This Row],[Surgery Start Date]]=Date),0,1),0))*1440),0)</f>
        <v>0</v>
      </c>
      <c r="AH33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2" s="9" t="e">
        <f>IF(tbl_Case_mins[[#This Row],[ThOpenAm]]=0,tbl_Case_mins[[#This Row],[ThOpenPM]],tbl_Case_mins[[#This Row],[ThOpenAm]])</f>
        <v>#REF!</v>
      </c>
      <c r="AJ332" s="9" t="e">
        <f>IF(tbl_Case_mins[[#This Row],[ThCloseAm]]&gt;0,IF(tbl_Case_mins[[#This Row],[ThOpenPM]]&gt;0,tbl_Case_mins[[#This Row],[ThClosePm]],tbl_Case_mins[[#This Row],[ThCloseAm]]),tbl_Case_mins[[#This Row],[ThClosePm]])</f>
        <v>#REF!</v>
      </c>
      <c r="AK332" s="9" t="e">
        <f>IF(tbl_Case_mins[[#This Row],[TOT]]&gt;0,1,0)</f>
        <v>#REF!</v>
      </c>
      <c r="AL33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2" s="9" t="e">
        <f>IF(AND(tbl_Case_mins[[#This Row],[Surgery Status]]&lt;&gt;2,tbl_Case_mins[[#This Row],[InCoreCase]]=0,tbl_Case_mins[[#This Row],[CancelledCase]]=0),1,0)</f>
        <v>#REF!</v>
      </c>
      <c r="AN332" s="9" t="e">
        <f>IF(tbl_Case_mins[[#This Row],[Surgery Status]]=1,1,0)</f>
        <v>#REF!</v>
      </c>
      <c r="AO33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2" s="9" t="e">
        <f>IF(AND(tbl_Case_mins[[#This Row],[NonCoreCase]]=1,tbl_Case_mins[[#This Row],[NoInCoreTime]]=0),1,0)</f>
        <v>#REF!</v>
      </c>
      <c r="AQ332" s="9" t="e">
        <f>IF(tbl_Case_mins[[#This Row],[Rank_AnaEnd]]&lt;tbl_Case_mins[[#This Row],[Rank_AnaSt]],1,0)</f>
        <v>#REF!</v>
      </c>
      <c r="AR332" s="9" t="e">
        <f>IF(AND(tbl_Case_mins[[#This Row],[InCoreCase]]=1,tbl_Case_mins[[#This Row],[Sch]]=1),1,0)</f>
        <v>#REF!</v>
      </c>
      <c r="AS332" s="9" t="e">
        <f>IF(AND(tbl_Case_mins[[#This Row],[InCoreCase]]=1,tbl_Case_mins[[#This Row],[Unsch]]=1),1,0)</f>
        <v>#REF!</v>
      </c>
      <c r="AT33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2" s="9" t="e">
        <f>IF(tbl_Case_mins[[#This Row],[Surgery Status]]=0,(tbl_Case_mins[[#This Row],[Anaesth End]]-tbl_Case_mins[[#This Row],[AnaesthStart]]),0)</f>
        <v>#REF!</v>
      </c>
      <c r="AX332" s="9" t="e">
        <f>IF(tbl_Case_mins[[#This Row],[Surgery Status]]=0,(tbl_Case_mins[[#This Row],[Surgery Finish]]-tbl_Case_mins[[#This Row],[Surgery Start]]),0)</f>
        <v>#REF!</v>
      </c>
      <c r="AY332" s="9" t="e">
        <f>tbl_Case_mins[[#This Row],[Surgery Start]]-tbl_Case_mins[[#This Row],[AnaesthStart]]</f>
        <v>#REF!</v>
      </c>
      <c r="AZ332" s="9" t="e">
        <f>tbl_Case_mins[[#This Row],[Anaesth End]]-tbl_Case_mins[[#This Row],[Surgery Finish]]</f>
        <v>#REF!</v>
      </c>
      <c r="BA33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2" s="16" cm="1">
        <f t="array" ref="BC33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2" s="16" t="e">
        <f>IF(AND(tbl_Case_mins[[#This Row],[FirstAMCase]]=1,tbl_Case_mins[[#This Row],[CancelledCase]]=0,OR(tbl_Case_mins[[#This Row],[EarlyStartAM]]&gt;0,tbl_Case_mins[[#This Row],[AnaesthStart]]=tbl_Case_mins[[#This Row],[ThOpenAm]])),1,0)</f>
        <v>#REF!</v>
      </c>
      <c r="BE332" s="16" t="e">
        <f>IF(AND(tbl_Case_mins[[#This Row],[Rank_AnaSt]]=tbl_Case_mins[[#This Row],[Min_RankAnaSt]],tbl_Case_mins[[#This Row],[Anaesth End]]&gt;=tbl_Case_mins[[#This Row],[ThOpenAm]],tbl_Case_mins[[#This Row],[PmCase]]=0),1,0)</f>
        <v>#REF!</v>
      </c>
      <c r="BF33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2" s="9" t="e" cm="1">
        <f t="array" ref="BH33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2" s="9" t="e">
        <f>IF(AND(tbl_Case_mins[[#This Row],[ThOpenPM]]&gt;0,tbl_Case_mins[[#This Row],[AnaesthStart]]&gt;tbl_Case_mins[[#This Row],[ThOpenPM]],tbl_Case_mins[[#This Row],[First PM Case]]=1),tbl_Case_mins[[#This Row],[AnaesthStart]]-tbl_Case_mins[[#This Row],[ThOpenPM]],0)</f>
        <v>#REF!</v>
      </c>
      <c r="BL33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2" s="9" t="e" cm="1">
        <f t="array" ref="BN33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2" s="9" t="e">
        <f>IF(AND(tbl_Case_mins[[#This Row],[ThClosePm]]&gt;0,tbl_Case_mins[[#This Row],[Anaesth End]]&gt;tbl_Case_mins[[#This Row],[ThClosePm]],tbl_Case_mins[[#This Row],[AnaesthStart]]&gt;tbl_Case_mins[[#This Row],[ThClosePm]]),tbl_Case_mins[[#This Row],[Into Recov]]-tbl_Case_mins[[#This Row],[AnaesthStart]],0)</f>
        <v>#REF!</v>
      </c>
      <c r="BP332" s="9" t="e">
        <f>IF(AND(tbl_Case_mins[[#This Row],[AnaesthStart]]&lt;tbl_Case_mins[[#This Row],[ThClosePm]],tbl_Case_mins[[#This Row],[Anaesth End]]&gt;tbl_Case_mins[[#This Row],[ThClosePm]]),tbl_Case_mins[[#This Row],[Anaesth End]]-tbl_Case_mins[[#This Row],[ThClosePm]],0)</f>
        <v>#REF!</v>
      </c>
      <c r="BQ332" s="9" t="e" cm="1">
        <f t="array" ref="BQ33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2" s="9" t="e" cm="1">
        <f t="array" ref="BR332">IF(tbl_Case_mins[[#This Row],[Rank_Adjust]]=SUMPRODUCT(-(tbl_Case_mins[Surgery Start Date]=tbl_Case_mins[[#This Row],[Surgery Start Date]]),-(tbl_Case_mins[Theatre]=tbl_Case_mins[[#This Row],[Theatre]])),INDEX(Poss_Time,MATCH(TEXT(tbl_Case_mins[[#This Row],[Surgery Start Date]],"ddd"),Day,0)),0)</f>
        <v>#REF!</v>
      </c>
      <c r="BS332" s="9" t="e">
        <f>tbl_Case_mins[[#This Row],[Core_Time]]*Util_Goal</f>
        <v>#REF!</v>
      </c>
      <c r="BT332" s="9" t="e" cm="1">
        <f t="array" ref="BT3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2" s="9" t="e" cm="1">
        <f t="array" ref="BU3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2" s="9" t="e">
        <f>IF(tbl_Case_mins[[#This Row],[Surgery End Date]]&gt;tbl_Case_mins[[#This Row],[Surgery Start Date]],tbl_Case_mins[[#This Row],[Anaesth End]]-1440,0)</f>
        <v>#REF!</v>
      </c>
      <c r="BY332" s="9" t="e">
        <f>tbl_Case_mins[[#This Row],[Total_NonCore]]-tbl_Case_mins[[#This Row],[NextDay_NonCore]]</f>
        <v>#REF!</v>
      </c>
      <c r="BZ332" s="10" t="e">
        <f>tbl_Case_mins[[#This Row],[InCoreUse]]/60</f>
        <v>#REF!</v>
      </c>
      <c r="CA332" s="10" t="e">
        <f>tbl_Case_mins[[#This Row],[Total_NonCore]]/60</f>
        <v>#REF!</v>
      </c>
      <c r="CB332" t="e" cm="1">
        <f t="array" ref="CB3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2" s="9" t="e" cm="1">
        <f t="array" ref="CC33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2" s="9" t="e" cm="1">
        <f t="array" ref="CD3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2" s="9" t="e" cm="1">
        <f t="array" ref="CE33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2" s="9" cm="1">
        <f t="array" ref="CF332">IFERROR(_xlfn.AGGREGATE(14,6,(tbl_Case_mins[Rank_AnaEnd])/((tbl_Case_mins[Surgery Start Date]=tbl_Case_mins[[#This Row],[Surgery Start Date]])*(tbl_Case_mins[Theatre]=tbl_Case_mins[[#This Row],[Theatre]])*(tbl_Case_mins[NoInCoreTime]=0)),1),-1)</f>
        <v>-1</v>
      </c>
      <c r="CG332" s="9" cm="1">
        <f t="array" ref="CG332">IFERROR(_xlfn.AGGREGATE(15,6,(tbl_Case_mins[Rank_AnaSt])/((tbl_Case_mins[Surgery Start Date]=tbl_Case_mins[[#This Row],[Surgery Start Date]])*(tbl_Case_mins[Theatre]=tbl_Case_mins[[#This Row],[Theatre]])*(tbl_Case_mins[NoInCoreTime]=0)),1),-1)</f>
        <v>-1</v>
      </c>
      <c r="CH33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2" t="e" cm="1">
        <f t="array" ref="CJ33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2" s="9" cm="1">
        <f t="array" ref="CO3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2" s="9" cm="1">
        <f t="array" ref="CP3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2" s="9" cm="1">
        <f t="array" ref="CQ332">IFERROR(IF(AND(tbl_Case_mins[[#This Row],[FirstAMCase]]=0,tbl_Case_mins[[#This Row],[Rank]]=_xlfn.AGGREGATE(14,6,(tbl_Case_mins[Rank])/((tbl_Case_mins[Surgery Start Date]=tbl_Case_mins[[#This Row],[Surgery Start Date]])*(tbl_Case_mins[Theatre]=tbl_Case_mins[[#This Row],[Theatre]])*(tbl_Case_mins[AmCase]=1)),1)),1,0),0)</f>
        <v>0</v>
      </c>
      <c r="CR332" s="9" cm="1">
        <f t="array" ref="CR33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2" s="9" t="e" cm="1">
        <f t="array" ref="CS33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2" s="9" cm="1">
        <f t="array" ref="CT332">IFERROR(IF(tbl_Case_mins[[#This Row],[Rank]]=_xlfn.AGGREGATE(15,6,(tbl_Case_mins[Rank])/((tbl_Case_mins[Surgery Start Date]=tbl_Case_mins[[#This Row],[Surgery Start Date]])*(tbl_Case_mins[Theatre]=tbl_Case_mins[[#This Row],[Theatre]])*(tbl_Case_mins[PmCase]=1)),1),1,0),0)</f>
        <v>0</v>
      </c>
      <c r="CU332">
        <f>IFERROR(#REF!,0)</f>
        <v>0</v>
      </c>
      <c r="CV332" s="9" t="e" cm="1">
        <f t="array" ref="CV33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2" s="9">
        <f>IFERROR(IF(ISBLANK(INDEX(Bay_AmClose,MATCH(1,INDEX((tbl_Case_mins[[#This Row],[Bay]]=BayNo)*(tbl_Case_mins[[#This Row],[Surgery Start Date]]=BDate),0,1),0))*1440),0,INDEX(Bay_AmClose,MATCH(1,INDEX((tbl_Case_mins[[#This Row],[Bay]]=BayNo)*(tbl_Case_mins[[#This Row],[Surgery Start Date]]=BDate),0,1),0))*1440),0)</f>
        <v>0</v>
      </c>
      <c r="CX332" s="9" cm="1">
        <f t="array" ref="CX332">IFERROR(IF(ISBLANK(INDEX(Bay_PmOpen,MATCH(1,INDEX((tbl_Case_mins[[#This Row],[Bay]]=BayNo)*(tbl_Case_mins[[#This Row],[Surgery Start Date]]=BDate),0,1),0))*1440),0,INDEX(Bay_PmOpen,MATCH(1,INDEX((tbl_Case_mins[[#This Row],[Bay]]=BayNo)*(tbl_Case_mins[[#This Row],[Surgery Start Date]]=BDate),0,1),0))*1440),0)</f>
        <v>0</v>
      </c>
      <c r="CY33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2" s="9"/>
    </row>
    <row r="333" spans="1:104" x14ac:dyDescent="0.2">
      <c r="A333">
        <v>332</v>
      </c>
      <c r="B333" t="e">
        <f>#REF!</f>
        <v>#REF!</v>
      </c>
      <c r="C333" t="e">
        <f>#REF!</f>
        <v>#REF!</v>
      </c>
      <c r="D333" t="e">
        <f>#REF!</f>
        <v>#REF!</v>
      </c>
      <c r="E333" t="e">
        <f>#REF!</f>
        <v>#REF!</v>
      </c>
      <c r="F333" t="e">
        <f>#REF!</f>
        <v>#REF!</v>
      </c>
      <c r="G333" t="e">
        <f>#REF!</f>
        <v>#REF!</v>
      </c>
      <c r="H333" t="e">
        <f>#REF!</f>
        <v>#REF!</v>
      </c>
      <c r="I333" t="e">
        <f>IF(#REF!="Case Cancelled",1,IF(#REF!="No Cases",2,0))</f>
        <v>#REF!</v>
      </c>
      <c r="J333" t="e">
        <f>#REF!</f>
        <v>#REF!</v>
      </c>
      <c r="K333" s="4" t="e">
        <f>#REF!</f>
        <v>#REF!</v>
      </c>
      <c r="L333" t="e">
        <f>"Wk "&amp;WEEKNUM(tbl_Case_mins[[#This Row],[Surgery Start Date]],21)</f>
        <v>#REF!</v>
      </c>
      <c r="M333" t="e">
        <f>TEXT(tbl_Case_mins[[#This Row],[Surgery Start Date]],"ddd")</f>
        <v>#REF!</v>
      </c>
      <c r="N333" s="9" t="e">
        <f>(#REF!-TIME(0,0,0))*1440</f>
        <v>#REF!</v>
      </c>
      <c r="O333" t="e">
        <f>IF(AND(ROUND((#REF!-TIME(0,0,0))*1440,0)&gt;0,ROUND((#REF!-TIME(0,0,0))*1440,0)&lt;tbl_Case_mins[[#This Row],[Patient Called]],tbl_Case_mins[[#This Row],[Surgery End Date]]&gt;tbl_Case_mins[[#This Row],[Surgery Start Date]]),ROUND((#REF!-TIME(0,0,0))*1440,0)+1440,ROUND((#REF!-TIME(0,0,0))*1440,0))</f>
        <v>#REF!</v>
      </c>
      <c r="P333" s="9" t="e">
        <f>IF(AND(ROUND((#REF!-TIME(0,0,0))*1440,0)&gt;0,ROUND((#REF!-TIME(0,0,0))*1440,0)&lt;tbl_Case_mins[[#This Row],[Arrival]],tbl_Case_mins[[#This Row],[Surgery End Date]]&gt;tbl_Case_mins[[#This Row],[Surgery Start Date]]),ROUND((#REF!-TIME(0,0,0))*1440,0)+1440,ROUND((#REF!-TIME(0,0,0))*1440,0))</f>
        <v>#REF!</v>
      </c>
      <c r="Q333" s="9" t="e">
        <f>IF(AND(ROUND((#REF!-TIME(0,0,0))*1440,0)&gt;0,ROUND((#REF!-TIME(0,0,0))*1440,0)&lt;tbl_Case_mins[[#This Row],[Into Th or AR]],tbl_Case_mins[[#This Row],[Surgery End Date]]&gt;tbl_Case_mins[[#This Row],[Surgery Start Date]]),ROUND((#REF!-TIME(0,0,0))*1440,0)+1440,ROUND((#REF!-TIME(0,0,0))*1440,0))</f>
        <v>#REF!</v>
      </c>
      <c r="R333" s="9" t="e">
        <f>IF(AND(ROUND((#REF!-TIME(0,0,0))*1440,0)&gt;0,ROUND((#REF!-TIME(0,0,0))*1440,0)&lt;tbl_Case_mins[[#This Row],[AnaesthStart]],tbl_Case_mins[[#This Row],[Surgery End Date]]&gt;tbl_Case_mins[[#This Row],[Surgery Start Date]]),ROUND((#REF!-TIME(0,0,0))*1440,0)+1440,ROUND((#REF!-TIME(0,0,0))*1440,0))</f>
        <v>#REF!</v>
      </c>
      <c r="S333" s="9" t="e">
        <f>IF(AND(ROUND((#REF!-TIME(0,0,0))*1440,0),ROUND((#REF!-TIME(0,0,0))*1440,0)&lt;tbl_Case_mins[[#This Row],[Surgery Start]],tbl_Case_mins[[#This Row],[Surgery End Date]]&gt;tbl_Case_mins[[#This Row],[Surgery Start Date]]),ROUND((#REF!-TIME(0,0,0))*1440,0)+1440,ROUND((#REF!-TIME(0,0,0))*1440,0))</f>
        <v>#REF!</v>
      </c>
      <c r="T333" s="9" t="e">
        <f>IF(AND(ROUND((#REF!-TIME(0,0,0))*1440,0)&gt;0,ROUND((#REF!-TIME(0,0,0))*1440,0)&lt;tbl_Case_mins[[#This Row],[Surgery Finish]],tbl_Case_mins[[#This Row],[Surgery End Date]]&gt;tbl_Case_mins[[#This Row],[Surgery Start Date]]),ROUND((#REF!-TIME(0,0,0))*1440,0)+1440,ROUND((#REF!-TIME(0,0,0))*1440,0))</f>
        <v>#REF!</v>
      </c>
      <c r="U333" s="9" t="e">
        <f>IF(AND(ROUND((#REF!-TIME(0,0,0))*1440,0)&gt;0,ROUND((#REF!-TIME(0,0,0))*1440,0)&lt;tbl_Case_mins[[#This Row],[Anaesth End]],tbl_Case_mins[[#This Row],[Surgery End Date]]&gt;tbl_Case_mins[[#This Row],[Surgery Start Date]]),ROUND((#REF!-TIME(0,0,0))*1440,0)+1440,ROUND((#REF!-TIME(0,0,0))*1440,0))</f>
        <v>#REF!</v>
      </c>
      <c r="V333" s="9" t="e">
        <f>IF(AND(ROUND((#REF!-TIME(0,0,0))*1440,0)&gt;0,ROUND((#REF!-TIME(0,0,0))*1440,0)&lt;tbl_Case_mins[[#This Row],[Into Recov]],tbl_Case_mins[[#This Row],[Surgery End Date]]&gt;tbl_Case_mins[[#This Row],[Surgery Start Date]]),ROUND((#REF!-TIME(0,0,0))*1440,0)+1440,ROUND((#REF!-TIME(0,0,0))*1440,0))</f>
        <v>#REF!</v>
      </c>
      <c r="W333" s="9" t="e">
        <f>IF(AND(ROUND((#REF!-TIME(0,0,0))*1440,0)&gt;0,ROUND((#REF!-TIME(0,0,0))*1440,0)&lt;tbl_Case_mins[[#This Row],[Ward Called]],tbl_Case_mins[[#This Row],[Surgery End Date]]&gt;tbl_Case_mins[[#This Row],[Surgery Start Date]]),ROUND((#REF!-TIME(0,0,0))*1440,0)+1440,ROUND((#REF!-TIME(0,0,0))*1440,0))</f>
        <v>#REF!</v>
      </c>
      <c r="X333" s="4" t="e">
        <f>IF(ISBLANK(#REF!),tbl_Case_mins[[#This Row],[Surgery Start Date]],#REF!)</f>
        <v>#REF!</v>
      </c>
      <c r="Y333">
        <f>IFERROR(IF(VLOOKUP(tbl_Case_mins[[#This Row],[Theatre]],'Mng Theatres'!$C$7:$G$12,3,FALSE)="Yes","Yes","No"),0)</f>
        <v>0</v>
      </c>
      <c r="Z333" s="9" t="e" cm="1">
        <f t="array" ref="Z33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3" s="9" t="e" cm="1">
        <f t="array" ref="AA33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3" s="9" t="e">
        <f>IF(tbl_Case_mins[[#This Row],[Case Type]]="Unsch",1,0)</f>
        <v>#REF!</v>
      </c>
      <c r="AD333" s="9" t="e">
        <f>IF(tbl_Case_mins[[#This Row],[Case Type]]="Sch",1,0)</f>
        <v>#REF!</v>
      </c>
      <c r="AE33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3" s="9">
        <f>IFERROR(IF(ISBLANK(INDEX(Am_Close,MATCH(1,INDEX((tbl_Case_mins[[#This Row],[Theatre]]=Theatre_No)*(tbl_Case_mins[[#This Row],[Surgery Start Date]]=Date),0,1),0))*1440),0,INDEX(Am_Close,MATCH(1,INDEX((tbl_Case_mins[[#This Row],[Theatre]]=Theatre_No)*(tbl_Case_mins[[#This Row],[Surgery Start Date]]=Date),0,1),0))*1440),0)</f>
        <v>0</v>
      </c>
      <c r="AG333" s="9">
        <f>IFERROR(IF(ISBLANK(INDEX(PM_Open,MATCH(1,INDEX((tbl_Case_mins[[#This Row],[Theatre]]=Theatre_No)*(tbl_Case_mins[[#This Row],[Surgery Start Date]]=Date),0,1),0))*1440),0,INDEX(PM_Open,MATCH(1,INDEX((tbl_Case_mins[[#This Row],[Theatre]]=Theatre_No)*(tbl_Case_mins[[#This Row],[Surgery Start Date]]=Date),0,1),0))*1440),0)</f>
        <v>0</v>
      </c>
      <c r="AH33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3" s="9" t="e">
        <f>IF(tbl_Case_mins[[#This Row],[ThOpenAm]]=0,tbl_Case_mins[[#This Row],[ThOpenPM]],tbl_Case_mins[[#This Row],[ThOpenAm]])</f>
        <v>#REF!</v>
      </c>
      <c r="AJ333" s="9" t="e">
        <f>IF(tbl_Case_mins[[#This Row],[ThCloseAm]]&gt;0,IF(tbl_Case_mins[[#This Row],[ThOpenPM]]&gt;0,tbl_Case_mins[[#This Row],[ThClosePm]],tbl_Case_mins[[#This Row],[ThCloseAm]]),tbl_Case_mins[[#This Row],[ThClosePm]])</f>
        <v>#REF!</v>
      </c>
      <c r="AK333" s="9" t="e">
        <f>IF(tbl_Case_mins[[#This Row],[TOT]]&gt;0,1,0)</f>
        <v>#REF!</v>
      </c>
      <c r="AL33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3" s="9" t="e">
        <f>IF(AND(tbl_Case_mins[[#This Row],[Surgery Status]]&lt;&gt;2,tbl_Case_mins[[#This Row],[InCoreCase]]=0,tbl_Case_mins[[#This Row],[CancelledCase]]=0),1,0)</f>
        <v>#REF!</v>
      </c>
      <c r="AN333" s="9" t="e">
        <f>IF(tbl_Case_mins[[#This Row],[Surgery Status]]=1,1,0)</f>
        <v>#REF!</v>
      </c>
      <c r="AO33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3" s="9" t="e">
        <f>IF(AND(tbl_Case_mins[[#This Row],[NonCoreCase]]=1,tbl_Case_mins[[#This Row],[NoInCoreTime]]=0),1,0)</f>
        <v>#REF!</v>
      </c>
      <c r="AQ333" s="9" t="e">
        <f>IF(tbl_Case_mins[[#This Row],[Rank_AnaEnd]]&lt;tbl_Case_mins[[#This Row],[Rank_AnaSt]],1,0)</f>
        <v>#REF!</v>
      </c>
      <c r="AR333" s="9" t="e">
        <f>IF(AND(tbl_Case_mins[[#This Row],[InCoreCase]]=1,tbl_Case_mins[[#This Row],[Sch]]=1),1,0)</f>
        <v>#REF!</v>
      </c>
      <c r="AS333" s="9" t="e">
        <f>IF(AND(tbl_Case_mins[[#This Row],[InCoreCase]]=1,tbl_Case_mins[[#This Row],[Unsch]]=1),1,0)</f>
        <v>#REF!</v>
      </c>
      <c r="AT33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3" s="9" t="e">
        <f>IF(tbl_Case_mins[[#This Row],[Surgery Status]]=0,(tbl_Case_mins[[#This Row],[Anaesth End]]-tbl_Case_mins[[#This Row],[AnaesthStart]]),0)</f>
        <v>#REF!</v>
      </c>
      <c r="AX333" s="9" t="e">
        <f>IF(tbl_Case_mins[[#This Row],[Surgery Status]]=0,(tbl_Case_mins[[#This Row],[Surgery Finish]]-tbl_Case_mins[[#This Row],[Surgery Start]]),0)</f>
        <v>#REF!</v>
      </c>
      <c r="AY333" s="9" t="e">
        <f>tbl_Case_mins[[#This Row],[Surgery Start]]-tbl_Case_mins[[#This Row],[AnaesthStart]]</f>
        <v>#REF!</v>
      </c>
      <c r="AZ333" s="9" t="e">
        <f>tbl_Case_mins[[#This Row],[Anaesth End]]-tbl_Case_mins[[#This Row],[Surgery Finish]]</f>
        <v>#REF!</v>
      </c>
      <c r="BA33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3" s="16" cm="1">
        <f t="array" ref="BC33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3" s="16" t="e">
        <f>IF(AND(tbl_Case_mins[[#This Row],[FirstAMCase]]=1,tbl_Case_mins[[#This Row],[CancelledCase]]=0,OR(tbl_Case_mins[[#This Row],[EarlyStartAM]]&gt;0,tbl_Case_mins[[#This Row],[AnaesthStart]]=tbl_Case_mins[[#This Row],[ThOpenAm]])),1,0)</f>
        <v>#REF!</v>
      </c>
      <c r="BE333" s="16" t="e">
        <f>IF(AND(tbl_Case_mins[[#This Row],[Rank_AnaSt]]=tbl_Case_mins[[#This Row],[Min_RankAnaSt]],tbl_Case_mins[[#This Row],[Anaesth End]]&gt;=tbl_Case_mins[[#This Row],[ThOpenAm]],tbl_Case_mins[[#This Row],[PmCase]]=0),1,0)</f>
        <v>#REF!</v>
      </c>
      <c r="BF33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3" s="9" t="e" cm="1">
        <f t="array" ref="BH33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3" s="9" t="e">
        <f>IF(AND(tbl_Case_mins[[#This Row],[ThOpenPM]]&gt;0,tbl_Case_mins[[#This Row],[AnaesthStart]]&gt;tbl_Case_mins[[#This Row],[ThOpenPM]],tbl_Case_mins[[#This Row],[First PM Case]]=1),tbl_Case_mins[[#This Row],[AnaesthStart]]-tbl_Case_mins[[#This Row],[ThOpenPM]],0)</f>
        <v>#REF!</v>
      </c>
      <c r="BL33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3" s="9" t="e" cm="1">
        <f t="array" ref="BN33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3" s="9" t="e">
        <f>IF(AND(tbl_Case_mins[[#This Row],[ThClosePm]]&gt;0,tbl_Case_mins[[#This Row],[Anaesth End]]&gt;tbl_Case_mins[[#This Row],[ThClosePm]],tbl_Case_mins[[#This Row],[AnaesthStart]]&gt;tbl_Case_mins[[#This Row],[ThClosePm]]),tbl_Case_mins[[#This Row],[Into Recov]]-tbl_Case_mins[[#This Row],[AnaesthStart]],0)</f>
        <v>#REF!</v>
      </c>
      <c r="BP333" s="9" t="e">
        <f>IF(AND(tbl_Case_mins[[#This Row],[AnaesthStart]]&lt;tbl_Case_mins[[#This Row],[ThClosePm]],tbl_Case_mins[[#This Row],[Anaesth End]]&gt;tbl_Case_mins[[#This Row],[ThClosePm]]),tbl_Case_mins[[#This Row],[Anaesth End]]-tbl_Case_mins[[#This Row],[ThClosePm]],0)</f>
        <v>#REF!</v>
      </c>
      <c r="BQ333" s="9" t="e" cm="1">
        <f t="array" ref="BQ33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3" s="9" t="e" cm="1">
        <f t="array" ref="BR333">IF(tbl_Case_mins[[#This Row],[Rank_Adjust]]=SUMPRODUCT(-(tbl_Case_mins[Surgery Start Date]=tbl_Case_mins[[#This Row],[Surgery Start Date]]),-(tbl_Case_mins[Theatre]=tbl_Case_mins[[#This Row],[Theatre]])),INDEX(Poss_Time,MATCH(TEXT(tbl_Case_mins[[#This Row],[Surgery Start Date]],"ddd"),Day,0)),0)</f>
        <v>#REF!</v>
      </c>
      <c r="BS333" s="9" t="e">
        <f>tbl_Case_mins[[#This Row],[Core_Time]]*Util_Goal</f>
        <v>#REF!</v>
      </c>
      <c r="BT333" s="9" t="e" cm="1">
        <f t="array" ref="BT3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3" s="9" t="e" cm="1">
        <f t="array" ref="BU3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3" s="9" t="e">
        <f>IF(tbl_Case_mins[[#This Row],[Surgery End Date]]&gt;tbl_Case_mins[[#This Row],[Surgery Start Date]],tbl_Case_mins[[#This Row],[Anaesth End]]-1440,0)</f>
        <v>#REF!</v>
      </c>
      <c r="BY333" s="9" t="e">
        <f>tbl_Case_mins[[#This Row],[Total_NonCore]]-tbl_Case_mins[[#This Row],[NextDay_NonCore]]</f>
        <v>#REF!</v>
      </c>
      <c r="BZ333" s="10" t="e">
        <f>tbl_Case_mins[[#This Row],[InCoreUse]]/60</f>
        <v>#REF!</v>
      </c>
      <c r="CA333" s="10" t="e">
        <f>tbl_Case_mins[[#This Row],[Total_NonCore]]/60</f>
        <v>#REF!</v>
      </c>
      <c r="CB333" t="e" cm="1">
        <f t="array" ref="CB3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3" s="9" t="e" cm="1">
        <f t="array" ref="CC33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3" s="9" t="e" cm="1">
        <f t="array" ref="CD3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3" s="9" t="e" cm="1">
        <f t="array" ref="CE33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3" s="9" cm="1">
        <f t="array" ref="CF333">IFERROR(_xlfn.AGGREGATE(14,6,(tbl_Case_mins[Rank_AnaEnd])/((tbl_Case_mins[Surgery Start Date]=tbl_Case_mins[[#This Row],[Surgery Start Date]])*(tbl_Case_mins[Theatre]=tbl_Case_mins[[#This Row],[Theatre]])*(tbl_Case_mins[NoInCoreTime]=0)),1),-1)</f>
        <v>-1</v>
      </c>
      <c r="CG333" s="9" cm="1">
        <f t="array" ref="CG333">IFERROR(_xlfn.AGGREGATE(15,6,(tbl_Case_mins[Rank_AnaSt])/((tbl_Case_mins[Surgery Start Date]=tbl_Case_mins[[#This Row],[Surgery Start Date]])*(tbl_Case_mins[Theatre]=tbl_Case_mins[[#This Row],[Theatre]])*(tbl_Case_mins[NoInCoreTime]=0)),1),-1)</f>
        <v>-1</v>
      </c>
      <c r="CH33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3" t="e" cm="1">
        <f t="array" ref="CJ33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3" s="9" cm="1">
        <f t="array" ref="CO3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3" s="9" cm="1">
        <f t="array" ref="CP3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3" s="9" cm="1">
        <f t="array" ref="CQ333">IFERROR(IF(AND(tbl_Case_mins[[#This Row],[FirstAMCase]]=0,tbl_Case_mins[[#This Row],[Rank]]=_xlfn.AGGREGATE(14,6,(tbl_Case_mins[Rank])/((tbl_Case_mins[Surgery Start Date]=tbl_Case_mins[[#This Row],[Surgery Start Date]])*(tbl_Case_mins[Theatre]=tbl_Case_mins[[#This Row],[Theatre]])*(tbl_Case_mins[AmCase]=1)),1)),1,0),0)</f>
        <v>0</v>
      </c>
      <c r="CR333" s="9" cm="1">
        <f t="array" ref="CR33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3" s="9" t="e" cm="1">
        <f t="array" ref="CS33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3" s="9" cm="1">
        <f t="array" ref="CT333">IFERROR(IF(tbl_Case_mins[[#This Row],[Rank]]=_xlfn.AGGREGATE(15,6,(tbl_Case_mins[Rank])/((tbl_Case_mins[Surgery Start Date]=tbl_Case_mins[[#This Row],[Surgery Start Date]])*(tbl_Case_mins[Theatre]=tbl_Case_mins[[#This Row],[Theatre]])*(tbl_Case_mins[PmCase]=1)),1),1,0),0)</f>
        <v>0</v>
      </c>
      <c r="CU333">
        <f>IFERROR(#REF!,0)</f>
        <v>0</v>
      </c>
      <c r="CV333" s="9" t="e" cm="1">
        <f t="array" ref="CV33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3" s="9">
        <f>IFERROR(IF(ISBLANK(INDEX(Bay_AmClose,MATCH(1,INDEX((tbl_Case_mins[[#This Row],[Bay]]=BayNo)*(tbl_Case_mins[[#This Row],[Surgery Start Date]]=BDate),0,1),0))*1440),0,INDEX(Bay_AmClose,MATCH(1,INDEX((tbl_Case_mins[[#This Row],[Bay]]=BayNo)*(tbl_Case_mins[[#This Row],[Surgery Start Date]]=BDate),0,1),0))*1440),0)</f>
        <v>0</v>
      </c>
      <c r="CX333" s="9" cm="1">
        <f t="array" ref="CX333">IFERROR(IF(ISBLANK(INDEX(Bay_PmOpen,MATCH(1,INDEX((tbl_Case_mins[[#This Row],[Bay]]=BayNo)*(tbl_Case_mins[[#This Row],[Surgery Start Date]]=BDate),0,1),0))*1440),0,INDEX(Bay_PmOpen,MATCH(1,INDEX((tbl_Case_mins[[#This Row],[Bay]]=BayNo)*(tbl_Case_mins[[#This Row],[Surgery Start Date]]=BDate),0,1),0))*1440),0)</f>
        <v>0</v>
      </c>
      <c r="CY33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3" s="9"/>
    </row>
    <row r="334" spans="1:104" x14ac:dyDescent="0.2">
      <c r="A334">
        <v>333</v>
      </c>
      <c r="B334" t="e">
        <f>#REF!</f>
        <v>#REF!</v>
      </c>
      <c r="C334" t="e">
        <f>#REF!</f>
        <v>#REF!</v>
      </c>
      <c r="D334" t="e">
        <f>#REF!</f>
        <v>#REF!</v>
      </c>
      <c r="E334" t="e">
        <f>#REF!</f>
        <v>#REF!</v>
      </c>
      <c r="F334" t="e">
        <f>#REF!</f>
        <v>#REF!</v>
      </c>
      <c r="G334" t="e">
        <f>#REF!</f>
        <v>#REF!</v>
      </c>
      <c r="H334" t="e">
        <f>#REF!</f>
        <v>#REF!</v>
      </c>
      <c r="I334" t="e">
        <f>IF(#REF!="Case Cancelled",1,IF(#REF!="No Cases",2,0))</f>
        <v>#REF!</v>
      </c>
      <c r="J334" t="e">
        <f>#REF!</f>
        <v>#REF!</v>
      </c>
      <c r="K334" s="4" t="e">
        <f>#REF!</f>
        <v>#REF!</v>
      </c>
      <c r="L334" t="e">
        <f>"Wk "&amp;WEEKNUM(tbl_Case_mins[[#This Row],[Surgery Start Date]],21)</f>
        <v>#REF!</v>
      </c>
      <c r="M334" t="e">
        <f>TEXT(tbl_Case_mins[[#This Row],[Surgery Start Date]],"ddd")</f>
        <v>#REF!</v>
      </c>
      <c r="N334" s="9" t="e">
        <f>(#REF!-TIME(0,0,0))*1440</f>
        <v>#REF!</v>
      </c>
      <c r="O334" t="e">
        <f>IF(AND(ROUND((#REF!-TIME(0,0,0))*1440,0)&gt;0,ROUND((#REF!-TIME(0,0,0))*1440,0)&lt;tbl_Case_mins[[#This Row],[Patient Called]],tbl_Case_mins[[#This Row],[Surgery End Date]]&gt;tbl_Case_mins[[#This Row],[Surgery Start Date]]),ROUND((#REF!-TIME(0,0,0))*1440,0)+1440,ROUND((#REF!-TIME(0,0,0))*1440,0))</f>
        <v>#REF!</v>
      </c>
      <c r="P334" s="9" t="e">
        <f>IF(AND(ROUND((#REF!-TIME(0,0,0))*1440,0)&gt;0,ROUND((#REF!-TIME(0,0,0))*1440,0)&lt;tbl_Case_mins[[#This Row],[Arrival]],tbl_Case_mins[[#This Row],[Surgery End Date]]&gt;tbl_Case_mins[[#This Row],[Surgery Start Date]]),ROUND((#REF!-TIME(0,0,0))*1440,0)+1440,ROUND((#REF!-TIME(0,0,0))*1440,0))</f>
        <v>#REF!</v>
      </c>
      <c r="Q334" s="9" t="e">
        <f>IF(AND(ROUND((#REF!-TIME(0,0,0))*1440,0)&gt;0,ROUND((#REF!-TIME(0,0,0))*1440,0)&lt;tbl_Case_mins[[#This Row],[Into Th or AR]],tbl_Case_mins[[#This Row],[Surgery End Date]]&gt;tbl_Case_mins[[#This Row],[Surgery Start Date]]),ROUND((#REF!-TIME(0,0,0))*1440,0)+1440,ROUND((#REF!-TIME(0,0,0))*1440,0))</f>
        <v>#REF!</v>
      </c>
      <c r="R334" s="9" t="e">
        <f>IF(AND(ROUND((#REF!-TIME(0,0,0))*1440,0)&gt;0,ROUND((#REF!-TIME(0,0,0))*1440,0)&lt;tbl_Case_mins[[#This Row],[AnaesthStart]],tbl_Case_mins[[#This Row],[Surgery End Date]]&gt;tbl_Case_mins[[#This Row],[Surgery Start Date]]),ROUND((#REF!-TIME(0,0,0))*1440,0)+1440,ROUND((#REF!-TIME(0,0,0))*1440,0))</f>
        <v>#REF!</v>
      </c>
      <c r="S334" s="9" t="e">
        <f>IF(AND(ROUND((#REF!-TIME(0,0,0))*1440,0),ROUND((#REF!-TIME(0,0,0))*1440,0)&lt;tbl_Case_mins[[#This Row],[Surgery Start]],tbl_Case_mins[[#This Row],[Surgery End Date]]&gt;tbl_Case_mins[[#This Row],[Surgery Start Date]]),ROUND((#REF!-TIME(0,0,0))*1440,0)+1440,ROUND((#REF!-TIME(0,0,0))*1440,0))</f>
        <v>#REF!</v>
      </c>
      <c r="T334" s="9" t="e">
        <f>IF(AND(ROUND((#REF!-TIME(0,0,0))*1440,0)&gt;0,ROUND((#REF!-TIME(0,0,0))*1440,0)&lt;tbl_Case_mins[[#This Row],[Surgery Finish]],tbl_Case_mins[[#This Row],[Surgery End Date]]&gt;tbl_Case_mins[[#This Row],[Surgery Start Date]]),ROUND((#REF!-TIME(0,0,0))*1440,0)+1440,ROUND((#REF!-TIME(0,0,0))*1440,0))</f>
        <v>#REF!</v>
      </c>
      <c r="U334" s="9" t="e">
        <f>IF(AND(ROUND((#REF!-TIME(0,0,0))*1440,0)&gt;0,ROUND((#REF!-TIME(0,0,0))*1440,0)&lt;tbl_Case_mins[[#This Row],[Anaesth End]],tbl_Case_mins[[#This Row],[Surgery End Date]]&gt;tbl_Case_mins[[#This Row],[Surgery Start Date]]),ROUND((#REF!-TIME(0,0,0))*1440,0)+1440,ROUND((#REF!-TIME(0,0,0))*1440,0))</f>
        <v>#REF!</v>
      </c>
      <c r="V334" s="9" t="e">
        <f>IF(AND(ROUND((#REF!-TIME(0,0,0))*1440,0)&gt;0,ROUND((#REF!-TIME(0,0,0))*1440,0)&lt;tbl_Case_mins[[#This Row],[Into Recov]],tbl_Case_mins[[#This Row],[Surgery End Date]]&gt;tbl_Case_mins[[#This Row],[Surgery Start Date]]),ROUND((#REF!-TIME(0,0,0))*1440,0)+1440,ROUND((#REF!-TIME(0,0,0))*1440,0))</f>
        <v>#REF!</v>
      </c>
      <c r="W334" s="9" t="e">
        <f>IF(AND(ROUND((#REF!-TIME(0,0,0))*1440,0)&gt;0,ROUND((#REF!-TIME(0,0,0))*1440,0)&lt;tbl_Case_mins[[#This Row],[Ward Called]],tbl_Case_mins[[#This Row],[Surgery End Date]]&gt;tbl_Case_mins[[#This Row],[Surgery Start Date]]),ROUND((#REF!-TIME(0,0,0))*1440,0)+1440,ROUND((#REF!-TIME(0,0,0))*1440,0))</f>
        <v>#REF!</v>
      </c>
      <c r="X334" s="4" t="e">
        <f>IF(ISBLANK(#REF!),tbl_Case_mins[[#This Row],[Surgery Start Date]],#REF!)</f>
        <v>#REF!</v>
      </c>
      <c r="Y334">
        <f>IFERROR(IF(VLOOKUP(tbl_Case_mins[[#This Row],[Theatre]],'Mng Theatres'!$C$7:$G$12,3,FALSE)="Yes","Yes","No"),0)</f>
        <v>0</v>
      </c>
      <c r="Z334" s="9" t="e" cm="1">
        <f t="array" ref="Z33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4" s="9" t="e" cm="1">
        <f t="array" ref="AA33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4" s="9" t="e">
        <f>IF(tbl_Case_mins[[#This Row],[Case Type]]="Unsch",1,0)</f>
        <v>#REF!</v>
      </c>
      <c r="AD334" s="9" t="e">
        <f>IF(tbl_Case_mins[[#This Row],[Case Type]]="Sch",1,0)</f>
        <v>#REF!</v>
      </c>
      <c r="AE33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4" s="9">
        <f>IFERROR(IF(ISBLANK(INDEX(Am_Close,MATCH(1,INDEX((tbl_Case_mins[[#This Row],[Theatre]]=Theatre_No)*(tbl_Case_mins[[#This Row],[Surgery Start Date]]=Date),0,1),0))*1440),0,INDEX(Am_Close,MATCH(1,INDEX((tbl_Case_mins[[#This Row],[Theatre]]=Theatre_No)*(tbl_Case_mins[[#This Row],[Surgery Start Date]]=Date),0,1),0))*1440),0)</f>
        <v>0</v>
      </c>
      <c r="AG334" s="9">
        <f>IFERROR(IF(ISBLANK(INDEX(PM_Open,MATCH(1,INDEX((tbl_Case_mins[[#This Row],[Theatre]]=Theatre_No)*(tbl_Case_mins[[#This Row],[Surgery Start Date]]=Date),0,1),0))*1440),0,INDEX(PM_Open,MATCH(1,INDEX((tbl_Case_mins[[#This Row],[Theatre]]=Theatre_No)*(tbl_Case_mins[[#This Row],[Surgery Start Date]]=Date),0,1),0))*1440),0)</f>
        <v>0</v>
      </c>
      <c r="AH33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4" s="9" t="e">
        <f>IF(tbl_Case_mins[[#This Row],[ThOpenAm]]=0,tbl_Case_mins[[#This Row],[ThOpenPM]],tbl_Case_mins[[#This Row],[ThOpenAm]])</f>
        <v>#REF!</v>
      </c>
      <c r="AJ334" s="9" t="e">
        <f>IF(tbl_Case_mins[[#This Row],[ThCloseAm]]&gt;0,IF(tbl_Case_mins[[#This Row],[ThOpenPM]]&gt;0,tbl_Case_mins[[#This Row],[ThClosePm]],tbl_Case_mins[[#This Row],[ThCloseAm]]),tbl_Case_mins[[#This Row],[ThClosePm]])</f>
        <v>#REF!</v>
      </c>
      <c r="AK334" s="9" t="e">
        <f>IF(tbl_Case_mins[[#This Row],[TOT]]&gt;0,1,0)</f>
        <v>#REF!</v>
      </c>
      <c r="AL33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4" s="9" t="e">
        <f>IF(AND(tbl_Case_mins[[#This Row],[Surgery Status]]&lt;&gt;2,tbl_Case_mins[[#This Row],[InCoreCase]]=0,tbl_Case_mins[[#This Row],[CancelledCase]]=0),1,0)</f>
        <v>#REF!</v>
      </c>
      <c r="AN334" s="9" t="e">
        <f>IF(tbl_Case_mins[[#This Row],[Surgery Status]]=1,1,0)</f>
        <v>#REF!</v>
      </c>
      <c r="AO33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4" s="9" t="e">
        <f>IF(AND(tbl_Case_mins[[#This Row],[NonCoreCase]]=1,tbl_Case_mins[[#This Row],[NoInCoreTime]]=0),1,0)</f>
        <v>#REF!</v>
      </c>
      <c r="AQ334" s="9" t="e">
        <f>IF(tbl_Case_mins[[#This Row],[Rank_AnaEnd]]&lt;tbl_Case_mins[[#This Row],[Rank_AnaSt]],1,0)</f>
        <v>#REF!</v>
      </c>
      <c r="AR334" s="9" t="e">
        <f>IF(AND(tbl_Case_mins[[#This Row],[InCoreCase]]=1,tbl_Case_mins[[#This Row],[Sch]]=1),1,0)</f>
        <v>#REF!</v>
      </c>
      <c r="AS334" s="9" t="e">
        <f>IF(AND(tbl_Case_mins[[#This Row],[InCoreCase]]=1,tbl_Case_mins[[#This Row],[Unsch]]=1),1,0)</f>
        <v>#REF!</v>
      </c>
      <c r="AT33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4" s="9" t="e">
        <f>IF(tbl_Case_mins[[#This Row],[Surgery Status]]=0,(tbl_Case_mins[[#This Row],[Anaesth End]]-tbl_Case_mins[[#This Row],[AnaesthStart]]),0)</f>
        <v>#REF!</v>
      </c>
      <c r="AX334" s="9" t="e">
        <f>IF(tbl_Case_mins[[#This Row],[Surgery Status]]=0,(tbl_Case_mins[[#This Row],[Surgery Finish]]-tbl_Case_mins[[#This Row],[Surgery Start]]),0)</f>
        <v>#REF!</v>
      </c>
      <c r="AY334" s="9" t="e">
        <f>tbl_Case_mins[[#This Row],[Surgery Start]]-tbl_Case_mins[[#This Row],[AnaesthStart]]</f>
        <v>#REF!</v>
      </c>
      <c r="AZ334" s="9" t="e">
        <f>tbl_Case_mins[[#This Row],[Anaesth End]]-tbl_Case_mins[[#This Row],[Surgery Finish]]</f>
        <v>#REF!</v>
      </c>
      <c r="BA33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4" s="16" cm="1">
        <f t="array" ref="BC33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4" s="16" t="e">
        <f>IF(AND(tbl_Case_mins[[#This Row],[FirstAMCase]]=1,tbl_Case_mins[[#This Row],[CancelledCase]]=0,OR(tbl_Case_mins[[#This Row],[EarlyStartAM]]&gt;0,tbl_Case_mins[[#This Row],[AnaesthStart]]=tbl_Case_mins[[#This Row],[ThOpenAm]])),1,0)</f>
        <v>#REF!</v>
      </c>
      <c r="BE334" s="16" t="e">
        <f>IF(AND(tbl_Case_mins[[#This Row],[Rank_AnaSt]]=tbl_Case_mins[[#This Row],[Min_RankAnaSt]],tbl_Case_mins[[#This Row],[Anaesth End]]&gt;=tbl_Case_mins[[#This Row],[ThOpenAm]],tbl_Case_mins[[#This Row],[PmCase]]=0),1,0)</f>
        <v>#REF!</v>
      </c>
      <c r="BF33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4" s="9" t="e" cm="1">
        <f t="array" ref="BH33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4" s="9" t="e">
        <f>IF(AND(tbl_Case_mins[[#This Row],[ThOpenPM]]&gt;0,tbl_Case_mins[[#This Row],[AnaesthStart]]&gt;tbl_Case_mins[[#This Row],[ThOpenPM]],tbl_Case_mins[[#This Row],[First PM Case]]=1),tbl_Case_mins[[#This Row],[AnaesthStart]]-tbl_Case_mins[[#This Row],[ThOpenPM]],0)</f>
        <v>#REF!</v>
      </c>
      <c r="BL33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4" s="9" t="e" cm="1">
        <f t="array" ref="BN33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4" s="9" t="e">
        <f>IF(AND(tbl_Case_mins[[#This Row],[ThClosePm]]&gt;0,tbl_Case_mins[[#This Row],[Anaesth End]]&gt;tbl_Case_mins[[#This Row],[ThClosePm]],tbl_Case_mins[[#This Row],[AnaesthStart]]&gt;tbl_Case_mins[[#This Row],[ThClosePm]]),tbl_Case_mins[[#This Row],[Into Recov]]-tbl_Case_mins[[#This Row],[AnaesthStart]],0)</f>
        <v>#REF!</v>
      </c>
      <c r="BP334" s="9" t="e">
        <f>IF(AND(tbl_Case_mins[[#This Row],[AnaesthStart]]&lt;tbl_Case_mins[[#This Row],[ThClosePm]],tbl_Case_mins[[#This Row],[Anaesth End]]&gt;tbl_Case_mins[[#This Row],[ThClosePm]]),tbl_Case_mins[[#This Row],[Anaesth End]]-tbl_Case_mins[[#This Row],[ThClosePm]],0)</f>
        <v>#REF!</v>
      </c>
      <c r="BQ334" s="9" t="e" cm="1">
        <f t="array" ref="BQ33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4" s="9" t="e" cm="1">
        <f t="array" ref="BR334">IF(tbl_Case_mins[[#This Row],[Rank_Adjust]]=SUMPRODUCT(-(tbl_Case_mins[Surgery Start Date]=tbl_Case_mins[[#This Row],[Surgery Start Date]]),-(tbl_Case_mins[Theatre]=tbl_Case_mins[[#This Row],[Theatre]])),INDEX(Poss_Time,MATCH(TEXT(tbl_Case_mins[[#This Row],[Surgery Start Date]],"ddd"),Day,0)),0)</f>
        <v>#REF!</v>
      </c>
      <c r="BS334" s="9" t="e">
        <f>tbl_Case_mins[[#This Row],[Core_Time]]*Util_Goal</f>
        <v>#REF!</v>
      </c>
      <c r="BT334" s="9" t="e" cm="1">
        <f t="array" ref="BT3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4" s="9" t="e" cm="1">
        <f t="array" ref="BU3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4" s="9" t="e">
        <f>IF(tbl_Case_mins[[#This Row],[Surgery End Date]]&gt;tbl_Case_mins[[#This Row],[Surgery Start Date]],tbl_Case_mins[[#This Row],[Anaesth End]]-1440,0)</f>
        <v>#REF!</v>
      </c>
      <c r="BY334" s="9" t="e">
        <f>tbl_Case_mins[[#This Row],[Total_NonCore]]-tbl_Case_mins[[#This Row],[NextDay_NonCore]]</f>
        <v>#REF!</v>
      </c>
      <c r="BZ334" s="10" t="e">
        <f>tbl_Case_mins[[#This Row],[InCoreUse]]/60</f>
        <v>#REF!</v>
      </c>
      <c r="CA334" s="10" t="e">
        <f>tbl_Case_mins[[#This Row],[Total_NonCore]]/60</f>
        <v>#REF!</v>
      </c>
      <c r="CB334" t="e" cm="1">
        <f t="array" ref="CB3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4" s="9" t="e" cm="1">
        <f t="array" ref="CC33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4" s="9" t="e" cm="1">
        <f t="array" ref="CD3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4" s="9" t="e" cm="1">
        <f t="array" ref="CE33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4" s="9" cm="1">
        <f t="array" ref="CF334">IFERROR(_xlfn.AGGREGATE(14,6,(tbl_Case_mins[Rank_AnaEnd])/((tbl_Case_mins[Surgery Start Date]=tbl_Case_mins[[#This Row],[Surgery Start Date]])*(tbl_Case_mins[Theatre]=tbl_Case_mins[[#This Row],[Theatre]])*(tbl_Case_mins[NoInCoreTime]=0)),1),-1)</f>
        <v>-1</v>
      </c>
      <c r="CG334" s="9" cm="1">
        <f t="array" ref="CG334">IFERROR(_xlfn.AGGREGATE(15,6,(tbl_Case_mins[Rank_AnaSt])/((tbl_Case_mins[Surgery Start Date]=tbl_Case_mins[[#This Row],[Surgery Start Date]])*(tbl_Case_mins[Theatre]=tbl_Case_mins[[#This Row],[Theatre]])*(tbl_Case_mins[NoInCoreTime]=0)),1),-1)</f>
        <v>-1</v>
      </c>
      <c r="CH33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4" t="e" cm="1">
        <f t="array" ref="CJ33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4" s="9" cm="1">
        <f t="array" ref="CO3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4" s="9" cm="1">
        <f t="array" ref="CP3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4" s="9" cm="1">
        <f t="array" ref="CQ334">IFERROR(IF(AND(tbl_Case_mins[[#This Row],[FirstAMCase]]=0,tbl_Case_mins[[#This Row],[Rank]]=_xlfn.AGGREGATE(14,6,(tbl_Case_mins[Rank])/((tbl_Case_mins[Surgery Start Date]=tbl_Case_mins[[#This Row],[Surgery Start Date]])*(tbl_Case_mins[Theatre]=tbl_Case_mins[[#This Row],[Theatre]])*(tbl_Case_mins[AmCase]=1)),1)),1,0),0)</f>
        <v>0</v>
      </c>
      <c r="CR334" s="9" cm="1">
        <f t="array" ref="CR33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4" s="9" t="e" cm="1">
        <f t="array" ref="CS33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4" s="9" cm="1">
        <f t="array" ref="CT334">IFERROR(IF(tbl_Case_mins[[#This Row],[Rank]]=_xlfn.AGGREGATE(15,6,(tbl_Case_mins[Rank])/((tbl_Case_mins[Surgery Start Date]=tbl_Case_mins[[#This Row],[Surgery Start Date]])*(tbl_Case_mins[Theatre]=tbl_Case_mins[[#This Row],[Theatre]])*(tbl_Case_mins[PmCase]=1)),1),1,0),0)</f>
        <v>0</v>
      </c>
      <c r="CU334">
        <f>IFERROR(#REF!,0)</f>
        <v>0</v>
      </c>
      <c r="CV334" s="9" t="e" cm="1">
        <f t="array" ref="CV33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4" s="9">
        <f>IFERROR(IF(ISBLANK(INDEX(Bay_AmClose,MATCH(1,INDEX((tbl_Case_mins[[#This Row],[Bay]]=BayNo)*(tbl_Case_mins[[#This Row],[Surgery Start Date]]=BDate),0,1),0))*1440),0,INDEX(Bay_AmClose,MATCH(1,INDEX((tbl_Case_mins[[#This Row],[Bay]]=BayNo)*(tbl_Case_mins[[#This Row],[Surgery Start Date]]=BDate),0,1),0))*1440),0)</f>
        <v>0</v>
      </c>
      <c r="CX334" s="9" cm="1">
        <f t="array" ref="CX334">IFERROR(IF(ISBLANK(INDEX(Bay_PmOpen,MATCH(1,INDEX((tbl_Case_mins[[#This Row],[Bay]]=BayNo)*(tbl_Case_mins[[#This Row],[Surgery Start Date]]=BDate),0,1),0))*1440),0,INDEX(Bay_PmOpen,MATCH(1,INDEX((tbl_Case_mins[[#This Row],[Bay]]=BayNo)*(tbl_Case_mins[[#This Row],[Surgery Start Date]]=BDate),0,1),0))*1440),0)</f>
        <v>0</v>
      </c>
      <c r="CY33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4" s="9"/>
    </row>
    <row r="335" spans="1:104" x14ac:dyDescent="0.2">
      <c r="A335">
        <v>334</v>
      </c>
      <c r="B335" t="e">
        <f>#REF!</f>
        <v>#REF!</v>
      </c>
      <c r="C335" t="e">
        <f>#REF!</f>
        <v>#REF!</v>
      </c>
      <c r="D335" t="e">
        <f>#REF!</f>
        <v>#REF!</v>
      </c>
      <c r="E335" t="e">
        <f>#REF!</f>
        <v>#REF!</v>
      </c>
      <c r="F335" t="e">
        <f>#REF!</f>
        <v>#REF!</v>
      </c>
      <c r="G335" t="e">
        <f>#REF!</f>
        <v>#REF!</v>
      </c>
      <c r="H335" t="e">
        <f>#REF!</f>
        <v>#REF!</v>
      </c>
      <c r="I335" t="e">
        <f>IF(#REF!="Case Cancelled",1,IF(#REF!="No Cases",2,0))</f>
        <v>#REF!</v>
      </c>
      <c r="J335" t="e">
        <f>#REF!</f>
        <v>#REF!</v>
      </c>
      <c r="K335" s="4" t="e">
        <f>#REF!</f>
        <v>#REF!</v>
      </c>
      <c r="L335" t="e">
        <f>"Wk "&amp;WEEKNUM(tbl_Case_mins[[#This Row],[Surgery Start Date]],21)</f>
        <v>#REF!</v>
      </c>
      <c r="M335" t="e">
        <f>TEXT(tbl_Case_mins[[#This Row],[Surgery Start Date]],"ddd")</f>
        <v>#REF!</v>
      </c>
      <c r="N335" s="9" t="e">
        <f>(#REF!-TIME(0,0,0))*1440</f>
        <v>#REF!</v>
      </c>
      <c r="O335" t="e">
        <f>IF(AND(ROUND((#REF!-TIME(0,0,0))*1440,0)&gt;0,ROUND((#REF!-TIME(0,0,0))*1440,0)&lt;tbl_Case_mins[[#This Row],[Patient Called]],tbl_Case_mins[[#This Row],[Surgery End Date]]&gt;tbl_Case_mins[[#This Row],[Surgery Start Date]]),ROUND((#REF!-TIME(0,0,0))*1440,0)+1440,ROUND((#REF!-TIME(0,0,0))*1440,0))</f>
        <v>#REF!</v>
      </c>
      <c r="P335" s="9" t="e">
        <f>IF(AND(ROUND((#REF!-TIME(0,0,0))*1440,0)&gt;0,ROUND((#REF!-TIME(0,0,0))*1440,0)&lt;tbl_Case_mins[[#This Row],[Arrival]],tbl_Case_mins[[#This Row],[Surgery End Date]]&gt;tbl_Case_mins[[#This Row],[Surgery Start Date]]),ROUND((#REF!-TIME(0,0,0))*1440,0)+1440,ROUND((#REF!-TIME(0,0,0))*1440,0))</f>
        <v>#REF!</v>
      </c>
      <c r="Q335" s="9" t="e">
        <f>IF(AND(ROUND((#REF!-TIME(0,0,0))*1440,0)&gt;0,ROUND((#REF!-TIME(0,0,0))*1440,0)&lt;tbl_Case_mins[[#This Row],[Into Th or AR]],tbl_Case_mins[[#This Row],[Surgery End Date]]&gt;tbl_Case_mins[[#This Row],[Surgery Start Date]]),ROUND((#REF!-TIME(0,0,0))*1440,0)+1440,ROUND((#REF!-TIME(0,0,0))*1440,0))</f>
        <v>#REF!</v>
      </c>
      <c r="R335" s="9" t="e">
        <f>IF(AND(ROUND((#REF!-TIME(0,0,0))*1440,0)&gt;0,ROUND((#REF!-TIME(0,0,0))*1440,0)&lt;tbl_Case_mins[[#This Row],[AnaesthStart]],tbl_Case_mins[[#This Row],[Surgery End Date]]&gt;tbl_Case_mins[[#This Row],[Surgery Start Date]]),ROUND((#REF!-TIME(0,0,0))*1440,0)+1440,ROUND((#REF!-TIME(0,0,0))*1440,0))</f>
        <v>#REF!</v>
      </c>
      <c r="S335" s="9" t="e">
        <f>IF(AND(ROUND((#REF!-TIME(0,0,0))*1440,0),ROUND((#REF!-TIME(0,0,0))*1440,0)&lt;tbl_Case_mins[[#This Row],[Surgery Start]],tbl_Case_mins[[#This Row],[Surgery End Date]]&gt;tbl_Case_mins[[#This Row],[Surgery Start Date]]),ROUND((#REF!-TIME(0,0,0))*1440,0)+1440,ROUND((#REF!-TIME(0,0,0))*1440,0))</f>
        <v>#REF!</v>
      </c>
      <c r="T335" s="9" t="e">
        <f>IF(AND(ROUND((#REF!-TIME(0,0,0))*1440,0)&gt;0,ROUND((#REF!-TIME(0,0,0))*1440,0)&lt;tbl_Case_mins[[#This Row],[Surgery Finish]],tbl_Case_mins[[#This Row],[Surgery End Date]]&gt;tbl_Case_mins[[#This Row],[Surgery Start Date]]),ROUND((#REF!-TIME(0,0,0))*1440,0)+1440,ROUND((#REF!-TIME(0,0,0))*1440,0))</f>
        <v>#REF!</v>
      </c>
      <c r="U335" s="9" t="e">
        <f>IF(AND(ROUND((#REF!-TIME(0,0,0))*1440,0)&gt;0,ROUND((#REF!-TIME(0,0,0))*1440,0)&lt;tbl_Case_mins[[#This Row],[Anaesth End]],tbl_Case_mins[[#This Row],[Surgery End Date]]&gt;tbl_Case_mins[[#This Row],[Surgery Start Date]]),ROUND((#REF!-TIME(0,0,0))*1440,0)+1440,ROUND((#REF!-TIME(0,0,0))*1440,0))</f>
        <v>#REF!</v>
      </c>
      <c r="V335" s="9" t="e">
        <f>IF(AND(ROUND((#REF!-TIME(0,0,0))*1440,0)&gt;0,ROUND((#REF!-TIME(0,0,0))*1440,0)&lt;tbl_Case_mins[[#This Row],[Into Recov]],tbl_Case_mins[[#This Row],[Surgery End Date]]&gt;tbl_Case_mins[[#This Row],[Surgery Start Date]]),ROUND((#REF!-TIME(0,0,0))*1440,0)+1440,ROUND((#REF!-TIME(0,0,0))*1440,0))</f>
        <v>#REF!</v>
      </c>
      <c r="W335" s="9" t="e">
        <f>IF(AND(ROUND((#REF!-TIME(0,0,0))*1440,0)&gt;0,ROUND((#REF!-TIME(0,0,0))*1440,0)&lt;tbl_Case_mins[[#This Row],[Ward Called]],tbl_Case_mins[[#This Row],[Surgery End Date]]&gt;tbl_Case_mins[[#This Row],[Surgery Start Date]]),ROUND((#REF!-TIME(0,0,0))*1440,0)+1440,ROUND((#REF!-TIME(0,0,0))*1440,0))</f>
        <v>#REF!</v>
      </c>
      <c r="X335" s="4" t="e">
        <f>IF(ISBLANK(#REF!),tbl_Case_mins[[#This Row],[Surgery Start Date]],#REF!)</f>
        <v>#REF!</v>
      </c>
      <c r="Y335">
        <f>IFERROR(IF(VLOOKUP(tbl_Case_mins[[#This Row],[Theatre]],'Mng Theatres'!$C$7:$G$12,3,FALSE)="Yes","Yes","No"),0)</f>
        <v>0</v>
      </c>
      <c r="Z335" s="9" t="e" cm="1">
        <f t="array" ref="Z33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5" s="9" t="e" cm="1">
        <f t="array" ref="AA33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5" s="9" t="e">
        <f>IF(tbl_Case_mins[[#This Row],[Case Type]]="Unsch",1,0)</f>
        <v>#REF!</v>
      </c>
      <c r="AD335" s="9" t="e">
        <f>IF(tbl_Case_mins[[#This Row],[Case Type]]="Sch",1,0)</f>
        <v>#REF!</v>
      </c>
      <c r="AE33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5" s="9">
        <f>IFERROR(IF(ISBLANK(INDEX(Am_Close,MATCH(1,INDEX((tbl_Case_mins[[#This Row],[Theatre]]=Theatre_No)*(tbl_Case_mins[[#This Row],[Surgery Start Date]]=Date),0,1),0))*1440),0,INDEX(Am_Close,MATCH(1,INDEX((tbl_Case_mins[[#This Row],[Theatre]]=Theatre_No)*(tbl_Case_mins[[#This Row],[Surgery Start Date]]=Date),0,1),0))*1440),0)</f>
        <v>0</v>
      </c>
      <c r="AG335" s="9">
        <f>IFERROR(IF(ISBLANK(INDEX(PM_Open,MATCH(1,INDEX((tbl_Case_mins[[#This Row],[Theatre]]=Theatre_No)*(tbl_Case_mins[[#This Row],[Surgery Start Date]]=Date),0,1),0))*1440),0,INDEX(PM_Open,MATCH(1,INDEX((tbl_Case_mins[[#This Row],[Theatre]]=Theatre_No)*(tbl_Case_mins[[#This Row],[Surgery Start Date]]=Date),0,1),0))*1440),0)</f>
        <v>0</v>
      </c>
      <c r="AH33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5" s="9" t="e">
        <f>IF(tbl_Case_mins[[#This Row],[ThOpenAm]]=0,tbl_Case_mins[[#This Row],[ThOpenPM]],tbl_Case_mins[[#This Row],[ThOpenAm]])</f>
        <v>#REF!</v>
      </c>
      <c r="AJ335" s="9" t="e">
        <f>IF(tbl_Case_mins[[#This Row],[ThCloseAm]]&gt;0,IF(tbl_Case_mins[[#This Row],[ThOpenPM]]&gt;0,tbl_Case_mins[[#This Row],[ThClosePm]],tbl_Case_mins[[#This Row],[ThCloseAm]]),tbl_Case_mins[[#This Row],[ThClosePm]])</f>
        <v>#REF!</v>
      </c>
      <c r="AK335" s="9" t="e">
        <f>IF(tbl_Case_mins[[#This Row],[TOT]]&gt;0,1,0)</f>
        <v>#REF!</v>
      </c>
      <c r="AL33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5" s="9" t="e">
        <f>IF(AND(tbl_Case_mins[[#This Row],[Surgery Status]]&lt;&gt;2,tbl_Case_mins[[#This Row],[InCoreCase]]=0,tbl_Case_mins[[#This Row],[CancelledCase]]=0),1,0)</f>
        <v>#REF!</v>
      </c>
      <c r="AN335" s="9" t="e">
        <f>IF(tbl_Case_mins[[#This Row],[Surgery Status]]=1,1,0)</f>
        <v>#REF!</v>
      </c>
      <c r="AO33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5" s="9" t="e">
        <f>IF(AND(tbl_Case_mins[[#This Row],[NonCoreCase]]=1,tbl_Case_mins[[#This Row],[NoInCoreTime]]=0),1,0)</f>
        <v>#REF!</v>
      </c>
      <c r="AQ335" s="9" t="e">
        <f>IF(tbl_Case_mins[[#This Row],[Rank_AnaEnd]]&lt;tbl_Case_mins[[#This Row],[Rank_AnaSt]],1,0)</f>
        <v>#REF!</v>
      </c>
      <c r="AR335" s="9" t="e">
        <f>IF(AND(tbl_Case_mins[[#This Row],[InCoreCase]]=1,tbl_Case_mins[[#This Row],[Sch]]=1),1,0)</f>
        <v>#REF!</v>
      </c>
      <c r="AS335" s="9" t="e">
        <f>IF(AND(tbl_Case_mins[[#This Row],[InCoreCase]]=1,tbl_Case_mins[[#This Row],[Unsch]]=1),1,0)</f>
        <v>#REF!</v>
      </c>
      <c r="AT33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5" s="9" t="e">
        <f>IF(tbl_Case_mins[[#This Row],[Surgery Status]]=0,(tbl_Case_mins[[#This Row],[Anaesth End]]-tbl_Case_mins[[#This Row],[AnaesthStart]]),0)</f>
        <v>#REF!</v>
      </c>
      <c r="AX335" s="9" t="e">
        <f>IF(tbl_Case_mins[[#This Row],[Surgery Status]]=0,(tbl_Case_mins[[#This Row],[Surgery Finish]]-tbl_Case_mins[[#This Row],[Surgery Start]]),0)</f>
        <v>#REF!</v>
      </c>
      <c r="AY335" s="9" t="e">
        <f>tbl_Case_mins[[#This Row],[Surgery Start]]-tbl_Case_mins[[#This Row],[AnaesthStart]]</f>
        <v>#REF!</v>
      </c>
      <c r="AZ335" s="9" t="e">
        <f>tbl_Case_mins[[#This Row],[Anaesth End]]-tbl_Case_mins[[#This Row],[Surgery Finish]]</f>
        <v>#REF!</v>
      </c>
      <c r="BA33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5" s="16" cm="1">
        <f t="array" ref="BC33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5" s="16" t="e">
        <f>IF(AND(tbl_Case_mins[[#This Row],[FirstAMCase]]=1,tbl_Case_mins[[#This Row],[CancelledCase]]=0,OR(tbl_Case_mins[[#This Row],[EarlyStartAM]]&gt;0,tbl_Case_mins[[#This Row],[AnaesthStart]]=tbl_Case_mins[[#This Row],[ThOpenAm]])),1,0)</f>
        <v>#REF!</v>
      </c>
      <c r="BE335" s="16" t="e">
        <f>IF(AND(tbl_Case_mins[[#This Row],[Rank_AnaSt]]=tbl_Case_mins[[#This Row],[Min_RankAnaSt]],tbl_Case_mins[[#This Row],[Anaesth End]]&gt;=tbl_Case_mins[[#This Row],[ThOpenAm]],tbl_Case_mins[[#This Row],[PmCase]]=0),1,0)</f>
        <v>#REF!</v>
      </c>
      <c r="BF33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5" s="9" t="e" cm="1">
        <f t="array" ref="BH33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5" s="9" t="e">
        <f>IF(AND(tbl_Case_mins[[#This Row],[ThOpenPM]]&gt;0,tbl_Case_mins[[#This Row],[AnaesthStart]]&gt;tbl_Case_mins[[#This Row],[ThOpenPM]],tbl_Case_mins[[#This Row],[First PM Case]]=1),tbl_Case_mins[[#This Row],[AnaesthStart]]-tbl_Case_mins[[#This Row],[ThOpenPM]],0)</f>
        <v>#REF!</v>
      </c>
      <c r="BL33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5" s="9" t="e" cm="1">
        <f t="array" ref="BN33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5" s="9" t="e">
        <f>IF(AND(tbl_Case_mins[[#This Row],[ThClosePm]]&gt;0,tbl_Case_mins[[#This Row],[Anaesth End]]&gt;tbl_Case_mins[[#This Row],[ThClosePm]],tbl_Case_mins[[#This Row],[AnaesthStart]]&gt;tbl_Case_mins[[#This Row],[ThClosePm]]),tbl_Case_mins[[#This Row],[Into Recov]]-tbl_Case_mins[[#This Row],[AnaesthStart]],0)</f>
        <v>#REF!</v>
      </c>
      <c r="BP335" s="9" t="e">
        <f>IF(AND(tbl_Case_mins[[#This Row],[AnaesthStart]]&lt;tbl_Case_mins[[#This Row],[ThClosePm]],tbl_Case_mins[[#This Row],[Anaesth End]]&gt;tbl_Case_mins[[#This Row],[ThClosePm]]),tbl_Case_mins[[#This Row],[Anaesth End]]-tbl_Case_mins[[#This Row],[ThClosePm]],0)</f>
        <v>#REF!</v>
      </c>
      <c r="BQ335" s="9" t="e" cm="1">
        <f t="array" ref="BQ33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5" s="9" t="e" cm="1">
        <f t="array" ref="BR335">IF(tbl_Case_mins[[#This Row],[Rank_Adjust]]=SUMPRODUCT(-(tbl_Case_mins[Surgery Start Date]=tbl_Case_mins[[#This Row],[Surgery Start Date]]),-(tbl_Case_mins[Theatre]=tbl_Case_mins[[#This Row],[Theatre]])),INDEX(Poss_Time,MATCH(TEXT(tbl_Case_mins[[#This Row],[Surgery Start Date]],"ddd"),Day,0)),0)</f>
        <v>#REF!</v>
      </c>
      <c r="BS335" s="9" t="e">
        <f>tbl_Case_mins[[#This Row],[Core_Time]]*Util_Goal</f>
        <v>#REF!</v>
      </c>
      <c r="BT335" s="9" t="e" cm="1">
        <f t="array" ref="BT3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5" s="9" t="e" cm="1">
        <f t="array" ref="BU3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5" s="9" t="e">
        <f>IF(tbl_Case_mins[[#This Row],[Surgery End Date]]&gt;tbl_Case_mins[[#This Row],[Surgery Start Date]],tbl_Case_mins[[#This Row],[Anaesth End]]-1440,0)</f>
        <v>#REF!</v>
      </c>
      <c r="BY335" s="9" t="e">
        <f>tbl_Case_mins[[#This Row],[Total_NonCore]]-tbl_Case_mins[[#This Row],[NextDay_NonCore]]</f>
        <v>#REF!</v>
      </c>
      <c r="BZ335" s="10" t="e">
        <f>tbl_Case_mins[[#This Row],[InCoreUse]]/60</f>
        <v>#REF!</v>
      </c>
      <c r="CA335" s="10" t="e">
        <f>tbl_Case_mins[[#This Row],[Total_NonCore]]/60</f>
        <v>#REF!</v>
      </c>
      <c r="CB335" t="e" cm="1">
        <f t="array" ref="CB3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5" s="9" t="e" cm="1">
        <f t="array" ref="CC33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5" s="9" t="e" cm="1">
        <f t="array" ref="CD3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5" s="9" t="e" cm="1">
        <f t="array" ref="CE33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5" s="9" cm="1">
        <f t="array" ref="CF335">IFERROR(_xlfn.AGGREGATE(14,6,(tbl_Case_mins[Rank_AnaEnd])/((tbl_Case_mins[Surgery Start Date]=tbl_Case_mins[[#This Row],[Surgery Start Date]])*(tbl_Case_mins[Theatre]=tbl_Case_mins[[#This Row],[Theatre]])*(tbl_Case_mins[NoInCoreTime]=0)),1),-1)</f>
        <v>-1</v>
      </c>
      <c r="CG335" s="9" cm="1">
        <f t="array" ref="CG335">IFERROR(_xlfn.AGGREGATE(15,6,(tbl_Case_mins[Rank_AnaSt])/((tbl_Case_mins[Surgery Start Date]=tbl_Case_mins[[#This Row],[Surgery Start Date]])*(tbl_Case_mins[Theatre]=tbl_Case_mins[[#This Row],[Theatre]])*(tbl_Case_mins[NoInCoreTime]=0)),1),-1)</f>
        <v>-1</v>
      </c>
      <c r="CH33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5" t="e" cm="1">
        <f t="array" ref="CJ33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5" s="9" cm="1">
        <f t="array" ref="CO3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5" s="9" cm="1">
        <f t="array" ref="CP3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5" s="9" cm="1">
        <f t="array" ref="CQ335">IFERROR(IF(AND(tbl_Case_mins[[#This Row],[FirstAMCase]]=0,tbl_Case_mins[[#This Row],[Rank]]=_xlfn.AGGREGATE(14,6,(tbl_Case_mins[Rank])/((tbl_Case_mins[Surgery Start Date]=tbl_Case_mins[[#This Row],[Surgery Start Date]])*(tbl_Case_mins[Theatre]=tbl_Case_mins[[#This Row],[Theatre]])*(tbl_Case_mins[AmCase]=1)),1)),1,0),0)</f>
        <v>0</v>
      </c>
      <c r="CR335" s="9" cm="1">
        <f t="array" ref="CR33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5" s="9" t="e" cm="1">
        <f t="array" ref="CS33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5" s="9" cm="1">
        <f t="array" ref="CT335">IFERROR(IF(tbl_Case_mins[[#This Row],[Rank]]=_xlfn.AGGREGATE(15,6,(tbl_Case_mins[Rank])/((tbl_Case_mins[Surgery Start Date]=tbl_Case_mins[[#This Row],[Surgery Start Date]])*(tbl_Case_mins[Theatre]=tbl_Case_mins[[#This Row],[Theatre]])*(tbl_Case_mins[PmCase]=1)),1),1,0),0)</f>
        <v>0</v>
      </c>
      <c r="CU335">
        <f>IFERROR(#REF!,0)</f>
        <v>0</v>
      </c>
      <c r="CV335" s="9" t="e" cm="1">
        <f t="array" ref="CV33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5" s="9">
        <f>IFERROR(IF(ISBLANK(INDEX(Bay_AmClose,MATCH(1,INDEX((tbl_Case_mins[[#This Row],[Bay]]=BayNo)*(tbl_Case_mins[[#This Row],[Surgery Start Date]]=BDate),0,1),0))*1440),0,INDEX(Bay_AmClose,MATCH(1,INDEX((tbl_Case_mins[[#This Row],[Bay]]=BayNo)*(tbl_Case_mins[[#This Row],[Surgery Start Date]]=BDate),0,1),0))*1440),0)</f>
        <v>0</v>
      </c>
      <c r="CX335" s="9" cm="1">
        <f t="array" ref="CX335">IFERROR(IF(ISBLANK(INDEX(Bay_PmOpen,MATCH(1,INDEX((tbl_Case_mins[[#This Row],[Bay]]=BayNo)*(tbl_Case_mins[[#This Row],[Surgery Start Date]]=BDate),0,1),0))*1440),0,INDEX(Bay_PmOpen,MATCH(1,INDEX((tbl_Case_mins[[#This Row],[Bay]]=BayNo)*(tbl_Case_mins[[#This Row],[Surgery Start Date]]=BDate),0,1),0))*1440),0)</f>
        <v>0</v>
      </c>
      <c r="CY33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5" s="9"/>
    </row>
    <row r="336" spans="1:104" x14ac:dyDescent="0.2">
      <c r="A336">
        <v>335</v>
      </c>
      <c r="B336" t="e">
        <f>#REF!</f>
        <v>#REF!</v>
      </c>
      <c r="C336" t="e">
        <f>#REF!</f>
        <v>#REF!</v>
      </c>
      <c r="D336" t="e">
        <f>#REF!</f>
        <v>#REF!</v>
      </c>
      <c r="E336" t="e">
        <f>#REF!</f>
        <v>#REF!</v>
      </c>
      <c r="F336" t="e">
        <f>#REF!</f>
        <v>#REF!</v>
      </c>
      <c r="G336" t="e">
        <f>#REF!</f>
        <v>#REF!</v>
      </c>
      <c r="H336" t="e">
        <f>#REF!</f>
        <v>#REF!</v>
      </c>
      <c r="I336" t="e">
        <f>IF(#REF!="Case Cancelled",1,IF(#REF!="No Cases",2,0))</f>
        <v>#REF!</v>
      </c>
      <c r="J336" t="e">
        <f>#REF!</f>
        <v>#REF!</v>
      </c>
      <c r="K336" s="4" t="e">
        <f>#REF!</f>
        <v>#REF!</v>
      </c>
      <c r="L336" t="e">
        <f>"Wk "&amp;WEEKNUM(tbl_Case_mins[[#This Row],[Surgery Start Date]],21)</f>
        <v>#REF!</v>
      </c>
      <c r="M336" t="e">
        <f>TEXT(tbl_Case_mins[[#This Row],[Surgery Start Date]],"ddd")</f>
        <v>#REF!</v>
      </c>
      <c r="N336" s="9" t="e">
        <f>(#REF!-TIME(0,0,0))*1440</f>
        <v>#REF!</v>
      </c>
      <c r="O336" t="e">
        <f>IF(AND(ROUND((#REF!-TIME(0,0,0))*1440,0)&gt;0,ROUND((#REF!-TIME(0,0,0))*1440,0)&lt;tbl_Case_mins[[#This Row],[Patient Called]],tbl_Case_mins[[#This Row],[Surgery End Date]]&gt;tbl_Case_mins[[#This Row],[Surgery Start Date]]),ROUND((#REF!-TIME(0,0,0))*1440,0)+1440,ROUND((#REF!-TIME(0,0,0))*1440,0))</f>
        <v>#REF!</v>
      </c>
      <c r="P336" s="9" t="e">
        <f>IF(AND(ROUND((#REF!-TIME(0,0,0))*1440,0)&gt;0,ROUND((#REF!-TIME(0,0,0))*1440,0)&lt;tbl_Case_mins[[#This Row],[Arrival]],tbl_Case_mins[[#This Row],[Surgery End Date]]&gt;tbl_Case_mins[[#This Row],[Surgery Start Date]]),ROUND((#REF!-TIME(0,0,0))*1440,0)+1440,ROUND((#REF!-TIME(0,0,0))*1440,0))</f>
        <v>#REF!</v>
      </c>
      <c r="Q336" s="9" t="e">
        <f>IF(AND(ROUND((#REF!-TIME(0,0,0))*1440,0)&gt;0,ROUND((#REF!-TIME(0,0,0))*1440,0)&lt;tbl_Case_mins[[#This Row],[Into Th or AR]],tbl_Case_mins[[#This Row],[Surgery End Date]]&gt;tbl_Case_mins[[#This Row],[Surgery Start Date]]),ROUND((#REF!-TIME(0,0,0))*1440,0)+1440,ROUND((#REF!-TIME(0,0,0))*1440,0))</f>
        <v>#REF!</v>
      </c>
      <c r="R336" s="9" t="e">
        <f>IF(AND(ROUND((#REF!-TIME(0,0,0))*1440,0)&gt;0,ROUND((#REF!-TIME(0,0,0))*1440,0)&lt;tbl_Case_mins[[#This Row],[AnaesthStart]],tbl_Case_mins[[#This Row],[Surgery End Date]]&gt;tbl_Case_mins[[#This Row],[Surgery Start Date]]),ROUND((#REF!-TIME(0,0,0))*1440,0)+1440,ROUND((#REF!-TIME(0,0,0))*1440,0))</f>
        <v>#REF!</v>
      </c>
      <c r="S336" s="9" t="e">
        <f>IF(AND(ROUND((#REF!-TIME(0,0,0))*1440,0),ROUND((#REF!-TIME(0,0,0))*1440,0)&lt;tbl_Case_mins[[#This Row],[Surgery Start]],tbl_Case_mins[[#This Row],[Surgery End Date]]&gt;tbl_Case_mins[[#This Row],[Surgery Start Date]]),ROUND((#REF!-TIME(0,0,0))*1440,0)+1440,ROUND((#REF!-TIME(0,0,0))*1440,0))</f>
        <v>#REF!</v>
      </c>
      <c r="T336" s="9" t="e">
        <f>IF(AND(ROUND((#REF!-TIME(0,0,0))*1440,0)&gt;0,ROUND((#REF!-TIME(0,0,0))*1440,0)&lt;tbl_Case_mins[[#This Row],[Surgery Finish]],tbl_Case_mins[[#This Row],[Surgery End Date]]&gt;tbl_Case_mins[[#This Row],[Surgery Start Date]]),ROUND((#REF!-TIME(0,0,0))*1440,0)+1440,ROUND((#REF!-TIME(0,0,0))*1440,0))</f>
        <v>#REF!</v>
      </c>
      <c r="U336" s="9" t="e">
        <f>IF(AND(ROUND((#REF!-TIME(0,0,0))*1440,0)&gt;0,ROUND((#REF!-TIME(0,0,0))*1440,0)&lt;tbl_Case_mins[[#This Row],[Anaesth End]],tbl_Case_mins[[#This Row],[Surgery End Date]]&gt;tbl_Case_mins[[#This Row],[Surgery Start Date]]),ROUND((#REF!-TIME(0,0,0))*1440,0)+1440,ROUND((#REF!-TIME(0,0,0))*1440,0))</f>
        <v>#REF!</v>
      </c>
      <c r="V336" s="9" t="e">
        <f>IF(AND(ROUND((#REF!-TIME(0,0,0))*1440,0)&gt;0,ROUND((#REF!-TIME(0,0,0))*1440,0)&lt;tbl_Case_mins[[#This Row],[Into Recov]],tbl_Case_mins[[#This Row],[Surgery End Date]]&gt;tbl_Case_mins[[#This Row],[Surgery Start Date]]),ROUND((#REF!-TIME(0,0,0))*1440,0)+1440,ROUND((#REF!-TIME(0,0,0))*1440,0))</f>
        <v>#REF!</v>
      </c>
      <c r="W336" s="9" t="e">
        <f>IF(AND(ROUND((#REF!-TIME(0,0,0))*1440,0)&gt;0,ROUND((#REF!-TIME(0,0,0))*1440,0)&lt;tbl_Case_mins[[#This Row],[Ward Called]],tbl_Case_mins[[#This Row],[Surgery End Date]]&gt;tbl_Case_mins[[#This Row],[Surgery Start Date]]),ROUND((#REF!-TIME(0,0,0))*1440,0)+1440,ROUND((#REF!-TIME(0,0,0))*1440,0))</f>
        <v>#REF!</v>
      </c>
      <c r="X336" s="4" t="e">
        <f>IF(ISBLANK(#REF!),tbl_Case_mins[[#This Row],[Surgery Start Date]],#REF!)</f>
        <v>#REF!</v>
      </c>
      <c r="Y336">
        <f>IFERROR(IF(VLOOKUP(tbl_Case_mins[[#This Row],[Theatre]],'Mng Theatres'!$C$7:$G$12,3,FALSE)="Yes","Yes","No"),0)</f>
        <v>0</v>
      </c>
      <c r="Z336" s="9" t="e" cm="1">
        <f t="array" ref="Z33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6" s="9" t="e" cm="1">
        <f t="array" ref="AA33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6" s="9" t="e">
        <f>IF(tbl_Case_mins[[#This Row],[Case Type]]="Unsch",1,0)</f>
        <v>#REF!</v>
      </c>
      <c r="AD336" s="9" t="e">
        <f>IF(tbl_Case_mins[[#This Row],[Case Type]]="Sch",1,0)</f>
        <v>#REF!</v>
      </c>
      <c r="AE33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6" s="9">
        <f>IFERROR(IF(ISBLANK(INDEX(Am_Close,MATCH(1,INDEX((tbl_Case_mins[[#This Row],[Theatre]]=Theatre_No)*(tbl_Case_mins[[#This Row],[Surgery Start Date]]=Date),0,1),0))*1440),0,INDEX(Am_Close,MATCH(1,INDEX((tbl_Case_mins[[#This Row],[Theatre]]=Theatre_No)*(tbl_Case_mins[[#This Row],[Surgery Start Date]]=Date),0,1),0))*1440),0)</f>
        <v>0</v>
      </c>
      <c r="AG336" s="9">
        <f>IFERROR(IF(ISBLANK(INDEX(PM_Open,MATCH(1,INDEX((tbl_Case_mins[[#This Row],[Theatre]]=Theatre_No)*(tbl_Case_mins[[#This Row],[Surgery Start Date]]=Date),0,1),0))*1440),0,INDEX(PM_Open,MATCH(1,INDEX((tbl_Case_mins[[#This Row],[Theatre]]=Theatre_No)*(tbl_Case_mins[[#This Row],[Surgery Start Date]]=Date),0,1),0))*1440),0)</f>
        <v>0</v>
      </c>
      <c r="AH33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6" s="9" t="e">
        <f>IF(tbl_Case_mins[[#This Row],[ThOpenAm]]=0,tbl_Case_mins[[#This Row],[ThOpenPM]],tbl_Case_mins[[#This Row],[ThOpenAm]])</f>
        <v>#REF!</v>
      </c>
      <c r="AJ336" s="9" t="e">
        <f>IF(tbl_Case_mins[[#This Row],[ThCloseAm]]&gt;0,IF(tbl_Case_mins[[#This Row],[ThOpenPM]]&gt;0,tbl_Case_mins[[#This Row],[ThClosePm]],tbl_Case_mins[[#This Row],[ThCloseAm]]),tbl_Case_mins[[#This Row],[ThClosePm]])</f>
        <v>#REF!</v>
      </c>
      <c r="AK336" s="9" t="e">
        <f>IF(tbl_Case_mins[[#This Row],[TOT]]&gt;0,1,0)</f>
        <v>#REF!</v>
      </c>
      <c r="AL33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6" s="9" t="e">
        <f>IF(AND(tbl_Case_mins[[#This Row],[Surgery Status]]&lt;&gt;2,tbl_Case_mins[[#This Row],[InCoreCase]]=0,tbl_Case_mins[[#This Row],[CancelledCase]]=0),1,0)</f>
        <v>#REF!</v>
      </c>
      <c r="AN336" s="9" t="e">
        <f>IF(tbl_Case_mins[[#This Row],[Surgery Status]]=1,1,0)</f>
        <v>#REF!</v>
      </c>
      <c r="AO33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6" s="9" t="e">
        <f>IF(AND(tbl_Case_mins[[#This Row],[NonCoreCase]]=1,tbl_Case_mins[[#This Row],[NoInCoreTime]]=0),1,0)</f>
        <v>#REF!</v>
      </c>
      <c r="AQ336" s="9" t="e">
        <f>IF(tbl_Case_mins[[#This Row],[Rank_AnaEnd]]&lt;tbl_Case_mins[[#This Row],[Rank_AnaSt]],1,0)</f>
        <v>#REF!</v>
      </c>
      <c r="AR336" s="9" t="e">
        <f>IF(AND(tbl_Case_mins[[#This Row],[InCoreCase]]=1,tbl_Case_mins[[#This Row],[Sch]]=1),1,0)</f>
        <v>#REF!</v>
      </c>
      <c r="AS336" s="9" t="e">
        <f>IF(AND(tbl_Case_mins[[#This Row],[InCoreCase]]=1,tbl_Case_mins[[#This Row],[Unsch]]=1),1,0)</f>
        <v>#REF!</v>
      </c>
      <c r="AT33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6" s="9" t="e">
        <f>IF(tbl_Case_mins[[#This Row],[Surgery Status]]=0,(tbl_Case_mins[[#This Row],[Anaesth End]]-tbl_Case_mins[[#This Row],[AnaesthStart]]),0)</f>
        <v>#REF!</v>
      </c>
      <c r="AX336" s="9" t="e">
        <f>IF(tbl_Case_mins[[#This Row],[Surgery Status]]=0,(tbl_Case_mins[[#This Row],[Surgery Finish]]-tbl_Case_mins[[#This Row],[Surgery Start]]),0)</f>
        <v>#REF!</v>
      </c>
      <c r="AY336" s="9" t="e">
        <f>tbl_Case_mins[[#This Row],[Surgery Start]]-tbl_Case_mins[[#This Row],[AnaesthStart]]</f>
        <v>#REF!</v>
      </c>
      <c r="AZ336" s="9" t="e">
        <f>tbl_Case_mins[[#This Row],[Anaesth End]]-tbl_Case_mins[[#This Row],[Surgery Finish]]</f>
        <v>#REF!</v>
      </c>
      <c r="BA33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6" s="16" cm="1">
        <f t="array" ref="BC33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6" s="16" t="e">
        <f>IF(AND(tbl_Case_mins[[#This Row],[FirstAMCase]]=1,tbl_Case_mins[[#This Row],[CancelledCase]]=0,OR(tbl_Case_mins[[#This Row],[EarlyStartAM]]&gt;0,tbl_Case_mins[[#This Row],[AnaesthStart]]=tbl_Case_mins[[#This Row],[ThOpenAm]])),1,0)</f>
        <v>#REF!</v>
      </c>
      <c r="BE336" s="16" t="e">
        <f>IF(AND(tbl_Case_mins[[#This Row],[Rank_AnaSt]]=tbl_Case_mins[[#This Row],[Min_RankAnaSt]],tbl_Case_mins[[#This Row],[Anaesth End]]&gt;=tbl_Case_mins[[#This Row],[ThOpenAm]],tbl_Case_mins[[#This Row],[PmCase]]=0),1,0)</f>
        <v>#REF!</v>
      </c>
      <c r="BF33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6" s="9" t="e" cm="1">
        <f t="array" ref="BH33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6" s="9" t="e">
        <f>IF(AND(tbl_Case_mins[[#This Row],[ThOpenPM]]&gt;0,tbl_Case_mins[[#This Row],[AnaesthStart]]&gt;tbl_Case_mins[[#This Row],[ThOpenPM]],tbl_Case_mins[[#This Row],[First PM Case]]=1),tbl_Case_mins[[#This Row],[AnaesthStart]]-tbl_Case_mins[[#This Row],[ThOpenPM]],0)</f>
        <v>#REF!</v>
      </c>
      <c r="BL33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6" s="9" t="e" cm="1">
        <f t="array" ref="BN33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6" s="9" t="e">
        <f>IF(AND(tbl_Case_mins[[#This Row],[ThClosePm]]&gt;0,tbl_Case_mins[[#This Row],[Anaesth End]]&gt;tbl_Case_mins[[#This Row],[ThClosePm]],tbl_Case_mins[[#This Row],[AnaesthStart]]&gt;tbl_Case_mins[[#This Row],[ThClosePm]]),tbl_Case_mins[[#This Row],[Into Recov]]-tbl_Case_mins[[#This Row],[AnaesthStart]],0)</f>
        <v>#REF!</v>
      </c>
      <c r="BP336" s="9" t="e">
        <f>IF(AND(tbl_Case_mins[[#This Row],[AnaesthStart]]&lt;tbl_Case_mins[[#This Row],[ThClosePm]],tbl_Case_mins[[#This Row],[Anaesth End]]&gt;tbl_Case_mins[[#This Row],[ThClosePm]]),tbl_Case_mins[[#This Row],[Anaesth End]]-tbl_Case_mins[[#This Row],[ThClosePm]],0)</f>
        <v>#REF!</v>
      </c>
      <c r="BQ336" s="9" t="e" cm="1">
        <f t="array" ref="BQ33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6" s="9" t="e" cm="1">
        <f t="array" ref="BR336">IF(tbl_Case_mins[[#This Row],[Rank_Adjust]]=SUMPRODUCT(-(tbl_Case_mins[Surgery Start Date]=tbl_Case_mins[[#This Row],[Surgery Start Date]]),-(tbl_Case_mins[Theatre]=tbl_Case_mins[[#This Row],[Theatre]])),INDEX(Poss_Time,MATCH(TEXT(tbl_Case_mins[[#This Row],[Surgery Start Date]],"ddd"),Day,0)),0)</f>
        <v>#REF!</v>
      </c>
      <c r="BS336" s="9" t="e">
        <f>tbl_Case_mins[[#This Row],[Core_Time]]*Util_Goal</f>
        <v>#REF!</v>
      </c>
      <c r="BT336" s="9" t="e" cm="1">
        <f t="array" ref="BT3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6" s="9" t="e" cm="1">
        <f t="array" ref="BU3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6" s="9" t="e">
        <f>IF(tbl_Case_mins[[#This Row],[Surgery End Date]]&gt;tbl_Case_mins[[#This Row],[Surgery Start Date]],tbl_Case_mins[[#This Row],[Anaesth End]]-1440,0)</f>
        <v>#REF!</v>
      </c>
      <c r="BY336" s="9" t="e">
        <f>tbl_Case_mins[[#This Row],[Total_NonCore]]-tbl_Case_mins[[#This Row],[NextDay_NonCore]]</f>
        <v>#REF!</v>
      </c>
      <c r="BZ336" s="10" t="e">
        <f>tbl_Case_mins[[#This Row],[InCoreUse]]/60</f>
        <v>#REF!</v>
      </c>
      <c r="CA336" s="10" t="e">
        <f>tbl_Case_mins[[#This Row],[Total_NonCore]]/60</f>
        <v>#REF!</v>
      </c>
      <c r="CB336" t="e" cm="1">
        <f t="array" ref="CB3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6" s="9" t="e" cm="1">
        <f t="array" ref="CC33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6" s="9" t="e" cm="1">
        <f t="array" ref="CD3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6" s="9" t="e" cm="1">
        <f t="array" ref="CE33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6" s="9" cm="1">
        <f t="array" ref="CF336">IFERROR(_xlfn.AGGREGATE(14,6,(tbl_Case_mins[Rank_AnaEnd])/((tbl_Case_mins[Surgery Start Date]=tbl_Case_mins[[#This Row],[Surgery Start Date]])*(tbl_Case_mins[Theatre]=tbl_Case_mins[[#This Row],[Theatre]])*(tbl_Case_mins[NoInCoreTime]=0)),1),-1)</f>
        <v>-1</v>
      </c>
      <c r="CG336" s="9" cm="1">
        <f t="array" ref="CG336">IFERROR(_xlfn.AGGREGATE(15,6,(tbl_Case_mins[Rank_AnaSt])/((tbl_Case_mins[Surgery Start Date]=tbl_Case_mins[[#This Row],[Surgery Start Date]])*(tbl_Case_mins[Theatre]=tbl_Case_mins[[#This Row],[Theatre]])*(tbl_Case_mins[NoInCoreTime]=0)),1),-1)</f>
        <v>-1</v>
      </c>
      <c r="CH33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6" t="e" cm="1">
        <f t="array" ref="CJ33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6" s="9" cm="1">
        <f t="array" ref="CO3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6" s="9" cm="1">
        <f t="array" ref="CP3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6" s="9" cm="1">
        <f t="array" ref="CQ336">IFERROR(IF(AND(tbl_Case_mins[[#This Row],[FirstAMCase]]=0,tbl_Case_mins[[#This Row],[Rank]]=_xlfn.AGGREGATE(14,6,(tbl_Case_mins[Rank])/((tbl_Case_mins[Surgery Start Date]=tbl_Case_mins[[#This Row],[Surgery Start Date]])*(tbl_Case_mins[Theatre]=tbl_Case_mins[[#This Row],[Theatre]])*(tbl_Case_mins[AmCase]=1)),1)),1,0),0)</f>
        <v>0</v>
      </c>
      <c r="CR336" s="9" cm="1">
        <f t="array" ref="CR33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6" s="9" t="e" cm="1">
        <f t="array" ref="CS33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6" s="9" cm="1">
        <f t="array" ref="CT336">IFERROR(IF(tbl_Case_mins[[#This Row],[Rank]]=_xlfn.AGGREGATE(15,6,(tbl_Case_mins[Rank])/((tbl_Case_mins[Surgery Start Date]=tbl_Case_mins[[#This Row],[Surgery Start Date]])*(tbl_Case_mins[Theatre]=tbl_Case_mins[[#This Row],[Theatre]])*(tbl_Case_mins[PmCase]=1)),1),1,0),0)</f>
        <v>0</v>
      </c>
      <c r="CU336">
        <f>IFERROR(#REF!,0)</f>
        <v>0</v>
      </c>
      <c r="CV336" s="9" t="e" cm="1">
        <f t="array" ref="CV33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6" s="9">
        <f>IFERROR(IF(ISBLANK(INDEX(Bay_AmClose,MATCH(1,INDEX((tbl_Case_mins[[#This Row],[Bay]]=BayNo)*(tbl_Case_mins[[#This Row],[Surgery Start Date]]=BDate),0,1),0))*1440),0,INDEX(Bay_AmClose,MATCH(1,INDEX((tbl_Case_mins[[#This Row],[Bay]]=BayNo)*(tbl_Case_mins[[#This Row],[Surgery Start Date]]=BDate),0,1),0))*1440),0)</f>
        <v>0</v>
      </c>
      <c r="CX336" s="9" cm="1">
        <f t="array" ref="CX336">IFERROR(IF(ISBLANK(INDEX(Bay_PmOpen,MATCH(1,INDEX((tbl_Case_mins[[#This Row],[Bay]]=BayNo)*(tbl_Case_mins[[#This Row],[Surgery Start Date]]=BDate),0,1),0))*1440),0,INDEX(Bay_PmOpen,MATCH(1,INDEX((tbl_Case_mins[[#This Row],[Bay]]=BayNo)*(tbl_Case_mins[[#This Row],[Surgery Start Date]]=BDate),0,1),0))*1440),0)</f>
        <v>0</v>
      </c>
      <c r="CY33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6" s="9"/>
    </row>
    <row r="337" spans="1:104" x14ac:dyDescent="0.2">
      <c r="A337">
        <v>336</v>
      </c>
      <c r="B337" t="e">
        <f>#REF!</f>
        <v>#REF!</v>
      </c>
      <c r="C337" t="e">
        <f>#REF!</f>
        <v>#REF!</v>
      </c>
      <c r="D337" t="e">
        <f>#REF!</f>
        <v>#REF!</v>
      </c>
      <c r="E337" t="e">
        <f>#REF!</f>
        <v>#REF!</v>
      </c>
      <c r="F337" t="e">
        <f>#REF!</f>
        <v>#REF!</v>
      </c>
      <c r="G337" t="e">
        <f>#REF!</f>
        <v>#REF!</v>
      </c>
      <c r="H337" t="e">
        <f>#REF!</f>
        <v>#REF!</v>
      </c>
      <c r="I337" t="e">
        <f>IF(#REF!="Case Cancelled",1,IF(#REF!="No Cases",2,0))</f>
        <v>#REF!</v>
      </c>
      <c r="J337" t="e">
        <f>#REF!</f>
        <v>#REF!</v>
      </c>
      <c r="K337" s="4" t="e">
        <f>#REF!</f>
        <v>#REF!</v>
      </c>
      <c r="L337" t="e">
        <f>"Wk "&amp;WEEKNUM(tbl_Case_mins[[#This Row],[Surgery Start Date]],21)</f>
        <v>#REF!</v>
      </c>
      <c r="M337" t="e">
        <f>TEXT(tbl_Case_mins[[#This Row],[Surgery Start Date]],"ddd")</f>
        <v>#REF!</v>
      </c>
      <c r="N337" s="9" t="e">
        <f>(#REF!-TIME(0,0,0))*1440</f>
        <v>#REF!</v>
      </c>
      <c r="O337" t="e">
        <f>IF(AND(ROUND((#REF!-TIME(0,0,0))*1440,0)&gt;0,ROUND((#REF!-TIME(0,0,0))*1440,0)&lt;tbl_Case_mins[[#This Row],[Patient Called]],tbl_Case_mins[[#This Row],[Surgery End Date]]&gt;tbl_Case_mins[[#This Row],[Surgery Start Date]]),ROUND((#REF!-TIME(0,0,0))*1440,0)+1440,ROUND((#REF!-TIME(0,0,0))*1440,0))</f>
        <v>#REF!</v>
      </c>
      <c r="P337" s="9" t="e">
        <f>IF(AND(ROUND((#REF!-TIME(0,0,0))*1440,0)&gt;0,ROUND((#REF!-TIME(0,0,0))*1440,0)&lt;tbl_Case_mins[[#This Row],[Arrival]],tbl_Case_mins[[#This Row],[Surgery End Date]]&gt;tbl_Case_mins[[#This Row],[Surgery Start Date]]),ROUND((#REF!-TIME(0,0,0))*1440,0)+1440,ROUND((#REF!-TIME(0,0,0))*1440,0))</f>
        <v>#REF!</v>
      </c>
      <c r="Q337" s="9" t="e">
        <f>IF(AND(ROUND((#REF!-TIME(0,0,0))*1440,0)&gt;0,ROUND((#REF!-TIME(0,0,0))*1440,0)&lt;tbl_Case_mins[[#This Row],[Into Th or AR]],tbl_Case_mins[[#This Row],[Surgery End Date]]&gt;tbl_Case_mins[[#This Row],[Surgery Start Date]]),ROUND((#REF!-TIME(0,0,0))*1440,0)+1440,ROUND((#REF!-TIME(0,0,0))*1440,0))</f>
        <v>#REF!</v>
      </c>
      <c r="R337" s="9" t="e">
        <f>IF(AND(ROUND((#REF!-TIME(0,0,0))*1440,0)&gt;0,ROUND((#REF!-TIME(0,0,0))*1440,0)&lt;tbl_Case_mins[[#This Row],[AnaesthStart]],tbl_Case_mins[[#This Row],[Surgery End Date]]&gt;tbl_Case_mins[[#This Row],[Surgery Start Date]]),ROUND((#REF!-TIME(0,0,0))*1440,0)+1440,ROUND((#REF!-TIME(0,0,0))*1440,0))</f>
        <v>#REF!</v>
      </c>
      <c r="S337" s="9" t="e">
        <f>IF(AND(ROUND((#REF!-TIME(0,0,0))*1440,0),ROUND((#REF!-TIME(0,0,0))*1440,0)&lt;tbl_Case_mins[[#This Row],[Surgery Start]],tbl_Case_mins[[#This Row],[Surgery End Date]]&gt;tbl_Case_mins[[#This Row],[Surgery Start Date]]),ROUND((#REF!-TIME(0,0,0))*1440,0)+1440,ROUND((#REF!-TIME(0,0,0))*1440,0))</f>
        <v>#REF!</v>
      </c>
      <c r="T337" s="9" t="e">
        <f>IF(AND(ROUND((#REF!-TIME(0,0,0))*1440,0)&gt;0,ROUND((#REF!-TIME(0,0,0))*1440,0)&lt;tbl_Case_mins[[#This Row],[Surgery Finish]],tbl_Case_mins[[#This Row],[Surgery End Date]]&gt;tbl_Case_mins[[#This Row],[Surgery Start Date]]),ROUND((#REF!-TIME(0,0,0))*1440,0)+1440,ROUND((#REF!-TIME(0,0,0))*1440,0))</f>
        <v>#REF!</v>
      </c>
      <c r="U337" s="9" t="e">
        <f>IF(AND(ROUND((#REF!-TIME(0,0,0))*1440,0)&gt;0,ROUND((#REF!-TIME(0,0,0))*1440,0)&lt;tbl_Case_mins[[#This Row],[Anaesth End]],tbl_Case_mins[[#This Row],[Surgery End Date]]&gt;tbl_Case_mins[[#This Row],[Surgery Start Date]]),ROUND((#REF!-TIME(0,0,0))*1440,0)+1440,ROUND((#REF!-TIME(0,0,0))*1440,0))</f>
        <v>#REF!</v>
      </c>
      <c r="V337" s="9" t="e">
        <f>IF(AND(ROUND((#REF!-TIME(0,0,0))*1440,0)&gt;0,ROUND((#REF!-TIME(0,0,0))*1440,0)&lt;tbl_Case_mins[[#This Row],[Into Recov]],tbl_Case_mins[[#This Row],[Surgery End Date]]&gt;tbl_Case_mins[[#This Row],[Surgery Start Date]]),ROUND((#REF!-TIME(0,0,0))*1440,0)+1440,ROUND((#REF!-TIME(0,0,0))*1440,0))</f>
        <v>#REF!</v>
      </c>
      <c r="W337" s="9" t="e">
        <f>IF(AND(ROUND((#REF!-TIME(0,0,0))*1440,0)&gt;0,ROUND((#REF!-TIME(0,0,0))*1440,0)&lt;tbl_Case_mins[[#This Row],[Ward Called]],tbl_Case_mins[[#This Row],[Surgery End Date]]&gt;tbl_Case_mins[[#This Row],[Surgery Start Date]]),ROUND((#REF!-TIME(0,0,0))*1440,0)+1440,ROUND((#REF!-TIME(0,0,0))*1440,0))</f>
        <v>#REF!</v>
      </c>
      <c r="X337" s="4" t="e">
        <f>IF(ISBLANK(#REF!),tbl_Case_mins[[#This Row],[Surgery Start Date]],#REF!)</f>
        <v>#REF!</v>
      </c>
      <c r="Y337">
        <f>IFERROR(IF(VLOOKUP(tbl_Case_mins[[#This Row],[Theatre]],'Mng Theatres'!$C$7:$G$12,3,FALSE)="Yes","Yes","No"),0)</f>
        <v>0</v>
      </c>
      <c r="Z337" s="9" t="e" cm="1">
        <f t="array" ref="Z33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7" s="9" t="e" cm="1">
        <f t="array" ref="AA33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7" s="9" t="e">
        <f>IF(tbl_Case_mins[[#This Row],[Case Type]]="Unsch",1,0)</f>
        <v>#REF!</v>
      </c>
      <c r="AD337" s="9" t="e">
        <f>IF(tbl_Case_mins[[#This Row],[Case Type]]="Sch",1,0)</f>
        <v>#REF!</v>
      </c>
      <c r="AE33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7" s="9">
        <f>IFERROR(IF(ISBLANK(INDEX(Am_Close,MATCH(1,INDEX((tbl_Case_mins[[#This Row],[Theatre]]=Theatre_No)*(tbl_Case_mins[[#This Row],[Surgery Start Date]]=Date),0,1),0))*1440),0,INDEX(Am_Close,MATCH(1,INDEX((tbl_Case_mins[[#This Row],[Theatre]]=Theatre_No)*(tbl_Case_mins[[#This Row],[Surgery Start Date]]=Date),0,1),0))*1440),0)</f>
        <v>0</v>
      </c>
      <c r="AG337" s="9">
        <f>IFERROR(IF(ISBLANK(INDEX(PM_Open,MATCH(1,INDEX((tbl_Case_mins[[#This Row],[Theatre]]=Theatre_No)*(tbl_Case_mins[[#This Row],[Surgery Start Date]]=Date),0,1),0))*1440),0,INDEX(PM_Open,MATCH(1,INDEX((tbl_Case_mins[[#This Row],[Theatre]]=Theatre_No)*(tbl_Case_mins[[#This Row],[Surgery Start Date]]=Date),0,1),0))*1440),0)</f>
        <v>0</v>
      </c>
      <c r="AH33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7" s="9" t="e">
        <f>IF(tbl_Case_mins[[#This Row],[ThOpenAm]]=0,tbl_Case_mins[[#This Row],[ThOpenPM]],tbl_Case_mins[[#This Row],[ThOpenAm]])</f>
        <v>#REF!</v>
      </c>
      <c r="AJ337" s="9" t="e">
        <f>IF(tbl_Case_mins[[#This Row],[ThCloseAm]]&gt;0,IF(tbl_Case_mins[[#This Row],[ThOpenPM]]&gt;0,tbl_Case_mins[[#This Row],[ThClosePm]],tbl_Case_mins[[#This Row],[ThCloseAm]]),tbl_Case_mins[[#This Row],[ThClosePm]])</f>
        <v>#REF!</v>
      </c>
      <c r="AK337" s="9" t="e">
        <f>IF(tbl_Case_mins[[#This Row],[TOT]]&gt;0,1,0)</f>
        <v>#REF!</v>
      </c>
      <c r="AL33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7" s="9" t="e">
        <f>IF(AND(tbl_Case_mins[[#This Row],[Surgery Status]]&lt;&gt;2,tbl_Case_mins[[#This Row],[InCoreCase]]=0,tbl_Case_mins[[#This Row],[CancelledCase]]=0),1,0)</f>
        <v>#REF!</v>
      </c>
      <c r="AN337" s="9" t="e">
        <f>IF(tbl_Case_mins[[#This Row],[Surgery Status]]=1,1,0)</f>
        <v>#REF!</v>
      </c>
      <c r="AO33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7" s="9" t="e">
        <f>IF(AND(tbl_Case_mins[[#This Row],[NonCoreCase]]=1,tbl_Case_mins[[#This Row],[NoInCoreTime]]=0),1,0)</f>
        <v>#REF!</v>
      </c>
      <c r="AQ337" s="9" t="e">
        <f>IF(tbl_Case_mins[[#This Row],[Rank_AnaEnd]]&lt;tbl_Case_mins[[#This Row],[Rank_AnaSt]],1,0)</f>
        <v>#REF!</v>
      </c>
      <c r="AR337" s="9" t="e">
        <f>IF(AND(tbl_Case_mins[[#This Row],[InCoreCase]]=1,tbl_Case_mins[[#This Row],[Sch]]=1),1,0)</f>
        <v>#REF!</v>
      </c>
      <c r="AS337" s="9" t="e">
        <f>IF(AND(tbl_Case_mins[[#This Row],[InCoreCase]]=1,tbl_Case_mins[[#This Row],[Unsch]]=1),1,0)</f>
        <v>#REF!</v>
      </c>
      <c r="AT33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7" s="9" t="e">
        <f>IF(tbl_Case_mins[[#This Row],[Surgery Status]]=0,(tbl_Case_mins[[#This Row],[Anaesth End]]-tbl_Case_mins[[#This Row],[AnaesthStart]]),0)</f>
        <v>#REF!</v>
      </c>
      <c r="AX337" s="9" t="e">
        <f>IF(tbl_Case_mins[[#This Row],[Surgery Status]]=0,(tbl_Case_mins[[#This Row],[Surgery Finish]]-tbl_Case_mins[[#This Row],[Surgery Start]]),0)</f>
        <v>#REF!</v>
      </c>
      <c r="AY337" s="9" t="e">
        <f>tbl_Case_mins[[#This Row],[Surgery Start]]-tbl_Case_mins[[#This Row],[AnaesthStart]]</f>
        <v>#REF!</v>
      </c>
      <c r="AZ337" s="9" t="e">
        <f>tbl_Case_mins[[#This Row],[Anaesth End]]-tbl_Case_mins[[#This Row],[Surgery Finish]]</f>
        <v>#REF!</v>
      </c>
      <c r="BA33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7" s="16" cm="1">
        <f t="array" ref="BC33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7" s="16" t="e">
        <f>IF(AND(tbl_Case_mins[[#This Row],[FirstAMCase]]=1,tbl_Case_mins[[#This Row],[CancelledCase]]=0,OR(tbl_Case_mins[[#This Row],[EarlyStartAM]]&gt;0,tbl_Case_mins[[#This Row],[AnaesthStart]]=tbl_Case_mins[[#This Row],[ThOpenAm]])),1,0)</f>
        <v>#REF!</v>
      </c>
      <c r="BE337" s="16" t="e">
        <f>IF(AND(tbl_Case_mins[[#This Row],[Rank_AnaSt]]=tbl_Case_mins[[#This Row],[Min_RankAnaSt]],tbl_Case_mins[[#This Row],[Anaesth End]]&gt;=tbl_Case_mins[[#This Row],[ThOpenAm]],tbl_Case_mins[[#This Row],[PmCase]]=0),1,0)</f>
        <v>#REF!</v>
      </c>
      <c r="BF33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7" s="9" t="e" cm="1">
        <f t="array" ref="BH33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7" s="9" t="e">
        <f>IF(AND(tbl_Case_mins[[#This Row],[ThOpenPM]]&gt;0,tbl_Case_mins[[#This Row],[AnaesthStart]]&gt;tbl_Case_mins[[#This Row],[ThOpenPM]],tbl_Case_mins[[#This Row],[First PM Case]]=1),tbl_Case_mins[[#This Row],[AnaesthStart]]-tbl_Case_mins[[#This Row],[ThOpenPM]],0)</f>
        <v>#REF!</v>
      </c>
      <c r="BL33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7" s="9" t="e" cm="1">
        <f t="array" ref="BN33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7" s="9" t="e">
        <f>IF(AND(tbl_Case_mins[[#This Row],[ThClosePm]]&gt;0,tbl_Case_mins[[#This Row],[Anaesth End]]&gt;tbl_Case_mins[[#This Row],[ThClosePm]],tbl_Case_mins[[#This Row],[AnaesthStart]]&gt;tbl_Case_mins[[#This Row],[ThClosePm]]),tbl_Case_mins[[#This Row],[Into Recov]]-tbl_Case_mins[[#This Row],[AnaesthStart]],0)</f>
        <v>#REF!</v>
      </c>
      <c r="BP337" s="9" t="e">
        <f>IF(AND(tbl_Case_mins[[#This Row],[AnaesthStart]]&lt;tbl_Case_mins[[#This Row],[ThClosePm]],tbl_Case_mins[[#This Row],[Anaesth End]]&gt;tbl_Case_mins[[#This Row],[ThClosePm]]),tbl_Case_mins[[#This Row],[Anaesth End]]-tbl_Case_mins[[#This Row],[ThClosePm]],0)</f>
        <v>#REF!</v>
      </c>
      <c r="BQ337" s="9" t="e" cm="1">
        <f t="array" ref="BQ33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7" s="9" t="e" cm="1">
        <f t="array" ref="BR337">IF(tbl_Case_mins[[#This Row],[Rank_Adjust]]=SUMPRODUCT(-(tbl_Case_mins[Surgery Start Date]=tbl_Case_mins[[#This Row],[Surgery Start Date]]),-(tbl_Case_mins[Theatre]=tbl_Case_mins[[#This Row],[Theatre]])),INDEX(Poss_Time,MATCH(TEXT(tbl_Case_mins[[#This Row],[Surgery Start Date]],"ddd"),Day,0)),0)</f>
        <v>#REF!</v>
      </c>
      <c r="BS337" s="9" t="e">
        <f>tbl_Case_mins[[#This Row],[Core_Time]]*Util_Goal</f>
        <v>#REF!</v>
      </c>
      <c r="BT337" s="9" t="e" cm="1">
        <f t="array" ref="BT3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7" s="9" t="e" cm="1">
        <f t="array" ref="BU3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7" s="9" t="e">
        <f>IF(tbl_Case_mins[[#This Row],[Surgery End Date]]&gt;tbl_Case_mins[[#This Row],[Surgery Start Date]],tbl_Case_mins[[#This Row],[Anaesth End]]-1440,0)</f>
        <v>#REF!</v>
      </c>
      <c r="BY337" s="9" t="e">
        <f>tbl_Case_mins[[#This Row],[Total_NonCore]]-tbl_Case_mins[[#This Row],[NextDay_NonCore]]</f>
        <v>#REF!</v>
      </c>
      <c r="BZ337" s="10" t="e">
        <f>tbl_Case_mins[[#This Row],[InCoreUse]]/60</f>
        <v>#REF!</v>
      </c>
      <c r="CA337" s="10" t="e">
        <f>tbl_Case_mins[[#This Row],[Total_NonCore]]/60</f>
        <v>#REF!</v>
      </c>
      <c r="CB337" t="e" cm="1">
        <f t="array" ref="CB3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7" s="9" t="e" cm="1">
        <f t="array" ref="CC33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7" s="9" t="e" cm="1">
        <f t="array" ref="CD3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7" s="9" t="e" cm="1">
        <f t="array" ref="CE33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7" s="9" cm="1">
        <f t="array" ref="CF337">IFERROR(_xlfn.AGGREGATE(14,6,(tbl_Case_mins[Rank_AnaEnd])/((tbl_Case_mins[Surgery Start Date]=tbl_Case_mins[[#This Row],[Surgery Start Date]])*(tbl_Case_mins[Theatre]=tbl_Case_mins[[#This Row],[Theatre]])*(tbl_Case_mins[NoInCoreTime]=0)),1),-1)</f>
        <v>-1</v>
      </c>
      <c r="CG337" s="9" cm="1">
        <f t="array" ref="CG337">IFERROR(_xlfn.AGGREGATE(15,6,(tbl_Case_mins[Rank_AnaSt])/((tbl_Case_mins[Surgery Start Date]=tbl_Case_mins[[#This Row],[Surgery Start Date]])*(tbl_Case_mins[Theatre]=tbl_Case_mins[[#This Row],[Theatre]])*(tbl_Case_mins[NoInCoreTime]=0)),1),-1)</f>
        <v>-1</v>
      </c>
      <c r="CH33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7" t="e" cm="1">
        <f t="array" ref="CJ33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7" s="9" cm="1">
        <f t="array" ref="CO3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7" s="9" cm="1">
        <f t="array" ref="CP3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7" s="9" cm="1">
        <f t="array" ref="CQ337">IFERROR(IF(AND(tbl_Case_mins[[#This Row],[FirstAMCase]]=0,tbl_Case_mins[[#This Row],[Rank]]=_xlfn.AGGREGATE(14,6,(tbl_Case_mins[Rank])/((tbl_Case_mins[Surgery Start Date]=tbl_Case_mins[[#This Row],[Surgery Start Date]])*(tbl_Case_mins[Theatre]=tbl_Case_mins[[#This Row],[Theatre]])*(tbl_Case_mins[AmCase]=1)),1)),1,0),0)</f>
        <v>0</v>
      </c>
      <c r="CR337" s="9" cm="1">
        <f t="array" ref="CR33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7" s="9" t="e" cm="1">
        <f t="array" ref="CS33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7" s="9" cm="1">
        <f t="array" ref="CT337">IFERROR(IF(tbl_Case_mins[[#This Row],[Rank]]=_xlfn.AGGREGATE(15,6,(tbl_Case_mins[Rank])/((tbl_Case_mins[Surgery Start Date]=tbl_Case_mins[[#This Row],[Surgery Start Date]])*(tbl_Case_mins[Theatre]=tbl_Case_mins[[#This Row],[Theatre]])*(tbl_Case_mins[PmCase]=1)),1),1,0),0)</f>
        <v>0</v>
      </c>
      <c r="CU337">
        <f>IFERROR(#REF!,0)</f>
        <v>0</v>
      </c>
      <c r="CV337" s="9" t="e" cm="1">
        <f t="array" ref="CV33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7" s="9">
        <f>IFERROR(IF(ISBLANK(INDEX(Bay_AmClose,MATCH(1,INDEX((tbl_Case_mins[[#This Row],[Bay]]=BayNo)*(tbl_Case_mins[[#This Row],[Surgery Start Date]]=BDate),0,1),0))*1440),0,INDEX(Bay_AmClose,MATCH(1,INDEX((tbl_Case_mins[[#This Row],[Bay]]=BayNo)*(tbl_Case_mins[[#This Row],[Surgery Start Date]]=BDate),0,1),0))*1440),0)</f>
        <v>0</v>
      </c>
      <c r="CX337" s="9" cm="1">
        <f t="array" ref="CX337">IFERROR(IF(ISBLANK(INDEX(Bay_PmOpen,MATCH(1,INDEX((tbl_Case_mins[[#This Row],[Bay]]=BayNo)*(tbl_Case_mins[[#This Row],[Surgery Start Date]]=BDate),0,1),0))*1440),0,INDEX(Bay_PmOpen,MATCH(1,INDEX((tbl_Case_mins[[#This Row],[Bay]]=BayNo)*(tbl_Case_mins[[#This Row],[Surgery Start Date]]=BDate),0,1),0))*1440),0)</f>
        <v>0</v>
      </c>
      <c r="CY33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7" s="9"/>
    </row>
    <row r="338" spans="1:104" x14ac:dyDescent="0.2">
      <c r="A338">
        <v>337</v>
      </c>
      <c r="B338" t="e">
        <f>#REF!</f>
        <v>#REF!</v>
      </c>
      <c r="C338" t="e">
        <f>#REF!</f>
        <v>#REF!</v>
      </c>
      <c r="D338" t="e">
        <f>#REF!</f>
        <v>#REF!</v>
      </c>
      <c r="E338" t="e">
        <f>#REF!</f>
        <v>#REF!</v>
      </c>
      <c r="F338" t="e">
        <f>#REF!</f>
        <v>#REF!</v>
      </c>
      <c r="G338" t="e">
        <f>#REF!</f>
        <v>#REF!</v>
      </c>
      <c r="H338" t="e">
        <f>#REF!</f>
        <v>#REF!</v>
      </c>
      <c r="I338" t="e">
        <f>IF(#REF!="Case Cancelled",1,IF(#REF!="No Cases",2,0))</f>
        <v>#REF!</v>
      </c>
      <c r="J338" t="e">
        <f>#REF!</f>
        <v>#REF!</v>
      </c>
      <c r="K338" s="4" t="e">
        <f>#REF!</f>
        <v>#REF!</v>
      </c>
      <c r="L338" t="e">
        <f>"Wk "&amp;WEEKNUM(tbl_Case_mins[[#This Row],[Surgery Start Date]],21)</f>
        <v>#REF!</v>
      </c>
      <c r="M338" t="e">
        <f>TEXT(tbl_Case_mins[[#This Row],[Surgery Start Date]],"ddd")</f>
        <v>#REF!</v>
      </c>
      <c r="N338" s="9" t="e">
        <f>(#REF!-TIME(0,0,0))*1440</f>
        <v>#REF!</v>
      </c>
      <c r="O338" t="e">
        <f>IF(AND(ROUND((#REF!-TIME(0,0,0))*1440,0)&gt;0,ROUND((#REF!-TIME(0,0,0))*1440,0)&lt;tbl_Case_mins[[#This Row],[Patient Called]],tbl_Case_mins[[#This Row],[Surgery End Date]]&gt;tbl_Case_mins[[#This Row],[Surgery Start Date]]),ROUND((#REF!-TIME(0,0,0))*1440,0)+1440,ROUND((#REF!-TIME(0,0,0))*1440,0))</f>
        <v>#REF!</v>
      </c>
      <c r="P338" s="9" t="e">
        <f>IF(AND(ROUND((#REF!-TIME(0,0,0))*1440,0)&gt;0,ROUND((#REF!-TIME(0,0,0))*1440,0)&lt;tbl_Case_mins[[#This Row],[Arrival]],tbl_Case_mins[[#This Row],[Surgery End Date]]&gt;tbl_Case_mins[[#This Row],[Surgery Start Date]]),ROUND((#REF!-TIME(0,0,0))*1440,0)+1440,ROUND((#REF!-TIME(0,0,0))*1440,0))</f>
        <v>#REF!</v>
      </c>
      <c r="Q338" s="9" t="e">
        <f>IF(AND(ROUND((#REF!-TIME(0,0,0))*1440,0)&gt;0,ROUND((#REF!-TIME(0,0,0))*1440,0)&lt;tbl_Case_mins[[#This Row],[Into Th or AR]],tbl_Case_mins[[#This Row],[Surgery End Date]]&gt;tbl_Case_mins[[#This Row],[Surgery Start Date]]),ROUND((#REF!-TIME(0,0,0))*1440,0)+1440,ROUND((#REF!-TIME(0,0,0))*1440,0))</f>
        <v>#REF!</v>
      </c>
      <c r="R338" s="9" t="e">
        <f>IF(AND(ROUND((#REF!-TIME(0,0,0))*1440,0)&gt;0,ROUND((#REF!-TIME(0,0,0))*1440,0)&lt;tbl_Case_mins[[#This Row],[AnaesthStart]],tbl_Case_mins[[#This Row],[Surgery End Date]]&gt;tbl_Case_mins[[#This Row],[Surgery Start Date]]),ROUND((#REF!-TIME(0,0,0))*1440,0)+1440,ROUND((#REF!-TIME(0,0,0))*1440,0))</f>
        <v>#REF!</v>
      </c>
      <c r="S338" s="9" t="e">
        <f>IF(AND(ROUND((#REF!-TIME(0,0,0))*1440,0),ROUND((#REF!-TIME(0,0,0))*1440,0)&lt;tbl_Case_mins[[#This Row],[Surgery Start]],tbl_Case_mins[[#This Row],[Surgery End Date]]&gt;tbl_Case_mins[[#This Row],[Surgery Start Date]]),ROUND((#REF!-TIME(0,0,0))*1440,0)+1440,ROUND((#REF!-TIME(0,0,0))*1440,0))</f>
        <v>#REF!</v>
      </c>
      <c r="T338" s="9" t="e">
        <f>IF(AND(ROUND((#REF!-TIME(0,0,0))*1440,0)&gt;0,ROUND((#REF!-TIME(0,0,0))*1440,0)&lt;tbl_Case_mins[[#This Row],[Surgery Finish]],tbl_Case_mins[[#This Row],[Surgery End Date]]&gt;tbl_Case_mins[[#This Row],[Surgery Start Date]]),ROUND((#REF!-TIME(0,0,0))*1440,0)+1440,ROUND((#REF!-TIME(0,0,0))*1440,0))</f>
        <v>#REF!</v>
      </c>
      <c r="U338" s="9" t="e">
        <f>IF(AND(ROUND((#REF!-TIME(0,0,0))*1440,0)&gt;0,ROUND((#REF!-TIME(0,0,0))*1440,0)&lt;tbl_Case_mins[[#This Row],[Anaesth End]],tbl_Case_mins[[#This Row],[Surgery End Date]]&gt;tbl_Case_mins[[#This Row],[Surgery Start Date]]),ROUND((#REF!-TIME(0,0,0))*1440,0)+1440,ROUND((#REF!-TIME(0,0,0))*1440,0))</f>
        <v>#REF!</v>
      </c>
      <c r="V338" s="9" t="e">
        <f>IF(AND(ROUND((#REF!-TIME(0,0,0))*1440,0)&gt;0,ROUND((#REF!-TIME(0,0,0))*1440,0)&lt;tbl_Case_mins[[#This Row],[Into Recov]],tbl_Case_mins[[#This Row],[Surgery End Date]]&gt;tbl_Case_mins[[#This Row],[Surgery Start Date]]),ROUND((#REF!-TIME(0,0,0))*1440,0)+1440,ROUND((#REF!-TIME(0,0,0))*1440,0))</f>
        <v>#REF!</v>
      </c>
      <c r="W338" s="9" t="e">
        <f>IF(AND(ROUND((#REF!-TIME(0,0,0))*1440,0)&gt;0,ROUND((#REF!-TIME(0,0,0))*1440,0)&lt;tbl_Case_mins[[#This Row],[Ward Called]],tbl_Case_mins[[#This Row],[Surgery End Date]]&gt;tbl_Case_mins[[#This Row],[Surgery Start Date]]),ROUND((#REF!-TIME(0,0,0))*1440,0)+1440,ROUND((#REF!-TIME(0,0,0))*1440,0))</f>
        <v>#REF!</v>
      </c>
      <c r="X338" s="4" t="e">
        <f>IF(ISBLANK(#REF!),tbl_Case_mins[[#This Row],[Surgery Start Date]],#REF!)</f>
        <v>#REF!</v>
      </c>
      <c r="Y338">
        <f>IFERROR(IF(VLOOKUP(tbl_Case_mins[[#This Row],[Theatre]],'Mng Theatres'!$C$7:$G$12,3,FALSE)="Yes","Yes","No"),0)</f>
        <v>0</v>
      </c>
      <c r="Z338" s="9" t="e" cm="1">
        <f t="array" ref="Z33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8" s="9" t="e" cm="1">
        <f t="array" ref="AA33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8" s="9" t="e">
        <f>IF(tbl_Case_mins[[#This Row],[Case Type]]="Unsch",1,0)</f>
        <v>#REF!</v>
      </c>
      <c r="AD338" s="9" t="e">
        <f>IF(tbl_Case_mins[[#This Row],[Case Type]]="Sch",1,0)</f>
        <v>#REF!</v>
      </c>
      <c r="AE33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8" s="9">
        <f>IFERROR(IF(ISBLANK(INDEX(Am_Close,MATCH(1,INDEX((tbl_Case_mins[[#This Row],[Theatre]]=Theatre_No)*(tbl_Case_mins[[#This Row],[Surgery Start Date]]=Date),0,1),0))*1440),0,INDEX(Am_Close,MATCH(1,INDEX((tbl_Case_mins[[#This Row],[Theatre]]=Theatre_No)*(tbl_Case_mins[[#This Row],[Surgery Start Date]]=Date),0,1),0))*1440),0)</f>
        <v>0</v>
      </c>
      <c r="AG338" s="9">
        <f>IFERROR(IF(ISBLANK(INDEX(PM_Open,MATCH(1,INDEX((tbl_Case_mins[[#This Row],[Theatre]]=Theatre_No)*(tbl_Case_mins[[#This Row],[Surgery Start Date]]=Date),0,1),0))*1440),0,INDEX(PM_Open,MATCH(1,INDEX((tbl_Case_mins[[#This Row],[Theatre]]=Theatre_No)*(tbl_Case_mins[[#This Row],[Surgery Start Date]]=Date),0,1),0))*1440),0)</f>
        <v>0</v>
      </c>
      <c r="AH33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8" s="9" t="e">
        <f>IF(tbl_Case_mins[[#This Row],[ThOpenAm]]=0,tbl_Case_mins[[#This Row],[ThOpenPM]],tbl_Case_mins[[#This Row],[ThOpenAm]])</f>
        <v>#REF!</v>
      </c>
      <c r="AJ338" s="9" t="e">
        <f>IF(tbl_Case_mins[[#This Row],[ThCloseAm]]&gt;0,IF(tbl_Case_mins[[#This Row],[ThOpenPM]]&gt;0,tbl_Case_mins[[#This Row],[ThClosePm]],tbl_Case_mins[[#This Row],[ThCloseAm]]),tbl_Case_mins[[#This Row],[ThClosePm]])</f>
        <v>#REF!</v>
      </c>
      <c r="AK338" s="9" t="e">
        <f>IF(tbl_Case_mins[[#This Row],[TOT]]&gt;0,1,0)</f>
        <v>#REF!</v>
      </c>
      <c r="AL33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8" s="9" t="e">
        <f>IF(AND(tbl_Case_mins[[#This Row],[Surgery Status]]&lt;&gt;2,tbl_Case_mins[[#This Row],[InCoreCase]]=0,tbl_Case_mins[[#This Row],[CancelledCase]]=0),1,0)</f>
        <v>#REF!</v>
      </c>
      <c r="AN338" s="9" t="e">
        <f>IF(tbl_Case_mins[[#This Row],[Surgery Status]]=1,1,0)</f>
        <v>#REF!</v>
      </c>
      <c r="AO33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8" s="9" t="e">
        <f>IF(AND(tbl_Case_mins[[#This Row],[NonCoreCase]]=1,tbl_Case_mins[[#This Row],[NoInCoreTime]]=0),1,0)</f>
        <v>#REF!</v>
      </c>
      <c r="AQ338" s="9" t="e">
        <f>IF(tbl_Case_mins[[#This Row],[Rank_AnaEnd]]&lt;tbl_Case_mins[[#This Row],[Rank_AnaSt]],1,0)</f>
        <v>#REF!</v>
      </c>
      <c r="AR338" s="9" t="e">
        <f>IF(AND(tbl_Case_mins[[#This Row],[InCoreCase]]=1,tbl_Case_mins[[#This Row],[Sch]]=1),1,0)</f>
        <v>#REF!</v>
      </c>
      <c r="AS338" s="9" t="e">
        <f>IF(AND(tbl_Case_mins[[#This Row],[InCoreCase]]=1,tbl_Case_mins[[#This Row],[Unsch]]=1),1,0)</f>
        <v>#REF!</v>
      </c>
      <c r="AT33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8" s="9" t="e">
        <f>IF(tbl_Case_mins[[#This Row],[Surgery Status]]=0,(tbl_Case_mins[[#This Row],[Anaesth End]]-tbl_Case_mins[[#This Row],[AnaesthStart]]),0)</f>
        <v>#REF!</v>
      </c>
      <c r="AX338" s="9" t="e">
        <f>IF(tbl_Case_mins[[#This Row],[Surgery Status]]=0,(tbl_Case_mins[[#This Row],[Surgery Finish]]-tbl_Case_mins[[#This Row],[Surgery Start]]),0)</f>
        <v>#REF!</v>
      </c>
      <c r="AY338" s="9" t="e">
        <f>tbl_Case_mins[[#This Row],[Surgery Start]]-tbl_Case_mins[[#This Row],[AnaesthStart]]</f>
        <v>#REF!</v>
      </c>
      <c r="AZ338" s="9" t="e">
        <f>tbl_Case_mins[[#This Row],[Anaesth End]]-tbl_Case_mins[[#This Row],[Surgery Finish]]</f>
        <v>#REF!</v>
      </c>
      <c r="BA33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8" s="16" cm="1">
        <f t="array" ref="BC33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8" s="16" t="e">
        <f>IF(AND(tbl_Case_mins[[#This Row],[FirstAMCase]]=1,tbl_Case_mins[[#This Row],[CancelledCase]]=0,OR(tbl_Case_mins[[#This Row],[EarlyStartAM]]&gt;0,tbl_Case_mins[[#This Row],[AnaesthStart]]=tbl_Case_mins[[#This Row],[ThOpenAm]])),1,0)</f>
        <v>#REF!</v>
      </c>
      <c r="BE338" s="16" t="e">
        <f>IF(AND(tbl_Case_mins[[#This Row],[Rank_AnaSt]]=tbl_Case_mins[[#This Row],[Min_RankAnaSt]],tbl_Case_mins[[#This Row],[Anaesth End]]&gt;=tbl_Case_mins[[#This Row],[ThOpenAm]],tbl_Case_mins[[#This Row],[PmCase]]=0),1,0)</f>
        <v>#REF!</v>
      </c>
      <c r="BF33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8" s="9" t="e" cm="1">
        <f t="array" ref="BH33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8" s="9" t="e">
        <f>IF(AND(tbl_Case_mins[[#This Row],[ThOpenPM]]&gt;0,tbl_Case_mins[[#This Row],[AnaesthStart]]&gt;tbl_Case_mins[[#This Row],[ThOpenPM]],tbl_Case_mins[[#This Row],[First PM Case]]=1),tbl_Case_mins[[#This Row],[AnaesthStart]]-tbl_Case_mins[[#This Row],[ThOpenPM]],0)</f>
        <v>#REF!</v>
      </c>
      <c r="BL33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8" s="9" t="e" cm="1">
        <f t="array" ref="BN33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8" s="9" t="e">
        <f>IF(AND(tbl_Case_mins[[#This Row],[ThClosePm]]&gt;0,tbl_Case_mins[[#This Row],[Anaesth End]]&gt;tbl_Case_mins[[#This Row],[ThClosePm]],tbl_Case_mins[[#This Row],[AnaesthStart]]&gt;tbl_Case_mins[[#This Row],[ThClosePm]]),tbl_Case_mins[[#This Row],[Into Recov]]-tbl_Case_mins[[#This Row],[AnaesthStart]],0)</f>
        <v>#REF!</v>
      </c>
      <c r="BP338" s="9" t="e">
        <f>IF(AND(tbl_Case_mins[[#This Row],[AnaesthStart]]&lt;tbl_Case_mins[[#This Row],[ThClosePm]],tbl_Case_mins[[#This Row],[Anaesth End]]&gt;tbl_Case_mins[[#This Row],[ThClosePm]]),tbl_Case_mins[[#This Row],[Anaesth End]]-tbl_Case_mins[[#This Row],[ThClosePm]],0)</f>
        <v>#REF!</v>
      </c>
      <c r="BQ338" s="9" t="e" cm="1">
        <f t="array" ref="BQ33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8" s="9" t="e" cm="1">
        <f t="array" ref="BR338">IF(tbl_Case_mins[[#This Row],[Rank_Adjust]]=SUMPRODUCT(-(tbl_Case_mins[Surgery Start Date]=tbl_Case_mins[[#This Row],[Surgery Start Date]]),-(tbl_Case_mins[Theatre]=tbl_Case_mins[[#This Row],[Theatre]])),INDEX(Poss_Time,MATCH(TEXT(tbl_Case_mins[[#This Row],[Surgery Start Date]],"ddd"),Day,0)),0)</f>
        <v>#REF!</v>
      </c>
      <c r="BS338" s="9" t="e">
        <f>tbl_Case_mins[[#This Row],[Core_Time]]*Util_Goal</f>
        <v>#REF!</v>
      </c>
      <c r="BT338" s="9" t="e" cm="1">
        <f t="array" ref="BT3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8" s="9" t="e" cm="1">
        <f t="array" ref="BU3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8" s="9" t="e">
        <f>IF(tbl_Case_mins[[#This Row],[Surgery End Date]]&gt;tbl_Case_mins[[#This Row],[Surgery Start Date]],tbl_Case_mins[[#This Row],[Anaesth End]]-1440,0)</f>
        <v>#REF!</v>
      </c>
      <c r="BY338" s="9" t="e">
        <f>tbl_Case_mins[[#This Row],[Total_NonCore]]-tbl_Case_mins[[#This Row],[NextDay_NonCore]]</f>
        <v>#REF!</v>
      </c>
      <c r="BZ338" s="10" t="e">
        <f>tbl_Case_mins[[#This Row],[InCoreUse]]/60</f>
        <v>#REF!</v>
      </c>
      <c r="CA338" s="10" t="e">
        <f>tbl_Case_mins[[#This Row],[Total_NonCore]]/60</f>
        <v>#REF!</v>
      </c>
      <c r="CB338" t="e" cm="1">
        <f t="array" ref="CB3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8" s="9" t="e" cm="1">
        <f t="array" ref="CC33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8" s="9" t="e" cm="1">
        <f t="array" ref="CD3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8" s="9" t="e" cm="1">
        <f t="array" ref="CE33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8" s="9" cm="1">
        <f t="array" ref="CF338">IFERROR(_xlfn.AGGREGATE(14,6,(tbl_Case_mins[Rank_AnaEnd])/((tbl_Case_mins[Surgery Start Date]=tbl_Case_mins[[#This Row],[Surgery Start Date]])*(tbl_Case_mins[Theatre]=tbl_Case_mins[[#This Row],[Theatre]])*(tbl_Case_mins[NoInCoreTime]=0)),1),-1)</f>
        <v>-1</v>
      </c>
      <c r="CG338" s="9" cm="1">
        <f t="array" ref="CG338">IFERROR(_xlfn.AGGREGATE(15,6,(tbl_Case_mins[Rank_AnaSt])/((tbl_Case_mins[Surgery Start Date]=tbl_Case_mins[[#This Row],[Surgery Start Date]])*(tbl_Case_mins[Theatre]=tbl_Case_mins[[#This Row],[Theatre]])*(tbl_Case_mins[NoInCoreTime]=0)),1),-1)</f>
        <v>-1</v>
      </c>
      <c r="CH33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8" t="e" cm="1">
        <f t="array" ref="CJ33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8" s="9" cm="1">
        <f t="array" ref="CO3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8" s="9" cm="1">
        <f t="array" ref="CP3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8" s="9" cm="1">
        <f t="array" ref="CQ338">IFERROR(IF(AND(tbl_Case_mins[[#This Row],[FirstAMCase]]=0,tbl_Case_mins[[#This Row],[Rank]]=_xlfn.AGGREGATE(14,6,(tbl_Case_mins[Rank])/((tbl_Case_mins[Surgery Start Date]=tbl_Case_mins[[#This Row],[Surgery Start Date]])*(tbl_Case_mins[Theatre]=tbl_Case_mins[[#This Row],[Theatre]])*(tbl_Case_mins[AmCase]=1)),1)),1,0),0)</f>
        <v>0</v>
      </c>
      <c r="CR338" s="9" cm="1">
        <f t="array" ref="CR33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8" s="9" t="e" cm="1">
        <f t="array" ref="CS33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8" s="9" cm="1">
        <f t="array" ref="CT338">IFERROR(IF(tbl_Case_mins[[#This Row],[Rank]]=_xlfn.AGGREGATE(15,6,(tbl_Case_mins[Rank])/((tbl_Case_mins[Surgery Start Date]=tbl_Case_mins[[#This Row],[Surgery Start Date]])*(tbl_Case_mins[Theatre]=tbl_Case_mins[[#This Row],[Theatre]])*(tbl_Case_mins[PmCase]=1)),1),1,0),0)</f>
        <v>0</v>
      </c>
      <c r="CU338">
        <f>IFERROR(#REF!,0)</f>
        <v>0</v>
      </c>
      <c r="CV338" s="9" t="e" cm="1">
        <f t="array" ref="CV33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8" s="9">
        <f>IFERROR(IF(ISBLANK(INDEX(Bay_AmClose,MATCH(1,INDEX((tbl_Case_mins[[#This Row],[Bay]]=BayNo)*(tbl_Case_mins[[#This Row],[Surgery Start Date]]=BDate),0,1),0))*1440),0,INDEX(Bay_AmClose,MATCH(1,INDEX((tbl_Case_mins[[#This Row],[Bay]]=BayNo)*(tbl_Case_mins[[#This Row],[Surgery Start Date]]=BDate),0,1),0))*1440),0)</f>
        <v>0</v>
      </c>
      <c r="CX338" s="9" cm="1">
        <f t="array" ref="CX338">IFERROR(IF(ISBLANK(INDEX(Bay_PmOpen,MATCH(1,INDEX((tbl_Case_mins[[#This Row],[Bay]]=BayNo)*(tbl_Case_mins[[#This Row],[Surgery Start Date]]=BDate),0,1),0))*1440),0,INDEX(Bay_PmOpen,MATCH(1,INDEX((tbl_Case_mins[[#This Row],[Bay]]=BayNo)*(tbl_Case_mins[[#This Row],[Surgery Start Date]]=BDate),0,1),0))*1440),0)</f>
        <v>0</v>
      </c>
      <c r="CY33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8" s="9"/>
    </row>
    <row r="339" spans="1:104" x14ac:dyDescent="0.2">
      <c r="A339">
        <v>338</v>
      </c>
      <c r="B339" t="e">
        <f>#REF!</f>
        <v>#REF!</v>
      </c>
      <c r="C339" t="e">
        <f>#REF!</f>
        <v>#REF!</v>
      </c>
      <c r="D339" t="e">
        <f>#REF!</f>
        <v>#REF!</v>
      </c>
      <c r="E339" t="e">
        <f>#REF!</f>
        <v>#REF!</v>
      </c>
      <c r="F339" t="e">
        <f>#REF!</f>
        <v>#REF!</v>
      </c>
      <c r="G339" t="e">
        <f>#REF!</f>
        <v>#REF!</v>
      </c>
      <c r="H339" t="e">
        <f>#REF!</f>
        <v>#REF!</v>
      </c>
      <c r="I339" t="e">
        <f>IF(#REF!="Case Cancelled",1,IF(#REF!="No Cases",2,0))</f>
        <v>#REF!</v>
      </c>
      <c r="J339" t="e">
        <f>#REF!</f>
        <v>#REF!</v>
      </c>
      <c r="K339" s="4" t="e">
        <f>#REF!</f>
        <v>#REF!</v>
      </c>
      <c r="L339" t="e">
        <f>"Wk "&amp;WEEKNUM(tbl_Case_mins[[#This Row],[Surgery Start Date]],21)</f>
        <v>#REF!</v>
      </c>
      <c r="M339" t="e">
        <f>TEXT(tbl_Case_mins[[#This Row],[Surgery Start Date]],"ddd")</f>
        <v>#REF!</v>
      </c>
      <c r="N339" s="9" t="e">
        <f>(#REF!-TIME(0,0,0))*1440</f>
        <v>#REF!</v>
      </c>
      <c r="O339" t="e">
        <f>IF(AND(ROUND((#REF!-TIME(0,0,0))*1440,0)&gt;0,ROUND((#REF!-TIME(0,0,0))*1440,0)&lt;tbl_Case_mins[[#This Row],[Patient Called]],tbl_Case_mins[[#This Row],[Surgery End Date]]&gt;tbl_Case_mins[[#This Row],[Surgery Start Date]]),ROUND((#REF!-TIME(0,0,0))*1440,0)+1440,ROUND((#REF!-TIME(0,0,0))*1440,0))</f>
        <v>#REF!</v>
      </c>
      <c r="P339" s="9" t="e">
        <f>IF(AND(ROUND((#REF!-TIME(0,0,0))*1440,0)&gt;0,ROUND((#REF!-TIME(0,0,0))*1440,0)&lt;tbl_Case_mins[[#This Row],[Arrival]],tbl_Case_mins[[#This Row],[Surgery End Date]]&gt;tbl_Case_mins[[#This Row],[Surgery Start Date]]),ROUND((#REF!-TIME(0,0,0))*1440,0)+1440,ROUND((#REF!-TIME(0,0,0))*1440,0))</f>
        <v>#REF!</v>
      </c>
      <c r="Q339" s="9" t="e">
        <f>IF(AND(ROUND((#REF!-TIME(0,0,0))*1440,0)&gt;0,ROUND((#REF!-TIME(0,0,0))*1440,0)&lt;tbl_Case_mins[[#This Row],[Into Th or AR]],tbl_Case_mins[[#This Row],[Surgery End Date]]&gt;tbl_Case_mins[[#This Row],[Surgery Start Date]]),ROUND((#REF!-TIME(0,0,0))*1440,0)+1440,ROUND((#REF!-TIME(0,0,0))*1440,0))</f>
        <v>#REF!</v>
      </c>
      <c r="R339" s="9" t="e">
        <f>IF(AND(ROUND((#REF!-TIME(0,0,0))*1440,0)&gt;0,ROUND((#REF!-TIME(0,0,0))*1440,0)&lt;tbl_Case_mins[[#This Row],[AnaesthStart]],tbl_Case_mins[[#This Row],[Surgery End Date]]&gt;tbl_Case_mins[[#This Row],[Surgery Start Date]]),ROUND((#REF!-TIME(0,0,0))*1440,0)+1440,ROUND((#REF!-TIME(0,0,0))*1440,0))</f>
        <v>#REF!</v>
      </c>
      <c r="S339" s="9" t="e">
        <f>IF(AND(ROUND((#REF!-TIME(0,0,0))*1440,0),ROUND((#REF!-TIME(0,0,0))*1440,0)&lt;tbl_Case_mins[[#This Row],[Surgery Start]],tbl_Case_mins[[#This Row],[Surgery End Date]]&gt;tbl_Case_mins[[#This Row],[Surgery Start Date]]),ROUND((#REF!-TIME(0,0,0))*1440,0)+1440,ROUND((#REF!-TIME(0,0,0))*1440,0))</f>
        <v>#REF!</v>
      </c>
      <c r="T339" s="9" t="e">
        <f>IF(AND(ROUND((#REF!-TIME(0,0,0))*1440,0)&gt;0,ROUND((#REF!-TIME(0,0,0))*1440,0)&lt;tbl_Case_mins[[#This Row],[Surgery Finish]],tbl_Case_mins[[#This Row],[Surgery End Date]]&gt;tbl_Case_mins[[#This Row],[Surgery Start Date]]),ROUND((#REF!-TIME(0,0,0))*1440,0)+1440,ROUND((#REF!-TIME(0,0,0))*1440,0))</f>
        <v>#REF!</v>
      </c>
      <c r="U339" s="9" t="e">
        <f>IF(AND(ROUND((#REF!-TIME(0,0,0))*1440,0)&gt;0,ROUND((#REF!-TIME(0,0,0))*1440,0)&lt;tbl_Case_mins[[#This Row],[Anaesth End]],tbl_Case_mins[[#This Row],[Surgery End Date]]&gt;tbl_Case_mins[[#This Row],[Surgery Start Date]]),ROUND((#REF!-TIME(0,0,0))*1440,0)+1440,ROUND((#REF!-TIME(0,0,0))*1440,0))</f>
        <v>#REF!</v>
      </c>
      <c r="V339" s="9" t="e">
        <f>IF(AND(ROUND((#REF!-TIME(0,0,0))*1440,0)&gt;0,ROUND((#REF!-TIME(0,0,0))*1440,0)&lt;tbl_Case_mins[[#This Row],[Into Recov]],tbl_Case_mins[[#This Row],[Surgery End Date]]&gt;tbl_Case_mins[[#This Row],[Surgery Start Date]]),ROUND((#REF!-TIME(0,0,0))*1440,0)+1440,ROUND((#REF!-TIME(0,0,0))*1440,0))</f>
        <v>#REF!</v>
      </c>
      <c r="W339" s="9" t="e">
        <f>IF(AND(ROUND((#REF!-TIME(0,0,0))*1440,0)&gt;0,ROUND((#REF!-TIME(0,0,0))*1440,0)&lt;tbl_Case_mins[[#This Row],[Ward Called]],tbl_Case_mins[[#This Row],[Surgery End Date]]&gt;tbl_Case_mins[[#This Row],[Surgery Start Date]]),ROUND((#REF!-TIME(0,0,0))*1440,0)+1440,ROUND((#REF!-TIME(0,0,0))*1440,0))</f>
        <v>#REF!</v>
      </c>
      <c r="X339" s="4" t="e">
        <f>IF(ISBLANK(#REF!),tbl_Case_mins[[#This Row],[Surgery Start Date]],#REF!)</f>
        <v>#REF!</v>
      </c>
      <c r="Y339">
        <f>IFERROR(IF(VLOOKUP(tbl_Case_mins[[#This Row],[Theatre]],'Mng Theatres'!$C$7:$G$12,3,FALSE)="Yes","Yes","No"),0)</f>
        <v>0</v>
      </c>
      <c r="Z339" s="9" t="e" cm="1">
        <f t="array" ref="Z33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39" s="9" t="e" cm="1">
        <f t="array" ref="AA33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3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39" s="9" t="e">
        <f>IF(tbl_Case_mins[[#This Row],[Case Type]]="Unsch",1,0)</f>
        <v>#REF!</v>
      </c>
      <c r="AD339" s="9" t="e">
        <f>IF(tbl_Case_mins[[#This Row],[Case Type]]="Sch",1,0)</f>
        <v>#REF!</v>
      </c>
      <c r="AE33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39" s="9">
        <f>IFERROR(IF(ISBLANK(INDEX(Am_Close,MATCH(1,INDEX((tbl_Case_mins[[#This Row],[Theatre]]=Theatre_No)*(tbl_Case_mins[[#This Row],[Surgery Start Date]]=Date),0,1),0))*1440),0,INDEX(Am_Close,MATCH(1,INDEX((tbl_Case_mins[[#This Row],[Theatre]]=Theatre_No)*(tbl_Case_mins[[#This Row],[Surgery Start Date]]=Date),0,1),0))*1440),0)</f>
        <v>0</v>
      </c>
      <c r="AG339" s="9">
        <f>IFERROR(IF(ISBLANK(INDEX(PM_Open,MATCH(1,INDEX((tbl_Case_mins[[#This Row],[Theatre]]=Theatre_No)*(tbl_Case_mins[[#This Row],[Surgery Start Date]]=Date),0,1),0))*1440),0,INDEX(PM_Open,MATCH(1,INDEX((tbl_Case_mins[[#This Row],[Theatre]]=Theatre_No)*(tbl_Case_mins[[#This Row],[Surgery Start Date]]=Date),0,1),0))*1440),0)</f>
        <v>0</v>
      </c>
      <c r="AH33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39" s="9" t="e">
        <f>IF(tbl_Case_mins[[#This Row],[ThOpenAm]]=0,tbl_Case_mins[[#This Row],[ThOpenPM]],tbl_Case_mins[[#This Row],[ThOpenAm]])</f>
        <v>#REF!</v>
      </c>
      <c r="AJ339" s="9" t="e">
        <f>IF(tbl_Case_mins[[#This Row],[ThCloseAm]]&gt;0,IF(tbl_Case_mins[[#This Row],[ThOpenPM]]&gt;0,tbl_Case_mins[[#This Row],[ThClosePm]],tbl_Case_mins[[#This Row],[ThCloseAm]]),tbl_Case_mins[[#This Row],[ThClosePm]])</f>
        <v>#REF!</v>
      </c>
      <c r="AK339" s="9" t="e">
        <f>IF(tbl_Case_mins[[#This Row],[TOT]]&gt;0,1,0)</f>
        <v>#REF!</v>
      </c>
      <c r="AL33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39" s="9" t="e">
        <f>IF(AND(tbl_Case_mins[[#This Row],[Surgery Status]]&lt;&gt;2,tbl_Case_mins[[#This Row],[InCoreCase]]=0,tbl_Case_mins[[#This Row],[CancelledCase]]=0),1,0)</f>
        <v>#REF!</v>
      </c>
      <c r="AN339" s="9" t="e">
        <f>IF(tbl_Case_mins[[#This Row],[Surgery Status]]=1,1,0)</f>
        <v>#REF!</v>
      </c>
      <c r="AO33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39" s="9" t="e">
        <f>IF(AND(tbl_Case_mins[[#This Row],[NonCoreCase]]=1,tbl_Case_mins[[#This Row],[NoInCoreTime]]=0),1,0)</f>
        <v>#REF!</v>
      </c>
      <c r="AQ339" s="9" t="e">
        <f>IF(tbl_Case_mins[[#This Row],[Rank_AnaEnd]]&lt;tbl_Case_mins[[#This Row],[Rank_AnaSt]],1,0)</f>
        <v>#REF!</v>
      </c>
      <c r="AR339" s="9" t="e">
        <f>IF(AND(tbl_Case_mins[[#This Row],[InCoreCase]]=1,tbl_Case_mins[[#This Row],[Sch]]=1),1,0)</f>
        <v>#REF!</v>
      </c>
      <c r="AS339" s="9" t="e">
        <f>IF(AND(tbl_Case_mins[[#This Row],[InCoreCase]]=1,tbl_Case_mins[[#This Row],[Unsch]]=1),1,0)</f>
        <v>#REF!</v>
      </c>
      <c r="AT33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3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3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39" s="9" t="e">
        <f>IF(tbl_Case_mins[[#This Row],[Surgery Status]]=0,(tbl_Case_mins[[#This Row],[Anaesth End]]-tbl_Case_mins[[#This Row],[AnaesthStart]]),0)</f>
        <v>#REF!</v>
      </c>
      <c r="AX339" s="9" t="e">
        <f>IF(tbl_Case_mins[[#This Row],[Surgery Status]]=0,(tbl_Case_mins[[#This Row],[Surgery Finish]]-tbl_Case_mins[[#This Row],[Surgery Start]]),0)</f>
        <v>#REF!</v>
      </c>
      <c r="AY339" s="9" t="e">
        <f>tbl_Case_mins[[#This Row],[Surgery Start]]-tbl_Case_mins[[#This Row],[AnaesthStart]]</f>
        <v>#REF!</v>
      </c>
      <c r="AZ339" s="9" t="e">
        <f>tbl_Case_mins[[#This Row],[Anaesth End]]-tbl_Case_mins[[#This Row],[Surgery Finish]]</f>
        <v>#REF!</v>
      </c>
      <c r="BA33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3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39" s="16" cm="1">
        <f t="array" ref="BC33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39" s="16" t="e">
        <f>IF(AND(tbl_Case_mins[[#This Row],[FirstAMCase]]=1,tbl_Case_mins[[#This Row],[CancelledCase]]=0,OR(tbl_Case_mins[[#This Row],[EarlyStartAM]]&gt;0,tbl_Case_mins[[#This Row],[AnaesthStart]]=tbl_Case_mins[[#This Row],[ThOpenAm]])),1,0)</f>
        <v>#REF!</v>
      </c>
      <c r="BE339" s="16" t="e">
        <f>IF(AND(tbl_Case_mins[[#This Row],[Rank_AnaSt]]=tbl_Case_mins[[#This Row],[Min_RankAnaSt]],tbl_Case_mins[[#This Row],[Anaesth End]]&gt;=tbl_Case_mins[[#This Row],[ThOpenAm]],tbl_Case_mins[[#This Row],[PmCase]]=0),1,0)</f>
        <v>#REF!</v>
      </c>
      <c r="BF33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3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39" s="9" t="e" cm="1">
        <f t="array" ref="BH33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3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3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39" s="9" t="e">
        <f>IF(AND(tbl_Case_mins[[#This Row],[ThOpenPM]]&gt;0,tbl_Case_mins[[#This Row],[AnaesthStart]]&gt;tbl_Case_mins[[#This Row],[ThOpenPM]],tbl_Case_mins[[#This Row],[First PM Case]]=1),tbl_Case_mins[[#This Row],[AnaesthStart]]-tbl_Case_mins[[#This Row],[ThOpenPM]],0)</f>
        <v>#REF!</v>
      </c>
      <c r="BL33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3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39" s="9" t="e" cm="1">
        <f t="array" ref="BN33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39" s="9" t="e">
        <f>IF(AND(tbl_Case_mins[[#This Row],[ThClosePm]]&gt;0,tbl_Case_mins[[#This Row],[Anaesth End]]&gt;tbl_Case_mins[[#This Row],[ThClosePm]],tbl_Case_mins[[#This Row],[AnaesthStart]]&gt;tbl_Case_mins[[#This Row],[ThClosePm]]),tbl_Case_mins[[#This Row],[Into Recov]]-tbl_Case_mins[[#This Row],[AnaesthStart]],0)</f>
        <v>#REF!</v>
      </c>
      <c r="BP339" s="9" t="e">
        <f>IF(AND(tbl_Case_mins[[#This Row],[AnaesthStart]]&lt;tbl_Case_mins[[#This Row],[ThClosePm]],tbl_Case_mins[[#This Row],[Anaesth End]]&gt;tbl_Case_mins[[#This Row],[ThClosePm]]),tbl_Case_mins[[#This Row],[Anaesth End]]-tbl_Case_mins[[#This Row],[ThClosePm]],0)</f>
        <v>#REF!</v>
      </c>
      <c r="BQ339" s="9" t="e" cm="1">
        <f t="array" ref="BQ33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39" s="9" t="e" cm="1">
        <f t="array" ref="BR339">IF(tbl_Case_mins[[#This Row],[Rank_Adjust]]=SUMPRODUCT(-(tbl_Case_mins[Surgery Start Date]=tbl_Case_mins[[#This Row],[Surgery Start Date]]),-(tbl_Case_mins[Theatre]=tbl_Case_mins[[#This Row],[Theatre]])),INDEX(Poss_Time,MATCH(TEXT(tbl_Case_mins[[#This Row],[Surgery Start Date]],"ddd"),Day,0)),0)</f>
        <v>#REF!</v>
      </c>
      <c r="BS339" s="9" t="e">
        <f>tbl_Case_mins[[#This Row],[Core_Time]]*Util_Goal</f>
        <v>#REF!</v>
      </c>
      <c r="BT339" s="9" t="e" cm="1">
        <f t="array" ref="BT3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39" s="9" t="e" cm="1">
        <f t="array" ref="BU3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3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3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39" s="9" t="e">
        <f>IF(tbl_Case_mins[[#This Row],[Surgery End Date]]&gt;tbl_Case_mins[[#This Row],[Surgery Start Date]],tbl_Case_mins[[#This Row],[Anaesth End]]-1440,0)</f>
        <v>#REF!</v>
      </c>
      <c r="BY339" s="9" t="e">
        <f>tbl_Case_mins[[#This Row],[Total_NonCore]]-tbl_Case_mins[[#This Row],[NextDay_NonCore]]</f>
        <v>#REF!</v>
      </c>
      <c r="BZ339" s="10" t="e">
        <f>tbl_Case_mins[[#This Row],[InCoreUse]]/60</f>
        <v>#REF!</v>
      </c>
      <c r="CA339" s="10" t="e">
        <f>tbl_Case_mins[[#This Row],[Total_NonCore]]/60</f>
        <v>#REF!</v>
      </c>
      <c r="CB339" t="e" cm="1">
        <f t="array" ref="CB3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39" s="9" t="e" cm="1">
        <f t="array" ref="CC33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39" s="9" t="e" cm="1">
        <f t="array" ref="CD3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39" s="9" t="e" cm="1">
        <f t="array" ref="CE33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39" s="9" cm="1">
        <f t="array" ref="CF339">IFERROR(_xlfn.AGGREGATE(14,6,(tbl_Case_mins[Rank_AnaEnd])/((tbl_Case_mins[Surgery Start Date]=tbl_Case_mins[[#This Row],[Surgery Start Date]])*(tbl_Case_mins[Theatre]=tbl_Case_mins[[#This Row],[Theatre]])*(tbl_Case_mins[NoInCoreTime]=0)),1),-1)</f>
        <v>-1</v>
      </c>
      <c r="CG339" s="9" cm="1">
        <f t="array" ref="CG339">IFERROR(_xlfn.AGGREGATE(15,6,(tbl_Case_mins[Rank_AnaSt])/((tbl_Case_mins[Surgery Start Date]=tbl_Case_mins[[#This Row],[Surgery Start Date]])*(tbl_Case_mins[Theatre]=tbl_Case_mins[[#This Row],[Theatre]])*(tbl_Case_mins[NoInCoreTime]=0)),1),-1)</f>
        <v>-1</v>
      </c>
      <c r="CH33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3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39" t="e" cm="1">
        <f t="array" ref="CJ33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3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3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39" s="9" cm="1">
        <f t="array" ref="CO3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39" s="9" cm="1">
        <f t="array" ref="CP3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39" s="9" cm="1">
        <f t="array" ref="CQ339">IFERROR(IF(AND(tbl_Case_mins[[#This Row],[FirstAMCase]]=0,tbl_Case_mins[[#This Row],[Rank]]=_xlfn.AGGREGATE(14,6,(tbl_Case_mins[Rank])/((tbl_Case_mins[Surgery Start Date]=tbl_Case_mins[[#This Row],[Surgery Start Date]])*(tbl_Case_mins[Theatre]=tbl_Case_mins[[#This Row],[Theatre]])*(tbl_Case_mins[AmCase]=1)),1)),1,0),0)</f>
        <v>0</v>
      </c>
      <c r="CR339" s="9" cm="1">
        <f t="array" ref="CR33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39" s="9" t="e" cm="1">
        <f t="array" ref="CS33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39" s="9" cm="1">
        <f t="array" ref="CT339">IFERROR(IF(tbl_Case_mins[[#This Row],[Rank]]=_xlfn.AGGREGATE(15,6,(tbl_Case_mins[Rank])/((tbl_Case_mins[Surgery Start Date]=tbl_Case_mins[[#This Row],[Surgery Start Date]])*(tbl_Case_mins[Theatre]=tbl_Case_mins[[#This Row],[Theatre]])*(tbl_Case_mins[PmCase]=1)),1),1,0),0)</f>
        <v>0</v>
      </c>
      <c r="CU339">
        <f>IFERROR(#REF!,0)</f>
        <v>0</v>
      </c>
      <c r="CV339" s="9" t="e" cm="1">
        <f t="array" ref="CV33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39" s="9">
        <f>IFERROR(IF(ISBLANK(INDEX(Bay_AmClose,MATCH(1,INDEX((tbl_Case_mins[[#This Row],[Bay]]=BayNo)*(tbl_Case_mins[[#This Row],[Surgery Start Date]]=BDate),0,1),0))*1440),0,INDEX(Bay_AmClose,MATCH(1,INDEX((tbl_Case_mins[[#This Row],[Bay]]=BayNo)*(tbl_Case_mins[[#This Row],[Surgery Start Date]]=BDate),0,1),0))*1440),0)</f>
        <v>0</v>
      </c>
      <c r="CX339" s="9" cm="1">
        <f t="array" ref="CX339">IFERROR(IF(ISBLANK(INDEX(Bay_PmOpen,MATCH(1,INDEX((tbl_Case_mins[[#This Row],[Bay]]=BayNo)*(tbl_Case_mins[[#This Row],[Surgery Start Date]]=BDate),0,1),0))*1440),0,INDEX(Bay_PmOpen,MATCH(1,INDEX((tbl_Case_mins[[#This Row],[Bay]]=BayNo)*(tbl_Case_mins[[#This Row],[Surgery Start Date]]=BDate),0,1),0))*1440),0)</f>
        <v>0</v>
      </c>
      <c r="CY33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39" s="9"/>
    </row>
    <row r="340" spans="1:104" x14ac:dyDescent="0.2">
      <c r="A340">
        <v>339</v>
      </c>
      <c r="B340" t="e">
        <f>#REF!</f>
        <v>#REF!</v>
      </c>
      <c r="C340" t="e">
        <f>#REF!</f>
        <v>#REF!</v>
      </c>
      <c r="D340" t="e">
        <f>#REF!</f>
        <v>#REF!</v>
      </c>
      <c r="E340" t="e">
        <f>#REF!</f>
        <v>#REF!</v>
      </c>
      <c r="F340" t="e">
        <f>#REF!</f>
        <v>#REF!</v>
      </c>
      <c r="G340" t="e">
        <f>#REF!</f>
        <v>#REF!</v>
      </c>
      <c r="H340" t="e">
        <f>#REF!</f>
        <v>#REF!</v>
      </c>
      <c r="I340" t="e">
        <f>IF(#REF!="Case Cancelled",1,IF(#REF!="No Cases",2,0))</f>
        <v>#REF!</v>
      </c>
      <c r="J340" t="e">
        <f>#REF!</f>
        <v>#REF!</v>
      </c>
      <c r="K340" s="4" t="e">
        <f>#REF!</f>
        <v>#REF!</v>
      </c>
      <c r="L340" t="e">
        <f>"Wk "&amp;WEEKNUM(tbl_Case_mins[[#This Row],[Surgery Start Date]],21)</f>
        <v>#REF!</v>
      </c>
      <c r="M340" t="e">
        <f>TEXT(tbl_Case_mins[[#This Row],[Surgery Start Date]],"ddd")</f>
        <v>#REF!</v>
      </c>
      <c r="N340" s="9" t="e">
        <f>(#REF!-TIME(0,0,0))*1440</f>
        <v>#REF!</v>
      </c>
      <c r="O340" t="e">
        <f>IF(AND(ROUND((#REF!-TIME(0,0,0))*1440,0)&gt;0,ROUND((#REF!-TIME(0,0,0))*1440,0)&lt;tbl_Case_mins[[#This Row],[Patient Called]],tbl_Case_mins[[#This Row],[Surgery End Date]]&gt;tbl_Case_mins[[#This Row],[Surgery Start Date]]),ROUND((#REF!-TIME(0,0,0))*1440,0)+1440,ROUND((#REF!-TIME(0,0,0))*1440,0))</f>
        <v>#REF!</v>
      </c>
      <c r="P340" s="9" t="e">
        <f>IF(AND(ROUND((#REF!-TIME(0,0,0))*1440,0)&gt;0,ROUND((#REF!-TIME(0,0,0))*1440,0)&lt;tbl_Case_mins[[#This Row],[Arrival]],tbl_Case_mins[[#This Row],[Surgery End Date]]&gt;tbl_Case_mins[[#This Row],[Surgery Start Date]]),ROUND((#REF!-TIME(0,0,0))*1440,0)+1440,ROUND((#REF!-TIME(0,0,0))*1440,0))</f>
        <v>#REF!</v>
      </c>
      <c r="Q340" s="9" t="e">
        <f>IF(AND(ROUND((#REF!-TIME(0,0,0))*1440,0)&gt;0,ROUND((#REF!-TIME(0,0,0))*1440,0)&lt;tbl_Case_mins[[#This Row],[Into Th or AR]],tbl_Case_mins[[#This Row],[Surgery End Date]]&gt;tbl_Case_mins[[#This Row],[Surgery Start Date]]),ROUND((#REF!-TIME(0,0,0))*1440,0)+1440,ROUND((#REF!-TIME(0,0,0))*1440,0))</f>
        <v>#REF!</v>
      </c>
      <c r="R340" s="9" t="e">
        <f>IF(AND(ROUND((#REF!-TIME(0,0,0))*1440,0)&gt;0,ROUND((#REF!-TIME(0,0,0))*1440,0)&lt;tbl_Case_mins[[#This Row],[AnaesthStart]],tbl_Case_mins[[#This Row],[Surgery End Date]]&gt;tbl_Case_mins[[#This Row],[Surgery Start Date]]),ROUND((#REF!-TIME(0,0,0))*1440,0)+1440,ROUND((#REF!-TIME(0,0,0))*1440,0))</f>
        <v>#REF!</v>
      </c>
      <c r="S340" s="9" t="e">
        <f>IF(AND(ROUND((#REF!-TIME(0,0,0))*1440,0),ROUND((#REF!-TIME(0,0,0))*1440,0)&lt;tbl_Case_mins[[#This Row],[Surgery Start]],tbl_Case_mins[[#This Row],[Surgery End Date]]&gt;tbl_Case_mins[[#This Row],[Surgery Start Date]]),ROUND((#REF!-TIME(0,0,0))*1440,0)+1440,ROUND((#REF!-TIME(0,0,0))*1440,0))</f>
        <v>#REF!</v>
      </c>
      <c r="T340" s="9" t="e">
        <f>IF(AND(ROUND((#REF!-TIME(0,0,0))*1440,0)&gt;0,ROUND((#REF!-TIME(0,0,0))*1440,0)&lt;tbl_Case_mins[[#This Row],[Surgery Finish]],tbl_Case_mins[[#This Row],[Surgery End Date]]&gt;tbl_Case_mins[[#This Row],[Surgery Start Date]]),ROUND((#REF!-TIME(0,0,0))*1440,0)+1440,ROUND((#REF!-TIME(0,0,0))*1440,0))</f>
        <v>#REF!</v>
      </c>
      <c r="U340" s="9" t="e">
        <f>IF(AND(ROUND((#REF!-TIME(0,0,0))*1440,0)&gt;0,ROUND((#REF!-TIME(0,0,0))*1440,0)&lt;tbl_Case_mins[[#This Row],[Anaesth End]],tbl_Case_mins[[#This Row],[Surgery End Date]]&gt;tbl_Case_mins[[#This Row],[Surgery Start Date]]),ROUND((#REF!-TIME(0,0,0))*1440,0)+1440,ROUND((#REF!-TIME(0,0,0))*1440,0))</f>
        <v>#REF!</v>
      </c>
      <c r="V340" s="9" t="e">
        <f>IF(AND(ROUND((#REF!-TIME(0,0,0))*1440,0)&gt;0,ROUND((#REF!-TIME(0,0,0))*1440,0)&lt;tbl_Case_mins[[#This Row],[Into Recov]],tbl_Case_mins[[#This Row],[Surgery End Date]]&gt;tbl_Case_mins[[#This Row],[Surgery Start Date]]),ROUND((#REF!-TIME(0,0,0))*1440,0)+1440,ROUND((#REF!-TIME(0,0,0))*1440,0))</f>
        <v>#REF!</v>
      </c>
      <c r="W340" s="9" t="e">
        <f>IF(AND(ROUND((#REF!-TIME(0,0,0))*1440,0)&gt;0,ROUND((#REF!-TIME(0,0,0))*1440,0)&lt;tbl_Case_mins[[#This Row],[Ward Called]],tbl_Case_mins[[#This Row],[Surgery End Date]]&gt;tbl_Case_mins[[#This Row],[Surgery Start Date]]),ROUND((#REF!-TIME(0,0,0))*1440,0)+1440,ROUND((#REF!-TIME(0,0,0))*1440,0))</f>
        <v>#REF!</v>
      </c>
      <c r="X340" s="4" t="e">
        <f>IF(ISBLANK(#REF!),tbl_Case_mins[[#This Row],[Surgery Start Date]],#REF!)</f>
        <v>#REF!</v>
      </c>
      <c r="Y340">
        <f>IFERROR(IF(VLOOKUP(tbl_Case_mins[[#This Row],[Theatre]],'Mng Theatres'!$C$7:$G$12,3,FALSE)="Yes","Yes","No"),0)</f>
        <v>0</v>
      </c>
      <c r="Z340" s="9" t="e" cm="1">
        <f t="array" ref="Z34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0" s="9" t="e" cm="1">
        <f t="array" ref="AA34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0" s="9" t="e">
        <f>IF(tbl_Case_mins[[#This Row],[Case Type]]="Unsch",1,0)</f>
        <v>#REF!</v>
      </c>
      <c r="AD340" s="9" t="e">
        <f>IF(tbl_Case_mins[[#This Row],[Case Type]]="Sch",1,0)</f>
        <v>#REF!</v>
      </c>
      <c r="AE34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0" s="9">
        <f>IFERROR(IF(ISBLANK(INDEX(Am_Close,MATCH(1,INDEX((tbl_Case_mins[[#This Row],[Theatre]]=Theatre_No)*(tbl_Case_mins[[#This Row],[Surgery Start Date]]=Date),0,1),0))*1440),0,INDEX(Am_Close,MATCH(1,INDEX((tbl_Case_mins[[#This Row],[Theatre]]=Theatre_No)*(tbl_Case_mins[[#This Row],[Surgery Start Date]]=Date),0,1),0))*1440),0)</f>
        <v>0</v>
      </c>
      <c r="AG340" s="9">
        <f>IFERROR(IF(ISBLANK(INDEX(PM_Open,MATCH(1,INDEX((tbl_Case_mins[[#This Row],[Theatre]]=Theatre_No)*(tbl_Case_mins[[#This Row],[Surgery Start Date]]=Date),0,1),0))*1440),0,INDEX(PM_Open,MATCH(1,INDEX((tbl_Case_mins[[#This Row],[Theatre]]=Theatre_No)*(tbl_Case_mins[[#This Row],[Surgery Start Date]]=Date),0,1),0))*1440),0)</f>
        <v>0</v>
      </c>
      <c r="AH34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0" s="9" t="e">
        <f>IF(tbl_Case_mins[[#This Row],[ThOpenAm]]=0,tbl_Case_mins[[#This Row],[ThOpenPM]],tbl_Case_mins[[#This Row],[ThOpenAm]])</f>
        <v>#REF!</v>
      </c>
      <c r="AJ340" s="9" t="e">
        <f>IF(tbl_Case_mins[[#This Row],[ThCloseAm]]&gt;0,IF(tbl_Case_mins[[#This Row],[ThOpenPM]]&gt;0,tbl_Case_mins[[#This Row],[ThClosePm]],tbl_Case_mins[[#This Row],[ThCloseAm]]),tbl_Case_mins[[#This Row],[ThClosePm]])</f>
        <v>#REF!</v>
      </c>
      <c r="AK340" s="9" t="e">
        <f>IF(tbl_Case_mins[[#This Row],[TOT]]&gt;0,1,0)</f>
        <v>#REF!</v>
      </c>
      <c r="AL34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0" s="9" t="e">
        <f>IF(AND(tbl_Case_mins[[#This Row],[Surgery Status]]&lt;&gt;2,tbl_Case_mins[[#This Row],[InCoreCase]]=0,tbl_Case_mins[[#This Row],[CancelledCase]]=0),1,0)</f>
        <v>#REF!</v>
      </c>
      <c r="AN340" s="9" t="e">
        <f>IF(tbl_Case_mins[[#This Row],[Surgery Status]]=1,1,0)</f>
        <v>#REF!</v>
      </c>
      <c r="AO34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0" s="9" t="e">
        <f>IF(AND(tbl_Case_mins[[#This Row],[NonCoreCase]]=1,tbl_Case_mins[[#This Row],[NoInCoreTime]]=0),1,0)</f>
        <v>#REF!</v>
      </c>
      <c r="AQ340" s="9" t="e">
        <f>IF(tbl_Case_mins[[#This Row],[Rank_AnaEnd]]&lt;tbl_Case_mins[[#This Row],[Rank_AnaSt]],1,0)</f>
        <v>#REF!</v>
      </c>
      <c r="AR340" s="9" t="e">
        <f>IF(AND(tbl_Case_mins[[#This Row],[InCoreCase]]=1,tbl_Case_mins[[#This Row],[Sch]]=1),1,0)</f>
        <v>#REF!</v>
      </c>
      <c r="AS340" s="9" t="e">
        <f>IF(AND(tbl_Case_mins[[#This Row],[InCoreCase]]=1,tbl_Case_mins[[#This Row],[Unsch]]=1),1,0)</f>
        <v>#REF!</v>
      </c>
      <c r="AT34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0" s="9" t="e">
        <f>IF(tbl_Case_mins[[#This Row],[Surgery Status]]=0,(tbl_Case_mins[[#This Row],[Anaesth End]]-tbl_Case_mins[[#This Row],[AnaesthStart]]),0)</f>
        <v>#REF!</v>
      </c>
      <c r="AX340" s="9" t="e">
        <f>IF(tbl_Case_mins[[#This Row],[Surgery Status]]=0,(tbl_Case_mins[[#This Row],[Surgery Finish]]-tbl_Case_mins[[#This Row],[Surgery Start]]),0)</f>
        <v>#REF!</v>
      </c>
      <c r="AY340" s="9" t="e">
        <f>tbl_Case_mins[[#This Row],[Surgery Start]]-tbl_Case_mins[[#This Row],[AnaesthStart]]</f>
        <v>#REF!</v>
      </c>
      <c r="AZ340" s="9" t="e">
        <f>tbl_Case_mins[[#This Row],[Anaesth End]]-tbl_Case_mins[[#This Row],[Surgery Finish]]</f>
        <v>#REF!</v>
      </c>
      <c r="BA34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0" s="16" cm="1">
        <f t="array" ref="BC34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0" s="16" t="e">
        <f>IF(AND(tbl_Case_mins[[#This Row],[FirstAMCase]]=1,tbl_Case_mins[[#This Row],[CancelledCase]]=0,OR(tbl_Case_mins[[#This Row],[EarlyStartAM]]&gt;0,tbl_Case_mins[[#This Row],[AnaesthStart]]=tbl_Case_mins[[#This Row],[ThOpenAm]])),1,0)</f>
        <v>#REF!</v>
      </c>
      <c r="BE340" s="16" t="e">
        <f>IF(AND(tbl_Case_mins[[#This Row],[Rank_AnaSt]]=tbl_Case_mins[[#This Row],[Min_RankAnaSt]],tbl_Case_mins[[#This Row],[Anaesth End]]&gt;=tbl_Case_mins[[#This Row],[ThOpenAm]],tbl_Case_mins[[#This Row],[PmCase]]=0),1,0)</f>
        <v>#REF!</v>
      </c>
      <c r="BF34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0" s="9" t="e" cm="1">
        <f t="array" ref="BH34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0" s="9" t="e">
        <f>IF(AND(tbl_Case_mins[[#This Row],[ThOpenPM]]&gt;0,tbl_Case_mins[[#This Row],[AnaesthStart]]&gt;tbl_Case_mins[[#This Row],[ThOpenPM]],tbl_Case_mins[[#This Row],[First PM Case]]=1),tbl_Case_mins[[#This Row],[AnaesthStart]]-tbl_Case_mins[[#This Row],[ThOpenPM]],0)</f>
        <v>#REF!</v>
      </c>
      <c r="BL34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0" s="9" t="e" cm="1">
        <f t="array" ref="BN34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0" s="9" t="e">
        <f>IF(AND(tbl_Case_mins[[#This Row],[ThClosePm]]&gt;0,tbl_Case_mins[[#This Row],[Anaesth End]]&gt;tbl_Case_mins[[#This Row],[ThClosePm]],tbl_Case_mins[[#This Row],[AnaesthStart]]&gt;tbl_Case_mins[[#This Row],[ThClosePm]]),tbl_Case_mins[[#This Row],[Into Recov]]-tbl_Case_mins[[#This Row],[AnaesthStart]],0)</f>
        <v>#REF!</v>
      </c>
      <c r="BP340" s="9" t="e">
        <f>IF(AND(tbl_Case_mins[[#This Row],[AnaesthStart]]&lt;tbl_Case_mins[[#This Row],[ThClosePm]],tbl_Case_mins[[#This Row],[Anaesth End]]&gt;tbl_Case_mins[[#This Row],[ThClosePm]]),tbl_Case_mins[[#This Row],[Anaesth End]]-tbl_Case_mins[[#This Row],[ThClosePm]],0)</f>
        <v>#REF!</v>
      </c>
      <c r="BQ340" s="9" t="e" cm="1">
        <f t="array" ref="BQ34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0" s="9" t="e" cm="1">
        <f t="array" ref="BR340">IF(tbl_Case_mins[[#This Row],[Rank_Adjust]]=SUMPRODUCT(-(tbl_Case_mins[Surgery Start Date]=tbl_Case_mins[[#This Row],[Surgery Start Date]]),-(tbl_Case_mins[Theatre]=tbl_Case_mins[[#This Row],[Theatre]])),INDEX(Poss_Time,MATCH(TEXT(tbl_Case_mins[[#This Row],[Surgery Start Date]],"ddd"),Day,0)),0)</f>
        <v>#REF!</v>
      </c>
      <c r="BS340" s="9" t="e">
        <f>tbl_Case_mins[[#This Row],[Core_Time]]*Util_Goal</f>
        <v>#REF!</v>
      </c>
      <c r="BT340" s="9" t="e" cm="1">
        <f t="array" ref="BT3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0" s="9" t="e" cm="1">
        <f t="array" ref="BU3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0" s="9" t="e">
        <f>IF(tbl_Case_mins[[#This Row],[Surgery End Date]]&gt;tbl_Case_mins[[#This Row],[Surgery Start Date]],tbl_Case_mins[[#This Row],[Anaesth End]]-1440,0)</f>
        <v>#REF!</v>
      </c>
      <c r="BY340" s="9" t="e">
        <f>tbl_Case_mins[[#This Row],[Total_NonCore]]-tbl_Case_mins[[#This Row],[NextDay_NonCore]]</f>
        <v>#REF!</v>
      </c>
      <c r="BZ340" s="10" t="e">
        <f>tbl_Case_mins[[#This Row],[InCoreUse]]/60</f>
        <v>#REF!</v>
      </c>
      <c r="CA340" s="10" t="e">
        <f>tbl_Case_mins[[#This Row],[Total_NonCore]]/60</f>
        <v>#REF!</v>
      </c>
      <c r="CB340" t="e" cm="1">
        <f t="array" ref="CB3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0" s="9" t="e" cm="1">
        <f t="array" ref="CC34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0" s="9" t="e" cm="1">
        <f t="array" ref="CD3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0" s="9" t="e" cm="1">
        <f t="array" ref="CE34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0" s="9" cm="1">
        <f t="array" ref="CF340">IFERROR(_xlfn.AGGREGATE(14,6,(tbl_Case_mins[Rank_AnaEnd])/((tbl_Case_mins[Surgery Start Date]=tbl_Case_mins[[#This Row],[Surgery Start Date]])*(tbl_Case_mins[Theatre]=tbl_Case_mins[[#This Row],[Theatre]])*(tbl_Case_mins[NoInCoreTime]=0)),1),-1)</f>
        <v>-1</v>
      </c>
      <c r="CG340" s="9" cm="1">
        <f t="array" ref="CG340">IFERROR(_xlfn.AGGREGATE(15,6,(tbl_Case_mins[Rank_AnaSt])/((tbl_Case_mins[Surgery Start Date]=tbl_Case_mins[[#This Row],[Surgery Start Date]])*(tbl_Case_mins[Theatre]=tbl_Case_mins[[#This Row],[Theatre]])*(tbl_Case_mins[NoInCoreTime]=0)),1),-1)</f>
        <v>-1</v>
      </c>
      <c r="CH34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0" t="e" cm="1">
        <f t="array" ref="CJ34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0" s="9" cm="1">
        <f t="array" ref="CO3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0" s="9" cm="1">
        <f t="array" ref="CP3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0" s="9" cm="1">
        <f t="array" ref="CQ340">IFERROR(IF(AND(tbl_Case_mins[[#This Row],[FirstAMCase]]=0,tbl_Case_mins[[#This Row],[Rank]]=_xlfn.AGGREGATE(14,6,(tbl_Case_mins[Rank])/((tbl_Case_mins[Surgery Start Date]=tbl_Case_mins[[#This Row],[Surgery Start Date]])*(tbl_Case_mins[Theatre]=tbl_Case_mins[[#This Row],[Theatre]])*(tbl_Case_mins[AmCase]=1)),1)),1,0),0)</f>
        <v>0</v>
      </c>
      <c r="CR340" s="9" cm="1">
        <f t="array" ref="CR34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0" s="9" t="e" cm="1">
        <f t="array" ref="CS34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0" s="9" cm="1">
        <f t="array" ref="CT340">IFERROR(IF(tbl_Case_mins[[#This Row],[Rank]]=_xlfn.AGGREGATE(15,6,(tbl_Case_mins[Rank])/((tbl_Case_mins[Surgery Start Date]=tbl_Case_mins[[#This Row],[Surgery Start Date]])*(tbl_Case_mins[Theatre]=tbl_Case_mins[[#This Row],[Theatre]])*(tbl_Case_mins[PmCase]=1)),1),1,0),0)</f>
        <v>0</v>
      </c>
      <c r="CU340">
        <f>IFERROR(#REF!,0)</f>
        <v>0</v>
      </c>
      <c r="CV340" s="9" t="e" cm="1">
        <f t="array" ref="CV34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0" s="9">
        <f>IFERROR(IF(ISBLANK(INDEX(Bay_AmClose,MATCH(1,INDEX((tbl_Case_mins[[#This Row],[Bay]]=BayNo)*(tbl_Case_mins[[#This Row],[Surgery Start Date]]=BDate),0,1),0))*1440),0,INDEX(Bay_AmClose,MATCH(1,INDEX((tbl_Case_mins[[#This Row],[Bay]]=BayNo)*(tbl_Case_mins[[#This Row],[Surgery Start Date]]=BDate),0,1),0))*1440),0)</f>
        <v>0</v>
      </c>
      <c r="CX340" s="9" cm="1">
        <f t="array" ref="CX340">IFERROR(IF(ISBLANK(INDEX(Bay_PmOpen,MATCH(1,INDEX((tbl_Case_mins[[#This Row],[Bay]]=BayNo)*(tbl_Case_mins[[#This Row],[Surgery Start Date]]=BDate),0,1),0))*1440),0,INDEX(Bay_PmOpen,MATCH(1,INDEX((tbl_Case_mins[[#This Row],[Bay]]=BayNo)*(tbl_Case_mins[[#This Row],[Surgery Start Date]]=BDate),0,1),0))*1440),0)</f>
        <v>0</v>
      </c>
      <c r="CY34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0" s="9"/>
    </row>
    <row r="341" spans="1:104" x14ac:dyDescent="0.2">
      <c r="A341">
        <v>340</v>
      </c>
      <c r="B341" t="e">
        <f>#REF!</f>
        <v>#REF!</v>
      </c>
      <c r="C341" t="e">
        <f>#REF!</f>
        <v>#REF!</v>
      </c>
      <c r="D341" t="e">
        <f>#REF!</f>
        <v>#REF!</v>
      </c>
      <c r="E341" t="e">
        <f>#REF!</f>
        <v>#REF!</v>
      </c>
      <c r="F341" t="e">
        <f>#REF!</f>
        <v>#REF!</v>
      </c>
      <c r="G341" t="e">
        <f>#REF!</f>
        <v>#REF!</v>
      </c>
      <c r="H341" t="e">
        <f>#REF!</f>
        <v>#REF!</v>
      </c>
      <c r="I341" t="e">
        <f>IF(#REF!="Case Cancelled",1,IF(#REF!="No Cases",2,0))</f>
        <v>#REF!</v>
      </c>
      <c r="J341" t="e">
        <f>#REF!</f>
        <v>#REF!</v>
      </c>
      <c r="K341" s="4" t="e">
        <f>#REF!</f>
        <v>#REF!</v>
      </c>
      <c r="L341" t="e">
        <f>"Wk "&amp;WEEKNUM(tbl_Case_mins[[#This Row],[Surgery Start Date]],21)</f>
        <v>#REF!</v>
      </c>
      <c r="M341" t="e">
        <f>TEXT(tbl_Case_mins[[#This Row],[Surgery Start Date]],"ddd")</f>
        <v>#REF!</v>
      </c>
      <c r="N341" s="9" t="e">
        <f>(#REF!-TIME(0,0,0))*1440</f>
        <v>#REF!</v>
      </c>
      <c r="O341" t="e">
        <f>IF(AND(ROUND((#REF!-TIME(0,0,0))*1440,0)&gt;0,ROUND((#REF!-TIME(0,0,0))*1440,0)&lt;tbl_Case_mins[[#This Row],[Patient Called]],tbl_Case_mins[[#This Row],[Surgery End Date]]&gt;tbl_Case_mins[[#This Row],[Surgery Start Date]]),ROUND((#REF!-TIME(0,0,0))*1440,0)+1440,ROUND((#REF!-TIME(0,0,0))*1440,0))</f>
        <v>#REF!</v>
      </c>
      <c r="P341" s="9" t="e">
        <f>IF(AND(ROUND((#REF!-TIME(0,0,0))*1440,0)&gt;0,ROUND((#REF!-TIME(0,0,0))*1440,0)&lt;tbl_Case_mins[[#This Row],[Arrival]],tbl_Case_mins[[#This Row],[Surgery End Date]]&gt;tbl_Case_mins[[#This Row],[Surgery Start Date]]),ROUND((#REF!-TIME(0,0,0))*1440,0)+1440,ROUND((#REF!-TIME(0,0,0))*1440,0))</f>
        <v>#REF!</v>
      </c>
      <c r="Q341" s="9" t="e">
        <f>IF(AND(ROUND((#REF!-TIME(0,0,0))*1440,0)&gt;0,ROUND((#REF!-TIME(0,0,0))*1440,0)&lt;tbl_Case_mins[[#This Row],[Into Th or AR]],tbl_Case_mins[[#This Row],[Surgery End Date]]&gt;tbl_Case_mins[[#This Row],[Surgery Start Date]]),ROUND((#REF!-TIME(0,0,0))*1440,0)+1440,ROUND((#REF!-TIME(0,0,0))*1440,0))</f>
        <v>#REF!</v>
      </c>
      <c r="R341" s="9" t="e">
        <f>IF(AND(ROUND((#REF!-TIME(0,0,0))*1440,0)&gt;0,ROUND((#REF!-TIME(0,0,0))*1440,0)&lt;tbl_Case_mins[[#This Row],[AnaesthStart]],tbl_Case_mins[[#This Row],[Surgery End Date]]&gt;tbl_Case_mins[[#This Row],[Surgery Start Date]]),ROUND((#REF!-TIME(0,0,0))*1440,0)+1440,ROUND((#REF!-TIME(0,0,0))*1440,0))</f>
        <v>#REF!</v>
      </c>
      <c r="S341" s="9" t="e">
        <f>IF(AND(ROUND((#REF!-TIME(0,0,0))*1440,0),ROUND((#REF!-TIME(0,0,0))*1440,0)&lt;tbl_Case_mins[[#This Row],[Surgery Start]],tbl_Case_mins[[#This Row],[Surgery End Date]]&gt;tbl_Case_mins[[#This Row],[Surgery Start Date]]),ROUND((#REF!-TIME(0,0,0))*1440,0)+1440,ROUND((#REF!-TIME(0,0,0))*1440,0))</f>
        <v>#REF!</v>
      </c>
      <c r="T341" s="9" t="e">
        <f>IF(AND(ROUND((#REF!-TIME(0,0,0))*1440,0)&gt;0,ROUND((#REF!-TIME(0,0,0))*1440,0)&lt;tbl_Case_mins[[#This Row],[Surgery Finish]],tbl_Case_mins[[#This Row],[Surgery End Date]]&gt;tbl_Case_mins[[#This Row],[Surgery Start Date]]),ROUND((#REF!-TIME(0,0,0))*1440,0)+1440,ROUND((#REF!-TIME(0,0,0))*1440,0))</f>
        <v>#REF!</v>
      </c>
      <c r="U341" s="9" t="e">
        <f>IF(AND(ROUND((#REF!-TIME(0,0,0))*1440,0)&gt;0,ROUND((#REF!-TIME(0,0,0))*1440,0)&lt;tbl_Case_mins[[#This Row],[Anaesth End]],tbl_Case_mins[[#This Row],[Surgery End Date]]&gt;tbl_Case_mins[[#This Row],[Surgery Start Date]]),ROUND((#REF!-TIME(0,0,0))*1440,0)+1440,ROUND((#REF!-TIME(0,0,0))*1440,0))</f>
        <v>#REF!</v>
      </c>
      <c r="V341" s="9" t="e">
        <f>IF(AND(ROUND((#REF!-TIME(0,0,0))*1440,0)&gt;0,ROUND((#REF!-TIME(0,0,0))*1440,0)&lt;tbl_Case_mins[[#This Row],[Into Recov]],tbl_Case_mins[[#This Row],[Surgery End Date]]&gt;tbl_Case_mins[[#This Row],[Surgery Start Date]]),ROUND((#REF!-TIME(0,0,0))*1440,0)+1440,ROUND((#REF!-TIME(0,0,0))*1440,0))</f>
        <v>#REF!</v>
      </c>
      <c r="W341" s="9" t="e">
        <f>IF(AND(ROUND((#REF!-TIME(0,0,0))*1440,0)&gt;0,ROUND((#REF!-TIME(0,0,0))*1440,0)&lt;tbl_Case_mins[[#This Row],[Ward Called]],tbl_Case_mins[[#This Row],[Surgery End Date]]&gt;tbl_Case_mins[[#This Row],[Surgery Start Date]]),ROUND((#REF!-TIME(0,0,0))*1440,0)+1440,ROUND((#REF!-TIME(0,0,0))*1440,0))</f>
        <v>#REF!</v>
      </c>
      <c r="X341" s="4" t="e">
        <f>IF(ISBLANK(#REF!),tbl_Case_mins[[#This Row],[Surgery Start Date]],#REF!)</f>
        <v>#REF!</v>
      </c>
      <c r="Y341">
        <f>IFERROR(IF(VLOOKUP(tbl_Case_mins[[#This Row],[Theatre]],'Mng Theatres'!$C$7:$G$12,3,FALSE)="Yes","Yes","No"),0)</f>
        <v>0</v>
      </c>
      <c r="Z341" s="9" t="e" cm="1">
        <f t="array" ref="Z34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1" s="9" t="e" cm="1">
        <f t="array" ref="AA34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1" s="9" t="e">
        <f>IF(tbl_Case_mins[[#This Row],[Case Type]]="Unsch",1,0)</f>
        <v>#REF!</v>
      </c>
      <c r="AD341" s="9" t="e">
        <f>IF(tbl_Case_mins[[#This Row],[Case Type]]="Sch",1,0)</f>
        <v>#REF!</v>
      </c>
      <c r="AE34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1" s="9">
        <f>IFERROR(IF(ISBLANK(INDEX(Am_Close,MATCH(1,INDEX((tbl_Case_mins[[#This Row],[Theatre]]=Theatre_No)*(tbl_Case_mins[[#This Row],[Surgery Start Date]]=Date),0,1),0))*1440),0,INDEX(Am_Close,MATCH(1,INDEX((tbl_Case_mins[[#This Row],[Theatre]]=Theatre_No)*(tbl_Case_mins[[#This Row],[Surgery Start Date]]=Date),0,1),0))*1440),0)</f>
        <v>0</v>
      </c>
      <c r="AG341" s="9">
        <f>IFERROR(IF(ISBLANK(INDEX(PM_Open,MATCH(1,INDEX((tbl_Case_mins[[#This Row],[Theatre]]=Theatre_No)*(tbl_Case_mins[[#This Row],[Surgery Start Date]]=Date),0,1),0))*1440),0,INDEX(PM_Open,MATCH(1,INDEX((tbl_Case_mins[[#This Row],[Theatre]]=Theatre_No)*(tbl_Case_mins[[#This Row],[Surgery Start Date]]=Date),0,1),0))*1440),0)</f>
        <v>0</v>
      </c>
      <c r="AH34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1" s="9" t="e">
        <f>IF(tbl_Case_mins[[#This Row],[ThOpenAm]]=0,tbl_Case_mins[[#This Row],[ThOpenPM]],tbl_Case_mins[[#This Row],[ThOpenAm]])</f>
        <v>#REF!</v>
      </c>
      <c r="AJ341" s="9" t="e">
        <f>IF(tbl_Case_mins[[#This Row],[ThCloseAm]]&gt;0,IF(tbl_Case_mins[[#This Row],[ThOpenPM]]&gt;0,tbl_Case_mins[[#This Row],[ThClosePm]],tbl_Case_mins[[#This Row],[ThCloseAm]]),tbl_Case_mins[[#This Row],[ThClosePm]])</f>
        <v>#REF!</v>
      </c>
      <c r="AK341" s="9" t="e">
        <f>IF(tbl_Case_mins[[#This Row],[TOT]]&gt;0,1,0)</f>
        <v>#REF!</v>
      </c>
      <c r="AL34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1" s="9" t="e">
        <f>IF(AND(tbl_Case_mins[[#This Row],[Surgery Status]]&lt;&gt;2,tbl_Case_mins[[#This Row],[InCoreCase]]=0,tbl_Case_mins[[#This Row],[CancelledCase]]=0),1,0)</f>
        <v>#REF!</v>
      </c>
      <c r="AN341" s="9" t="e">
        <f>IF(tbl_Case_mins[[#This Row],[Surgery Status]]=1,1,0)</f>
        <v>#REF!</v>
      </c>
      <c r="AO34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1" s="9" t="e">
        <f>IF(AND(tbl_Case_mins[[#This Row],[NonCoreCase]]=1,tbl_Case_mins[[#This Row],[NoInCoreTime]]=0),1,0)</f>
        <v>#REF!</v>
      </c>
      <c r="AQ341" s="9" t="e">
        <f>IF(tbl_Case_mins[[#This Row],[Rank_AnaEnd]]&lt;tbl_Case_mins[[#This Row],[Rank_AnaSt]],1,0)</f>
        <v>#REF!</v>
      </c>
      <c r="AR341" s="9" t="e">
        <f>IF(AND(tbl_Case_mins[[#This Row],[InCoreCase]]=1,tbl_Case_mins[[#This Row],[Sch]]=1),1,0)</f>
        <v>#REF!</v>
      </c>
      <c r="AS341" s="9" t="e">
        <f>IF(AND(tbl_Case_mins[[#This Row],[InCoreCase]]=1,tbl_Case_mins[[#This Row],[Unsch]]=1),1,0)</f>
        <v>#REF!</v>
      </c>
      <c r="AT34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1" s="9" t="e">
        <f>IF(tbl_Case_mins[[#This Row],[Surgery Status]]=0,(tbl_Case_mins[[#This Row],[Anaesth End]]-tbl_Case_mins[[#This Row],[AnaesthStart]]),0)</f>
        <v>#REF!</v>
      </c>
      <c r="AX341" s="9" t="e">
        <f>IF(tbl_Case_mins[[#This Row],[Surgery Status]]=0,(tbl_Case_mins[[#This Row],[Surgery Finish]]-tbl_Case_mins[[#This Row],[Surgery Start]]),0)</f>
        <v>#REF!</v>
      </c>
      <c r="AY341" s="9" t="e">
        <f>tbl_Case_mins[[#This Row],[Surgery Start]]-tbl_Case_mins[[#This Row],[AnaesthStart]]</f>
        <v>#REF!</v>
      </c>
      <c r="AZ341" s="9" t="e">
        <f>tbl_Case_mins[[#This Row],[Anaesth End]]-tbl_Case_mins[[#This Row],[Surgery Finish]]</f>
        <v>#REF!</v>
      </c>
      <c r="BA34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1" s="16" cm="1">
        <f t="array" ref="BC34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1" s="16" t="e">
        <f>IF(AND(tbl_Case_mins[[#This Row],[FirstAMCase]]=1,tbl_Case_mins[[#This Row],[CancelledCase]]=0,OR(tbl_Case_mins[[#This Row],[EarlyStartAM]]&gt;0,tbl_Case_mins[[#This Row],[AnaesthStart]]=tbl_Case_mins[[#This Row],[ThOpenAm]])),1,0)</f>
        <v>#REF!</v>
      </c>
      <c r="BE341" s="16" t="e">
        <f>IF(AND(tbl_Case_mins[[#This Row],[Rank_AnaSt]]=tbl_Case_mins[[#This Row],[Min_RankAnaSt]],tbl_Case_mins[[#This Row],[Anaesth End]]&gt;=tbl_Case_mins[[#This Row],[ThOpenAm]],tbl_Case_mins[[#This Row],[PmCase]]=0),1,0)</f>
        <v>#REF!</v>
      </c>
      <c r="BF34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1" s="9" t="e" cm="1">
        <f t="array" ref="BH34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1" s="9" t="e">
        <f>IF(AND(tbl_Case_mins[[#This Row],[ThOpenPM]]&gt;0,tbl_Case_mins[[#This Row],[AnaesthStart]]&gt;tbl_Case_mins[[#This Row],[ThOpenPM]],tbl_Case_mins[[#This Row],[First PM Case]]=1),tbl_Case_mins[[#This Row],[AnaesthStart]]-tbl_Case_mins[[#This Row],[ThOpenPM]],0)</f>
        <v>#REF!</v>
      </c>
      <c r="BL34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1" s="9" t="e" cm="1">
        <f t="array" ref="BN34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1" s="9" t="e">
        <f>IF(AND(tbl_Case_mins[[#This Row],[ThClosePm]]&gt;0,tbl_Case_mins[[#This Row],[Anaesth End]]&gt;tbl_Case_mins[[#This Row],[ThClosePm]],tbl_Case_mins[[#This Row],[AnaesthStart]]&gt;tbl_Case_mins[[#This Row],[ThClosePm]]),tbl_Case_mins[[#This Row],[Into Recov]]-tbl_Case_mins[[#This Row],[AnaesthStart]],0)</f>
        <v>#REF!</v>
      </c>
      <c r="BP341" s="9" t="e">
        <f>IF(AND(tbl_Case_mins[[#This Row],[AnaesthStart]]&lt;tbl_Case_mins[[#This Row],[ThClosePm]],tbl_Case_mins[[#This Row],[Anaesth End]]&gt;tbl_Case_mins[[#This Row],[ThClosePm]]),tbl_Case_mins[[#This Row],[Anaesth End]]-tbl_Case_mins[[#This Row],[ThClosePm]],0)</f>
        <v>#REF!</v>
      </c>
      <c r="BQ341" s="9" t="e" cm="1">
        <f t="array" ref="BQ34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1" s="9" t="e" cm="1">
        <f t="array" ref="BR341">IF(tbl_Case_mins[[#This Row],[Rank_Adjust]]=SUMPRODUCT(-(tbl_Case_mins[Surgery Start Date]=tbl_Case_mins[[#This Row],[Surgery Start Date]]),-(tbl_Case_mins[Theatre]=tbl_Case_mins[[#This Row],[Theatre]])),INDEX(Poss_Time,MATCH(TEXT(tbl_Case_mins[[#This Row],[Surgery Start Date]],"ddd"),Day,0)),0)</f>
        <v>#REF!</v>
      </c>
      <c r="BS341" s="9" t="e">
        <f>tbl_Case_mins[[#This Row],[Core_Time]]*Util_Goal</f>
        <v>#REF!</v>
      </c>
      <c r="BT341" s="9" t="e" cm="1">
        <f t="array" ref="BT3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1" s="9" t="e" cm="1">
        <f t="array" ref="BU3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1" s="9" t="e">
        <f>IF(tbl_Case_mins[[#This Row],[Surgery End Date]]&gt;tbl_Case_mins[[#This Row],[Surgery Start Date]],tbl_Case_mins[[#This Row],[Anaesth End]]-1440,0)</f>
        <v>#REF!</v>
      </c>
      <c r="BY341" s="9" t="e">
        <f>tbl_Case_mins[[#This Row],[Total_NonCore]]-tbl_Case_mins[[#This Row],[NextDay_NonCore]]</f>
        <v>#REF!</v>
      </c>
      <c r="BZ341" s="10" t="e">
        <f>tbl_Case_mins[[#This Row],[InCoreUse]]/60</f>
        <v>#REF!</v>
      </c>
      <c r="CA341" s="10" t="e">
        <f>tbl_Case_mins[[#This Row],[Total_NonCore]]/60</f>
        <v>#REF!</v>
      </c>
      <c r="CB341" t="e" cm="1">
        <f t="array" ref="CB3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1" s="9" t="e" cm="1">
        <f t="array" ref="CC34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1" s="9" t="e" cm="1">
        <f t="array" ref="CD3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1" s="9" t="e" cm="1">
        <f t="array" ref="CE34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1" s="9" cm="1">
        <f t="array" ref="CF341">IFERROR(_xlfn.AGGREGATE(14,6,(tbl_Case_mins[Rank_AnaEnd])/((tbl_Case_mins[Surgery Start Date]=tbl_Case_mins[[#This Row],[Surgery Start Date]])*(tbl_Case_mins[Theatre]=tbl_Case_mins[[#This Row],[Theatre]])*(tbl_Case_mins[NoInCoreTime]=0)),1),-1)</f>
        <v>-1</v>
      </c>
      <c r="CG341" s="9" cm="1">
        <f t="array" ref="CG341">IFERROR(_xlfn.AGGREGATE(15,6,(tbl_Case_mins[Rank_AnaSt])/((tbl_Case_mins[Surgery Start Date]=tbl_Case_mins[[#This Row],[Surgery Start Date]])*(tbl_Case_mins[Theatre]=tbl_Case_mins[[#This Row],[Theatre]])*(tbl_Case_mins[NoInCoreTime]=0)),1),-1)</f>
        <v>-1</v>
      </c>
      <c r="CH34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1" t="e" cm="1">
        <f t="array" ref="CJ34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1" s="9" cm="1">
        <f t="array" ref="CO3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1" s="9" cm="1">
        <f t="array" ref="CP3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1" s="9" cm="1">
        <f t="array" ref="CQ341">IFERROR(IF(AND(tbl_Case_mins[[#This Row],[FirstAMCase]]=0,tbl_Case_mins[[#This Row],[Rank]]=_xlfn.AGGREGATE(14,6,(tbl_Case_mins[Rank])/((tbl_Case_mins[Surgery Start Date]=tbl_Case_mins[[#This Row],[Surgery Start Date]])*(tbl_Case_mins[Theatre]=tbl_Case_mins[[#This Row],[Theatre]])*(tbl_Case_mins[AmCase]=1)),1)),1,0),0)</f>
        <v>0</v>
      </c>
      <c r="CR341" s="9" cm="1">
        <f t="array" ref="CR34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1" s="9" t="e" cm="1">
        <f t="array" ref="CS34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1" s="9" cm="1">
        <f t="array" ref="CT341">IFERROR(IF(tbl_Case_mins[[#This Row],[Rank]]=_xlfn.AGGREGATE(15,6,(tbl_Case_mins[Rank])/((tbl_Case_mins[Surgery Start Date]=tbl_Case_mins[[#This Row],[Surgery Start Date]])*(tbl_Case_mins[Theatre]=tbl_Case_mins[[#This Row],[Theatre]])*(tbl_Case_mins[PmCase]=1)),1),1,0),0)</f>
        <v>0</v>
      </c>
      <c r="CU341">
        <f>IFERROR(#REF!,0)</f>
        <v>0</v>
      </c>
      <c r="CV341" s="9" t="e" cm="1">
        <f t="array" ref="CV34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1" s="9">
        <f>IFERROR(IF(ISBLANK(INDEX(Bay_AmClose,MATCH(1,INDEX((tbl_Case_mins[[#This Row],[Bay]]=BayNo)*(tbl_Case_mins[[#This Row],[Surgery Start Date]]=BDate),0,1),0))*1440),0,INDEX(Bay_AmClose,MATCH(1,INDEX((tbl_Case_mins[[#This Row],[Bay]]=BayNo)*(tbl_Case_mins[[#This Row],[Surgery Start Date]]=BDate),0,1),0))*1440),0)</f>
        <v>0</v>
      </c>
      <c r="CX341" s="9" cm="1">
        <f t="array" ref="CX341">IFERROR(IF(ISBLANK(INDEX(Bay_PmOpen,MATCH(1,INDEX((tbl_Case_mins[[#This Row],[Bay]]=BayNo)*(tbl_Case_mins[[#This Row],[Surgery Start Date]]=BDate),0,1),0))*1440),0,INDEX(Bay_PmOpen,MATCH(1,INDEX((tbl_Case_mins[[#This Row],[Bay]]=BayNo)*(tbl_Case_mins[[#This Row],[Surgery Start Date]]=BDate),0,1),0))*1440),0)</f>
        <v>0</v>
      </c>
      <c r="CY34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1" s="9"/>
    </row>
    <row r="342" spans="1:104" x14ac:dyDescent="0.2">
      <c r="A342">
        <v>341</v>
      </c>
      <c r="B342" t="e">
        <f>#REF!</f>
        <v>#REF!</v>
      </c>
      <c r="C342" t="e">
        <f>#REF!</f>
        <v>#REF!</v>
      </c>
      <c r="D342" t="e">
        <f>#REF!</f>
        <v>#REF!</v>
      </c>
      <c r="E342" t="e">
        <f>#REF!</f>
        <v>#REF!</v>
      </c>
      <c r="F342" t="e">
        <f>#REF!</f>
        <v>#REF!</v>
      </c>
      <c r="G342" t="e">
        <f>#REF!</f>
        <v>#REF!</v>
      </c>
      <c r="H342" t="e">
        <f>#REF!</f>
        <v>#REF!</v>
      </c>
      <c r="I342" t="e">
        <f>IF(#REF!="Case Cancelled",1,IF(#REF!="No Cases",2,0))</f>
        <v>#REF!</v>
      </c>
      <c r="J342" t="e">
        <f>#REF!</f>
        <v>#REF!</v>
      </c>
      <c r="K342" s="4" t="e">
        <f>#REF!</f>
        <v>#REF!</v>
      </c>
      <c r="L342" t="e">
        <f>"Wk "&amp;WEEKNUM(tbl_Case_mins[[#This Row],[Surgery Start Date]],21)</f>
        <v>#REF!</v>
      </c>
      <c r="M342" t="e">
        <f>TEXT(tbl_Case_mins[[#This Row],[Surgery Start Date]],"ddd")</f>
        <v>#REF!</v>
      </c>
      <c r="N342" s="9" t="e">
        <f>(#REF!-TIME(0,0,0))*1440</f>
        <v>#REF!</v>
      </c>
      <c r="O342" t="e">
        <f>IF(AND(ROUND((#REF!-TIME(0,0,0))*1440,0)&gt;0,ROUND((#REF!-TIME(0,0,0))*1440,0)&lt;tbl_Case_mins[[#This Row],[Patient Called]],tbl_Case_mins[[#This Row],[Surgery End Date]]&gt;tbl_Case_mins[[#This Row],[Surgery Start Date]]),ROUND((#REF!-TIME(0,0,0))*1440,0)+1440,ROUND((#REF!-TIME(0,0,0))*1440,0))</f>
        <v>#REF!</v>
      </c>
      <c r="P342" s="9" t="e">
        <f>IF(AND(ROUND((#REF!-TIME(0,0,0))*1440,0)&gt;0,ROUND((#REF!-TIME(0,0,0))*1440,0)&lt;tbl_Case_mins[[#This Row],[Arrival]],tbl_Case_mins[[#This Row],[Surgery End Date]]&gt;tbl_Case_mins[[#This Row],[Surgery Start Date]]),ROUND((#REF!-TIME(0,0,0))*1440,0)+1440,ROUND((#REF!-TIME(0,0,0))*1440,0))</f>
        <v>#REF!</v>
      </c>
      <c r="Q342" s="9" t="e">
        <f>IF(AND(ROUND((#REF!-TIME(0,0,0))*1440,0)&gt;0,ROUND((#REF!-TIME(0,0,0))*1440,0)&lt;tbl_Case_mins[[#This Row],[Into Th or AR]],tbl_Case_mins[[#This Row],[Surgery End Date]]&gt;tbl_Case_mins[[#This Row],[Surgery Start Date]]),ROUND((#REF!-TIME(0,0,0))*1440,0)+1440,ROUND((#REF!-TIME(0,0,0))*1440,0))</f>
        <v>#REF!</v>
      </c>
      <c r="R342" s="9" t="e">
        <f>IF(AND(ROUND((#REF!-TIME(0,0,0))*1440,0)&gt;0,ROUND((#REF!-TIME(0,0,0))*1440,0)&lt;tbl_Case_mins[[#This Row],[AnaesthStart]],tbl_Case_mins[[#This Row],[Surgery End Date]]&gt;tbl_Case_mins[[#This Row],[Surgery Start Date]]),ROUND((#REF!-TIME(0,0,0))*1440,0)+1440,ROUND((#REF!-TIME(0,0,0))*1440,0))</f>
        <v>#REF!</v>
      </c>
      <c r="S342" s="9" t="e">
        <f>IF(AND(ROUND((#REF!-TIME(0,0,0))*1440,0),ROUND((#REF!-TIME(0,0,0))*1440,0)&lt;tbl_Case_mins[[#This Row],[Surgery Start]],tbl_Case_mins[[#This Row],[Surgery End Date]]&gt;tbl_Case_mins[[#This Row],[Surgery Start Date]]),ROUND((#REF!-TIME(0,0,0))*1440,0)+1440,ROUND((#REF!-TIME(0,0,0))*1440,0))</f>
        <v>#REF!</v>
      </c>
      <c r="T342" s="9" t="e">
        <f>IF(AND(ROUND((#REF!-TIME(0,0,0))*1440,0)&gt;0,ROUND((#REF!-TIME(0,0,0))*1440,0)&lt;tbl_Case_mins[[#This Row],[Surgery Finish]],tbl_Case_mins[[#This Row],[Surgery End Date]]&gt;tbl_Case_mins[[#This Row],[Surgery Start Date]]),ROUND((#REF!-TIME(0,0,0))*1440,0)+1440,ROUND((#REF!-TIME(0,0,0))*1440,0))</f>
        <v>#REF!</v>
      </c>
      <c r="U342" s="9" t="e">
        <f>IF(AND(ROUND((#REF!-TIME(0,0,0))*1440,0)&gt;0,ROUND((#REF!-TIME(0,0,0))*1440,0)&lt;tbl_Case_mins[[#This Row],[Anaesth End]],tbl_Case_mins[[#This Row],[Surgery End Date]]&gt;tbl_Case_mins[[#This Row],[Surgery Start Date]]),ROUND((#REF!-TIME(0,0,0))*1440,0)+1440,ROUND((#REF!-TIME(0,0,0))*1440,0))</f>
        <v>#REF!</v>
      </c>
      <c r="V342" s="9" t="e">
        <f>IF(AND(ROUND((#REF!-TIME(0,0,0))*1440,0)&gt;0,ROUND((#REF!-TIME(0,0,0))*1440,0)&lt;tbl_Case_mins[[#This Row],[Into Recov]],tbl_Case_mins[[#This Row],[Surgery End Date]]&gt;tbl_Case_mins[[#This Row],[Surgery Start Date]]),ROUND((#REF!-TIME(0,0,0))*1440,0)+1440,ROUND((#REF!-TIME(0,0,0))*1440,0))</f>
        <v>#REF!</v>
      </c>
      <c r="W342" s="9" t="e">
        <f>IF(AND(ROUND((#REF!-TIME(0,0,0))*1440,0)&gt;0,ROUND((#REF!-TIME(0,0,0))*1440,0)&lt;tbl_Case_mins[[#This Row],[Ward Called]],tbl_Case_mins[[#This Row],[Surgery End Date]]&gt;tbl_Case_mins[[#This Row],[Surgery Start Date]]),ROUND((#REF!-TIME(0,0,0))*1440,0)+1440,ROUND((#REF!-TIME(0,0,0))*1440,0))</f>
        <v>#REF!</v>
      </c>
      <c r="X342" s="4" t="e">
        <f>IF(ISBLANK(#REF!),tbl_Case_mins[[#This Row],[Surgery Start Date]],#REF!)</f>
        <v>#REF!</v>
      </c>
      <c r="Y342">
        <f>IFERROR(IF(VLOOKUP(tbl_Case_mins[[#This Row],[Theatre]],'Mng Theatres'!$C$7:$G$12,3,FALSE)="Yes","Yes","No"),0)</f>
        <v>0</v>
      </c>
      <c r="Z342" s="9" t="e" cm="1">
        <f t="array" ref="Z34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2" s="9" t="e" cm="1">
        <f t="array" ref="AA34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2" s="9" t="e">
        <f>IF(tbl_Case_mins[[#This Row],[Case Type]]="Unsch",1,0)</f>
        <v>#REF!</v>
      </c>
      <c r="AD342" s="9" t="e">
        <f>IF(tbl_Case_mins[[#This Row],[Case Type]]="Sch",1,0)</f>
        <v>#REF!</v>
      </c>
      <c r="AE34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2" s="9">
        <f>IFERROR(IF(ISBLANK(INDEX(Am_Close,MATCH(1,INDEX((tbl_Case_mins[[#This Row],[Theatre]]=Theatre_No)*(tbl_Case_mins[[#This Row],[Surgery Start Date]]=Date),0,1),0))*1440),0,INDEX(Am_Close,MATCH(1,INDEX((tbl_Case_mins[[#This Row],[Theatre]]=Theatre_No)*(tbl_Case_mins[[#This Row],[Surgery Start Date]]=Date),0,1),0))*1440),0)</f>
        <v>0</v>
      </c>
      <c r="AG342" s="9">
        <f>IFERROR(IF(ISBLANK(INDEX(PM_Open,MATCH(1,INDEX((tbl_Case_mins[[#This Row],[Theatre]]=Theatre_No)*(tbl_Case_mins[[#This Row],[Surgery Start Date]]=Date),0,1),0))*1440),0,INDEX(PM_Open,MATCH(1,INDEX((tbl_Case_mins[[#This Row],[Theatre]]=Theatre_No)*(tbl_Case_mins[[#This Row],[Surgery Start Date]]=Date),0,1),0))*1440),0)</f>
        <v>0</v>
      </c>
      <c r="AH34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2" s="9" t="e">
        <f>IF(tbl_Case_mins[[#This Row],[ThOpenAm]]=0,tbl_Case_mins[[#This Row],[ThOpenPM]],tbl_Case_mins[[#This Row],[ThOpenAm]])</f>
        <v>#REF!</v>
      </c>
      <c r="AJ342" s="9" t="e">
        <f>IF(tbl_Case_mins[[#This Row],[ThCloseAm]]&gt;0,IF(tbl_Case_mins[[#This Row],[ThOpenPM]]&gt;0,tbl_Case_mins[[#This Row],[ThClosePm]],tbl_Case_mins[[#This Row],[ThCloseAm]]),tbl_Case_mins[[#This Row],[ThClosePm]])</f>
        <v>#REF!</v>
      </c>
      <c r="AK342" s="9" t="e">
        <f>IF(tbl_Case_mins[[#This Row],[TOT]]&gt;0,1,0)</f>
        <v>#REF!</v>
      </c>
      <c r="AL34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2" s="9" t="e">
        <f>IF(AND(tbl_Case_mins[[#This Row],[Surgery Status]]&lt;&gt;2,tbl_Case_mins[[#This Row],[InCoreCase]]=0,tbl_Case_mins[[#This Row],[CancelledCase]]=0),1,0)</f>
        <v>#REF!</v>
      </c>
      <c r="AN342" s="9" t="e">
        <f>IF(tbl_Case_mins[[#This Row],[Surgery Status]]=1,1,0)</f>
        <v>#REF!</v>
      </c>
      <c r="AO34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2" s="9" t="e">
        <f>IF(AND(tbl_Case_mins[[#This Row],[NonCoreCase]]=1,tbl_Case_mins[[#This Row],[NoInCoreTime]]=0),1,0)</f>
        <v>#REF!</v>
      </c>
      <c r="AQ342" s="9" t="e">
        <f>IF(tbl_Case_mins[[#This Row],[Rank_AnaEnd]]&lt;tbl_Case_mins[[#This Row],[Rank_AnaSt]],1,0)</f>
        <v>#REF!</v>
      </c>
      <c r="AR342" s="9" t="e">
        <f>IF(AND(tbl_Case_mins[[#This Row],[InCoreCase]]=1,tbl_Case_mins[[#This Row],[Sch]]=1),1,0)</f>
        <v>#REF!</v>
      </c>
      <c r="AS342" s="9" t="e">
        <f>IF(AND(tbl_Case_mins[[#This Row],[InCoreCase]]=1,tbl_Case_mins[[#This Row],[Unsch]]=1),1,0)</f>
        <v>#REF!</v>
      </c>
      <c r="AT34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2" s="9" t="e">
        <f>IF(tbl_Case_mins[[#This Row],[Surgery Status]]=0,(tbl_Case_mins[[#This Row],[Anaesth End]]-tbl_Case_mins[[#This Row],[AnaesthStart]]),0)</f>
        <v>#REF!</v>
      </c>
      <c r="AX342" s="9" t="e">
        <f>IF(tbl_Case_mins[[#This Row],[Surgery Status]]=0,(tbl_Case_mins[[#This Row],[Surgery Finish]]-tbl_Case_mins[[#This Row],[Surgery Start]]),0)</f>
        <v>#REF!</v>
      </c>
      <c r="AY342" s="9" t="e">
        <f>tbl_Case_mins[[#This Row],[Surgery Start]]-tbl_Case_mins[[#This Row],[AnaesthStart]]</f>
        <v>#REF!</v>
      </c>
      <c r="AZ342" s="9" t="e">
        <f>tbl_Case_mins[[#This Row],[Anaesth End]]-tbl_Case_mins[[#This Row],[Surgery Finish]]</f>
        <v>#REF!</v>
      </c>
      <c r="BA34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2" s="16" cm="1">
        <f t="array" ref="BC34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2" s="16" t="e">
        <f>IF(AND(tbl_Case_mins[[#This Row],[FirstAMCase]]=1,tbl_Case_mins[[#This Row],[CancelledCase]]=0,OR(tbl_Case_mins[[#This Row],[EarlyStartAM]]&gt;0,tbl_Case_mins[[#This Row],[AnaesthStart]]=tbl_Case_mins[[#This Row],[ThOpenAm]])),1,0)</f>
        <v>#REF!</v>
      </c>
      <c r="BE342" s="16" t="e">
        <f>IF(AND(tbl_Case_mins[[#This Row],[Rank_AnaSt]]=tbl_Case_mins[[#This Row],[Min_RankAnaSt]],tbl_Case_mins[[#This Row],[Anaesth End]]&gt;=tbl_Case_mins[[#This Row],[ThOpenAm]],tbl_Case_mins[[#This Row],[PmCase]]=0),1,0)</f>
        <v>#REF!</v>
      </c>
      <c r="BF34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2" s="9" t="e" cm="1">
        <f t="array" ref="BH34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2" s="9" t="e">
        <f>IF(AND(tbl_Case_mins[[#This Row],[ThOpenPM]]&gt;0,tbl_Case_mins[[#This Row],[AnaesthStart]]&gt;tbl_Case_mins[[#This Row],[ThOpenPM]],tbl_Case_mins[[#This Row],[First PM Case]]=1),tbl_Case_mins[[#This Row],[AnaesthStart]]-tbl_Case_mins[[#This Row],[ThOpenPM]],0)</f>
        <v>#REF!</v>
      </c>
      <c r="BL34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2" s="9" t="e" cm="1">
        <f t="array" ref="BN34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2" s="9" t="e">
        <f>IF(AND(tbl_Case_mins[[#This Row],[ThClosePm]]&gt;0,tbl_Case_mins[[#This Row],[Anaesth End]]&gt;tbl_Case_mins[[#This Row],[ThClosePm]],tbl_Case_mins[[#This Row],[AnaesthStart]]&gt;tbl_Case_mins[[#This Row],[ThClosePm]]),tbl_Case_mins[[#This Row],[Into Recov]]-tbl_Case_mins[[#This Row],[AnaesthStart]],0)</f>
        <v>#REF!</v>
      </c>
      <c r="BP342" s="9" t="e">
        <f>IF(AND(tbl_Case_mins[[#This Row],[AnaesthStart]]&lt;tbl_Case_mins[[#This Row],[ThClosePm]],tbl_Case_mins[[#This Row],[Anaesth End]]&gt;tbl_Case_mins[[#This Row],[ThClosePm]]),tbl_Case_mins[[#This Row],[Anaesth End]]-tbl_Case_mins[[#This Row],[ThClosePm]],0)</f>
        <v>#REF!</v>
      </c>
      <c r="BQ342" s="9" t="e" cm="1">
        <f t="array" ref="BQ34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2" s="9" t="e" cm="1">
        <f t="array" ref="BR342">IF(tbl_Case_mins[[#This Row],[Rank_Adjust]]=SUMPRODUCT(-(tbl_Case_mins[Surgery Start Date]=tbl_Case_mins[[#This Row],[Surgery Start Date]]),-(tbl_Case_mins[Theatre]=tbl_Case_mins[[#This Row],[Theatre]])),INDEX(Poss_Time,MATCH(TEXT(tbl_Case_mins[[#This Row],[Surgery Start Date]],"ddd"),Day,0)),0)</f>
        <v>#REF!</v>
      </c>
      <c r="BS342" s="9" t="e">
        <f>tbl_Case_mins[[#This Row],[Core_Time]]*Util_Goal</f>
        <v>#REF!</v>
      </c>
      <c r="BT342" s="9" t="e" cm="1">
        <f t="array" ref="BT3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2" s="9" t="e" cm="1">
        <f t="array" ref="BU3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2" s="9" t="e">
        <f>IF(tbl_Case_mins[[#This Row],[Surgery End Date]]&gt;tbl_Case_mins[[#This Row],[Surgery Start Date]],tbl_Case_mins[[#This Row],[Anaesth End]]-1440,0)</f>
        <v>#REF!</v>
      </c>
      <c r="BY342" s="9" t="e">
        <f>tbl_Case_mins[[#This Row],[Total_NonCore]]-tbl_Case_mins[[#This Row],[NextDay_NonCore]]</f>
        <v>#REF!</v>
      </c>
      <c r="BZ342" s="10" t="e">
        <f>tbl_Case_mins[[#This Row],[InCoreUse]]/60</f>
        <v>#REF!</v>
      </c>
      <c r="CA342" s="10" t="e">
        <f>tbl_Case_mins[[#This Row],[Total_NonCore]]/60</f>
        <v>#REF!</v>
      </c>
      <c r="CB342" t="e" cm="1">
        <f t="array" ref="CB3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2" s="9" t="e" cm="1">
        <f t="array" ref="CC34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2" s="9" t="e" cm="1">
        <f t="array" ref="CD3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2" s="9" t="e" cm="1">
        <f t="array" ref="CE34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2" s="9" cm="1">
        <f t="array" ref="CF342">IFERROR(_xlfn.AGGREGATE(14,6,(tbl_Case_mins[Rank_AnaEnd])/((tbl_Case_mins[Surgery Start Date]=tbl_Case_mins[[#This Row],[Surgery Start Date]])*(tbl_Case_mins[Theatre]=tbl_Case_mins[[#This Row],[Theatre]])*(tbl_Case_mins[NoInCoreTime]=0)),1),-1)</f>
        <v>-1</v>
      </c>
      <c r="CG342" s="9" cm="1">
        <f t="array" ref="CG342">IFERROR(_xlfn.AGGREGATE(15,6,(tbl_Case_mins[Rank_AnaSt])/((tbl_Case_mins[Surgery Start Date]=tbl_Case_mins[[#This Row],[Surgery Start Date]])*(tbl_Case_mins[Theatre]=tbl_Case_mins[[#This Row],[Theatre]])*(tbl_Case_mins[NoInCoreTime]=0)),1),-1)</f>
        <v>-1</v>
      </c>
      <c r="CH34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2" t="e" cm="1">
        <f t="array" ref="CJ34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2" s="9" cm="1">
        <f t="array" ref="CO3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2" s="9" cm="1">
        <f t="array" ref="CP3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2" s="9" cm="1">
        <f t="array" ref="CQ342">IFERROR(IF(AND(tbl_Case_mins[[#This Row],[FirstAMCase]]=0,tbl_Case_mins[[#This Row],[Rank]]=_xlfn.AGGREGATE(14,6,(tbl_Case_mins[Rank])/((tbl_Case_mins[Surgery Start Date]=tbl_Case_mins[[#This Row],[Surgery Start Date]])*(tbl_Case_mins[Theatre]=tbl_Case_mins[[#This Row],[Theatre]])*(tbl_Case_mins[AmCase]=1)),1)),1,0),0)</f>
        <v>0</v>
      </c>
      <c r="CR342" s="9" cm="1">
        <f t="array" ref="CR34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2" s="9" t="e" cm="1">
        <f t="array" ref="CS34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2" s="9" cm="1">
        <f t="array" ref="CT342">IFERROR(IF(tbl_Case_mins[[#This Row],[Rank]]=_xlfn.AGGREGATE(15,6,(tbl_Case_mins[Rank])/((tbl_Case_mins[Surgery Start Date]=tbl_Case_mins[[#This Row],[Surgery Start Date]])*(tbl_Case_mins[Theatre]=tbl_Case_mins[[#This Row],[Theatre]])*(tbl_Case_mins[PmCase]=1)),1),1,0),0)</f>
        <v>0</v>
      </c>
      <c r="CU342">
        <f>IFERROR(#REF!,0)</f>
        <v>0</v>
      </c>
      <c r="CV342" s="9" t="e" cm="1">
        <f t="array" ref="CV34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2" s="9">
        <f>IFERROR(IF(ISBLANK(INDEX(Bay_AmClose,MATCH(1,INDEX((tbl_Case_mins[[#This Row],[Bay]]=BayNo)*(tbl_Case_mins[[#This Row],[Surgery Start Date]]=BDate),0,1),0))*1440),0,INDEX(Bay_AmClose,MATCH(1,INDEX((tbl_Case_mins[[#This Row],[Bay]]=BayNo)*(tbl_Case_mins[[#This Row],[Surgery Start Date]]=BDate),0,1),0))*1440),0)</f>
        <v>0</v>
      </c>
      <c r="CX342" s="9" cm="1">
        <f t="array" ref="CX342">IFERROR(IF(ISBLANK(INDEX(Bay_PmOpen,MATCH(1,INDEX((tbl_Case_mins[[#This Row],[Bay]]=BayNo)*(tbl_Case_mins[[#This Row],[Surgery Start Date]]=BDate),0,1),0))*1440),0,INDEX(Bay_PmOpen,MATCH(1,INDEX((tbl_Case_mins[[#This Row],[Bay]]=BayNo)*(tbl_Case_mins[[#This Row],[Surgery Start Date]]=BDate),0,1),0))*1440),0)</f>
        <v>0</v>
      </c>
      <c r="CY34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2" s="9"/>
    </row>
    <row r="343" spans="1:104" x14ac:dyDescent="0.2">
      <c r="A343">
        <v>342</v>
      </c>
      <c r="B343" t="e">
        <f>#REF!</f>
        <v>#REF!</v>
      </c>
      <c r="C343" t="e">
        <f>#REF!</f>
        <v>#REF!</v>
      </c>
      <c r="D343" t="e">
        <f>#REF!</f>
        <v>#REF!</v>
      </c>
      <c r="E343" t="e">
        <f>#REF!</f>
        <v>#REF!</v>
      </c>
      <c r="F343" t="e">
        <f>#REF!</f>
        <v>#REF!</v>
      </c>
      <c r="G343" t="e">
        <f>#REF!</f>
        <v>#REF!</v>
      </c>
      <c r="H343" t="e">
        <f>#REF!</f>
        <v>#REF!</v>
      </c>
      <c r="I343" t="e">
        <f>IF(#REF!="Case Cancelled",1,IF(#REF!="No Cases",2,0))</f>
        <v>#REF!</v>
      </c>
      <c r="J343" t="e">
        <f>#REF!</f>
        <v>#REF!</v>
      </c>
      <c r="K343" s="4" t="e">
        <f>#REF!</f>
        <v>#REF!</v>
      </c>
      <c r="L343" t="e">
        <f>"Wk "&amp;WEEKNUM(tbl_Case_mins[[#This Row],[Surgery Start Date]],21)</f>
        <v>#REF!</v>
      </c>
      <c r="M343" t="e">
        <f>TEXT(tbl_Case_mins[[#This Row],[Surgery Start Date]],"ddd")</f>
        <v>#REF!</v>
      </c>
      <c r="N343" s="9" t="e">
        <f>(#REF!-TIME(0,0,0))*1440</f>
        <v>#REF!</v>
      </c>
      <c r="O343" t="e">
        <f>IF(AND(ROUND((#REF!-TIME(0,0,0))*1440,0)&gt;0,ROUND((#REF!-TIME(0,0,0))*1440,0)&lt;tbl_Case_mins[[#This Row],[Patient Called]],tbl_Case_mins[[#This Row],[Surgery End Date]]&gt;tbl_Case_mins[[#This Row],[Surgery Start Date]]),ROUND((#REF!-TIME(0,0,0))*1440,0)+1440,ROUND((#REF!-TIME(0,0,0))*1440,0))</f>
        <v>#REF!</v>
      </c>
      <c r="P343" s="9" t="e">
        <f>IF(AND(ROUND((#REF!-TIME(0,0,0))*1440,0)&gt;0,ROUND((#REF!-TIME(0,0,0))*1440,0)&lt;tbl_Case_mins[[#This Row],[Arrival]],tbl_Case_mins[[#This Row],[Surgery End Date]]&gt;tbl_Case_mins[[#This Row],[Surgery Start Date]]),ROUND((#REF!-TIME(0,0,0))*1440,0)+1440,ROUND((#REF!-TIME(0,0,0))*1440,0))</f>
        <v>#REF!</v>
      </c>
      <c r="Q343" s="9" t="e">
        <f>IF(AND(ROUND((#REF!-TIME(0,0,0))*1440,0)&gt;0,ROUND((#REF!-TIME(0,0,0))*1440,0)&lt;tbl_Case_mins[[#This Row],[Into Th or AR]],tbl_Case_mins[[#This Row],[Surgery End Date]]&gt;tbl_Case_mins[[#This Row],[Surgery Start Date]]),ROUND((#REF!-TIME(0,0,0))*1440,0)+1440,ROUND((#REF!-TIME(0,0,0))*1440,0))</f>
        <v>#REF!</v>
      </c>
      <c r="R343" s="9" t="e">
        <f>IF(AND(ROUND((#REF!-TIME(0,0,0))*1440,0)&gt;0,ROUND((#REF!-TIME(0,0,0))*1440,0)&lt;tbl_Case_mins[[#This Row],[AnaesthStart]],tbl_Case_mins[[#This Row],[Surgery End Date]]&gt;tbl_Case_mins[[#This Row],[Surgery Start Date]]),ROUND((#REF!-TIME(0,0,0))*1440,0)+1440,ROUND((#REF!-TIME(0,0,0))*1440,0))</f>
        <v>#REF!</v>
      </c>
      <c r="S343" s="9" t="e">
        <f>IF(AND(ROUND((#REF!-TIME(0,0,0))*1440,0),ROUND((#REF!-TIME(0,0,0))*1440,0)&lt;tbl_Case_mins[[#This Row],[Surgery Start]],tbl_Case_mins[[#This Row],[Surgery End Date]]&gt;tbl_Case_mins[[#This Row],[Surgery Start Date]]),ROUND((#REF!-TIME(0,0,0))*1440,0)+1440,ROUND((#REF!-TIME(0,0,0))*1440,0))</f>
        <v>#REF!</v>
      </c>
      <c r="T343" s="9" t="e">
        <f>IF(AND(ROUND((#REF!-TIME(0,0,0))*1440,0)&gt;0,ROUND((#REF!-TIME(0,0,0))*1440,0)&lt;tbl_Case_mins[[#This Row],[Surgery Finish]],tbl_Case_mins[[#This Row],[Surgery End Date]]&gt;tbl_Case_mins[[#This Row],[Surgery Start Date]]),ROUND((#REF!-TIME(0,0,0))*1440,0)+1440,ROUND((#REF!-TIME(0,0,0))*1440,0))</f>
        <v>#REF!</v>
      </c>
      <c r="U343" s="9" t="e">
        <f>IF(AND(ROUND((#REF!-TIME(0,0,0))*1440,0)&gt;0,ROUND((#REF!-TIME(0,0,0))*1440,0)&lt;tbl_Case_mins[[#This Row],[Anaesth End]],tbl_Case_mins[[#This Row],[Surgery End Date]]&gt;tbl_Case_mins[[#This Row],[Surgery Start Date]]),ROUND((#REF!-TIME(0,0,0))*1440,0)+1440,ROUND((#REF!-TIME(0,0,0))*1440,0))</f>
        <v>#REF!</v>
      </c>
      <c r="V343" s="9" t="e">
        <f>IF(AND(ROUND((#REF!-TIME(0,0,0))*1440,0)&gt;0,ROUND((#REF!-TIME(0,0,0))*1440,0)&lt;tbl_Case_mins[[#This Row],[Into Recov]],tbl_Case_mins[[#This Row],[Surgery End Date]]&gt;tbl_Case_mins[[#This Row],[Surgery Start Date]]),ROUND((#REF!-TIME(0,0,0))*1440,0)+1440,ROUND((#REF!-TIME(0,0,0))*1440,0))</f>
        <v>#REF!</v>
      </c>
      <c r="W343" s="9" t="e">
        <f>IF(AND(ROUND((#REF!-TIME(0,0,0))*1440,0)&gt;0,ROUND((#REF!-TIME(0,0,0))*1440,0)&lt;tbl_Case_mins[[#This Row],[Ward Called]],tbl_Case_mins[[#This Row],[Surgery End Date]]&gt;tbl_Case_mins[[#This Row],[Surgery Start Date]]),ROUND((#REF!-TIME(0,0,0))*1440,0)+1440,ROUND((#REF!-TIME(0,0,0))*1440,0))</f>
        <v>#REF!</v>
      </c>
      <c r="X343" s="4" t="e">
        <f>IF(ISBLANK(#REF!),tbl_Case_mins[[#This Row],[Surgery Start Date]],#REF!)</f>
        <v>#REF!</v>
      </c>
      <c r="Y343">
        <f>IFERROR(IF(VLOOKUP(tbl_Case_mins[[#This Row],[Theatre]],'Mng Theatres'!$C$7:$G$12,3,FALSE)="Yes","Yes","No"),0)</f>
        <v>0</v>
      </c>
      <c r="Z343" s="9" t="e" cm="1">
        <f t="array" ref="Z34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3" s="9" t="e" cm="1">
        <f t="array" ref="AA34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3" s="9" t="e">
        <f>IF(tbl_Case_mins[[#This Row],[Case Type]]="Unsch",1,0)</f>
        <v>#REF!</v>
      </c>
      <c r="AD343" s="9" t="e">
        <f>IF(tbl_Case_mins[[#This Row],[Case Type]]="Sch",1,0)</f>
        <v>#REF!</v>
      </c>
      <c r="AE34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3" s="9">
        <f>IFERROR(IF(ISBLANK(INDEX(Am_Close,MATCH(1,INDEX((tbl_Case_mins[[#This Row],[Theatre]]=Theatre_No)*(tbl_Case_mins[[#This Row],[Surgery Start Date]]=Date),0,1),0))*1440),0,INDEX(Am_Close,MATCH(1,INDEX((tbl_Case_mins[[#This Row],[Theatre]]=Theatre_No)*(tbl_Case_mins[[#This Row],[Surgery Start Date]]=Date),0,1),0))*1440),0)</f>
        <v>0</v>
      </c>
      <c r="AG343" s="9">
        <f>IFERROR(IF(ISBLANK(INDEX(PM_Open,MATCH(1,INDEX((tbl_Case_mins[[#This Row],[Theatre]]=Theatre_No)*(tbl_Case_mins[[#This Row],[Surgery Start Date]]=Date),0,1),0))*1440),0,INDEX(PM_Open,MATCH(1,INDEX((tbl_Case_mins[[#This Row],[Theatre]]=Theatre_No)*(tbl_Case_mins[[#This Row],[Surgery Start Date]]=Date),0,1),0))*1440),0)</f>
        <v>0</v>
      </c>
      <c r="AH34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3" s="9" t="e">
        <f>IF(tbl_Case_mins[[#This Row],[ThOpenAm]]=0,tbl_Case_mins[[#This Row],[ThOpenPM]],tbl_Case_mins[[#This Row],[ThOpenAm]])</f>
        <v>#REF!</v>
      </c>
      <c r="AJ343" s="9" t="e">
        <f>IF(tbl_Case_mins[[#This Row],[ThCloseAm]]&gt;0,IF(tbl_Case_mins[[#This Row],[ThOpenPM]]&gt;0,tbl_Case_mins[[#This Row],[ThClosePm]],tbl_Case_mins[[#This Row],[ThCloseAm]]),tbl_Case_mins[[#This Row],[ThClosePm]])</f>
        <v>#REF!</v>
      </c>
      <c r="AK343" s="9" t="e">
        <f>IF(tbl_Case_mins[[#This Row],[TOT]]&gt;0,1,0)</f>
        <v>#REF!</v>
      </c>
      <c r="AL34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3" s="9" t="e">
        <f>IF(AND(tbl_Case_mins[[#This Row],[Surgery Status]]&lt;&gt;2,tbl_Case_mins[[#This Row],[InCoreCase]]=0,tbl_Case_mins[[#This Row],[CancelledCase]]=0),1,0)</f>
        <v>#REF!</v>
      </c>
      <c r="AN343" s="9" t="e">
        <f>IF(tbl_Case_mins[[#This Row],[Surgery Status]]=1,1,0)</f>
        <v>#REF!</v>
      </c>
      <c r="AO34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3" s="9" t="e">
        <f>IF(AND(tbl_Case_mins[[#This Row],[NonCoreCase]]=1,tbl_Case_mins[[#This Row],[NoInCoreTime]]=0),1,0)</f>
        <v>#REF!</v>
      </c>
      <c r="AQ343" s="9" t="e">
        <f>IF(tbl_Case_mins[[#This Row],[Rank_AnaEnd]]&lt;tbl_Case_mins[[#This Row],[Rank_AnaSt]],1,0)</f>
        <v>#REF!</v>
      </c>
      <c r="AR343" s="9" t="e">
        <f>IF(AND(tbl_Case_mins[[#This Row],[InCoreCase]]=1,tbl_Case_mins[[#This Row],[Sch]]=1),1,0)</f>
        <v>#REF!</v>
      </c>
      <c r="AS343" s="9" t="e">
        <f>IF(AND(tbl_Case_mins[[#This Row],[InCoreCase]]=1,tbl_Case_mins[[#This Row],[Unsch]]=1),1,0)</f>
        <v>#REF!</v>
      </c>
      <c r="AT34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3" s="9" t="e">
        <f>IF(tbl_Case_mins[[#This Row],[Surgery Status]]=0,(tbl_Case_mins[[#This Row],[Anaesth End]]-tbl_Case_mins[[#This Row],[AnaesthStart]]),0)</f>
        <v>#REF!</v>
      </c>
      <c r="AX343" s="9" t="e">
        <f>IF(tbl_Case_mins[[#This Row],[Surgery Status]]=0,(tbl_Case_mins[[#This Row],[Surgery Finish]]-tbl_Case_mins[[#This Row],[Surgery Start]]),0)</f>
        <v>#REF!</v>
      </c>
      <c r="AY343" s="9" t="e">
        <f>tbl_Case_mins[[#This Row],[Surgery Start]]-tbl_Case_mins[[#This Row],[AnaesthStart]]</f>
        <v>#REF!</v>
      </c>
      <c r="AZ343" s="9" t="e">
        <f>tbl_Case_mins[[#This Row],[Anaesth End]]-tbl_Case_mins[[#This Row],[Surgery Finish]]</f>
        <v>#REF!</v>
      </c>
      <c r="BA34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3" s="16" cm="1">
        <f t="array" ref="BC34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3" s="16" t="e">
        <f>IF(AND(tbl_Case_mins[[#This Row],[FirstAMCase]]=1,tbl_Case_mins[[#This Row],[CancelledCase]]=0,OR(tbl_Case_mins[[#This Row],[EarlyStartAM]]&gt;0,tbl_Case_mins[[#This Row],[AnaesthStart]]=tbl_Case_mins[[#This Row],[ThOpenAm]])),1,0)</f>
        <v>#REF!</v>
      </c>
      <c r="BE343" s="16" t="e">
        <f>IF(AND(tbl_Case_mins[[#This Row],[Rank_AnaSt]]=tbl_Case_mins[[#This Row],[Min_RankAnaSt]],tbl_Case_mins[[#This Row],[Anaesth End]]&gt;=tbl_Case_mins[[#This Row],[ThOpenAm]],tbl_Case_mins[[#This Row],[PmCase]]=0),1,0)</f>
        <v>#REF!</v>
      </c>
      <c r="BF34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3" s="9" t="e" cm="1">
        <f t="array" ref="BH34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3" s="9" t="e">
        <f>IF(AND(tbl_Case_mins[[#This Row],[ThOpenPM]]&gt;0,tbl_Case_mins[[#This Row],[AnaesthStart]]&gt;tbl_Case_mins[[#This Row],[ThOpenPM]],tbl_Case_mins[[#This Row],[First PM Case]]=1),tbl_Case_mins[[#This Row],[AnaesthStart]]-tbl_Case_mins[[#This Row],[ThOpenPM]],0)</f>
        <v>#REF!</v>
      </c>
      <c r="BL34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3" s="9" t="e" cm="1">
        <f t="array" ref="BN34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3" s="9" t="e">
        <f>IF(AND(tbl_Case_mins[[#This Row],[ThClosePm]]&gt;0,tbl_Case_mins[[#This Row],[Anaesth End]]&gt;tbl_Case_mins[[#This Row],[ThClosePm]],tbl_Case_mins[[#This Row],[AnaesthStart]]&gt;tbl_Case_mins[[#This Row],[ThClosePm]]),tbl_Case_mins[[#This Row],[Into Recov]]-tbl_Case_mins[[#This Row],[AnaesthStart]],0)</f>
        <v>#REF!</v>
      </c>
      <c r="BP343" s="9" t="e">
        <f>IF(AND(tbl_Case_mins[[#This Row],[AnaesthStart]]&lt;tbl_Case_mins[[#This Row],[ThClosePm]],tbl_Case_mins[[#This Row],[Anaesth End]]&gt;tbl_Case_mins[[#This Row],[ThClosePm]]),tbl_Case_mins[[#This Row],[Anaesth End]]-tbl_Case_mins[[#This Row],[ThClosePm]],0)</f>
        <v>#REF!</v>
      </c>
      <c r="BQ343" s="9" t="e" cm="1">
        <f t="array" ref="BQ34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3" s="9" t="e" cm="1">
        <f t="array" ref="BR343">IF(tbl_Case_mins[[#This Row],[Rank_Adjust]]=SUMPRODUCT(-(tbl_Case_mins[Surgery Start Date]=tbl_Case_mins[[#This Row],[Surgery Start Date]]),-(tbl_Case_mins[Theatre]=tbl_Case_mins[[#This Row],[Theatre]])),INDEX(Poss_Time,MATCH(TEXT(tbl_Case_mins[[#This Row],[Surgery Start Date]],"ddd"),Day,0)),0)</f>
        <v>#REF!</v>
      </c>
      <c r="BS343" s="9" t="e">
        <f>tbl_Case_mins[[#This Row],[Core_Time]]*Util_Goal</f>
        <v>#REF!</v>
      </c>
      <c r="BT343" s="9" t="e" cm="1">
        <f t="array" ref="BT3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3" s="9" t="e" cm="1">
        <f t="array" ref="BU3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3" s="9" t="e">
        <f>IF(tbl_Case_mins[[#This Row],[Surgery End Date]]&gt;tbl_Case_mins[[#This Row],[Surgery Start Date]],tbl_Case_mins[[#This Row],[Anaesth End]]-1440,0)</f>
        <v>#REF!</v>
      </c>
      <c r="BY343" s="9" t="e">
        <f>tbl_Case_mins[[#This Row],[Total_NonCore]]-tbl_Case_mins[[#This Row],[NextDay_NonCore]]</f>
        <v>#REF!</v>
      </c>
      <c r="BZ343" s="10" t="e">
        <f>tbl_Case_mins[[#This Row],[InCoreUse]]/60</f>
        <v>#REF!</v>
      </c>
      <c r="CA343" s="10" t="e">
        <f>tbl_Case_mins[[#This Row],[Total_NonCore]]/60</f>
        <v>#REF!</v>
      </c>
      <c r="CB343" t="e" cm="1">
        <f t="array" ref="CB3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3" s="9" t="e" cm="1">
        <f t="array" ref="CC34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3" s="9" t="e" cm="1">
        <f t="array" ref="CD3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3" s="9" t="e" cm="1">
        <f t="array" ref="CE34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3" s="9" cm="1">
        <f t="array" ref="CF343">IFERROR(_xlfn.AGGREGATE(14,6,(tbl_Case_mins[Rank_AnaEnd])/((tbl_Case_mins[Surgery Start Date]=tbl_Case_mins[[#This Row],[Surgery Start Date]])*(tbl_Case_mins[Theatre]=tbl_Case_mins[[#This Row],[Theatre]])*(tbl_Case_mins[NoInCoreTime]=0)),1),-1)</f>
        <v>-1</v>
      </c>
      <c r="CG343" s="9" cm="1">
        <f t="array" ref="CG343">IFERROR(_xlfn.AGGREGATE(15,6,(tbl_Case_mins[Rank_AnaSt])/((tbl_Case_mins[Surgery Start Date]=tbl_Case_mins[[#This Row],[Surgery Start Date]])*(tbl_Case_mins[Theatre]=tbl_Case_mins[[#This Row],[Theatre]])*(tbl_Case_mins[NoInCoreTime]=0)),1),-1)</f>
        <v>-1</v>
      </c>
      <c r="CH34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3" t="e" cm="1">
        <f t="array" ref="CJ34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3" s="9" cm="1">
        <f t="array" ref="CO3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3" s="9" cm="1">
        <f t="array" ref="CP3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3" s="9" cm="1">
        <f t="array" ref="CQ343">IFERROR(IF(AND(tbl_Case_mins[[#This Row],[FirstAMCase]]=0,tbl_Case_mins[[#This Row],[Rank]]=_xlfn.AGGREGATE(14,6,(tbl_Case_mins[Rank])/((tbl_Case_mins[Surgery Start Date]=tbl_Case_mins[[#This Row],[Surgery Start Date]])*(tbl_Case_mins[Theatre]=tbl_Case_mins[[#This Row],[Theatre]])*(tbl_Case_mins[AmCase]=1)),1)),1,0),0)</f>
        <v>0</v>
      </c>
      <c r="CR343" s="9" cm="1">
        <f t="array" ref="CR34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3" s="9" t="e" cm="1">
        <f t="array" ref="CS34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3" s="9" cm="1">
        <f t="array" ref="CT343">IFERROR(IF(tbl_Case_mins[[#This Row],[Rank]]=_xlfn.AGGREGATE(15,6,(tbl_Case_mins[Rank])/((tbl_Case_mins[Surgery Start Date]=tbl_Case_mins[[#This Row],[Surgery Start Date]])*(tbl_Case_mins[Theatre]=tbl_Case_mins[[#This Row],[Theatre]])*(tbl_Case_mins[PmCase]=1)),1),1,0),0)</f>
        <v>0</v>
      </c>
      <c r="CU343">
        <f>IFERROR(#REF!,0)</f>
        <v>0</v>
      </c>
      <c r="CV343" s="9" t="e" cm="1">
        <f t="array" ref="CV34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3" s="9">
        <f>IFERROR(IF(ISBLANK(INDEX(Bay_AmClose,MATCH(1,INDEX((tbl_Case_mins[[#This Row],[Bay]]=BayNo)*(tbl_Case_mins[[#This Row],[Surgery Start Date]]=BDate),0,1),0))*1440),0,INDEX(Bay_AmClose,MATCH(1,INDEX((tbl_Case_mins[[#This Row],[Bay]]=BayNo)*(tbl_Case_mins[[#This Row],[Surgery Start Date]]=BDate),0,1),0))*1440),0)</f>
        <v>0</v>
      </c>
      <c r="CX343" s="9" cm="1">
        <f t="array" ref="CX343">IFERROR(IF(ISBLANK(INDEX(Bay_PmOpen,MATCH(1,INDEX((tbl_Case_mins[[#This Row],[Bay]]=BayNo)*(tbl_Case_mins[[#This Row],[Surgery Start Date]]=BDate),0,1),0))*1440),0,INDEX(Bay_PmOpen,MATCH(1,INDEX((tbl_Case_mins[[#This Row],[Bay]]=BayNo)*(tbl_Case_mins[[#This Row],[Surgery Start Date]]=BDate),0,1),0))*1440),0)</f>
        <v>0</v>
      </c>
      <c r="CY34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3" s="9"/>
    </row>
    <row r="344" spans="1:104" x14ac:dyDescent="0.2">
      <c r="A344">
        <v>343</v>
      </c>
      <c r="B344" t="e">
        <f>#REF!</f>
        <v>#REF!</v>
      </c>
      <c r="C344" t="e">
        <f>#REF!</f>
        <v>#REF!</v>
      </c>
      <c r="D344" t="e">
        <f>#REF!</f>
        <v>#REF!</v>
      </c>
      <c r="E344" t="e">
        <f>#REF!</f>
        <v>#REF!</v>
      </c>
      <c r="F344" t="e">
        <f>#REF!</f>
        <v>#REF!</v>
      </c>
      <c r="G344" t="e">
        <f>#REF!</f>
        <v>#REF!</v>
      </c>
      <c r="H344" t="e">
        <f>#REF!</f>
        <v>#REF!</v>
      </c>
      <c r="I344" t="e">
        <f>IF(#REF!="Case Cancelled",1,IF(#REF!="No Cases",2,0))</f>
        <v>#REF!</v>
      </c>
      <c r="J344" t="e">
        <f>#REF!</f>
        <v>#REF!</v>
      </c>
      <c r="K344" s="4" t="e">
        <f>#REF!</f>
        <v>#REF!</v>
      </c>
      <c r="L344" t="e">
        <f>"Wk "&amp;WEEKNUM(tbl_Case_mins[[#This Row],[Surgery Start Date]],21)</f>
        <v>#REF!</v>
      </c>
      <c r="M344" t="e">
        <f>TEXT(tbl_Case_mins[[#This Row],[Surgery Start Date]],"ddd")</f>
        <v>#REF!</v>
      </c>
      <c r="N344" s="9" t="e">
        <f>(#REF!-TIME(0,0,0))*1440</f>
        <v>#REF!</v>
      </c>
      <c r="O344" t="e">
        <f>IF(AND(ROUND((#REF!-TIME(0,0,0))*1440,0)&gt;0,ROUND((#REF!-TIME(0,0,0))*1440,0)&lt;tbl_Case_mins[[#This Row],[Patient Called]],tbl_Case_mins[[#This Row],[Surgery End Date]]&gt;tbl_Case_mins[[#This Row],[Surgery Start Date]]),ROUND((#REF!-TIME(0,0,0))*1440,0)+1440,ROUND((#REF!-TIME(0,0,0))*1440,0))</f>
        <v>#REF!</v>
      </c>
      <c r="P344" s="9" t="e">
        <f>IF(AND(ROUND((#REF!-TIME(0,0,0))*1440,0)&gt;0,ROUND((#REF!-TIME(0,0,0))*1440,0)&lt;tbl_Case_mins[[#This Row],[Arrival]],tbl_Case_mins[[#This Row],[Surgery End Date]]&gt;tbl_Case_mins[[#This Row],[Surgery Start Date]]),ROUND((#REF!-TIME(0,0,0))*1440,0)+1440,ROUND((#REF!-TIME(0,0,0))*1440,0))</f>
        <v>#REF!</v>
      </c>
      <c r="Q344" s="9" t="e">
        <f>IF(AND(ROUND((#REF!-TIME(0,0,0))*1440,0)&gt;0,ROUND((#REF!-TIME(0,0,0))*1440,0)&lt;tbl_Case_mins[[#This Row],[Into Th or AR]],tbl_Case_mins[[#This Row],[Surgery End Date]]&gt;tbl_Case_mins[[#This Row],[Surgery Start Date]]),ROUND((#REF!-TIME(0,0,0))*1440,0)+1440,ROUND((#REF!-TIME(0,0,0))*1440,0))</f>
        <v>#REF!</v>
      </c>
      <c r="R344" s="9" t="e">
        <f>IF(AND(ROUND((#REF!-TIME(0,0,0))*1440,0)&gt;0,ROUND((#REF!-TIME(0,0,0))*1440,0)&lt;tbl_Case_mins[[#This Row],[AnaesthStart]],tbl_Case_mins[[#This Row],[Surgery End Date]]&gt;tbl_Case_mins[[#This Row],[Surgery Start Date]]),ROUND((#REF!-TIME(0,0,0))*1440,0)+1440,ROUND((#REF!-TIME(0,0,0))*1440,0))</f>
        <v>#REF!</v>
      </c>
      <c r="S344" s="9" t="e">
        <f>IF(AND(ROUND((#REF!-TIME(0,0,0))*1440,0),ROUND((#REF!-TIME(0,0,0))*1440,0)&lt;tbl_Case_mins[[#This Row],[Surgery Start]],tbl_Case_mins[[#This Row],[Surgery End Date]]&gt;tbl_Case_mins[[#This Row],[Surgery Start Date]]),ROUND((#REF!-TIME(0,0,0))*1440,0)+1440,ROUND((#REF!-TIME(0,0,0))*1440,0))</f>
        <v>#REF!</v>
      </c>
      <c r="T344" s="9" t="e">
        <f>IF(AND(ROUND((#REF!-TIME(0,0,0))*1440,0)&gt;0,ROUND((#REF!-TIME(0,0,0))*1440,0)&lt;tbl_Case_mins[[#This Row],[Surgery Finish]],tbl_Case_mins[[#This Row],[Surgery End Date]]&gt;tbl_Case_mins[[#This Row],[Surgery Start Date]]),ROUND((#REF!-TIME(0,0,0))*1440,0)+1440,ROUND((#REF!-TIME(0,0,0))*1440,0))</f>
        <v>#REF!</v>
      </c>
      <c r="U344" s="9" t="e">
        <f>IF(AND(ROUND((#REF!-TIME(0,0,0))*1440,0)&gt;0,ROUND((#REF!-TIME(0,0,0))*1440,0)&lt;tbl_Case_mins[[#This Row],[Anaesth End]],tbl_Case_mins[[#This Row],[Surgery End Date]]&gt;tbl_Case_mins[[#This Row],[Surgery Start Date]]),ROUND((#REF!-TIME(0,0,0))*1440,0)+1440,ROUND((#REF!-TIME(0,0,0))*1440,0))</f>
        <v>#REF!</v>
      </c>
      <c r="V344" s="9" t="e">
        <f>IF(AND(ROUND((#REF!-TIME(0,0,0))*1440,0)&gt;0,ROUND((#REF!-TIME(0,0,0))*1440,0)&lt;tbl_Case_mins[[#This Row],[Into Recov]],tbl_Case_mins[[#This Row],[Surgery End Date]]&gt;tbl_Case_mins[[#This Row],[Surgery Start Date]]),ROUND((#REF!-TIME(0,0,0))*1440,0)+1440,ROUND((#REF!-TIME(0,0,0))*1440,0))</f>
        <v>#REF!</v>
      </c>
      <c r="W344" s="9" t="e">
        <f>IF(AND(ROUND((#REF!-TIME(0,0,0))*1440,0)&gt;0,ROUND((#REF!-TIME(0,0,0))*1440,0)&lt;tbl_Case_mins[[#This Row],[Ward Called]],tbl_Case_mins[[#This Row],[Surgery End Date]]&gt;tbl_Case_mins[[#This Row],[Surgery Start Date]]),ROUND((#REF!-TIME(0,0,0))*1440,0)+1440,ROUND((#REF!-TIME(0,0,0))*1440,0))</f>
        <v>#REF!</v>
      </c>
      <c r="X344" s="4" t="e">
        <f>IF(ISBLANK(#REF!),tbl_Case_mins[[#This Row],[Surgery Start Date]],#REF!)</f>
        <v>#REF!</v>
      </c>
      <c r="Y344">
        <f>IFERROR(IF(VLOOKUP(tbl_Case_mins[[#This Row],[Theatre]],'Mng Theatres'!$C$7:$G$12,3,FALSE)="Yes","Yes","No"),0)</f>
        <v>0</v>
      </c>
      <c r="Z344" s="9" t="e" cm="1">
        <f t="array" ref="Z34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4" s="9" t="e" cm="1">
        <f t="array" ref="AA34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4" s="9" t="e">
        <f>IF(tbl_Case_mins[[#This Row],[Case Type]]="Unsch",1,0)</f>
        <v>#REF!</v>
      </c>
      <c r="AD344" s="9" t="e">
        <f>IF(tbl_Case_mins[[#This Row],[Case Type]]="Sch",1,0)</f>
        <v>#REF!</v>
      </c>
      <c r="AE34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4" s="9">
        <f>IFERROR(IF(ISBLANK(INDEX(Am_Close,MATCH(1,INDEX((tbl_Case_mins[[#This Row],[Theatre]]=Theatre_No)*(tbl_Case_mins[[#This Row],[Surgery Start Date]]=Date),0,1),0))*1440),0,INDEX(Am_Close,MATCH(1,INDEX((tbl_Case_mins[[#This Row],[Theatre]]=Theatre_No)*(tbl_Case_mins[[#This Row],[Surgery Start Date]]=Date),0,1),0))*1440),0)</f>
        <v>0</v>
      </c>
      <c r="AG344" s="9">
        <f>IFERROR(IF(ISBLANK(INDEX(PM_Open,MATCH(1,INDEX((tbl_Case_mins[[#This Row],[Theatre]]=Theatre_No)*(tbl_Case_mins[[#This Row],[Surgery Start Date]]=Date),0,1),0))*1440),0,INDEX(PM_Open,MATCH(1,INDEX((tbl_Case_mins[[#This Row],[Theatre]]=Theatre_No)*(tbl_Case_mins[[#This Row],[Surgery Start Date]]=Date),0,1),0))*1440),0)</f>
        <v>0</v>
      </c>
      <c r="AH34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4" s="9" t="e">
        <f>IF(tbl_Case_mins[[#This Row],[ThOpenAm]]=0,tbl_Case_mins[[#This Row],[ThOpenPM]],tbl_Case_mins[[#This Row],[ThOpenAm]])</f>
        <v>#REF!</v>
      </c>
      <c r="AJ344" s="9" t="e">
        <f>IF(tbl_Case_mins[[#This Row],[ThCloseAm]]&gt;0,IF(tbl_Case_mins[[#This Row],[ThOpenPM]]&gt;0,tbl_Case_mins[[#This Row],[ThClosePm]],tbl_Case_mins[[#This Row],[ThCloseAm]]),tbl_Case_mins[[#This Row],[ThClosePm]])</f>
        <v>#REF!</v>
      </c>
      <c r="AK344" s="9" t="e">
        <f>IF(tbl_Case_mins[[#This Row],[TOT]]&gt;0,1,0)</f>
        <v>#REF!</v>
      </c>
      <c r="AL34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4" s="9" t="e">
        <f>IF(AND(tbl_Case_mins[[#This Row],[Surgery Status]]&lt;&gt;2,tbl_Case_mins[[#This Row],[InCoreCase]]=0,tbl_Case_mins[[#This Row],[CancelledCase]]=0),1,0)</f>
        <v>#REF!</v>
      </c>
      <c r="AN344" s="9" t="e">
        <f>IF(tbl_Case_mins[[#This Row],[Surgery Status]]=1,1,0)</f>
        <v>#REF!</v>
      </c>
      <c r="AO34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4" s="9" t="e">
        <f>IF(AND(tbl_Case_mins[[#This Row],[NonCoreCase]]=1,tbl_Case_mins[[#This Row],[NoInCoreTime]]=0),1,0)</f>
        <v>#REF!</v>
      </c>
      <c r="AQ344" s="9" t="e">
        <f>IF(tbl_Case_mins[[#This Row],[Rank_AnaEnd]]&lt;tbl_Case_mins[[#This Row],[Rank_AnaSt]],1,0)</f>
        <v>#REF!</v>
      </c>
      <c r="AR344" s="9" t="e">
        <f>IF(AND(tbl_Case_mins[[#This Row],[InCoreCase]]=1,tbl_Case_mins[[#This Row],[Sch]]=1),1,0)</f>
        <v>#REF!</v>
      </c>
      <c r="AS344" s="9" t="e">
        <f>IF(AND(tbl_Case_mins[[#This Row],[InCoreCase]]=1,tbl_Case_mins[[#This Row],[Unsch]]=1),1,0)</f>
        <v>#REF!</v>
      </c>
      <c r="AT34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4" s="9" t="e">
        <f>IF(tbl_Case_mins[[#This Row],[Surgery Status]]=0,(tbl_Case_mins[[#This Row],[Anaesth End]]-tbl_Case_mins[[#This Row],[AnaesthStart]]),0)</f>
        <v>#REF!</v>
      </c>
      <c r="AX344" s="9" t="e">
        <f>IF(tbl_Case_mins[[#This Row],[Surgery Status]]=0,(tbl_Case_mins[[#This Row],[Surgery Finish]]-tbl_Case_mins[[#This Row],[Surgery Start]]),0)</f>
        <v>#REF!</v>
      </c>
      <c r="AY344" s="9" t="e">
        <f>tbl_Case_mins[[#This Row],[Surgery Start]]-tbl_Case_mins[[#This Row],[AnaesthStart]]</f>
        <v>#REF!</v>
      </c>
      <c r="AZ344" s="9" t="e">
        <f>tbl_Case_mins[[#This Row],[Anaesth End]]-tbl_Case_mins[[#This Row],[Surgery Finish]]</f>
        <v>#REF!</v>
      </c>
      <c r="BA34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4" s="16" cm="1">
        <f t="array" ref="BC34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4" s="16" t="e">
        <f>IF(AND(tbl_Case_mins[[#This Row],[FirstAMCase]]=1,tbl_Case_mins[[#This Row],[CancelledCase]]=0,OR(tbl_Case_mins[[#This Row],[EarlyStartAM]]&gt;0,tbl_Case_mins[[#This Row],[AnaesthStart]]=tbl_Case_mins[[#This Row],[ThOpenAm]])),1,0)</f>
        <v>#REF!</v>
      </c>
      <c r="BE344" s="16" t="e">
        <f>IF(AND(tbl_Case_mins[[#This Row],[Rank_AnaSt]]=tbl_Case_mins[[#This Row],[Min_RankAnaSt]],tbl_Case_mins[[#This Row],[Anaesth End]]&gt;=tbl_Case_mins[[#This Row],[ThOpenAm]],tbl_Case_mins[[#This Row],[PmCase]]=0),1,0)</f>
        <v>#REF!</v>
      </c>
      <c r="BF34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4" s="9" t="e" cm="1">
        <f t="array" ref="BH34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4" s="9" t="e">
        <f>IF(AND(tbl_Case_mins[[#This Row],[ThOpenPM]]&gt;0,tbl_Case_mins[[#This Row],[AnaesthStart]]&gt;tbl_Case_mins[[#This Row],[ThOpenPM]],tbl_Case_mins[[#This Row],[First PM Case]]=1),tbl_Case_mins[[#This Row],[AnaesthStart]]-tbl_Case_mins[[#This Row],[ThOpenPM]],0)</f>
        <v>#REF!</v>
      </c>
      <c r="BL34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4" s="9" t="e" cm="1">
        <f t="array" ref="BN34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4" s="9" t="e">
        <f>IF(AND(tbl_Case_mins[[#This Row],[ThClosePm]]&gt;0,tbl_Case_mins[[#This Row],[Anaesth End]]&gt;tbl_Case_mins[[#This Row],[ThClosePm]],tbl_Case_mins[[#This Row],[AnaesthStart]]&gt;tbl_Case_mins[[#This Row],[ThClosePm]]),tbl_Case_mins[[#This Row],[Into Recov]]-tbl_Case_mins[[#This Row],[AnaesthStart]],0)</f>
        <v>#REF!</v>
      </c>
      <c r="BP344" s="9" t="e">
        <f>IF(AND(tbl_Case_mins[[#This Row],[AnaesthStart]]&lt;tbl_Case_mins[[#This Row],[ThClosePm]],tbl_Case_mins[[#This Row],[Anaesth End]]&gt;tbl_Case_mins[[#This Row],[ThClosePm]]),tbl_Case_mins[[#This Row],[Anaesth End]]-tbl_Case_mins[[#This Row],[ThClosePm]],0)</f>
        <v>#REF!</v>
      </c>
      <c r="BQ344" s="9" t="e" cm="1">
        <f t="array" ref="BQ34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4" s="9" t="e" cm="1">
        <f t="array" ref="BR344">IF(tbl_Case_mins[[#This Row],[Rank_Adjust]]=SUMPRODUCT(-(tbl_Case_mins[Surgery Start Date]=tbl_Case_mins[[#This Row],[Surgery Start Date]]),-(tbl_Case_mins[Theatre]=tbl_Case_mins[[#This Row],[Theatre]])),INDEX(Poss_Time,MATCH(TEXT(tbl_Case_mins[[#This Row],[Surgery Start Date]],"ddd"),Day,0)),0)</f>
        <v>#REF!</v>
      </c>
      <c r="BS344" s="9" t="e">
        <f>tbl_Case_mins[[#This Row],[Core_Time]]*Util_Goal</f>
        <v>#REF!</v>
      </c>
      <c r="BT344" s="9" t="e" cm="1">
        <f t="array" ref="BT3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4" s="9" t="e" cm="1">
        <f t="array" ref="BU34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4" s="9" t="e">
        <f>IF(tbl_Case_mins[[#This Row],[Surgery End Date]]&gt;tbl_Case_mins[[#This Row],[Surgery Start Date]],tbl_Case_mins[[#This Row],[Anaesth End]]-1440,0)</f>
        <v>#REF!</v>
      </c>
      <c r="BY344" s="9" t="e">
        <f>tbl_Case_mins[[#This Row],[Total_NonCore]]-tbl_Case_mins[[#This Row],[NextDay_NonCore]]</f>
        <v>#REF!</v>
      </c>
      <c r="BZ344" s="10" t="e">
        <f>tbl_Case_mins[[#This Row],[InCoreUse]]/60</f>
        <v>#REF!</v>
      </c>
      <c r="CA344" s="10" t="e">
        <f>tbl_Case_mins[[#This Row],[Total_NonCore]]/60</f>
        <v>#REF!</v>
      </c>
      <c r="CB344" t="e" cm="1">
        <f t="array" ref="CB3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4" s="9" t="e" cm="1">
        <f t="array" ref="CC34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4" s="9" t="e" cm="1">
        <f t="array" ref="CD34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4" s="9" t="e" cm="1">
        <f t="array" ref="CE34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4" s="9" cm="1">
        <f t="array" ref="CF344">IFERROR(_xlfn.AGGREGATE(14,6,(tbl_Case_mins[Rank_AnaEnd])/((tbl_Case_mins[Surgery Start Date]=tbl_Case_mins[[#This Row],[Surgery Start Date]])*(tbl_Case_mins[Theatre]=tbl_Case_mins[[#This Row],[Theatre]])*(tbl_Case_mins[NoInCoreTime]=0)),1),-1)</f>
        <v>-1</v>
      </c>
      <c r="CG344" s="9" cm="1">
        <f t="array" ref="CG344">IFERROR(_xlfn.AGGREGATE(15,6,(tbl_Case_mins[Rank_AnaSt])/((tbl_Case_mins[Surgery Start Date]=tbl_Case_mins[[#This Row],[Surgery Start Date]])*(tbl_Case_mins[Theatre]=tbl_Case_mins[[#This Row],[Theatre]])*(tbl_Case_mins[NoInCoreTime]=0)),1),-1)</f>
        <v>-1</v>
      </c>
      <c r="CH34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4" t="e" cm="1">
        <f t="array" ref="CJ34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4" s="9" cm="1">
        <f t="array" ref="CO3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4" s="9" cm="1">
        <f t="array" ref="CP34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4" s="9" cm="1">
        <f t="array" ref="CQ344">IFERROR(IF(AND(tbl_Case_mins[[#This Row],[FirstAMCase]]=0,tbl_Case_mins[[#This Row],[Rank]]=_xlfn.AGGREGATE(14,6,(tbl_Case_mins[Rank])/((tbl_Case_mins[Surgery Start Date]=tbl_Case_mins[[#This Row],[Surgery Start Date]])*(tbl_Case_mins[Theatre]=tbl_Case_mins[[#This Row],[Theatre]])*(tbl_Case_mins[AmCase]=1)),1)),1,0),0)</f>
        <v>0</v>
      </c>
      <c r="CR344" s="9" cm="1">
        <f t="array" ref="CR34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4" s="9" t="e" cm="1">
        <f t="array" ref="CS34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4" s="9" cm="1">
        <f t="array" ref="CT344">IFERROR(IF(tbl_Case_mins[[#This Row],[Rank]]=_xlfn.AGGREGATE(15,6,(tbl_Case_mins[Rank])/((tbl_Case_mins[Surgery Start Date]=tbl_Case_mins[[#This Row],[Surgery Start Date]])*(tbl_Case_mins[Theatre]=tbl_Case_mins[[#This Row],[Theatre]])*(tbl_Case_mins[PmCase]=1)),1),1,0),0)</f>
        <v>0</v>
      </c>
      <c r="CU344">
        <f>IFERROR(#REF!,0)</f>
        <v>0</v>
      </c>
      <c r="CV344" s="9" t="e" cm="1">
        <f t="array" ref="CV34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4" s="9">
        <f>IFERROR(IF(ISBLANK(INDEX(Bay_AmClose,MATCH(1,INDEX((tbl_Case_mins[[#This Row],[Bay]]=BayNo)*(tbl_Case_mins[[#This Row],[Surgery Start Date]]=BDate),0,1),0))*1440),0,INDEX(Bay_AmClose,MATCH(1,INDEX((tbl_Case_mins[[#This Row],[Bay]]=BayNo)*(tbl_Case_mins[[#This Row],[Surgery Start Date]]=BDate),0,1),0))*1440),0)</f>
        <v>0</v>
      </c>
      <c r="CX344" s="9" cm="1">
        <f t="array" ref="CX344">IFERROR(IF(ISBLANK(INDEX(Bay_PmOpen,MATCH(1,INDEX((tbl_Case_mins[[#This Row],[Bay]]=BayNo)*(tbl_Case_mins[[#This Row],[Surgery Start Date]]=BDate),0,1),0))*1440),0,INDEX(Bay_PmOpen,MATCH(1,INDEX((tbl_Case_mins[[#This Row],[Bay]]=BayNo)*(tbl_Case_mins[[#This Row],[Surgery Start Date]]=BDate),0,1),0))*1440),0)</f>
        <v>0</v>
      </c>
      <c r="CY34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4" s="9"/>
    </row>
    <row r="345" spans="1:104" x14ac:dyDescent="0.2">
      <c r="A345">
        <v>344</v>
      </c>
      <c r="B345" t="e">
        <f>#REF!</f>
        <v>#REF!</v>
      </c>
      <c r="C345" t="e">
        <f>#REF!</f>
        <v>#REF!</v>
      </c>
      <c r="D345" t="e">
        <f>#REF!</f>
        <v>#REF!</v>
      </c>
      <c r="E345" t="e">
        <f>#REF!</f>
        <v>#REF!</v>
      </c>
      <c r="F345" t="e">
        <f>#REF!</f>
        <v>#REF!</v>
      </c>
      <c r="G345" t="e">
        <f>#REF!</f>
        <v>#REF!</v>
      </c>
      <c r="H345" t="e">
        <f>#REF!</f>
        <v>#REF!</v>
      </c>
      <c r="I345" t="e">
        <f>IF(#REF!="Case Cancelled",1,IF(#REF!="No Cases",2,0))</f>
        <v>#REF!</v>
      </c>
      <c r="J345" t="e">
        <f>#REF!</f>
        <v>#REF!</v>
      </c>
      <c r="K345" s="4" t="e">
        <f>#REF!</f>
        <v>#REF!</v>
      </c>
      <c r="L345" t="e">
        <f>"Wk "&amp;WEEKNUM(tbl_Case_mins[[#This Row],[Surgery Start Date]],21)</f>
        <v>#REF!</v>
      </c>
      <c r="M345" t="e">
        <f>TEXT(tbl_Case_mins[[#This Row],[Surgery Start Date]],"ddd")</f>
        <v>#REF!</v>
      </c>
      <c r="N345" s="9" t="e">
        <f>(#REF!-TIME(0,0,0))*1440</f>
        <v>#REF!</v>
      </c>
      <c r="O345" t="e">
        <f>IF(AND(ROUND((#REF!-TIME(0,0,0))*1440,0)&gt;0,ROUND((#REF!-TIME(0,0,0))*1440,0)&lt;tbl_Case_mins[[#This Row],[Patient Called]],tbl_Case_mins[[#This Row],[Surgery End Date]]&gt;tbl_Case_mins[[#This Row],[Surgery Start Date]]),ROUND((#REF!-TIME(0,0,0))*1440,0)+1440,ROUND((#REF!-TIME(0,0,0))*1440,0))</f>
        <v>#REF!</v>
      </c>
      <c r="P345" s="9" t="e">
        <f>IF(AND(ROUND((#REF!-TIME(0,0,0))*1440,0)&gt;0,ROUND((#REF!-TIME(0,0,0))*1440,0)&lt;tbl_Case_mins[[#This Row],[Arrival]],tbl_Case_mins[[#This Row],[Surgery End Date]]&gt;tbl_Case_mins[[#This Row],[Surgery Start Date]]),ROUND((#REF!-TIME(0,0,0))*1440,0)+1440,ROUND((#REF!-TIME(0,0,0))*1440,0))</f>
        <v>#REF!</v>
      </c>
      <c r="Q345" s="9" t="e">
        <f>IF(AND(ROUND((#REF!-TIME(0,0,0))*1440,0)&gt;0,ROUND((#REF!-TIME(0,0,0))*1440,0)&lt;tbl_Case_mins[[#This Row],[Into Th or AR]],tbl_Case_mins[[#This Row],[Surgery End Date]]&gt;tbl_Case_mins[[#This Row],[Surgery Start Date]]),ROUND((#REF!-TIME(0,0,0))*1440,0)+1440,ROUND((#REF!-TIME(0,0,0))*1440,0))</f>
        <v>#REF!</v>
      </c>
      <c r="R345" s="9" t="e">
        <f>IF(AND(ROUND((#REF!-TIME(0,0,0))*1440,0)&gt;0,ROUND((#REF!-TIME(0,0,0))*1440,0)&lt;tbl_Case_mins[[#This Row],[AnaesthStart]],tbl_Case_mins[[#This Row],[Surgery End Date]]&gt;tbl_Case_mins[[#This Row],[Surgery Start Date]]),ROUND((#REF!-TIME(0,0,0))*1440,0)+1440,ROUND((#REF!-TIME(0,0,0))*1440,0))</f>
        <v>#REF!</v>
      </c>
      <c r="S345" s="9" t="e">
        <f>IF(AND(ROUND((#REF!-TIME(0,0,0))*1440,0),ROUND((#REF!-TIME(0,0,0))*1440,0)&lt;tbl_Case_mins[[#This Row],[Surgery Start]],tbl_Case_mins[[#This Row],[Surgery End Date]]&gt;tbl_Case_mins[[#This Row],[Surgery Start Date]]),ROUND((#REF!-TIME(0,0,0))*1440,0)+1440,ROUND((#REF!-TIME(0,0,0))*1440,0))</f>
        <v>#REF!</v>
      </c>
      <c r="T345" s="9" t="e">
        <f>IF(AND(ROUND((#REF!-TIME(0,0,0))*1440,0)&gt;0,ROUND((#REF!-TIME(0,0,0))*1440,0)&lt;tbl_Case_mins[[#This Row],[Surgery Finish]],tbl_Case_mins[[#This Row],[Surgery End Date]]&gt;tbl_Case_mins[[#This Row],[Surgery Start Date]]),ROUND((#REF!-TIME(0,0,0))*1440,0)+1440,ROUND((#REF!-TIME(0,0,0))*1440,0))</f>
        <v>#REF!</v>
      </c>
      <c r="U345" s="9" t="e">
        <f>IF(AND(ROUND((#REF!-TIME(0,0,0))*1440,0)&gt;0,ROUND((#REF!-TIME(0,0,0))*1440,0)&lt;tbl_Case_mins[[#This Row],[Anaesth End]],tbl_Case_mins[[#This Row],[Surgery End Date]]&gt;tbl_Case_mins[[#This Row],[Surgery Start Date]]),ROUND((#REF!-TIME(0,0,0))*1440,0)+1440,ROUND((#REF!-TIME(0,0,0))*1440,0))</f>
        <v>#REF!</v>
      </c>
      <c r="V345" s="9" t="e">
        <f>IF(AND(ROUND((#REF!-TIME(0,0,0))*1440,0)&gt;0,ROUND((#REF!-TIME(0,0,0))*1440,0)&lt;tbl_Case_mins[[#This Row],[Into Recov]],tbl_Case_mins[[#This Row],[Surgery End Date]]&gt;tbl_Case_mins[[#This Row],[Surgery Start Date]]),ROUND((#REF!-TIME(0,0,0))*1440,0)+1440,ROUND((#REF!-TIME(0,0,0))*1440,0))</f>
        <v>#REF!</v>
      </c>
      <c r="W345" s="9" t="e">
        <f>IF(AND(ROUND((#REF!-TIME(0,0,0))*1440,0)&gt;0,ROUND((#REF!-TIME(0,0,0))*1440,0)&lt;tbl_Case_mins[[#This Row],[Ward Called]],tbl_Case_mins[[#This Row],[Surgery End Date]]&gt;tbl_Case_mins[[#This Row],[Surgery Start Date]]),ROUND((#REF!-TIME(0,0,0))*1440,0)+1440,ROUND((#REF!-TIME(0,0,0))*1440,0))</f>
        <v>#REF!</v>
      </c>
      <c r="X345" s="4" t="e">
        <f>IF(ISBLANK(#REF!),tbl_Case_mins[[#This Row],[Surgery Start Date]],#REF!)</f>
        <v>#REF!</v>
      </c>
      <c r="Y345">
        <f>IFERROR(IF(VLOOKUP(tbl_Case_mins[[#This Row],[Theatre]],'Mng Theatres'!$C$7:$G$12,3,FALSE)="Yes","Yes","No"),0)</f>
        <v>0</v>
      </c>
      <c r="Z345" s="9" t="e" cm="1">
        <f t="array" ref="Z34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5" s="9" t="e" cm="1">
        <f t="array" ref="AA34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5" s="9" t="e">
        <f>IF(tbl_Case_mins[[#This Row],[Case Type]]="Unsch",1,0)</f>
        <v>#REF!</v>
      </c>
      <c r="AD345" s="9" t="e">
        <f>IF(tbl_Case_mins[[#This Row],[Case Type]]="Sch",1,0)</f>
        <v>#REF!</v>
      </c>
      <c r="AE34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5" s="9">
        <f>IFERROR(IF(ISBLANK(INDEX(Am_Close,MATCH(1,INDEX((tbl_Case_mins[[#This Row],[Theatre]]=Theatre_No)*(tbl_Case_mins[[#This Row],[Surgery Start Date]]=Date),0,1),0))*1440),0,INDEX(Am_Close,MATCH(1,INDEX((tbl_Case_mins[[#This Row],[Theatre]]=Theatre_No)*(tbl_Case_mins[[#This Row],[Surgery Start Date]]=Date),0,1),0))*1440),0)</f>
        <v>0</v>
      </c>
      <c r="AG345" s="9">
        <f>IFERROR(IF(ISBLANK(INDEX(PM_Open,MATCH(1,INDEX((tbl_Case_mins[[#This Row],[Theatre]]=Theatre_No)*(tbl_Case_mins[[#This Row],[Surgery Start Date]]=Date),0,1),0))*1440),0,INDEX(PM_Open,MATCH(1,INDEX((tbl_Case_mins[[#This Row],[Theatre]]=Theatre_No)*(tbl_Case_mins[[#This Row],[Surgery Start Date]]=Date),0,1),0))*1440),0)</f>
        <v>0</v>
      </c>
      <c r="AH34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5" s="9" t="e">
        <f>IF(tbl_Case_mins[[#This Row],[ThOpenAm]]=0,tbl_Case_mins[[#This Row],[ThOpenPM]],tbl_Case_mins[[#This Row],[ThOpenAm]])</f>
        <v>#REF!</v>
      </c>
      <c r="AJ345" s="9" t="e">
        <f>IF(tbl_Case_mins[[#This Row],[ThCloseAm]]&gt;0,IF(tbl_Case_mins[[#This Row],[ThOpenPM]]&gt;0,tbl_Case_mins[[#This Row],[ThClosePm]],tbl_Case_mins[[#This Row],[ThCloseAm]]),tbl_Case_mins[[#This Row],[ThClosePm]])</f>
        <v>#REF!</v>
      </c>
      <c r="AK345" s="9" t="e">
        <f>IF(tbl_Case_mins[[#This Row],[TOT]]&gt;0,1,0)</f>
        <v>#REF!</v>
      </c>
      <c r="AL34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5" s="9" t="e">
        <f>IF(AND(tbl_Case_mins[[#This Row],[Surgery Status]]&lt;&gt;2,tbl_Case_mins[[#This Row],[InCoreCase]]=0,tbl_Case_mins[[#This Row],[CancelledCase]]=0),1,0)</f>
        <v>#REF!</v>
      </c>
      <c r="AN345" s="9" t="e">
        <f>IF(tbl_Case_mins[[#This Row],[Surgery Status]]=1,1,0)</f>
        <v>#REF!</v>
      </c>
      <c r="AO34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5" s="9" t="e">
        <f>IF(AND(tbl_Case_mins[[#This Row],[NonCoreCase]]=1,tbl_Case_mins[[#This Row],[NoInCoreTime]]=0),1,0)</f>
        <v>#REF!</v>
      </c>
      <c r="AQ345" s="9" t="e">
        <f>IF(tbl_Case_mins[[#This Row],[Rank_AnaEnd]]&lt;tbl_Case_mins[[#This Row],[Rank_AnaSt]],1,0)</f>
        <v>#REF!</v>
      </c>
      <c r="AR345" s="9" t="e">
        <f>IF(AND(tbl_Case_mins[[#This Row],[InCoreCase]]=1,tbl_Case_mins[[#This Row],[Sch]]=1),1,0)</f>
        <v>#REF!</v>
      </c>
      <c r="AS345" s="9" t="e">
        <f>IF(AND(tbl_Case_mins[[#This Row],[InCoreCase]]=1,tbl_Case_mins[[#This Row],[Unsch]]=1),1,0)</f>
        <v>#REF!</v>
      </c>
      <c r="AT34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5" s="9" t="e">
        <f>IF(tbl_Case_mins[[#This Row],[Surgery Status]]=0,(tbl_Case_mins[[#This Row],[Anaesth End]]-tbl_Case_mins[[#This Row],[AnaesthStart]]),0)</f>
        <v>#REF!</v>
      </c>
      <c r="AX345" s="9" t="e">
        <f>IF(tbl_Case_mins[[#This Row],[Surgery Status]]=0,(tbl_Case_mins[[#This Row],[Surgery Finish]]-tbl_Case_mins[[#This Row],[Surgery Start]]),0)</f>
        <v>#REF!</v>
      </c>
      <c r="AY345" s="9" t="e">
        <f>tbl_Case_mins[[#This Row],[Surgery Start]]-tbl_Case_mins[[#This Row],[AnaesthStart]]</f>
        <v>#REF!</v>
      </c>
      <c r="AZ345" s="9" t="e">
        <f>tbl_Case_mins[[#This Row],[Anaesth End]]-tbl_Case_mins[[#This Row],[Surgery Finish]]</f>
        <v>#REF!</v>
      </c>
      <c r="BA34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5" s="16" cm="1">
        <f t="array" ref="BC34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5" s="16" t="e">
        <f>IF(AND(tbl_Case_mins[[#This Row],[FirstAMCase]]=1,tbl_Case_mins[[#This Row],[CancelledCase]]=0,OR(tbl_Case_mins[[#This Row],[EarlyStartAM]]&gt;0,tbl_Case_mins[[#This Row],[AnaesthStart]]=tbl_Case_mins[[#This Row],[ThOpenAm]])),1,0)</f>
        <v>#REF!</v>
      </c>
      <c r="BE345" s="16" t="e">
        <f>IF(AND(tbl_Case_mins[[#This Row],[Rank_AnaSt]]=tbl_Case_mins[[#This Row],[Min_RankAnaSt]],tbl_Case_mins[[#This Row],[Anaesth End]]&gt;=tbl_Case_mins[[#This Row],[ThOpenAm]],tbl_Case_mins[[#This Row],[PmCase]]=0),1,0)</f>
        <v>#REF!</v>
      </c>
      <c r="BF34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5" s="9" t="e" cm="1">
        <f t="array" ref="BH34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5" s="9" t="e">
        <f>IF(AND(tbl_Case_mins[[#This Row],[ThOpenPM]]&gt;0,tbl_Case_mins[[#This Row],[AnaesthStart]]&gt;tbl_Case_mins[[#This Row],[ThOpenPM]],tbl_Case_mins[[#This Row],[First PM Case]]=1),tbl_Case_mins[[#This Row],[AnaesthStart]]-tbl_Case_mins[[#This Row],[ThOpenPM]],0)</f>
        <v>#REF!</v>
      </c>
      <c r="BL34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5" s="9" t="e" cm="1">
        <f t="array" ref="BN34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5" s="9" t="e">
        <f>IF(AND(tbl_Case_mins[[#This Row],[ThClosePm]]&gt;0,tbl_Case_mins[[#This Row],[Anaesth End]]&gt;tbl_Case_mins[[#This Row],[ThClosePm]],tbl_Case_mins[[#This Row],[AnaesthStart]]&gt;tbl_Case_mins[[#This Row],[ThClosePm]]),tbl_Case_mins[[#This Row],[Into Recov]]-tbl_Case_mins[[#This Row],[AnaesthStart]],0)</f>
        <v>#REF!</v>
      </c>
      <c r="BP345" s="9" t="e">
        <f>IF(AND(tbl_Case_mins[[#This Row],[AnaesthStart]]&lt;tbl_Case_mins[[#This Row],[ThClosePm]],tbl_Case_mins[[#This Row],[Anaesth End]]&gt;tbl_Case_mins[[#This Row],[ThClosePm]]),tbl_Case_mins[[#This Row],[Anaesth End]]-tbl_Case_mins[[#This Row],[ThClosePm]],0)</f>
        <v>#REF!</v>
      </c>
      <c r="BQ345" s="9" t="e" cm="1">
        <f t="array" ref="BQ34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5" s="9" t="e" cm="1">
        <f t="array" ref="BR345">IF(tbl_Case_mins[[#This Row],[Rank_Adjust]]=SUMPRODUCT(-(tbl_Case_mins[Surgery Start Date]=tbl_Case_mins[[#This Row],[Surgery Start Date]]),-(tbl_Case_mins[Theatre]=tbl_Case_mins[[#This Row],[Theatre]])),INDEX(Poss_Time,MATCH(TEXT(tbl_Case_mins[[#This Row],[Surgery Start Date]],"ddd"),Day,0)),0)</f>
        <v>#REF!</v>
      </c>
      <c r="BS345" s="9" t="e">
        <f>tbl_Case_mins[[#This Row],[Core_Time]]*Util_Goal</f>
        <v>#REF!</v>
      </c>
      <c r="BT345" s="9" t="e" cm="1">
        <f t="array" ref="BT3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5" s="9" t="e" cm="1">
        <f t="array" ref="BU34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5" s="9" t="e">
        <f>IF(tbl_Case_mins[[#This Row],[Surgery End Date]]&gt;tbl_Case_mins[[#This Row],[Surgery Start Date]],tbl_Case_mins[[#This Row],[Anaesth End]]-1440,0)</f>
        <v>#REF!</v>
      </c>
      <c r="BY345" s="9" t="e">
        <f>tbl_Case_mins[[#This Row],[Total_NonCore]]-tbl_Case_mins[[#This Row],[NextDay_NonCore]]</f>
        <v>#REF!</v>
      </c>
      <c r="BZ345" s="10" t="e">
        <f>tbl_Case_mins[[#This Row],[InCoreUse]]/60</f>
        <v>#REF!</v>
      </c>
      <c r="CA345" s="10" t="e">
        <f>tbl_Case_mins[[#This Row],[Total_NonCore]]/60</f>
        <v>#REF!</v>
      </c>
      <c r="CB345" t="e" cm="1">
        <f t="array" ref="CB3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5" s="9" t="e" cm="1">
        <f t="array" ref="CC34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5" s="9" t="e" cm="1">
        <f t="array" ref="CD34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5" s="9" t="e" cm="1">
        <f t="array" ref="CE34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5" s="9" cm="1">
        <f t="array" ref="CF345">IFERROR(_xlfn.AGGREGATE(14,6,(tbl_Case_mins[Rank_AnaEnd])/((tbl_Case_mins[Surgery Start Date]=tbl_Case_mins[[#This Row],[Surgery Start Date]])*(tbl_Case_mins[Theatre]=tbl_Case_mins[[#This Row],[Theatre]])*(tbl_Case_mins[NoInCoreTime]=0)),1),-1)</f>
        <v>-1</v>
      </c>
      <c r="CG345" s="9" cm="1">
        <f t="array" ref="CG345">IFERROR(_xlfn.AGGREGATE(15,6,(tbl_Case_mins[Rank_AnaSt])/((tbl_Case_mins[Surgery Start Date]=tbl_Case_mins[[#This Row],[Surgery Start Date]])*(tbl_Case_mins[Theatre]=tbl_Case_mins[[#This Row],[Theatre]])*(tbl_Case_mins[NoInCoreTime]=0)),1),-1)</f>
        <v>-1</v>
      </c>
      <c r="CH34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5" t="e" cm="1">
        <f t="array" ref="CJ34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5" s="9" cm="1">
        <f t="array" ref="CO3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5" s="9" cm="1">
        <f t="array" ref="CP34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5" s="9" cm="1">
        <f t="array" ref="CQ345">IFERROR(IF(AND(tbl_Case_mins[[#This Row],[FirstAMCase]]=0,tbl_Case_mins[[#This Row],[Rank]]=_xlfn.AGGREGATE(14,6,(tbl_Case_mins[Rank])/((tbl_Case_mins[Surgery Start Date]=tbl_Case_mins[[#This Row],[Surgery Start Date]])*(tbl_Case_mins[Theatre]=tbl_Case_mins[[#This Row],[Theatre]])*(tbl_Case_mins[AmCase]=1)),1)),1,0),0)</f>
        <v>0</v>
      </c>
      <c r="CR345" s="9" cm="1">
        <f t="array" ref="CR34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5" s="9" t="e" cm="1">
        <f t="array" ref="CS34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5" s="9" cm="1">
        <f t="array" ref="CT345">IFERROR(IF(tbl_Case_mins[[#This Row],[Rank]]=_xlfn.AGGREGATE(15,6,(tbl_Case_mins[Rank])/((tbl_Case_mins[Surgery Start Date]=tbl_Case_mins[[#This Row],[Surgery Start Date]])*(tbl_Case_mins[Theatre]=tbl_Case_mins[[#This Row],[Theatre]])*(tbl_Case_mins[PmCase]=1)),1),1,0),0)</f>
        <v>0</v>
      </c>
      <c r="CU345">
        <f>IFERROR(#REF!,0)</f>
        <v>0</v>
      </c>
      <c r="CV345" s="9" t="e" cm="1">
        <f t="array" ref="CV34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5" s="9">
        <f>IFERROR(IF(ISBLANK(INDEX(Bay_AmClose,MATCH(1,INDEX((tbl_Case_mins[[#This Row],[Bay]]=BayNo)*(tbl_Case_mins[[#This Row],[Surgery Start Date]]=BDate),0,1),0))*1440),0,INDEX(Bay_AmClose,MATCH(1,INDEX((tbl_Case_mins[[#This Row],[Bay]]=BayNo)*(tbl_Case_mins[[#This Row],[Surgery Start Date]]=BDate),0,1),0))*1440),0)</f>
        <v>0</v>
      </c>
      <c r="CX345" s="9" cm="1">
        <f t="array" ref="CX345">IFERROR(IF(ISBLANK(INDEX(Bay_PmOpen,MATCH(1,INDEX((tbl_Case_mins[[#This Row],[Bay]]=BayNo)*(tbl_Case_mins[[#This Row],[Surgery Start Date]]=BDate),0,1),0))*1440),0,INDEX(Bay_PmOpen,MATCH(1,INDEX((tbl_Case_mins[[#This Row],[Bay]]=BayNo)*(tbl_Case_mins[[#This Row],[Surgery Start Date]]=BDate),0,1),0))*1440),0)</f>
        <v>0</v>
      </c>
      <c r="CY34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5" s="9"/>
    </row>
    <row r="346" spans="1:104" x14ac:dyDescent="0.2">
      <c r="A346">
        <v>345</v>
      </c>
      <c r="B346" t="e">
        <f>#REF!</f>
        <v>#REF!</v>
      </c>
      <c r="C346" t="e">
        <f>#REF!</f>
        <v>#REF!</v>
      </c>
      <c r="D346" t="e">
        <f>#REF!</f>
        <v>#REF!</v>
      </c>
      <c r="E346" t="e">
        <f>#REF!</f>
        <v>#REF!</v>
      </c>
      <c r="F346" t="e">
        <f>#REF!</f>
        <v>#REF!</v>
      </c>
      <c r="G346" t="e">
        <f>#REF!</f>
        <v>#REF!</v>
      </c>
      <c r="H346" t="e">
        <f>#REF!</f>
        <v>#REF!</v>
      </c>
      <c r="I346" t="e">
        <f>IF(#REF!="Case Cancelled",1,IF(#REF!="No Cases",2,0))</f>
        <v>#REF!</v>
      </c>
      <c r="J346" t="e">
        <f>#REF!</f>
        <v>#REF!</v>
      </c>
      <c r="K346" s="4" t="e">
        <f>#REF!</f>
        <v>#REF!</v>
      </c>
      <c r="L346" t="e">
        <f>"Wk "&amp;WEEKNUM(tbl_Case_mins[[#This Row],[Surgery Start Date]],21)</f>
        <v>#REF!</v>
      </c>
      <c r="M346" t="e">
        <f>TEXT(tbl_Case_mins[[#This Row],[Surgery Start Date]],"ddd")</f>
        <v>#REF!</v>
      </c>
      <c r="N346" s="9" t="e">
        <f>(#REF!-TIME(0,0,0))*1440</f>
        <v>#REF!</v>
      </c>
      <c r="O346" t="e">
        <f>IF(AND(ROUND((#REF!-TIME(0,0,0))*1440,0)&gt;0,ROUND((#REF!-TIME(0,0,0))*1440,0)&lt;tbl_Case_mins[[#This Row],[Patient Called]],tbl_Case_mins[[#This Row],[Surgery End Date]]&gt;tbl_Case_mins[[#This Row],[Surgery Start Date]]),ROUND((#REF!-TIME(0,0,0))*1440,0)+1440,ROUND((#REF!-TIME(0,0,0))*1440,0))</f>
        <v>#REF!</v>
      </c>
      <c r="P346" s="9" t="e">
        <f>IF(AND(ROUND((#REF!-TIME(0,0,0))*1440,0)&gt;0,ROUND((#REF!-TIME(0,0,0))*1440,0)&lt;tbl_Case_mins[[#This Row],[Arrival]],tbl_Case_mins[[#This Row],[Surgery End Date]]&gt;tbl_Case_mins[[#This Row],[Surgery Start Date]]),ROUND((#REF!-TIME(0,0,0))*1440,0)+1440,ROUND((#REF!-TIME(0,0,0))*1440,0))</f>
        <v>#REF!</v>
      </c>
      <c r="Q346" s="9" t="e">
        <f>IF(AND(ROUND((#REF!-TIME(0,0,0))*1440,0)&gt;0,ROUND((#REF!-TIME(0,0,0))*1440,0)&lt;tbl_Case_mins[[#This Row],[Into Th or AR]],tbl_Case_mins[[#This Row],[Surgery End Date]]&gt;tbl_Case_mins[[#This Row],[Surgery Start Date]]),ROUND((#REF!-TIME(0,0,0))*1440,0)+1440,ROUND((#REF!-TIME(0,0,0))*1440,0))</f>
        <v>#REF!</v>
      </c>
      <c r="R346" s="9" t="e">
        <f>IF(AND(ROUND((#REF!-TIME(0,0,0))*1440,0)&gt;0,ROUND((#REF!-TIME(0,0,0))*1440,0)&lt;tbl_Case_mins[[#This Row],[AnaesthStart]],tbl_Case_mins[[#This Row],[Surgery End Date]]&gt;tbl_Case_mins[[#This Row],[Surgery Start Date]]),ROUND((#REF!-TIME(0,0,0))*1440,0)+1440,ROUND((#REF!-TIME(0,0,0))*1440,0))</f>
        <v>#REF!</v>
      </c>
      <c r="S346" s="9" t="e">
        <f>IF(AND(ROUND((#REF!-TIME(0,0,0))*1440,0),ROUND((#REF!-TIME(0,0,0))*1440,0)&lt;tbl_Case_mins[[#This Row],[Surgery Start]],tbl_Case_mins[[#This Row],[Surgery End Date]]&gt;tbl_Case_mins[[#This Row],[Surgery Start Date]]),ROUND((#REF!-TIME(0,0,0))*1440,0)+1440,ROUND((#REF!-TIME(0,0,0))*1440,0))</f>
        <v>#REF!</v>
      </c>
      <c r="T346" s="9" t="e">
        <f>IF(AND(ROUND((#REF!-TIME(0,0,0))*1440,0)&gt;0,ROUND((#REF!-TIME(0,0,0))*1440,0)&lt;tbl_Case_mins[[#This Row],[Surgery Finish]],tbl_Case_mins[[#This Row],[Surgery End Date]]&gt;tbl_Case_mins[[#This Row],[Surgery Start Date]]),ROUND((#REF!-TIME(0,0,0))*1440,0)+1440,ROUND((#REF!-TIME(0,0,0))*1440,0))</f>
        <v>#REF!</v>
      </c>
      <c r="U346" s="9" t="e">
        <f>IF(AND(ROUND((#REF!-TIME(0,0,0))*1440,0)&gt;0,ROUND((#REF!-TIME(0,0,0))*1440,0)&lt;tbl_Case_mins[[#This Row],[Anaesth End]],tbl_Case_mins[[#This Row],[Surgery End Date]]&gt;tbl_Case_mins[[#This Row],[Surgery Start Date]]),ROUND((#REF!-TIME(0,0,0))*1440,0)+1440,ROUND((#REF!-TIME(0,0,0))*1440,0))</f>
        <v>#REF!</v>
      </c>
      <c r="V346" s="9" t="e">
        <f>IF(AND(ROUND((#REF!-TIME(0,0,0))*1440,0)&gt;0,ROUND((#REF!-TIME(0,0,0))*1440,0)&lt;tbl_Case_mins[[#This Row],[Into Recov]],tbl_Case_mins[[#This Row],[Surgery End Date]]&gt;tbl_Case_mins[[#This Row],[Surgery Start Date]]),ROUND((#REF!-TIME(0,0,0))*1440,0)+1440,ROUND((#REF!-TIME(0,0,0))*1440,0))</f>
        <v>#REF!</v>
      </c>
      <c r="W346" s="9" t="e">
        <f>IF(AND(ROUND((#REF!-TIME(0,0,0))*1440,0)&gt;0,ROUND((#REF!-TIME(0,0,0))*1440,0)&lt;tbl_Case_mins[[#This Row],[Ward Called]],tbl_Case_mins[[#This Row],[Surgery End Date]]&gt;tbl_Case_mins[[#This Row],[Surgery Start Date]]),ROUND((#REF!-TIME(0,0,0))*1440,0)+1440,ROUND((#REF!-TIME(0,0,0))*1440,0))</f>
        <v>#REF!</v>
      </c>
      <c r="X346" s="4" t="e">
        <f>IF(ISBLANK(#REF!),tbl_Case_mins[[#This Row],[Surgery Start Date]],#REF!)</f>
        <v>#REF!</v>
      </c>
      <c r="Y346">
        <f>IFERROR(IF(VLOOKUP(tbl_Case_mins[[#This Row],[Theatre]],'Mng Theatres'!$C$7:$G$12,3,FALSE)="Yes","Yes","No"),0)</f>
        <v>0</v>
      </c>
      <c r="Z346" s="9" t="e" cm="1">
        <f t="array" ref="Z34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6" s="9" t="e" cm="1">
        <f t="array" ref="AA34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6" s="9" t="e">
        <f>IF(tbl_Case_mins[[#This Row],[Case Type]]="Unsch",1,0)</f>
        <v>#REF!</v>
      </c>
      <c r="AD346" s="9" t="e">
        <f>IF(tbl_Case_mins[[#This Row],[Case Type]]="Sch",1,0)</f>
        <v>#REF!</v>
      </c>
      <c r="AE34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6" s="9">
        <f>IFERROR(IF(ISBLANK(INDEX(Am_Close,MATCH(1,INDEX((tbl_Case_mins[[#This Row],[Theatre]]=Theatre_No)*(tbl_Case_mins[[#This Row],[Surgery Start Date]]=Date),0,1),0))*1440),0,INDEX(Am_Close,MATCH(1,INDEX((tbl_Case_mins[[#This Row],[Theatre]]=Theatre_No)*(tbl_Case_mins[[#This Row],[Surgery Start Date]]=Date),0,1),0))*1440),0)</f>
        <v>0</v>
      </c>
      <c r="AG346" s="9">
        <f>IFERROR(IF(ISBLANK(INDEX(PM_Open,MATCH(1,INDEX((tbl_Case_mins[[#This Row],[Theatre]]=Theatre_No)*(tbl_Case_mins[[#This Row],[Surgery Start Date]]=Date),0,1),0))*1440),0,INDEX(PM_Open,MATCH(1,INDEX((tbl_Case_mins[[#This Row],[Theatre]]=Theatre_No)*(tbl_Case_mins[[#This Row],[Surgery Start Date]]=Date),0,1),0))*1440),0)</f>
        <v>0</v>
      </c>
      <c r="AH34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6" s="9" t="e">
        <f>IF(tbl_Case_mins[[#This Row],[ThOpenAm]]=0,tbl_Case_mins[[#This Row],[ThOpenPM]],tbl_Case_mins[[#This Row],[ThOpenAm]])</f>
        <v>#REF!</v>
      </c>
      <c r="AJ346" s="9" t="e">
        <f>IF(tbl_Case_mins[[#This Row],[ThCloseAm]]&gt;0,IF(tbl_Case_mins[[#This Row],[ThOpenPM]]&gt;0,tbl_Case_mins[[#This Row],[ThClosePm]],tbl_Case_mins[[#This Row],[ThCloseAm]]),tbl_Case_mins[[#This Row],[ThClosePm]])</f>
        <v>#REF!</v>
      </c>
      <c r="AK346" s="9" t="e">
        <f>IF(tbl_Case_mins[[#This Row],[TOT]]&gt;0,1,0)</f>
        <v>#REF!</v>
      </c>
      <c r="AL34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6" s="9" t="e">
        <f>IF(AND(tbl_Case_mins[[#This Row],[Surgery Status]]&lt;&gt;2,tbl_Case_mins[[#This Row],[InCoreCase]]=0,tbl_Case_mins[[#This Row],[CancelledCase]]=0),1,0)</f>
        <v>#REF!</v>
      </c>
      <c r="AN346" s="9" t="e">
        <f>IF(tbl_Case_mins[[#This Row],[Surgery Status]]=1,1,0)</f>
        <v>#REF!</v>
      </c>
      <c r="AO34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6" s="9" t="e">
        <f>IF(AND(tbl_Case_mins[[#This Row],[NonCoreCase]]=1,tbl_Case_mins[[#This Row],[NoInCoreTime]]=0),1,0)</f>
        <v>#REF!</v>
      </c>
      <c r="AQ346" s="9" t="e">
        <f>IF(tbl_Case_mins[[#This Row],[Rank_AnaEnd]]&lt;tbl_Case_mins[[#This Row],[Rank_AnaSt]],1,0)</f>
        <v>#REF!</v>
      </c>
      <c r="AR346" s="9" t="e">
        <f>IF(AND(tbl_Case_mins[[#This Row],[InCoreCase]]=1,tbl_Case_mins[[#This Row],[Sch]]=1),1,0)</f>
        <v>#REF!</v>
      </c>
      <c r="AS346" s="9" t="e">
        <f>IF(AND(tbl_Case_mins[[#This Row],[InCoreCase]]=1,tbl_Case_mins[[#This Row],[Unsch]]=1),1,0)</f>
        <v>#REF!</v>
      </c>
      <c r="AT34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6" s="9" t="e">
        <f>IF(tbl_Case_mins[[#This Row],[Surgery Status]]=0,(tbl_Case_mins[[#This Row],[Anaesth End]]-tbl_Case_mins[[#This Row],[AnaesthStart]]),0)</f>
        <v>#REF!</v>
      </c>
      <c r="AX346" s="9" t="e">
        <f>IF(tbl_Case_mins[[#This Row],[Surgery Status]]=0,(tbl_Case_mins[[#This Row],[Surgery Finish]]-tbl_Case_mins[[#This Row],[Surgery Start]]),0)</f>
        <v>#REF!</v>
      </c>
      <c r="AY346" s="9" t="e">
        <f>tbl_Case_mins[[#This Row],[Surgery Start]]-tbl_Case_mins[[#This Row],[AnaesthStart]]</f>
        <v>#REF!</v>
      </c>
      <c r="AZ346" s="9" t="e">
        <f>tbl_Case_mins[[#This Row],[Anaesth End]]-tbl_Case_mins[[#This Row],[Surgery Finish]]</f>
        <v>#REF!</v>
      </c>
      <c r="BA34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6" s="16" cm="1">
        <f t="array" ref="BC34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6" s="16" t="e">
        <f>IF(AND(tbl_Case_mins[[#This Row],[FirstAMCase]]=1,tbl_Case_mins[[#This Row],[CancelledCase]]=0,OR(tbl_Case_mins[[#This Row],[EarlyStartAM]]&gt;0,tbl_Case_mins[[#This Row],[AnaesthStart]]=tbl_Case_mins[[#This Row],[ThOpenAm]])),1,0)</f>
        <v>#REF!</v>
      </c>
      <c r="BE346" s="16" t="e">
        <f>IF(AND(tbl_Case_mins[[#This Row],[Rank_AnaSt]]=tbl_Case_mins[[#This Row],[Min_RankAnaSt]],tbl_Case_mins[[#This Row],[Anaesth End]]&gt;=tbl_Case_mins[[#This Row],[ThOpenAm]],tbl_Case_mins[[#This Row],[PmCase]]=0),1,0)</f>
        <v>#REF!</v>
      </c>
      <c r="BF34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6" s="9" t="e" cm="1">
        <f t="array" ref="BH34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6" s="9" t="e">
        <f>IF(AND(tbl_Case_mins[[#This Row],[ThOpenPM]]&gt;0,tbl_Case_mins[[#This Row],[AnaesthStart]]&gt;tbl_Case_mins[[#This Row],[ThOpenPM]],tbl_Case_mins[[#This Row],[First PM Case]]=1),tbl_Case_mins[[#This Row],[AnaesthStart]]-tbl_Case_mins[[#This Row],[ThOpenPM]],0)</f>
        <v>#REF!</v>
      </c>
      <c r="BL34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6" s="9" t="e" cm="1">
        <f t="array" ref="BN34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6" s="9" t="e">
        <f>IF(AND(tbl_Case_mins[[#This Row],[ThClosePm]]&gt;0,tbl_Case_mins[[#This Row],[Anaesth End]]&gt;tbl_Case_mins[[#This Row],[ThClosePm]],tbl_Case_mins[[#This Row],[AnaesthStart]]&gt;tbl_Case_mins[[#This Row],[ThClosePm]]),tbl_Case_mins[[#This Row],[Into Recov]]-tbl_Case_mins[[#This Row],[AnaesthStart]],0)</f>
        <v>#REF!</v>
      </c>
      <c r="BP346" s="9" t="e">
        <f>IF(AND(tbl_Case_mins[[#This Row],[AnaesthStart]]&lt;tbl_Case_mins[[#This Row],[ThClosePm]],tbl_Case_mins[[#This Row],[Anaesth End]]&gt;tbl_Case_mins[[#This Row],[ThClosePm]]),tbl_Case_mins[[#This Row],[Anaesth End]]-tbl_Case_mins[[#This Row],[ThClosePm]],0)</f>
        <v>#REF!</v>
      </c>
      <c r="BQ346" s="9" t="e" cm="1">
        <f t="array" ref="BQ34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6" s="9" t="e" cm="1">
        <f t="array" ref="BR346">IF(tbl_Case_mins[[#This Row],[Rank_Adjust]]=SUMPRODUCT(-(tbl_Case_mins[Surgery Start Date]=tbl_Case_mins[[#This Row],[Surgery Start Date]]),-(tbl_Case_mins[Theatre]=tbl_Case_mins[[#This Row],[Theatre]])),INDEX(Poss_Time,MATCH(TEXT(tbl_Case_mins[[#This Row],[Surgery Start Date]],"ddd"),Day,0)),0)</f>
        <v>#REF!</v>
      </c>
      <c r="BS346" s="9" t="e">
        <f>tbl_Case_mins[[#This Row],[Core_Time]]*Util_Goal</f>
        <v>#REF!</v>
      </c>
      <c r="BT346" s="9" t="e" cm="1">
        <f t="array" ref="BT3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6" s="9" t="e" cm="1">
        <f t="array" ref="BU34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6" s="9" t="e">
        <f>IF(tbl_Case_mins[[#This Row],[Surgery End Date]]&gt;tbl_Case_mins[[#This Row],[Surgery Start Date]],tbl_Case_mins[[#This Row],[Anaesth End]]-1440,0)</f>
        <v>#REF!</v>
      </c>
      <c r="BY346" s="9" t="e">
        <f>tbl_Case_mins[[#This Row],[Total_NonCore]]-tbl_Case_mins[[#This Row],[NextDay_NonCore]]</f>
        <v>#REF!</v>
      </c>
      <c r="BZ346" s="10" t="e">
        <f>tbl_Case_mins[[#This Row],[InCoreUse]]/60</f>
        <v>#REF!</v>
      </c>
      <c r="CA346" s="10" t="e">
        <f>tbl_Case_mins[[#This Row],[Total_NonCore]]/60</f>
        <v>#REF!</v>
      </c>
      <c r="CB346" t="e" cm="1">
        <f t="array" ref="CB3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6" s="9" t="e" cm="1">
        <f t="array" ref="CC34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6" s="9" t="e" cm="1">
        <f t="array" ref="CD34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6" s="9" t="e" cm="1">
        <f t="array" ref="CE34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6" s="9" cm="1">
        <f t="array" ref="CF346">IFERROR(_xlfn.AGGREGATE(14,6,(tbl_Case_mins[Rank_AnaEnd])/((tbl_Case_mins[Surgery Start Date]=tbl_Case_mins[[#This Row],[Surgery Start Date]])*(tbl_Case_mins[Theatre]=tbl_Case_mins[[#This Row],[Theatre]])*(tbl_Case_mins[NoInCoreTime]=0)),1),-1)</f>
        <v>-1</v>
      </c>
      <c r="CG346" s="9" cm="1">
        <f t="array" ref="CG346">IFERROR(_xlfn.AGGREGATE(15,6,(tbl_Case_mins[Rank_AnaSt])/((tbl_Case_mins[Surgery Start Date]=tbl_Case_mins[[#This Row],[Surgery Start Date]])*(tbl_Case_mins[Theatre]=tbl_Case_mins[[#This Row],[Theatre]])*(tbl_Case_mins[NoInCoreTime]=0)),1),-1)</f>
        <v>-1</v>
      </c>
      <c r="CH34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6" t="e" cm="1">
        <f t="array" ref="CJ34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6" s="9" cm="1">
        <f t="array" ref="CO3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6" s="9" cm="1">
        <f t="array" ref="CP34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6" s="9" cm="1">
        <f t="array" ref="CQ346">IFERROR(IF(AND(tbl_Case_mins[[#This Row],[FirstAMCase]]=0,tbl_Case_mins[[#This Row],[Rank]]=_xlfn.AGGREGATE(14,6,(tbl_Case_mins[Rank])/((tbl_Case_mins[Surgery Start Date]=tbl_Case_mins[[#This Row],[Surgery Start Date]])*(tbl_Case_mins[Theatre]=tbl_Case_mins[[#This Row],[Theatre]])*(tbl_Case_mins[AmCase]=1)),1)),1,0),0)</f>
        <v>0</v>
      </c>
      <c r="CR346" s="9" cm="1">
        <f t="array" ref="CR34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6" s="9" t="e" cm="1">
        <f t="array" ref="CS34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6" s="9" cm="1">
        <f t="array" ref="CT346">IFERROR(IF(tbl_Case_mins[[#This Row],[Rank]]=_xlfn.AGGREGATE(15,6,(tbl_Case_mins[Rank])/((tbl_Case_mins[Surgery Start Date]=tbl_Case_mins[[#This Row],[Surgery Start Date]])*(tbl_Case_mins[Theatre]=tbl_Case_mins[[#This Row],[Theatre]])*(tbl_Case_mins[PmCase]=1)),1),1,0),0)</f>
        <v>0</v>
      </c>
      <c r="CU346">
        <f>IFERROR(#REF!,0)</f>
        <v>0</v>
      </c>
      <c r="CV346" s="9" t="e" cm="1">
        <f t="array" ref="CV34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6" s="9">
        <f>IFERROR(IF(ISBLANK(INDEX(Bay_AmClose,MATCH(1,INDEX((tbl_Case_mins[[#This Row],[Bay]]=BayNo)*(tbl_Case_mins[[#This Row],[Surgery Start Date]]=BDate),0,1),0))*1440),0,INDEX(Bay_AmClose,MATCH(1,INDEX((tbl_Case_mins[[#This Row],[Bay]]=BayNo)*(tbl_Case_mins[[#This Row],[Surgery Start Date]]=BDate),0,1),0))*1440),0)</f>
        <v>0</v>
      </c>
      <c r="CX346" s="9" cm="1">
        <f t="array" ref="CX346">IFERROR(IF(ISBLANK(INDEX(Bay_PmOpen,MATCH(1,INDEX((tbl_Case_mins[[#This Row],[Bay]]=BayNo)*(tbl_Case_mins[[#This Row],[Surgery Start Date]]=BDate),0,1),0))*1440),0,INDEX(Bay_PmOpen,MATCH(1,INDEX((tbl_Case_mins[[#This Row],[Bay]]=BayNo)*(tbl_Case_mins[[#This Row],[Surgery Start Date]]=BDate),0,1),0))*1440),0)</f>
        <v>0</v>
      </c>
      <c r="CY34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6" s="9"/>
    </row>
    <row r="347" spans="1:104" x14ac:dyDescent="0.2">
      <c r="A347">
        <v>346</v>
      </c>
      <c r="B347" t="e">
        <f>#REF!</f>
        <v>#REF!</v>
      </c>
      <c r="C347" t="e">
        <f>#REF!</f>
        <v>#REF!</v>
      </c>
      <c r="D347" t="e">
        <f>#REF!</f>
        <v>#REF!</v>
      </c>
      <c r="E347" t="e">
        <f>#REF!</f>
        <v>#REF!</v>
      </c>
      <c r="F347" t="e">
        <f>#REF!</f>
        <v>#REF!</v>
      </c>
      <c r="G347" t="e">
        <f>#REF!</f>
        <v>#REF!</v>
      </c>
      <c r="H347" t="e">
        <f>#REF!</f>
        <v>#REF!</v>
      </c>
      <c r="I347" t="e">
        <f>IF(#REF!="Case Cancelled",1,IF(#REF!="No Cases",2,0))</f>
        <v>#REF!</v>
      </c>
      <c r="J347" t="e">
        <f>#REF!</f>
        <v>#REF!</v>
      </c>
      <c r="K347" s="4" t="e">
        <f>#REF!</f>
        <v>#REF!</v>
      </c>
      <c r="L347" t="e">
        <f>"Wk "&amp;WEEKNUM(tbl_Case_mins[[#This Row],[Surgery Start Date]],21)</f>
        <v>#REF!</v>
      </c>
      <c r="M347" t="e">
        <f>TEXT(tbl_Case_mins[[#This Row],[Surgery Start Date]],"ddd")</f>
        <v>#REF!</v>
      </c>
      <c r="N347" s="9" t="e">
        <f>(#REF!-TIME(0,0,0))*1440</f>
        <v>#REF!</v>
      </c>
      <c r="O347" t="e">
        <f>IF(AND(ROUND((#REF!-TIME(0,0,0))*1440,0)&gt;0,ROUND((#REF!-TIME(0,0,0))*1440,0)&lt;tbl_Case_mins[[#This Row],[Patient Called]],tbl_Case_mins[[#This Row],[Surgery End Date]]&gt;tbl_Case_mins[[#This Row],[Surgery Start Date]]),ROUND((#REF!-TIME(0,0,0))*1440,0)+1440,ROUND((#REF!-TIME(0,0,0))*1440,0))</f>
        <v>#REF!</v>
      </c>
      <c r="P347" s="9" t="e">
        <f>IF(AND(ROUND((#REF!-TIME(0,0,0))*1440,0)&gt;0,ROUND((#REF!-TIME(0,0,0))*1440,0)&lt;tbl_Case_mins[[#This Row],[Arrival]],tbl_Case_mins[[#This Row],[Surgery End Date]]&gt;tbl_Case_mins[[#This Row],[Surgery Start Date]]),ROUND((#REF!-TIME(0,0,0))*1440,0)+1440,ROUND((#REF!-TIME(0,0,0))*1440,0))</f>
        <v>#REF!</v>
      </c>
      <c r="Q347" s="9" t="e">
        <f>IF(AND(ROUND((#REF!-TIME(0,0,0))*1440,0)&gt;0,ROUND((#REF!-TIME(0,0,0))*1440,0)&lt;tbl_Case_mins[[#This Row],[Into Th or AR]],tbl_Case_mins[[#This Row],[Surgery End Date]]&gt;tbl_Case_mins[[#This Row],[Surgery Start Date]]),ROUND((#REF!-TIME(0,0,0))*1440,0)+1440,ROUND((#REF!-TIME(0,0,0))*1440,0))</f>
        <v>#REF!</v>
      </c>
      <c r="R347" s="9" t="e">
        <f>IF(AND(ROUND((#REF!-TIME(0,0,0))*1440,0)&gt;0,ROUND((#REF!-TIME(0,0,0))*1440,0)&lt;tbl_Case_mins[[#This Row],[AnaesthStart]],tbl_Case_mins[[#This Row],[Surgery End Date]]&gt;tbl_Case_mins[[#This Row],[Surgery Start Date]]),ROUND((#REF!-TIME(0,0,0))*1440,0)+1440,ROUND((#REF!-TIME(0,0,0))*1440,0))</f>
        <v>#REF!</v>
      </c>
      <c r="S347" s="9" t="e">
        <f>IF(AND(ROUND((#REF!-TIME(0,0,0))*1440,0),ROUND((#REF!-TIME(0,0,0))*1440,0)&lt;tbl_Case_mins[[#This Row],[Surgery Start]],tbl_Case_mins[[#This Row],[Surgery End Date]]&gt;tbl_Case_mins[[#This Row],[Surgery Start Date]]),ROUND((#REF!-TIME(0,0,0))*1440,0)+1440,ROUND((#REF!-TIME(0,0,0))*1440,0))</f>
        <v>#REF!</v>
      </c>
      <c r="T347" s="9" t="e">
        <f>IF(AND(ROUND((#REF!-TIME(0,0,0))*1440,0)&gt;0,ROUND((#REF!-TIME(0,0,0))*1440,0)&lt;tbl_Case_mins[[#This Row],[Surgery Finish]],tbl_Case_mins[[#This Row],[Surgery End Date]]&gt;tbl_Case_mins[[#This Row],[Surgery Start Date]]),ROUND((#REF!-TIME(0,0,0))*1440,0)+1440,ROUND((#REF!-TIME(0,0,0))*1440,0))</f>
        <v>#REF!</v>
      </c>
      <c r="U347" s="9" t="e">
        <f>IF(AND(ROUND((#REF!-TIME(0,0,0))*1440,0)&gt;0,ROUND((#REF!-TIME(0,0,0))*1440,0)&lt;tbl_Case_mins[[#This Row],[Anaesth End]],tbl_Case_mins[[#This Row],[Surgery End Date]]&gt;tbl_Case_mins[[#This Row],[Surgery Start Date]]),ROUND((#REF!-TIME(0,0,0))*1440,0)+1440,ROUND((#REF!-TIME(0,0,0))*1440,0))</f>
        <v>#REF!</v>
      </c>
      <c r="V347" s="9" t="e">
        <f>IF(AND(ROUND((#REF!-TIME(0,0,0))*1440,0)&gt;0,ROUND((#REF!-TIME(0,0,0))*1440,0)&lt;tbl_Case_mins[[#This Row],[Into Recov]],tbl_Case_mins[[#This Row],[Surgery End Date]]&gt;tbl_Case_mins[[#This Row],[Surgery Start Date]]),ROUND((#REF!-TIME(0,0,0))*1440,0)+1440,ROUND((#REF!-TIME(0,0,0))*1440,0))</f>
        <v>#REF!</v>
      </c>
      <c r="W347" s="9" t="e">
        <f>IF(AND(ROUND((#REF!-TIME(0,0,0))*1440,0)&gt;0,ROUND((#REF!-TIME(0,0,0))*1440,0)&lt;tbl_Case_mins[[#This Row],[Ward Called]],tbl_Case_mins[[#This Row],[Surgery End Date]]&gt;tbl_Case_mins[[#This Row],[Surgery Start Date]]),ROUND((#REF!-TIME(0,0,0))*1440,0)+1440,ROUND((#REF!-TIME(0,0,0))*1440,0))</f>
        <v>#REF!</v>
      </c>
      <c r="X347" s="4" t="e">
        <f>IF(ISBLANK(#REF!),tbl_Case_mins[[#This Row],[Surgery Start Date]],#REF!)</f>
        <v>#REF!</v>
      </c>
      <c r="Y347">
        <f>IFERROR(IF(VLOOKUP(tbl_Case_mins[[#This Row],[Theatre]],'Mng Theatres'!$C$7:$G$12,3,FALSE)="Yes","Yes","No"),0)</f>
        <v>0</v>
      </c>
      <c r="Z347" s="9" t="e" cm="1">
        <f t="array" ref="Z34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7" s="9" t="e" cm="1">
        <f t="array" ref="AA34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7" s="9" t="e">
        <f>IF(tbl_Case_mins[[#This Row],[Case Type]]="Unsch",1,0)</f>
        <v>#REF!</v>
      </c>
      <c r="AD347" s="9" t="e">
        <f>IF(tbl_Case_mins[[#This Row],[Case Type]]="Sch",1,0)</f>
        <v>#REF!</v>
      </c>
      <c r="AE34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7" s="9">
        <f>IFERROR(IF(ISBLANK(INDEX(Am_Close,MATCH(1,INDEX((tbl_Case_mins[[#This Row],[Theatre]]=Theatre_No)*(tbl_Case_mins[[#This Row],[Surgery Start Date]]=Date),0,1),0))*1440),0,INDEX(Am_Close,MATCH(1,INDEX((tbl_Case_mins[[#This Row],[Theatre]]=Theatre_No)*(tbl_Case_mins[[#This Row],[Surgery Start Date]]=Date),0,1),0))*1440),0)</f>
        <v>0</v>
      </c>
      <c r="AG347" s="9">
        <f>IFERROR(IF(ISBLANK(INDEX(PM_Open,MATCH(1,INDEX((tbl_Case_mins[[#This Row],[Theatre]]=Theatre_No)*(tbl_Case_mins[[#This Row],[Surgery Start Date]]=Date),0,1),0))*1440),0,INDEX(PM_Open,MATCH(1,INDEX((tbl_Case_mins[[#This Row],[Theatre]]=Theatre_No)*(tbl_Case_mins[[#This Row],[Surgery Start Date]]=Date),0,1),0))*1440),0)</f>
        <v>0</v>
      </c>
      <c r="AH34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7" s="9" t="e">
        <f>IF(tbl_Case_mins[[#This Row],[ThOpenAm]]=0,tbl_Case_mins[[#This Row],[ThOpenPM]],tbl_Case_mins[[#This Row],[ThOpenAm]])</f>
        <v>#REF!</v>
      </c>
      <c r="AJ347" s="9" t="e">
        <f>IF(tbl_Case_mins[[#This Row],[ThCloseAm]]&gt;0,IF(tbl_Case_mins[[#This Row],[ThOpenPM]]&gt;0,tbl_Case_mins[[#This Row],[ThClosePm]],tbl_Case_mins[[#This Row],[ThCloseAm]]),tbl_Case_mins[[#This Row],[ThClosePm]])</f>
        <v>#REF!</v>
      </c>
      <c r="AK347" s="9" t="e">
        <f>IF(tbl_Case_mins[[#This Row],[TOT]]&gt;0,1,0)</f>
        <v>#REF!</v>
      </c>
      <c r="AL34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7" s="9" t="e">
        <f>IF(AND(tbl_Case_mins[[#This Row],[Surgery Status]]&lt;&gt;2,tbl_Case_mins[[#This Row],[InCoreCase]]=0,tbl_Case_mins[[#This Row],[CancelledCase]]=0),1,0)</f>
        <v>#REF!</v>
      </c>
      <c r="AN347" s="9" t="e">
        <f>IF(tbl_Case_mins[[#This Row],[Surgery Status]]=1,1,0)</f>
        <v>#REF!</v>
      </c>
      <c r="AO34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7" s="9" t="e">
        <f>IF(AND(tbl_Case_mins[[#This Row],[NonCoreCase]]=1,tbl_Case_mins[[#This Row],[NoInCoreTime]]=0),1,0)</f>
        <v>#REF!</v>
      </c>
      <c r="AQ347" s="9" t="e">
        <f>IF(tbl_Case_mins[[#This Row],[Rank_AnaEnd]]&lt;tbl_Case_mins[[#This Row],[Rank_AnaSt]],1,0)</f>
        <v>#REF!</v>
      </c>
      <c r="AR347" s="9" t="e">
        <f>IF(AND(tbl_Case_mins[[#This Row],[InCoreCase]]=1,tbl_Case_mins[[#This Row],[Sch]]=1),1,0)</f>
        <v>#REF!</v>
      </c>
      <c r="AS347" s="9" t="e">
        <f>IF(AND(tbl_Case_mins[[#This Row],[InCoreCase]]=1,tbl_Case_mins[[#This Row],[Unsch]]=1),1,0)</f>
        <v>#REF!</v>
      </c>
      <c r="AT34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7" s="9" t="e">
        <f>IF(tbl_Case_mins[[#This Row],[Surgery Status]]=0,(tbl_Case_mins[[#This Row],[Anaesth End]]-tbl_Case_mins[[#This Row],[AnaesthStart]]),0)</f>
        <v>#REF!</v>
      </c>
      <c r="AX347" s="9" t="e">
        <f>IF(tbl_Case_mins[[#This Row],[Surgery Status]]=0,(tbl_Case_mins[[#This Row],[Surgery Finish]]-tbl_Case_mins[[#This Row],[Surgery Start]]),0)</f>
        <v>#REF!</v>
      </c>
      <c r="AY347" s="9" t="e">
        <f>tbl_Case_mins[[#This Row],[Surgery Start]]-tbl_Case_mins[[#This Row],[AnaesthStart]]</f>
        <v>#REF!</v>
      </c>
      <c r="AZ347" s="9" t="e">
        <f>tbl_Case_mins[[#This Row],[Anaesth End]]-tbl_Case_mins[[#This Row],[Surgery Finish]]</f>
        <v>#REF!</v>
      </c>
      <c r="BA34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7" s="16" cm="1">
        <f t="array" ref="BC34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7" s="16" t="e">
        <f>IF(AND(tbl_Case_mins[[#This Row],[FirstAMCase]]=1,tbl_Case_mins[[#This Row],[CancelledCase]]=0,OR(tbl_Case_mins[[#This Row],[EarlyStartAM]]&gt;0,tbl_Case_mins[[#This Row],[AnaesthStart]]=tbl_Case_mins[[#This Row],[ThOpenAm]])),1,0)</f>
        <v>#REF!</v>
      </c>
      <c r="BE347" s="16" t="e">
        <f>IF(AND(tbl_Case_mins[[#This Row],[Rank_AnaSt]]=tbl_Case_mins[[#This Row],[Min_RankAnaSt]],tbl_Case_mins[[#This Row],[Anaesth End]]&gt;=tbl_Case_mins[[#This Row],[ThOpenAm]],tbl_Case_mins[[#This Row],[PmCase]]=0),1,0)</f>
        <v>#REF!</v>
      </c>
      <c r="BF34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7" s="9" t="e" cm="1">
        <f t="array" ref="BH34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7" s="9" t="e">
        <f>IF(AND(tbl_Case_mins[[#This Row],[ThOpenPM]]&gt;0,tbl_Case_mins[[#This Row],[AnaesthStart]]&gt;tbl_Case_mins[[#This Row],[ThOpenPM]],tbl_Case_mins[[#This Row],[First PM Case]]=1),tbl_Case_mins[[#This Row],[AnaesthStart]]-tbl_Case_mins[[#This Row],[ThOpenPM]],0)</f>
        <v>#REF!</v>
      </c>
      <c r="BL34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7" s="9" t="e" cm="1">
        <f t="array" ref="BN34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7" s="9" t="e">
        <f>IF(AND(tbl_Case_mins[[#This Row],[ThClosePm]]&gt;0,tbl_Case_mins[[#This Row],[Anaesth End]]&gt;tbl_Case_mins[[#This Row],[ThClosePm]],tbl_Case_mins[[#This Row],[AnaesthStart]]&gt;tbl_Case_mins[[#This Row],[ThClosePm]]),tbl_Case_mins[[#This Row],[Into Recov]]-tbl_Case_mins[[#This Row],[AnaesthStart]],0)</f>
        <v>#REF!</v>
      </c>
      <c r="BP347" s="9" t="e">
        <f>IF(AND(tbl_Case_mins[[#This Row],[AnaesthStart]]&lt;tbl_Case_mins[[#This Row],[ThClosePm]],tbl_Case_mins[[#This Row],[Anaesth End]]&gt;tbl_Case_mins[[#This Row],[ThClosePm]]),tbl_Case_mins[[#This Row],[Anaesth End]]-tbl_Case_mins[[#This Row],[ThClosePm]],0)</f>
        <v>#REF!</v>
      </c>
      <c r="BQ347" s="9" t="e" cm="1">
        <f t="array" ref="BQ34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7" s="9" t="e" cm="1">
        <f t="array" ref="BR347">IF(tbl_Case_mins[[#This Row],[Rank_Adjust]]=SUMPRODUCT(-(tbl_Case_mins[Surgery Start Date]=tbl_Case_mins[[#This Row],[Surgery Start Date]]),-(tbl_Case_mins[Theatre]=tbl_Case_mins[[#This Row],[Theatre]])),INDEX(Poss_Time,MATCH(TEXT(tbl_Case_mins[[#This Row],[Surgery Start Date]],"ddd"),Day,0)),0)</f>
        <v>#REF!</v>
      </c>
      <c r="BS347" s="9" t="e">
        <f>tbl_Case_mins[[#This Row],[Core_Time]]*Util_Goal</f>
        <v>#REF!</v>
      </c>
      <c r="BT347" s="9" t="e" cm="1">
        <f t="array" ref="BT3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7" s="9" t="e" cm="1">
        <f t="array" ref="BU34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7" s="9" t="e">
        <f>IF(tbl_Case_mins[[#This Row],[Surgery End Date]]&gt;tbl_Case_mins[[#This Row],[Surgery Start Date]],tbl_Case_mins[[#This Row],[Anaesth End]]-1440,0)</f>
        <v>#REF!</v>
      </c>
      <c r="BY347" s="9" t="e">
        <f>tbl_Case_mins[[#This Row],[Total_NonCore]]-tbl_Case_mins[[#This Row],[NextDay_NonCore]]</f>
        <v>#REF!</v>
      </c>
      <c r="BZ347" s="10" t="e">
        <f>tbl_Case_mins[[#This Row],[InCoreUse]]/60</f>
        <v>#REF!</v>
      </c>
      <c r="CA347" s="10" t="e">
        <f>tbl_Case_mins[[#This Row],[Total_NonCore]]/60</f>
        <v>#REF!</v>
      </c>
      <c r="CB347" t="e" cm="1">
        <f t="array" ref="CB3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7" s="9" t="e" cm="1">
        <f t="array" ref="CC34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7" s="9" t="e" cm="1">
        <f t="array" ref="CD34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7" s="9" t="e" cm="1">
        <f t="array" ref="CE34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7" s="9" cm="1">
        <f t="array" ref="CF347">IFERROR(_xlfn.AGGREGATE(14,6,(tbl_Case_mins[Rank_AnaEnd])/((tbl_Case_mins[Surgery Start Date]=tbl_Case_mins[[#This Row],[Surgery Start Date]])*(tbl_Case_mins[Theatre]=tbl_Case_mins[[#This Row],[Theatre]])*(tbl_Case_mins[NoInCoreTime]=0)),1),-1)</f>
        <v>-1</v>
      </c>
      <c r="CG347" s="9" cm="1">
        <f t="array" ref="CG347">IFERROR(_xlfn.AGGREGATE(15,6,(tbl_Case_mins[Rank_AnaSt])/((tbl_Case_mins[Surgery Start Date]=tbl_Case_mins[[#This Row],[Surgery Start Date]])*(tbl_Case_mins[Theatre]=tbl_Case_mins[[#This Row],[Theatre]])*(tbl_Case_mins[NoInCoreTime]=0)),1),-1)</f>
        <v>-1</v>
      </c>
      <c r="CH34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7" t="e" cm="1">
        <f t="array" ref="CJ34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7" s="9" cm="1">
        <f t="array" ref="CO3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7" s="9" cm="1">
        <f t="array" ref="CP34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7" s="9" cm="1">
        <f t="array" ref="CQ347">IFERROR(IF(AND(tbl_Case_mins[[#This Row],[FirstAMCase]]=0,tbl_Case_mins[[#This Row],[Rank]]=_xlfn.AGGREGATE(14,6,(tbl_Case_mins[Rank])/((tbl_Case_mins[Surgery Start Date]=tbl_Case_mins[[#This Row],[Surgery Start Date]])*(tbl_Case_mins[Theatre]=tbl_Case_mins[[#This Row],[Theatre]])*(tbl_Case_mins[AmCase]=1)),1)),1,0),0)</f>
        <v>0</v>
      </c>
      <c r="CR347" s="9" cm="1">
        <f t="array" ref="CR34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7" s="9" t="e" cm="1">
        <f t="array" ref="CS34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7" s="9" cm="1">
        <f t="array" ref="CT347">IFERROR(IF(tbl_Case_mins[[#This Row],[Rank]]=_xlfn.AGGREGATE(15,6,(tbl_Case_mins[Rank])/((tbl_Case_mins[Surgery Start Date]=tbl_Case_mins[[#This Row],[Surgery Start Date]])*(tbl_Case_mins[Theatre]=tbl_Case_mins[[#This Row],[Theatre]])*(tbl_Case_mins[PmCase]=1)),1),1,0),0)</f>
        <v>0</v>
      </c>
      <c r="CU347">
        <f>IFERROR(#REF!,0)</f>
        <v>0</v>
      </c>
      <c r="CV347" s="9" t="e" cm="1">
        <f t="array" ref="CV34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7" s="9">
        <f>IFERROR(IF(ISBLANK(INDEX(Bay_AmClose,MATCH(1,INDEX((tbl_Case_mins[[#This Row],[Bay]]=BayNo)*(tbl_Case_mins[[#This Row],[Surgery Start Date]]=BDate),0,1),0))*1440),0,INDEX(Bay_AmClose,MATCH(1,INDEX((tbl_Case_mins[[#This Row],[Bay]]=BayNo)*(tbl_Case_mins[[#This Row],[Surgery Start Date]]=BDate),0,1),0))*1440),0)</f>
        <v>0</v>
      </c>
      <c r="CX347" s="9" cm="1">
        <f t="array" ref="CX347">IFERROR(IF(ISBLANK(INDEX(Bay_PmOpen,MATCH(1,INDEX((tbl_Case_mins[[#This Row],[Bay]]=BayNo)*(tbl_Case_mins[[#This Row],[Surgery Start Date]]=BDate),0,1),0))*1440),0,INDEX(Bay_PmOpen,MATCH(1,INDEX((tbl_Case_mins[[#This Row],[Bay]]=BayNo)*(tbl_Case_mins[[#This Row],[Surgery Start Date]]=BDate),0,1),0))*1440),0)</f>
        <v>0</v>
      </c>
      <c r="CY34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7" s="9"/>
    </row>
    <row r="348" spans="1:104" x14ac:dyDescent="0.2">
      <c r="A348">
        <v>347</v>
      </c>
      <c r="B348" t="e">
        <f>#REF!</f>
        <v>#REF!</v>
      </c>
      <c r="C348" t="e">
        <f>#REF!</f>
        <v>#REF!</v>
      </c>
      <c r="D348" t="e">
        <f>#REF!</f>
        <v>#REF!</v>
      </c>
      <c r="E348" t="e">
        <f>#REF!</f>
        <v>#REF!</v>
      </c>
      <c r="F348" t="e">
        <f>#REF!</f>
        <v>#REF!</v>
      </c>
      <c r="G348" t="e">
        <f>#REF!</f>
        <v>#REF!</v>
      </c>
      <c r="H348" t="e">
        <f>#REF!</f>
        <v>#REF!</v>
      </c>
      <c r="I348" t="e">
        <f>IF(#REF!="Case Cancelled",1,IF(#REF!="No Cases",2,0))</f>
        <v>#REF!</v>
      </c>
      <c r="J348" t="e">
        <f>#REF!</f>
        <v>#REF!</v>
      </c>
      <c r="K348" s="4" t="e">
        <f>#REF!</f>
        <v>#REF!</v>
      </c>
      <c r="L348" t="e">
        <f>"Wk "&amp;WEEKNUM(tbl_Case_mins[[#This Row],[Surgery Start Date]],21)</f>
        <v>#REF!</v>
      </c>
      <c r="M348" t="e">
        <f>TEXT(tbl_Case_mins[[#This Row],[Surgery Start Date]],"ddd")</f>
        <v>#REF!</v>
      </c>
      <c r="N348" s="9" t="e">
        <f>(#REF!-TIME(0,0,0))*1440</f>
        <v>#REF!</v>
      </c>
      <c r="O348" t="e">
        <f>IF(AND(ROUND((#REF!-TIME(0,0,0))*1440,0)&gt;0,ROUND((#REF!-TIME(0,0,0))*1440,0)&lt;tbl_Case_mins[[#This Row],[Patient Called]],tbl_Case_mins[[#This Row],[Surgery End Date]]&gt;tbl_Case_mins[[#This Row],[Surgery Start Date]]),ROUND((#REF!-TIME(0,0,0))*1440,0)+1440,ROUND((#REF!-TIME(0,0,0))*1440,0))</f>
        <v>#REF!</v>
      </c>
      <c r="P348" s="9" t="e">
        <f>IF(AND(ROUND((#REF!-TIME(0,0,0))*1440,0)&gt;0,ROUND((#REF!-TIME(0,0,0))*1440,0)&lt;tbl_Case_mins[[#This Row],[Arrival]],tbl_Case_mins[[#This Row],[Surgery End Date]]&gt;tbl_Case_mins[[#This Row],[Surgery Start Date]]),ROUND((#REF!-TIME(0,0,0))*1440,0)+1440,ROUND((#REF!-TIME(0,0,0))*1440,0))</f>
        <v>#REF!</v>
      </c>
      <c r="Q348" s="9" t="e">
        <f>IF(AND(ROUND((#REF!-TIME(0,0,0))*1440,0)&gt;0,ROUND((#REF!-TIME(0,0,0))*1440,0)&lt;tbl_Case_mins[[#This Row],[Into Th or AR]],tbl_Case_mins[[#This Row],[Surgery End Date]]&gt;tbl_Case_mins[[#This Row],[Surgery Start Date]]),ROUND((#REF!-TIME(0,0,0))*1440,0)+1440,ROUND((#REF!-TIME(0,0,0))*1440,0))</f>
        <v>#REF!</v>
      </c>
      <c r="R348" s="9" t="e">
        <f>IF(AND(ROUND((#REF!-TIME(0,0,0))*1440,0)&gt;0,ROUND((#REF!-TIME(0,0,0))*1440,0)&lt;tbl_Case_mins[[#This Row],[AnaesthStart]],tbl_Case_mins[[#This Row],[Surgery End Date]]&gt;tbl_Case_mins[[#This Row],[Surgery Start Date]]),ROUND((#REF!-TIME(0,0,0))*1440,0)+1440,ROUND((#REF!-TIME(0,0,0))*1440,0))</f>
        <v>#REF!</v>
      </c>
      <c r="S348" s="9" t="e">
        <f>IF(AND(ROUND((#REF!-TIME(0,0,0))*1440,0),ROUND((#REF!-TIME(0,0,0))*1440,0)&lt;tbl_Case_mins[[#This Row],[Surgery Start]],tbl_Case_mins[[#This Row],[Surgery End Date]]&gt;tbl_Case_mins[[#This Row],[Surgery Start Date]]),ROUND((#REF!-TIME(0,0,0))*1440,0)+1440,ROUND((#REF!-TIME(0,0,0))*1440,0))</f>
        <v>#REF!</v>
      </c>
      <c r="T348" s="9" t="e">
        <f>IF(AND(ROUND((#REF!-TIME(0,0,0))*1440,0)&gt;0,ROUND((#REF!-TIME(0,0,0))*1440,0)&lt;tbl_Case_mins[[#This Row],[Surgery Finish]],tbl_Case_mins[[#This Row],[Surgery End Date]]&gt;tbl_Case_mins[[#This Row],[Surgery Start Date]]),ROUND((#REF!-TIME(0,0,0))*1440,0)+1440,ROUND((#REF!-TIME(0,0,0))*1440,0))</f>
        <v>#REF!</v>
      </c>
      <c r="U348" s="9" t="e">
        <f>IF(AND(ROUND((#REF!-TIME(0,0,0))*1440,0)&gt;0,ROUND((#REF!-TIME(0,0,0))*1440,0)&lt;tbl_Case_mins[[#This Row],[Anaesth End]],tbl_Case_mins[[#This Row],[Surgery End Date]]&gt;tbl_Case_mins[[#This Row],[Surgery Start Date]]),ROUND((#REF!-TIME(0,0,0))*1440,0)+1440,ROUND((#REF!-TIME(0,0,0))*1440,0))</f>
        <v>#REF!</v>
      </c>
      <c r="V348" s="9" t="e">
        <f>IF(AND(ROUND((#REF!-TIME(0,0,0))*1440,0)&gt;0,ROUND((#REF!-TIME(0,0,0))*1440,0)&lt;tbl_Case_mins[[#This Row],[Into Recov]],tbl_Case_mins[[#This Row],[Surgery End Date]]&gt;tbl_Case_mins[[#This Row],[Surgery Start Date]]),ROUND((#REF!-TIME(0,0,0))*1440,0)+1440,ROUND((#REF!-TIME(0,0,0))*1440,0))</f>
        <v>#REF!</v>
      </c>
      <c r="W348" s="9" t="e">
        <f>IF(AND(ROUND((#REF!-TIME(0,0,0))*1440,0)&gt;0,ROUND((#REF!-TIME(0,0,0))*1440,0)&lt;tbl_Case_mins[[#This Row],[Ward Called]],tbl_Case_mins[[#This Row],[Surgery End Date]]&gt;tbl_Case_mins[[#This Row],[Surgery Start Date]]),ROUND((#REF!-TIME(0,0,0))*1440,0)+1440,ROUND((#REF!-TIME(0,0,0))*1440,0))</f>
        <v>#REF!</v>
      </c>
      <c r="X348" s="4" t="e">
        <f>IF(ISBLANK(#REF!),tbl_Case_mins[[#This Row],[Surgery Start Date]],#REF!)</f>
        <v>#REF!</v>
      </c>
      <c r="Y348">
        <f>IFERROR(IF(VLOOKUP(tbl_Case_mins[[#This Row],[Theatre]],'Mng Theatres'!$C$7:$G$12,3,FALSE)="Yes","Yes","No"),0)</f>
        <v>0</v>
      </c>
      <c r="Z348" s="9" t="e" cm="1">
        <f t="array" ref="Z34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8" s="9" t="e" cm="1">
        <f t="array" ref="AA34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8" s="9" t="e">
        <f>IF(tbl_Case_mins[[#This Row],[Case Type]]="Unsch",1,0)</f>
        <v>#REF!</v>
      </c>
      <c r="AD348" s="9" t="e">
        <f>IF(tbl_Case_mins[[#This Row],[Case Type]]="Sch",1,0)</f>
        <v>#REF!</v>
      </c>
      <c r="AE34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8" s="9">
        <f>IFERROR(IF(ISBLANK(INDEX(Am_Close,MATCH(1,INDEX((tbl_Case_mins[[#This Row],[Theatre]]=Theatre_No)*(tbl_Case_mins[[#This Row],[Surgery Start Date]]=Date),0,1),0))*1440),0,INDEX(Am_Close,MATCH(1,INDEX((tbl_Case_mins[[#This Row],[Theatre]]=Theatre_No)*(tbl_Case_mins[[#This Row],[Surgery Start Date]]=Date),0,1),0))*1440),0)</f>
        <v>0</v>
      </c>
      <c r="AG348" s="9">
        <f>IFERROR(IF(ISBLANK(INDEX(PM_Open,MATCH(1,INDEX((tbl_Case_mins[[#This Row],[Theatre]]=Theatre_No)*(tbl_Case_mins[[#This Row],[Surgery Start Date]]=Date),0,1),0))*1440),0,INDEX(PM_Open,MATCH(1,INDEX((tbl_Case_mins[[#This Row],[Theatre]]=Theatre_No)*(tbl_Case_mins[[#This Row],[Surgery Start Date]]=Date),0,1),0))*1440),0)</f>
        <v>0</v>
      </c>
      <c r="AH34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8" s="9" t="e">
        <f>IF(tbl_Case_mins[[#This Row],[ThOpenAm]]=0,tbl_Case_mins[[#This Row],[ThOpenPM]],tbl_Case_mins[[#This Row],[ThOpenAm]])</f>
        <v>#REF!</v>
      </c>
      <c r="AJ348" s="9" t="e">
        <f>IF(tbl_Case_mins[[#This Row],[ThCloseAm]]&gt;0,IF(tbl_Case_mins[[#This Row],[ThOpenPM]]&gt;0,tbl_Case_mins[[#This Row],[ThClosePm]],tbl_Case_mins[[#This Row],[ThCloseAm]]),tbl_Case_mins[[#This Row],[ThClosePm]])</f>
        <v>#REF!</v>
      </c>
      <c r="AK348" s="9" t="e">
        <f>IF(tbl_Case_mins[[#This Row],[TOT]]&gt;0,1,0)</f>
        <v>#REF!</v>
      </c>
      <c r="AL34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8" s="9" t="e">
        <f>IF(AND(tbl_Case_mins[[#This Row],[Surgery Status]]&lt;&gt;2,tbl_Case_mins[[#This Row],[InCoreCase]]=0,tbl_Case_mins[[#This Row],[CancelledCase]]=0),1,0)</f>
        <v>#REF!</v>
      </c>
      <c r="AN348" s="9" t="e">
        <f>IF(tbl_Case_mins[[#This Row],[Surgery Status]]=1,1,0)</f>
        <v>#REF!</v>
      </c>
      <c r="AO34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8" s="9" t="e">
        <f>IF(AND(tbl_Case_mins[[#This Row],[NonCoreCase]]=1,tbl_Case_mins[[#This Row],[NoInCoreTime]]=0),1,0)</f>
        <v>#REF!</v>
      </c>
      <c r="AQ348" s="9" t="e">
        <f>IF(tbl_Case_mins[[#This Row],[Rank_AnaEnd]]&lt;tbl_Case_mins[[#This Row],[Rank_AnaSt]],1,0)</f>
        <v>#REF!</v>
      </c>
      <c r="AR348" s="9" t="e">
        <f>IF(AND(tbl_Case_mins[[#This Row],[InCoreCase]]=1,tbl_Case_mins[[#This Row],[Sch]]=1),1,0)</f>
        <v>#REF!</v>
      </c>
      <c r="AS348" s="9" t="e">
        <f>IF(AND(tbl_Case_mins[[#This Row],[InCoreCase]]=1,tbl_Case_mins[[#This Row],[Unsch]]=1),1,0)</f>
        <v>#REF!</v>
      </c>
      <c r="AT34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8" s="9" t="e">
        <f>IF(tbl_Case_mins[[#This Row],[Surgery Status]]=0,(tbl_Case_mins[[#This Row],[Anaesth End]]-tbl_Case_mins[[#This Row],[AnaesthStart]]),0)</f>
        <v>#REF!</v>
      </c>
      <c r="AX348" s="9" t="e">
        <f>IF(tbl_Case_mins[[#This Row],[Surgery Status]]=0,(tbl_Case_mins[[#This Row],[Surgery Finish]]-tbl_Case_mins[[#This Row],[Surgery Start]]),0)</f>
        <v>#REF!</v>
      </c>
      <c r="AY348" s="9" t="e">
        <f>tbl_Case_mins[[#This Row],[Surgery Start]]-tbl_Case_mins[[#This Row],[AnaesthStart]]</f>
        <v>#REF!</v>
      </c>
      <c r="AZ348" s="9" t="e">
        <f>tbl_Case_mins[[#This Row],[Anaesth End]]-tbl_Case_mins[[#This Row],[Surgery Finish]]</f>
        <v>#REF!</v>
      </c>
      <c r="BA34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8" s="16" cm="1">
        <f t="array" ref="BC34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8" s="16" t="e">
        <f>IF(AND(tbl_Case_mins[[#This Row],[FirstAMCase]]=1,tbl_Case_mins[[#This Row],[CancelledCase]]=0,OR(tbl_Case_mins[[#This Row],[EarlyStartAM]]&gt;0,tbl_Case_mins[[#This Row],[AnaesthStart]]=tbl_Case_mins[[#This Row],[ThOpenAm]])),1,0)</f>
        <v>#REF!</v>
      </c>
      <c r="BE348" s="16" t="e">
        <f>IF(AND(tbl_Case_mins[[#This Row],[Rank_AnaSt]]=tbl_Case_mins[[#This Row],[Min_RankAnaSt]],tbl_Case_mins[[#This Row],[Anaesth End]]&gt;=tbl_Case_mins[[#This Row],[ThOpenAm]],tbl_Case_mins[[#This Row],[PmCase]]=0),1,0)</f>
        <v>#REF!</v>
      </c>
      <c r="BF34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8" s="9" t="e" cm="1">
        <f t="array" ref="BH34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8" s="9" t="e">
        <f>IF(AND(tbl_Case_mins[[#This Row],[ThOpenPM]]&gt;0,tbl_Case_mins[[#This Row],[AnaesthStart]]&gt;tbl_Case_mins[[#This Row],[ThOpenPM]],tbl_Case_mins[[#This Row],[First PM Case]]=1),tbl_Case_mins[[#This Row],[AnaesthStart]]-tbl_Case_mins[[#This Row],[ThOpenPM]],0)</f>
        <v>#REF!</v>
      </c>
      <c r="BL34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8" s="9" t="e" cm="1">
        <f t="array" ref="BN34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8" s="9" t="e">
        <f>IF(AND(tbl_Case_mins[[#This Row],[ThClosePm]]&gt;0,tbl_Case_mins[[#This Row],[Anaesth End]]&gt;tbl_Case_mins[[#This Row],[ThClosePm]],tbl_Case_mins[[#This Row],[AnaesthStart]]&gt;tbl_Case_mins[[#This Row],[ThClosePm]]),tbl_Case_mins[[#This Row],[Into Recov]]-tbl_Case_mins[[#This Row],[AnaesthStart]],0)</f>
        <v>#REF!</v>
      </c>
      <c r="BP348" s="9" t="e">
        <f>IF(AND(tbl_Case_mins[[#This Row],[AnaesthStart]]&lt;tbl_Case_mins[[#This Row],[ThClosePm]],tbl_Case_mins[[#This Row],[Anaesth End]]&gt;tbl_Case_mins[[#This Row],[ThClosePm]]),tbl_Case_mins[[#This Row],[Anaesth End]]-tbl_Case_mins[[#This Row],[ThClosePm]],0)</f>
        <v>#REF!</v>
      </c>
      <c r="BQ348" s="9" t="e" cm="1">
        <f t="array" ref="BQ34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8" s="9" t="e" cm="1">
        <f t="array" ref="BR348">IF(tbl_Case_mins[[#This Row],[Rank_Adjust]]=SUMPRODUCT(-(tbl_Case_mins[Surgery Start Date]=tbl_Case_mins[[#This Row],[Surgery Start Date]]),-(tbl_Case_mins[Theatre]=tbl_Case_mins[[#This Row],[Theatre]])),INDEX(Poss_Time,MATCH(TEXT(tbl_Case_mins[[#This Row],[Surgery Start Date]],"ddd"),Day,0)),0)</f>
        <v>#REF!</v>
      </c>
      <c r="BS348" s="9" t="e">
        <f>tbl_Case_mins[[#This Row],[Core_Time]]*Util_Goal</f>
        <v>#REF!</v>
      </c>
      <c r="BT348" s="9" t="e" cm="1">
        <f t="array" ref="BT3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8" s="9" t="e" cm="1">
        <f t="array" ref="BU34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8" s="9" t="e">
        <f>IF(tbl_Case_mins[[#This Row],[Surgery End Date]]&gt;tbl_Case_mins[[#This Row],[Surgery Start Date]],tbl_Case_mins[[#This Row],[Anaesth End]]-1440,0)</f>
        <v>#REF!</v>
      </c>
      <c r="BY348" s="9" t="e">
        <f>tbl_Case_mins[[#This Row],[Total_NonCore]]-tbl_Case_mins[[#This Row],[NextDay_NonCore]]</f>
        <v>#REF!</v>
      </c>
      <c r="BZ348" s="10" t="e">
        <f>tbl_Case_mins[[#This Row],[InCoreUse]]/60</f>
        <v>#REF!</v>
      </c>
      <c r="CA348" s="10" t="e">
        <f>tbl_Case_mins[[#This Row],[Total_NonCore]]/60</f>
        <v>#REF!</v>
      </c>
      <c r="CB348" t="e" cm="1">
        <f t="array" ref="CB3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8" s="9" t="e" cm="1">
        <f t="array" ref="CC34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8" s="9" t="e" cm="1">
        <f t="array" ref="CD34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8" s="9" t="e" cm="1">
        <f t="array" ref="CE34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8" s="9" cm="1">
        <f t="array" ref="CF348">IFERROR(_xlfn.AGGREGATE(14,6,(tbl_Case_mins[Rank_AnaEnd])/((tbl_Case_mins[Surgery Start Date]=tbl_Case_mins[[#This Row],[Surgery Start Date]])*(tbl_Case_mins[Theatre]=tbl_Case_mins[[#This Row],[Theatre]])*(tbl_Case_mins[NoInCoreTime]=0)),1),-1)</f>
        <v>-1</v>
      </c>
      <c r="CG348" s="9" cm="1">
        <f t="array" ref="CG348">IFERROR(_xlfn.AGGREGATE(15,6,(tbl_Case_mins[Rank_AnaSt])/((tbl_Case_mins[Surgery Start Date]=tbl_Case_mins[[#This Row],[Surgery Start Date]])*(tbl_Case_mins[Theatre]=tbl_Case_mins[[#This Row],[Theatre]])*(tbl_Case_mins[NoInCoreTime]=0)),1),-1)</f>
        <v>-1</v>
      </c>
      <c r="CH34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8" t="e" cm="1">
        <f t="array" ref="CJ34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8" s="9" cm="1">
        <f t="array" ref="CO3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8" s="9" cm="1">
        <f t="array" ref="CP34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8" s="9" cm="1">
        <f t="array" ref="CQ348">IFERROR(IF(AND(tbl_Case_mins[[#This Row],[FirstAMCase]]=0,tbl_Case_mins[[#This Row],[Rank]]=_xlfn.AGGREGATE(14,6,(tbl_Case_mins[Rank])/((tbl_Case_mins[Surgery Start Date]=tbl_Case_mins[[#This Row],[Surgery Start Date]])*(tbl_Case_mins[Theatre]=tbl_Case_mins[[#This Row],[Theatre]])*(tbl_Case_mins[AmCase]=1)),1)),1,0),0)</f>
        <v>0</v>
      </c>
      <c r="CR348" s="9" cm="1">
        <f t="array" ref="CR34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8" s="9" t="e" cm="1">
        <f t="array" ref="CS34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8" s="9" cm="1">
        <f t="array" ref="CT348">IFERROR(IF(tbl_Case_mins[[#This Row],[Rank]]=_xlfn.AGGREGATE(15,6,(tbl_Case_mins[Rank])/((tbl_Case_mins[Surgery Start Date]=tbl_Case_mins[[#This Row],[Surgery Start Date]])*(tbl_Case_mins[Theatre]=tbl_Case_mins[[#This Row],[Theatre]])*(tbl_Case_mins[PmCase]=1)),1),1,0),0)</f>
        <v>0</v>
      </c>
      <c r="CU348">
        <f>IFERROR(#REF!,0)</f>
        <v>0</v>
      </c>
      <c r="CV348" s="9" t="e" cm="1">
        <f t="array" ref="CV34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8" s="9">
        <f>IFERROR(IF(ISBLANK(INDEX(Bay_AmClose,MATCH(1,INDEX((tbl_Case_mins[[#This Row],[Bay]]=BayNo)*(tbl_Case_mins[[#This Row],[Surgery Start Date]]=BDate),0,1),0))*1440),0,INDEX(Bay_AmClose,MATCH(1,INDEX((tbl_Case_mins[[#This Row],[Bay]]=BayNo)*(tbl_Case_mins[[#This Row],[Surgery Start Date]]=BDate),0,1),0))*1440),0)</f>
        <v>0</v>
      </c>
      <c r="CX348" s="9" cm="1">
        <f t="array" ref="CX348">IFERROR(IF(ISBLANK(INDEX(Bay_PmOpen,MATCH(1,INDEX((tbl_Case_mins[[#This Row],[Bay]]=BayNo)*(tbl_Case_mins[[#This Row],[Surgery Start Date]]=BDate),0,1),0))*1440),0,INDEX(Bay_PmOpen,MATCH(1,INDEX((tbl_Case_mins[[#This Row],[Bay]]=BayNo)*(tbl_Case_mins[[#This Row],[Surgery Start Date]]=BDate),0,1),0))*1440),0)</f>
        <v>0</v>
      </c>
      <c r="CY34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8" s="9"/>
    </row>
    <row r="349" spans="1:104" x14ac:dyDescent="0.2">
      <c r="A349">
        <v>348</v>
      </c>
      <c r="B349" t="e">
        <f>#REF!</f>
        <v>#REF!</v>
      </c>
      <c r="C349" t="e">
        <f>#REF!</f>
        <v>#REF!</v>
      </c>
      <c r="D349" t="e">
        <f>#REF!</f>
        <v>#REF!</v>
      </c>
      <c r="E349" t="e">
        <f>#REF!</f>
        <v>#REF!</v>
      </c>
      <c r="F349" t="e">
        <f>#REF!</f>
        <v>#REF!</v>
      </c>
      <c r="G349" t="e">
        <f>#REF!</f>
        <v>#REF!</v>
      </c>
      <c r="H349" t="e">
        <f>#REF!</f>
        <v>#REF!</v>
      </c>
      <c r="I349" t="e">
        <f>IF(#REF!="Case Cancelled",1,IF(#REF!="No Cases",2,0))</f>
        <v>#REF!</v>
      </c>
      <c r="J349" t="e">
        <f>#REF!</f>
        <v>#REF!</v>
      </c>
      <c r="K349" s="4" t="e">
        <f>#REF!</f>
        <v>#REF!</v>
      </c>
      <c r="L349" t="e">
        <f>"Wk "&amp;WEEKNUM(tbl_Case_mins[[#This Row],[Surgery Start Date]],21)</f>
        <v>#REF!</v>
      </c>
      <c r="M349" t="e">
        <f>TEXT(tbl_Case_mins[[#This Row],[Surgery Start Date]],"ddd")</f>
        <v>#REF!</v>
      </c>
      <c r="N349" s="9" t="e">
        <f>(#REF!-TIME(0,0,0))*1440</f>
        <v>#REF!</v>
      </c>
      <c r="O349" t="e">
        <f>IF(AND(ROUND((#REF!-TIME(0,0,0))*1440,0)&gt;0,ROUND((#REF!-TIME(0,0,0))*1440,0)&lt;tbl_Case_mins[[#This Row],[Patient Called]],tbl_Case_mins[[#This Row],[Surgery End Date]]&gt;tbl_Case_mins[[#This Row],[Surgery Start Date]]),ROUND((#REF!-TIME(0,0,0))*1440,0)+1440,ROUND((#REF!-TIME(0,0,0))*1440,0))</f>
        <v>#REF!</v>
      </c>
      <c r="P349" s="9" t="e">
        <f>IF(AND(ROUND((#REF!-TIME(0,0,0))*1440,0)&gt;0,ROUND((#REF!-TIME(0,0,0))*1440,0)&lt;tbl_Case_mins[[#This Row],[Arrival]],tbl_Case_mins[[#This Row],[Surgery End Date]]&gt;tbl_Case_mins[[#This Row],[Surgery Start Date]]),ROUND((#REF!-TIME(0,0,0))*1440,0)+1440,ROUND((#REF!-TIME(0,0,0))*1440,0))</f>
        <v>#REF!</v>
      </c>
      <c r="Q349" s="9" t="e">
        <f>IF(AND(ROUND((#REF!-TIME(0,0,0))*1440,0)&gt;0,ROUND((#REF!-TIME(0,0,0))*1440,0)&lt;tbl_Case_mins[[#This Row],[Into Th or AR]],tbl_Case_mins[[#This Row],[Surgery End Date]]&gt;tbl_Case_mins[[#This Row],[Surgery Start Date]]),ROUND((#REF!-TIME(0,0,0))*1440,0)+1440,ROUND((#REF!-TIME(0,0,0))*1440,0))</f>
        <v>#REF!</v>
      </c>
      <c r="R349" s="9" t="e">
        <f>IF(AND(ROUND((#REF!-TIME(0,0,0))*1440,0)&gt;0,ROUND((#REF!-TIME(0,0,0))*1440,0)&lt;tbl_Case_mins[[#This Row],[AnaesthStart]],tbl_Case_mins[[#This Row],[Surgery End Date]]&gt;tbl_Case_mins[[#This Row],[Surgery Start Date]]),ROUND((#REF!-TIME(0,0,0))*1440,0)+1440,ROUND((#REF!-TIME(0,0,0))*1440,0))</f>
        <v>#REF!</v>
      </c>
      <c r="S349" s="9" t="e">
        <f>IF(AND(ROUND((#REF!-TIME(0,0,0))*1440,0),ROUND((#REF!-TIME(0,0,0))*1440,0)&lt;tbl_Case_mins[[#This Row],[Surgery Start]],tbl_Case_mins[[#This Row],[Surgery End Date]]&gt;tbl_Case_mins[[#This Row],[Surgery Start Date]]),ROUND((#REF!-TIME(0,0,0))*1440,0)+1440,ROUND((#REF!-TIME(0,0,0))*1440,0))</f>
        <v>#REF!</v>
      </c>
      <c r="T349" s="9" t="e">
        <f>IF(AND(ROUND((#REF!-TIME(0,0,0))*1440,0)&gt;0,ROUND((#REF!-TIME(0,0,0))*1440,0)&lt;tbl_Case_mins[[#This Row],[Surgery Finish]],tbl_Case_mins[[#This Row],[Surgery End Date]]&gt;tbl_Case_mins[[#This Row],[Surgery Start Date]]),ROUND((#REF!-TIME(0,0,0))*1440,0)+1440,ROUND((#REF!-TIME(0,0,0))*1440,0))</f>
        <v>#REF!</v>
      </c>
      <c r="U349" s="9" t="e">
        <f>IF(AND(ROUND((#REF!-TIME(0,0,0))*1440,0)&gt;0,ROUND((#REF!-TIME(0,0,0))*1440,0)&lt;tbl_Case_mins[[#This Row],[Anaesth End]],tbl_Case_mins[[#This Row],[Surgery End Date]]&gt;tbl_Case_mins[[#This Row],[Surgery Start Date]]),ROUND((#REF!-TIME(0,0,0))*1440,0)+1440,ROUND((#REF!-TIME(0,0,0))*1440,0))</f>
        <v>#REF!</v>
      </c>
      <c r="V349" s="9" t="e">
        <f>IF(AND(ROUND((#REF!-TIME(0,0,0))*1440,0)&gt;0,ROUND((#REF!-TIME(0,0,0))*1440,0)&lt;tbl_Case_mins[[#This Row],[Into Recov]],tbl_Case_mins[[#This Row],[Surgery End Date]]&gt;tbl_Case_mins[[#This Row],[Surgery Start Date]]),ROUND((#REF!-TIME(0,0,0))*1440,0)+1440,ROUND((#REF!-TIME(0,0,0))*1440,0))</f>
        <v>#REF!</v>
      </c>
      <c r="W349" s="9" t="e">
        <f>IF(AND(ROUND((#REF!-TIME(0,0,0))*1440,0)&gt;0,ROUND((#REF!-TIME(0,0,0))*1440,0)&lt;tbl_Case_mins[[#This Row],[Ward Called]],tbl_Case_mins[[#This Row],[Surgery End Date]]&gt;tbl_Case_mins[[#This Row],[Surgery Start Date]]),ROUND((#REF!-TIME(0,0,0))*1440,0)+1440,ROUND((#REF!-TIME(0,0,0))*1440,0))</f>
        <v>#REF!</v>
      </c>
      <c r="X349" s="4" t="e">
        <f>IF(ISBLANK(#REF!),tbl_Case_mins[[#This Row],[Surgery Start Date]],#REF!)</f>
        <v>#REF!</v>
      </c>
      <c r="Y349">
        <f>IFERROR(IF(VLOOKUP(tbl_Case_mins[[#This Row],[Theatre]],'Mng Theatres'!$C$7:$G$12,3,FALSE)="Yes","Yes","No"),0)</f>
        <v>0</v>
      </c>
      <c r="Z349" s="9" t="e" cm="1">
        <f t="array" ref="Z34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49" s="9" t="e" cm="1">
        <f t="array" ref="AA34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4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49" s="9" t="e">
        <f>IF(tbl_Case_mins[[#This Row],[Case Type]]="Unsch",1,0)</f>
        <v>#REF!</v>
      </c>
      <c r="AD349" s="9" t="e">
        <f>IF(tbl_Case_mins[[#This Row],[Case Type]]="Sch",1,0)</f>
        <v>#REF!</v>
      </c>
      <c r="AE34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49" s="9">
        <f>IFERROR(IF(ISBLANK(INDEX(Am_Close,MATCH(1,INDEX((tbl_Case_mins[[#This Row],[Theatre]]=Theatre_No)*(tbl_Case_mins[[#This Row],[Surgery Start Date]]=Date),0,1),0))*1440),0,INDEX(Am_Close,MATCH(1,INDEX((tbl_Case_mins[[#This Row],[Theatre]]=Theatre_No)*(tbl_Case_mins[[#This Row],[Surgery Start Date]]=Date),0,1),0))*1440),0)</f>
        <v>0</v>
      </c>
      <c r="AG349" s="9">
        <f>IFERROR(IF(ISBLANK(INDEX(PM_Open,MATCH(1,INDEX((tbl_Case_mins[[#This Row],[Theatre]]=Theatre_No)*(tbl_Case_mins[[#This Row],[Surgery Start Date]]=Date),0,1),0))*1440),0,INDEX(PM_Open,MATCH(1,INDEX((tbl_Case_mins[[#This Row],[Theatre]]=Theatre_No)*(tbl_Case_mins[[#This Row],[Surgery Start Date]]=Date),0,1),0))*1440),0)</f>
        <v>0</v>
      </c>
      <c r="AH34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49" s="9" t="e">
        <f>IF(tbl_Case_mins[[#This Row],[ThOpenAm]]=0,tbl_Case_mins[[#This Row],[ThOpenPM]],tbl_Case_mins[[#This Row],[ThOpenAm]])</f>
        <v>#REF!</v>
      </c>
      <c r="AJ349" s="9" t="e">
        <f>IF(tbl_Case_mins[[#This Row],[ThCloseAm]]&gt;0,IF(tbl_Case_mins[[#This Row],[ThOpenPM]]&gt;0,tbl_Case_mins[[#This Row],[ThClosePm]],tbl_Case_mins[[#This Row],[ThCloseAm]]),tbl_Case_mins[[#This Row],[ThClosePm]])</f>
        <v>#REF!</v>
      </c>
      <c r="AK349" s="9" t="e">
        <f>IF(tbl_Case_mins[[#This Row],[TOT]]&gt;0,1,0)</f>
        <v>#REF!</v>
      </c>
      <c r="AL34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49" s="9" t="e">
        <f>IF(AND(tbl_Case_mins[[#This Row],[Surgery Status]]&lt;&gt;2,tbl_Case_mins[[#This Row],[InCoreCase]]=0,tbl_Case_mins[[#This Row],[CancelledCase]]=0),1,0)</f>
        <v>#REF!</v>
      </c>
      <c r="AN349" s="9" t="e">
        <f>IF(tbl_Case_mins[[#This Row],[Surgery Status]]=1,1,0)</f>
        <v>#REF!</v>
      </c>
      <c r="AO34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49" s="9" t="e">
        <f>IF(AND(tbl_Case_mins[[#This Row],[NonCoreCase]]=1,tbl_Case_mins[[#This Row],[NoInCoreTime]]=0),1,0)</f>
        <v>#REF!</v>
      </c>
      <c r="AQ349" s="9" t="e">
        <f>IF(tbl_Case_mins[[#This Row],[Rank_AnaEnd]]&lt;tbl_Case_mins[[#This Row],[Rank_AnaSt]],1,0)</f>
        <v>#REF!</v>
      </c>
      <c r="AR349" s="9" t="e">
        <f>IF(AND(tbl_Case_mins[[#This Row],[InCoreCase]]=1,tbl_Case_mins[[#This Row],[Sch]]=1),1,0)</f>
        <v>#REF!</v>
      </c>
      <c r="AS349" s="9" t="e">
        <f>IF(AND(tbl_Case_mins[[#This Row],[InCoreCase]]=1,tbl_Case_mins[[#This Row],[Unsch]]=1),1,0)</f>
        <v>#REF!</v>
      </c>
      <c r="AT34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4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4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49" s="9" t="e">
        <f>IF(tbl_Case_mins[[#This Row],[Surgery Status]]=0,(tbl_Case_mins[[#This Row],[Anaesth End]]-tbl_Case_mins[[#This Row],[AnaesthStart]]),0)</f>
        <v>#REF!</v>
      </c>
      <c r="AX349" s="9" t="e">
        <f>IF(tbl_Case_mins[[#This Row],[Surgery Status]]=0,(tbl_Case_mins[[#This Row],[Surgery Finish]]-tbl_Case_mins[[#This Row],[Surgery Start]]),0)</f>
        <v>#REF!</v>
      </c>
      <c r="AY349" s="9" t="e">
        <f>tbl_Case_mins[[#This Row],[Surgery Start]]-tbl_Case_mins[[#This Row],[AnaesthStart]]</f>
        <v>#REF!</v>
      </c>
      <c r="AZ349" s="9" t="e">
        <f>tbl_Case_mins[[#This Row],[Anaesth End]]-tbl_Case_mins[[#This Row],[Surgery Finish]]</f>
        <v>#REF!</v>
      </c>
      <c r="BA34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4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49" s="16" cm="1">
        <f t="array" ref="BC34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49" s="16" t="e">
        <f>IF(AND(tbl_Case_mins[[#This Row],[FirstAMCase]]=1,tbl_Case_mins[[#This Row],[CancelledCase]]=0,OR(tbl_Case_mins[[#This Row],[EarlyStartAM]]&gt;0,tbl_Case_mins[[#This Row],[AnaesthStart]]=tbl_Case_mins[[#This Row],[ThOpenAm]])),1,0)</f>
        <v>#REF!</v>
      </c>
      <c r="BE349" s="16" t="e">
        <f>IF(AND(tbl_Case_mins[[#This Row],[Rank_AnaSt]]=tbl_Case_mins[[#This Row],[Min_RankAnaSt]],tbl_Case_mins[[#This Row],[Anaesth End]]&gt;=tbl_Case_mins[[#This Row],[ThOpenAm]],tbl_Case_mins[[#This Row],[PmCase]]=0),1,0)</f>
        <v>#REF!</v>
      </c>
      <c r="BF34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4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49" s="9" t="e" cm="1">
        <f t="array" ref="BH34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4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4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49" s="9" t="e">
        <f>IF(AND(tbl_Case_mins[[#This Row],[ThOpenPM]]&gt;0,tbl_Case_mins[[#This Row],[AnaesthStart]]&gt;tbl_Case_mins[[#This Row],[ThOpenPM]],tbl_Case_mins[[#This Row],[First PM Case]]=1),tbl_Case_mins[[#This Row],[AnaesthStart]]-tbl_Case_mins[[#This Row],[ThOpenPM]],0)</f>
        <v>#REF!</v>
      </c>
      <c r="BL34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4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49" s="9" t="e" cm="1">
        <f t="array" ref="BN34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49" s="9" t="e">
        <f>IF(AND(tbl_Case_mins[[#This Row],[ThClosePm]]&gt;0,tbl_Case_mins[[#This Row],[Anaesth End]]&gt;tbl_Case_mins[[#This Row],[ThClosePm]],tbl_Case_mins[[#This Row],[AnaesthStart]]&gt;tbl_Case_mins[[#This Row],[ThClosePm]]),tbl_Case_mins[[#This Row],[Into Recov]]-tbl_Case_mins[[#This Row],[AnaesthStart]],0)</f>
        <v>#REF!</v>
      </c>
      <c r="BP349" s="9" t="e">
        <f>IF(AND(tbl_Case_mins[[#This Row],[AnaesthStart]]&lt;tbl_Case_mins[[#This Row],[ThClosePm]],tbl_Case_mins[[#This Row],[Anaesth End]]&gt;tbl_Case_mins[[#This Row],[ThClosePm]]),tbl_Case_mins[[#This Row],[Anaesth End]]-tbl_Case_mins[[#This Row],[ThClosePm]],0)</f>
        <v>#REF!</v>
      </c>
      <c r="BQ349" s="9" t="e" cm="1">
        <f t="array" ref="BQ34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49" s="9" t="e" cm="1">
        <f t="array" ref="BR349">IF(tbl_Case_mins[[#This Row],[Rank_Adjust]]=SUMPRODUCT(-(tbl_Case_mins[Surgery Start Date]=tbl_Case_mins[[#This Row],[Surgery Start Date]]),-(tbl_Case_mins[Theatre]=tbl_Case_mins[[#This Row],[Theatre]])),INDEX(Poss_Time,MATCH(TEXT(tbl_Case_mins[[#This Row],[Surgery Start Date]],"ddd"),Day,0)),0)</f>
        <v>#REF!</v>
      </c>
      <c r="BS349" s="9" t="e">
        <f>tbl_Case_mins[[#This Row],[Core_Time]]*Util_Goal</f>
        <v>#REF!</v>
      </c>
      <c r="BT349" s="9" t="e" cm="1">
        <f t="array" ref="BT3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49" s="9" t="e" cm="1">
        <f t="array" ref="BU34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4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4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49" s="9" t="e">
        <f>IF(tbl_Case_mins[[#This Row],[Surgery End Date]]&gt;tbl_Case_mins[[#This Row],[Surgery Start Date]],tbl_Case_mins[[#This Row],[Anaesth End]]-1440,0)</f>
        <v>#REF!</v>
      </c>
      <c r="BY349" s="9" t="e">
        <f>tbl_Case_mins[[#This Row],[Total_NonCore]]-tbl_Case_mins[[#This Row],[NextDay_NonCore]]</f>
        <v>#REF!</v>
      </c>
      <c r="BZ349" s="10" t="e">
        <f>tbl_Case_mins[[#This Row],[InCoreUse]]/60</f>
        <v>#REF!</v>
      </c>
      <c r="CA349" s="10" t="e">
        <f>tbl_Case_mins[[#This Row],[Total_NonCore]]/60</f>
        <v>#REF!</v>
      </c>
      <c r="CB349" t="e" cm="1">
        <f t="array" ref="CB3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49" s="9" t="e" cm="1">
        <f t="array" ref="CC34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49" s="9" t="e" cm="1">
        <f t="array" ref="CD34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49" s="9" t="e" cm="1">
        <f t="array" ref="CE34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49" s="9" cm="1">
        <f t="array" ref="CF349">IFERROR(_xlfn.AGGREGATE(14,6,(tbl_Case_mins[Rank_AnaEnd])/((tbl_Case_mins[Surgery Start Date]=tbl_Case_mins[[#This Row],[Surgery Start Date]])*(tbl_Case_mins[Theatre]=tbl_Case_mins[[#This Row],[Theatre]])*(tbl_Case_mins[NoInCoreTime]=0)),1),-1)</f>
        <v>-1</v>
      </c>
      <c r="CG349" s="9" cm="1">
        <f t="array" ref="CG349">IFERROR(_xlfn.AGGREGATE(15,6,(tbl_Case_mins[Rank_AnaSt])/((tbl_Case_mins[Surgery Start Date]=tbl_Case_mins[[#This Row],[Surgery Start Date]])*(tbl_Case_mins[Theatre]=tbl_Case_mins[[#This Row],[Theatre]])*(tbl_Case_mins[NoInCoreTime]=0)),1),-1)</f>
        <v>-1</v>
      </c>
      <c r="CH34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4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49" t="e" cm="1">
        <f t="array" ref="CJ34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4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4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4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49" s="9" cm="1">
        <f t="array" ref="CO3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49" s="9" cm="1">
        <f t="array" ref="CP34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49" s="9" cm="1">
        <f t="array" ref="CQ349">IFERROR(IF(AND(tbl_Case_mins[[#This Row],[FirstAMCase]]=0,tbl_Case_mins[[#This Row],[Rank]]=_xlfn.AGGREGATE(14,6,(tbl_Case_mins[Rank])/((tbl_Case_mins[Surgery Start Date]=tbl_Case_mins[[#This Row],[Surgery Start Date]])*(tbl_Case_mins[Theatre]=tbl_Case_mins[[#This Row],[Theatre]])*(tbl_Case_mins[AmCase]=1)),1)),1,0),0)</f>
        <v>0</v>
      </c>
      <c r="CR349" s="9" cm="1">
        <f t="array" ref="CR34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49" s="9" t="e" cm="1">
        <f t="array" ref="CS34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49" s="9" cm="1">
        <f t="array" ref="CT349">IFERROR(IF(tbl_Case_mins[[#This Row],[Rank]]=_xlfn.AGGREGATE(15,6,(tbl_Case_mins[Rank])/((tbl_Case_mins[Surgery Start Date]=tbl_Case_mins[[#This Row],[Surgery Start Date]])*(tbl_Case_mins[Theatre]=tbl_Case_mins[[#This Row],[Theatre]])*(tbl_Case_mins[PmCase]=1)),1),1,0),0)</f>
        <v>0</v>
      </c>
      <c r="CU349">
        <f>IFERROR(#REF!,0)</f>
        <v>0</v>
      </c>
      <c r="CV349" s="9" t="e" cm="1">
        <f t="array" ref="CV34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49" s="9">
        <f>IFERROR(IF(ISBLANK(INDEX(Bay_AmClose,MATCH(1,INDEX((tbl_Case_mins[[#This Row],[Bay]]=BayNo)*(tbl_Case_mins[[#This Row],[Surgery Start Date]]=BDate),0,1),0))*1440),0,INDEX(Bay_AmClose,MATCH(1,INDEX((tbl_Case_mins[[#This Row],[Bay]]=BayNo)*(tbl_Case_mins[[#This Row],[Surgery Start Date]]=BDate),0,1),0))*1440),0)</f>
        <v>0</v>
      </c>
      <c r="CX349" s="9" cm="1">
        <f t="array" ref="CX349">IFERROR(IF(ISBLANK(INDEX(Bay_PmOpen,MATCH(1,INDEX((tbl_Case_mins[[#This Row],[Bay]]=BayNo)*(tbl_Case_mins[[#This Row],[Surgery Start Date]]=BDate),0,1),0))*1440),0,INDEX(Bay_PmOpen,MATCH(1,INDEX((tbl_Case_mins[[#This Row],[Bay]]=BayNo)*(tbl_Case_mins[[#This Row],[Surgery Start Date]]=BDate),0,1),0))*1440),0)</f>
        <v>0</v>
      </c>
      <c r="CY34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49" s="9"/>
    </row>
    <row r="350" spans="1:104" x14ac:dyDescent="0.2">
      <c r="A350">
        <v>349</v>
      </c>
      <c r="B350" t="e">
        <f>#REF!</f>
        <v>#REF!</v>
      </c>
      <c r="C350" t="e">
        <f>#REF!</f>
        <v>#REF!</v>
      </c>
      <c r="D350" t="e">
        <f>#REF!</f>
        <v>#REF!</v>
      </c>
      <c r="E350" t="e">
        <f>#REF!</f>
        <v>#REF!</v>
      </c>
      <c r="F350" t="e">
        <f>#REF!</f>
        <v>#REF!</v>
      </c>
      <c r="G350" t="e">
        <f>#REF!</f>
        <v>#REF!</v>
      </c>
      <c r="H350" t="e">
        <f>#REF!</f>
        <v>#REF!</v>
      </c>
      <c r="I350" t="e">
        <f>IF(#REF!="Case Cancelled",1,IF(#REF!="No Cases",2,0))</f>
        <v>#REF!</v>
      </c>
      <c r="J350" t="e">
        <f>#REF!</f>
        <v>#REF!</v>
      </c>
      <c r="K350" s="4" t="e">
        <f>#REF!</f>
        <v>#REF!</v>
      </c>
      <c r="L350" t="e">
        <f>"Wk "&amp;WEEKNUM(tbl_Case_mins[[#This Row],[Surgery Start Date]],21)</f>
        <v>#REF!</v>
      </c>
      <c r="M350" t="e">
        <f>TEXT(tbl_Case_mins[[#This Row],[Surgery Start Date]],"ddd")</f>
        <v>#REF!</v>
      </c>
      <c r="N350" s="9" t="e">
        <f>(#REF!-TIME(0,0,0))*1440</f>
        <v>#REF!</v>
      </c>
      <c r="O350" t="e">
        <f>IF(AND(ROUND((#REF!-TIME(0,0,0))*1440,0)&gt;0,ROUND((#REF!-TIME(0,0,0))*1440,0)&lt;tbl_Case_mins[[#This Row],[Patient Called]],tbl_Case_mins[[#This Row],[Surgery End Date]]&gt;tbl_Case_mins[[#This Row],[Surgery Start Date]]),ROUND((#REF!-TIME(0,0,0))*1440,0)+1440,ROUND((#REF!-TIME(0,0,0))*1440,0))</f>
        <v>#REF!</v>
      </c>
      <c r="P350" s="9" t="e">
        <f>IF(AND(ROUND((#REF!-TIME(0,0,0))*1440,0)&gt;0,ROUND((#REF!-TIME(0,0,0))*1440,0)&lt;tbl_Case_mins[[#This Row],[Arrival]],tbl_Case_mins[[#This Row],[Surgery End Date]]&gt;tbl_Case_mins[[#This Row],[Surgery Start Date]]),ROUND((#REF!-TIME(0,0,0))*1440,0)+1440,ROUND((#REF!-TIME(0,0,0))*1440,0))</f>
        <v>#REF!</v>
      </c>
      <c r="Q350" s="9" t="e">
        <f>IF(AND(ROUND((#REF!-TIME(0,0,0))*1440,0)&gt;0,ROUND((#REF!-TIME(0,0,0))*1440,0)&lt;tbl_Case_mins[[#This Row],[Into Th or AR]],tbl_Case_mins[[#This Row],[Surgery End Date]]&gt;tbl_Case_mins[[#This Row],[Surgery Start Date]]),ROUND((#REF!-TIME(0,0,0))*1440,0)+1440,ROUND((#REF!-TIME(0,0,0))*1440,0))</f>
        <v>#REF!</v>
      </c>
      <c r="R350" s="9" t="e">
        <f>IF(AND(ROUND((#REF!-TIME(0,0,0))*1440,0)&gt;0,ROUND((#REF!-TIME(0,0,0))*1440,0)&lt;tbl_Case_mins[[#This Row],[AnaesthStart]],tbl_Case_mins[[#This Row],[Surgery End Date]]&gt;tbl_Case_mins[[#This Row],[Surgery Start Date]]),ROUND((#REF!-TIME(0,0,0))*1440,0)+1440,ROUND((#REF!-TIME(0,0,0))*1440,0))</f>
        <v>#REF!</v>
      </c>
      <c r="S350" s="9" t="e">
        <f>IF(AND(ROUND((#REF!-TIME(0,0,0))*1440,0),ROUND((#REF!-TIME(0,0,0))*1440,0)&lt;tbl_Case_mins[[#This Row],[Surgery Start]],tbl_Case_mins[[#This Row],[Surgery End Date]]&gt;tbl_Case_mins[[#This Row],[Surgery Start Date]]),ROUND((#REF!-TIME(0,0,0))*1440,0)+1440,ROUND((#REF!-TIME(0,0,0))*1440,0))</f>
        <v>#REF!</v>
      </c>
      <c r="T350" s="9" t="e">
        <f>IF(AND(ROUND((#REF!-TIME(0,0,0))*1440,0)&gt;0,ROUND((#REF!-TIME(0,0,0))*1440,0)&lt;tbl_Case_mins[[#This Row],[Surgery Finish]],tbl_Case_mins[[#This Row],[Surgery End Date]]&gt;tbl_Case_mins[[#This Row],[Surgery Start Date]]),ROUND((#REF!-TIME(0,0,0))*1440,0)+1440,ROUND((#REF!-TIME(0,0,0))*1440,0))</f>
        <v>#REF!</v>
      </c>
      <c r="U350" s="9" t="e">
        <f>IF(AND(ROUND((#REF!-TIME(0,0,0))*1440,0)&gt;0,ROUND((#REF!-TIME(0,0,0))*1440,0)&lt;tbl_Case_mins[[#This Row],[Anaesth End]],tbl_Case_mins[[#This Row],[Surgery End Date]]&gt;tbl_Case_mins[[#This Row],[Surgery Start Date]]),ROUND((#REF!-TIME(0,0,0))*1440,0)+1440,ROUND((#REF!-TIME(0,0,0))*1440,0))</f>
        <v>#REF!</v>
      </c>
      <c r="V350" s="9" t="e">
        <f>IF(AND(ROUND((#REF!-TIME(0,0,0))*1440,0)&gt;0,ROUND((#REF!-TIME(0,0,0))*1440,0)&lt;tbl_Case_mins[[#This Row],[Into Recov]],tbl_Case_mins[[#This Row],[Surgery End Date]]&gt;tbl_Case_mins[[#This Row],[Surgery Start Date]]),ROUND((#REF!-TIME(0,0,0))*1440,0)+1440,ROUND((#REF!-TIME(0,0,0))*1440,0))</f>
        <v>#REF!</v>
      </c>
      <c r="W350" s="9" t="e">
        <f>IF(AND(ROUND((#REF!-TIME(0,0,0))*1440,0)&gt;0,ROUND((#REF!-TIME(0,0,0))*1440,0)&lt;tbl_Case_mins[[#This Row],[Ward Called]],tbl_Case_mins[[#This Row],[Surgery End Date]]&gt;tbl_Case_mins[[#This Row],[Surgery Start Date]]),ROUND((#REF!-TIME(0,0,0))*1440,0)+1440,ROUND((#REF!-TIME(0,0,0))*1440,0))</f>
        <v>#REF!</v>
      </c>
      <c r="X350" s="4" t="e">
        <f>IF(ISBLANK(#REF!),tbl_Case_mins[[#This Row],[Surgery Start Date]],#REF!)</f>
        <v>#REF!</v>
      </c>
      <c r="Y350">
        <f>IFERROR(IF(VLOOKUP(tbl_Case_mins[[#This Row],[Theatre]],'Mng Theatres'!$C$7:$G$12,3,FALSE)="Yes","Yes","No"),0)</f>
        <v>0</v>
      </c>
      <c r="Z350" s="9" t="e" cm="1">
        <f t="array" ref="Z35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0" s="9" t="e" cm="1">
        <f t="array" ref="AA35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0" s="9" t="e">
        <f>IF(tbl_Case_mins[[#This Row],[Case Type]]="Unsch",1,0)</f>
        <v>#REF!</v>
      </c>
      <c r="AD350" s="9" t="e">
        <f>IF(tbl_Case_mins[[#This Row],[Case Type]]="Sch",1,0)</f>
        <v>#REF!</v>
      </c>
      <c r="AE35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0" s="9">
        <f>IFERROR(IF(ISBLANK(INDEX(Am_Close,MATCH(1,INDEX((tbl_Case_mins[[#This Row],[Theatre]]=Theatre_No)*(tbl_Case_mins[[#This Row],[Surgery Start Date]]=Date),0,1),0))*1440),0,INDEX(Am_Close,MATCH(1,INDEX((tbl_Case_mins[[#This Row],[Theatre]]=Theatre_No)*(tbl_Case_mins[[#This Row],[Surgery Start Date]]=Date),0,1),0))*1440),0)</f>
        <v>0</v>
      </c>
      <c r="AG350" s="9">
        <f>IFERROR(IF(ISBLANK(INDEX(PM_Open,MATCH(1,INDEX((tbl_Case_mins[[#This Row],[Theatre]]=Theatre_No)*(tbl_Case_mins[[#This Row],[Surgery Start Date]]=Date),0,1),0))*1440),0,INDEX(PM_Open,MATCH(1,INDEX((tbl_Case_mins[[#This Row],[Theatre]]=Theatre_No)*(tbl_Case_mins[[#This Row],[Surgery Start Date]]=Date),0,1),0))*1440),0)</f>
        <v>0</v>
      </c>
      <c r="AH35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0" s="9" t="e">
        <f>IF(tbl_Case_mins[[#This Row],[ThOpenAm]]=0,tbl_Case_mins[[#This Row],[ThOpenPM]],tbl_Case_mins[[#This Row],[ThOpenAm]])</f>
        <v>#REF!</v>
      </c>
      <c r="AJ350" s="9" t="e">
        <f>IF(tbl_Case_mins[[#This Row],[ThCloseAm]]&gt;0,IF(tbl_Case_mins[[#This Row],[ThOpenPM]]&gt;0,tbl_Case_mins[[#This Row],[ThClosePm]],tbl_Case_mins[[#This Row],[ThCloseAm]]),tbl_Case_mins[[#This Row],[ThClosePm]])</f>
        <v>#REF!</v>
      </c>
      <c r="AK350" s="9" t="e">
        <f>IF(tbl_Case_mins[[#This Row],[TOT]]&gt;0,1,0)</f>
        <v>#REF!</v>
      </c>
      <c r="AL35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0" s="9" t="e">
        <f>IF(AND(tbl_Case_mins[[#This Row],[Surgery Status]]&lt;&gt;2,tbl_Case_mins[[#This Row],[InCoreCase]]=0,tbl_Case_mins[[#This Row],[CancelledCase]]=0),1,0)</f>
        <v>#REF!</v>
      </c>
      <c r="AN350" s="9" t="e">
        <f>IF(tbl_Case_mins[[#This Row],[Surgery Status]]=1,1,0)</f>
        <v>#REF!</v>
      </c>
      <c r="AO35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0" s="9" t="e">
        <f>IF(AND(tbl_Case_mins[[#This Row],[NonCoreCase]]=1,tbl_Case_mins[[#This Row],[NoInCoreTime]]=0),1,0)</f>
        <v>#REF!</v>
      </c>
      <c r="AQ350" s="9" t="e">
        <f>IF(tbl_Case_mins[[#This Row],[Rank_AnaEnd]]&lt;tbl_Case_mins[[#This Row],[Rank_AnaSt]],1,0)</f>
        <v>#REF!</v>
      </c>
      <c r="AR350" s="9" t="e">
        <f>IF(AND(tbl_Case_mins[[#This Row],[InCoreCase]]=1,tbl_Case_mins[[#This Row],[Sch]]=1),1,0)</f>
        <v>#REF!</v>
      </c>
      <c r="AS350" s="9" t="e">
        <f>IF(AND(tbl_Case_mins[[#This Row],[InCoreCase]]=1,tbl_Case_mins[[#This Row],[Unsch]]=1),1,0)</f>
        <v>#REF!</v>
      </c>
      <c r="AT35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0" s="9" t="e">
        <f>IF(tbl_Case_mins[[#This Row],[Surgery Status]]=0,(tbl_Case_mins[[#This Row],[Anaesth End]]-tbl_Case_mins[[#This Row],[AnaesthStart]]),0)</f>
        <v>#REF!</v>
      </c>
      <c r="AX350" s="9" t="e">
        <f>IF(tbl_Case_mins[[#This Row],[Surgery Status]]=0,(tbl_Case_mins[[#This Row],[Surgery Finish]]-tbl_Case_mins[[#This Row],[Surgery Start]]),0)</f>
        <v>#REF!</v>
      </c>
      <c r="AY350" s="9" t="e">
        <f>tbl_Case_mins[[#This Row],[Surgery Start]]-tbl_Case_mins[[#This Row],[AnaesthStart]]</f>
        <v>#REF!</v>
      </c>
      <c r="AZ350" s="9" t="e">
        <f>tbl_Case_mins[[#This Row],[Anaesth End]]-tbl_Case_mins[[#This Row],[Surgery Finish]]</f>
        <v>#REF!</v>
      </c>
      <c r="BA35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0" s="16" cm="1">
        <f t="array" ref="BC35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0" s="16" t="e">
        <f>IF(AND(tbl_Case_mins[[#This Row],[FirstAMCase]]=1,tbl_Case_mins[[#This Row],[CancelledCase]]=0,OR(tbl_Case_mins[[#This Row],[EarlyStartAM]]&gt;0,tbl_Case_mins[[#This Row],[AnaesthStart]]=tbl_Case_mins[[#This Row],[ThOpenAm]])),1,0)</f>
        <v>#REF!</v>
      </c>
      <c r="BE350" s="16" t="e">
        <f>IF(AND(tbl_Case_mins[[#This Row],[Rank_AnaSt]]=tbl_Case_mins[[#This Row],[Min_RankAnaSt]],tbl_Case_mins[[#This Row],[Anaesth End]]&gt;=tbl_Case_mins[[#This Row],[ThOpenAm]],tbl_Case_mins[[#This Row],[PmCase]]=0),1,0)</f>
        <v>#REF!</v>
      </c>
      <c r="BF35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0" s="9" t="e" cm="1">
        <f t="array" ref="BH35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0" s="9" t="e">
        <f>IF(AND(tbl_Case_mins[[#This Row],[ThOpenPM]]&gt;0,tbl_Case_mins[[#This Row],[AnaesthStart]]&gt;tbl_Case_mins[[#This Row],[ThOpenPM]],tbl_Case_mins[[#This Row],[First PM Case]]=1),tbl_Case_mins[[#This Row],[AnaesthStart]]-tbl_Case_mins[[#This Row],[ThOpenPM]],0)</f>
        <v>#REF!</v>
      </c>
      <c r="BL35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0" s="9" t="e" cm="1">
        <f t="array" ref="BN35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0" s="9" t="e">
        <f>IF(AND(tbl_Case_mins[[#This Row],[ThClosePm]]&gt;0,tbl_Case_mins[[#This Row],[Anaesth End]]&gt;tbl_Case_mins[[#This Row],[ThClosePm]],tbl_Case_mins[[#This Row],[AnaesthStart]]&gt;tbl_Case_mins[[#This Row],[ThClosePm]]),tbl_Case_mins[[#This Row],[Into Recov]]-tbl_Case_mins[[#This Row],[AnaesthStart]],0)</f>
        <v>#REF!</v>
      </c>
      <c r="BP350" s="9" t="e">
        <f>IF(AND(tbl_Case_mins[[#This Row],[AnaesthStart]]&lt;tbl_Case_mins[[#This Row],[ThClosePm]],tbl_Case_mins[[#This Row],[Anaesth End]]&gt;tbl_Case_mins[[#This Row],[ThClosePm]]),tbl_Case_mins[[#This Row],[Anaesth End]]-tbl_Case_mins[[#This Row],[ThClosePm]],0)</f>
        <v>#REF!</v>
      </c>
      <c r="BQ350" s="9" t="e" cm="1">
        <f t="array" ref="BQ35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0" s="9" t="e" cm="1">
        <f t="array" ref="BR350">IF(tbl_Case_mins[[#This Row],[Rank_Adjust]]=SUMPRODUCT(-(tbl_Case_mins[Surgery Start Date]=tbl_Case_mins[[#This Row],[Surgery Start Date]]),-(tbl_Case_mins[Theatre]=tbl_Case_mins[[#This Row],[Theatre]])),INDEX(Poss_Time,MATCH(TEXT(tbl_Case_mins[[#This Row],[Surgery Start Date]],"ddd"),Day,0)),0)</f>
        <v>#REF!</v>
      </c>
      <c r="BS350" s="9" t="e">
        <f>tbl_Case_mins[[#This Row],[Core_Time]]*Util_Goal</f>
        <v>#REF!</v>
      </c>
      <c r="BT350" s="9" t="e" cm="1">
        <f t="array" ref="BT3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0" s="9" t="e" cm="1">
        <f t="array" ref="BU35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0" s="9" t="e">
        <f>IF(tbl_Case_mins[[#This Row],[Surgery End Date]]&gt;tbl_Case_mins[[#This Row],[Surgery Start Date]],tbl_Case_mins[[#This Row],[Anaesth End]]-1440,0)</f>
        <v>#REF!</v>
      </c>
      <c r="BY350" s="9" t="e">
        <f>tbl_Case_mins[[#This Row],[Total_NonCore]]-tbl_Case_mins[[#This Row],[NextDay_NonCore]]</f>
        <v>#REF!</v>
      </c>
      <c r="BZ350" s="10" t="e">
        <f>tbl_Case_mins[[#This Row],[InCoreUse]]/60</f>
        <v>#REF!</v>
      </c>
      <c r="CA350" s="10" t="e">
        <f>tbl_Case_mins[[#This Row],[Total_NonCore]]/60</f>
        <v>#REF!</v>
      </c>
      <c r="CB350" t="e" cm="1">
        <f t="array" ref="CB3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0" s="9" t="e" cm="1">
        <f t="array" ref="CC35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0" s="9" t="e" cm="1">
        <f t="array" ref="CD35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0" s="9" t="e" cm="1">
        <f t="array" ref="CE35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0" s="9" cm="1">
        <f t="array" ref="CF350">IFERROR(_xlfn.AGGREGATE(14,6,(tbl_Case_mins[Rank_AnaEnd])/((tbl_Case_mins[Surgery Start Date]=tbl_Case_mins[[#This Row],[Surgery Start Date]])*(tbl_Case_mins[Theatre]=tbl_Case_mins[[#This Row],[Theatre]])*(tbl_Case_mins[NoInCoreTime]=0)),1),-1)</f>
        <v>-1</v>
      </c>
      <c r="CG350" s="9" cm="1">
        <f t="array" ref="CG350">IFERROR(_xlfn.AGGREGATE(15,6,(tbl_Case_mins[Rank_AnaSt])/((tbl_Case_mins[Surgery Start Date]=tbl_Case_mins[[#This Row],[Surgery Start Date]])*(tbl_Case_mins[Theatre]=tbl_Case_mins[[#This Row],[Theatre]])*(tbl_Case_mins[NoInCoreTime]=0)),1),-1)</f>
        <v>-1</v>
      </c>
      <c r="CH35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0" t="e" cm="1">
        <f t="array" ref="CJ35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0" s="9" cm="1">
        <f t="array" ref="CO3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0" s="9" cm="1">
        <f t="array" ref="CP35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0" s="9" cm="1">
        <f t="array" ref="CQ350">IFERROR(IF(AND(tbl_Case_mins[[#This Row],[FirstAMCase]]=0,tbl_Case_mins[[#This Row],[Rank]]=_xlfn.AGGREGATE(14,6,(tbl_Case_mins[Rank])/((tbl_Case_mins[Surgery Start Date]=tbl_Case_mins[[#This Row],[Surgery Start Date]])*(tbl_Case_mins[Theatre]=tbl_Case_mins[[#This Row],[Theatre]])*(tbl_Case_mins[AmCase]=1)),1)),1,0),0)</f>
        <v>0</v>
      </c>
      <c r="CR350" s="9" cm="1">
        <f t="array" ref="CR35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0" s="9" t="e" cm="1">
        <f t="array" ref="CS35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0" s="9" cm="1">
        <f t="array" ref="CT350">IFERROR(IF(tbl_Case_mins[[#This Row],[Rank]]=_xlfn.AGGREGATE(15,6,(tbl_Case_mins[Rank])/((tbl_Case_mins[Surgery Start Date]=tbl_Case_mins[[#This Row],[Surgery Start Date]])*(tbl_Case_mins[Theatre]=tbl_Case_mins[[#This Row],[Theatre]])*(tbl_Case_mins[PmCase]=1)),1),1,0),0)</f>
        <v>0</v>
      </c>
      <c r="CU350">
        <f>IFERROR(#REF!,0)</f>
        <v>0</v>
      </c>
      <c r="CV350" s="9" t="e" cm="1">
        <f t="array" ref="CV35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0" s="9">
        <f>IFERROR(IF(ISBLANK(INDEX(Bay_AmClose,MATCH(1,INDEX((tbl_Case_mins[[#This Row],[Bay]]=BayNo)*(tbl_Case_mins[[#This Row],[Surgery Start Date]]=BDate),0,1),0))*1440),0,INDEX(Bay_AmClose,MATCH(1,INDEX((tbl_Case_mins[[#This Row],[Bay]]=BayNo)*(tbl_Case_mins[[#This Row],[Surgery Start Date]]=BDate),0,1),0))*1440),0)</f>
        <v>0</v>
      </c>
      <c r="CX350" s="9" cm="1">
        <f t="array" ref="CX350">IFERROR(IF(ISBLANK(INDEX(Bay_PmOpen,MATCH(1,INDEX((tbl_Case_mins[[#This Row],[Bay]]=BayNo)*(tbl_Case_mins[[#This Row],[Surgery Start Date]]=BDate),0,1),0))*1440),0,INDEX(Bay_PmOpen,MATCH(1,INDEX((tbl_Case_mins[[#This Row],[Bay]]=BayNo)*(tbl_Case_mins[[#This Row],[Surgery Start Date]]=BDate),0,1),0))*1440),0)</f>
        <v>0</v>
      </c>
      <c r="CY35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0" s="9"/>
    </row>
    <row r="351" spans="1:104" x14ac:dyDescent="0.2">
      <c r="A351">
        <v>350</v>
      </c>
      <c r="B351" t="e">
        <f>#REF!</f>
        <v>#REF!</v>
      </c>
      <c r="C351" t="e">
        <f>#REF!</f>
        <v>#REF!</v>
      </c>
      <c r="D351" t="e">
        <f>#REF!</f>
        <v>#REF!</v>
      </c>
      <c r="E351" t="e">
        <f>#REF!</f>
        <v>#REF!</v>
      </c>
      <c r="F351" t="e">
        <f>#REF!</f>
        <v>#REF!</v>
      </c>
      <c r="G351" t="e">
        <f>#REF!</f>
        <v>#REF!</v>
      </c>
      <c r="H351" t="e">
        <f>#REF!</f>
        <v>#REF!</v>
      </c>
      <c r="I351" t="e">
        <f>IF(#REF!="Case Cancelled",1,IF(#REF!="No Cases",2,0))</f>
        <v>#REF!</v>
      </c>
      <c r="J351" t="e">
        <f>#REF!</f>
        <v>#REF!</v>
      </c>
      <c r="K351" s="4" t="e">
        <f>#REF!</f>
        <v>#REF!</v>
      </c>
      <c r="L351" t="e">
        <f>"Wk "&amp;WEEKNUM(tbl_Case_mins[[#This Row],[Surgery Start Date]],21)</f>
        <v>#REF!</v>
      </c>
      <c r="M351" t="e">
        <f>TEXT(tbl_Case_mins[[#This Row],[Surgery Start Date]],"ddd")</f>
        <v>#REF!</v>
      </c>
      <c r="N351" s="9" t="e">
        <f>(#REF!-TIME(0,0,0))*1440</f>
        <v>#REF!</v>
      </c>
      <c r="O351" t="e">
        <f>IF(AND(ROUND((#REF!-TIME(0,0,0))*1440,0)&gt;0,ROUND((#REF!-TIME(0,0,0))*1440,0)&lt;tbl_Case_mins[[#This Row],[Patient Called]],tbl_Case_mins[[#This Row],[Surgery End Date]]&gt;tbl_Case_mins[[#This Row],[Surgery Start Date]]),ROUND((#REF!-TIME(0,0,0))*1440,0)+1440,ROUND((#REF!-TIME(0,0,0))*1440,0))</f>
        <v>#REF!</v>
      </c>
      <c r="P351" s="9" t="e">
        <f>IF(AND(ROUND((#REF!-TIME(0,0,0))*1440,0)&gt;0,ROUND((#REF!-TIME(0,0,0))*1440,0)&lt;tbl_Case_mins[[#This Row],[Arrival]],tbl_Case_mins[[#This Row],[Surgery End Date]]&gt;tbl_Case_mins[[#This Row],[Surgery Start Date]]),ROUND((#REF!-TIME(0,0,0))*1440,0)+1440,ROUND((#REF!-TIME(0,0,0))*1440,0))</f>
        <v>#REF!</v>
      </c>
      <c r="Q351" s="9" t="e">
        <f>IF(AND(ROUND((#REF!-TIME(0,0,0))*1440,0)&gt;0,ROUND((#REF!-TIME(0,0,0))*1440,0)&lt;tbl_Case_mins[[#This Row],[Into Th or AR]],tbl_Case_mins[[#This Row],[Surgery End Date]]&gt;tbl_Case_mins[[#This Row],[Surgery Start Date]]),ROUND((#REF!-TIME(0,0,0))*1440,0)+1440,ROUND((#REF!-TIME(0,0,0))*1440,0))</f>
        <v>#REF!</v>
      </c>
      <c r="R351" s="9" t="e">
        <f>IF(AND(ROUND((#REF!-TIME(0,0,0))*1440,0)&gt;0,ROUND((#REF!-TIME(0,0,0))*1440,0)&lt;tbl_Case_mins[[#This Row],[AnaesthStart]],tbl_Case_mins[[#This Row],[Surgery End Date]]&gt;tbl_Case_mins[[#This Row],[Surgery Start Date]]),ROUND((#REF!-TIME(0,0,0))*1440,0)+1440,ROUND((#REF!-TIME(0,0,0))*1440,0))</f>
        <v>#REF!</v>
      </c>
      <c r="S351" s="9" t="e">
        <f>IF(AND(ROUND((#REF!-TIME(0,0,0))*1440,0),ROUND((#REF!-TIME(0,0,0))*1440,0)&lt;tbl_Case_mins[[#This Row],[Surgery Start]],tbl_Case_mins[[#This Row],[Surgery End Date]]&gt;tbl_Case_mins[[#This Row],[Surgery Start Date]]),ROUND((#REF!-TIME(0,0,0))*1440,0)+1440,ROUND((#REF!-TIME(0,0,0))*1440,0))</f>
        <v>#REF!</v>
      </c>
      <c r="T351" s="9" t="e">
        <f>IF(AND(ROUND((#REF!-TIME(0,0,0))*1440,0)&gt;0,ROUND((#REF!-TIME(0,0,0))*1440,0)&lt;tbl_Case_mins[[#This Row],[Surgery Finish]],tbl_Case_mins[[#This Row],[Surgery End Date]]&gt;tbl_Case_mins[[#This Row],[Surgery Start Date]]),ROUND((#REF!-TIME(0,0,0))*1440,0)+1440,ROUND((#REF!-TIME(0,0,0))*1440,0))</f>
        <v>#REF!</v>
      </c>
      <c r="U351" s="9" t="e">
        <f>IF(AND(ROUND((#REF!-TIME(0,0,0))*1440,0)&gt;0,ROUND((#REF!-TIME(0,0,0))*1440,0)&lt;tbl_Case_mins[[#This Row],[Anaesth End]],tbl_Case_mins[[#This Row],[Surgery End Date]]&gt;tbl_Case_mins[[#This Row],[Surgery Start Date]]),ROUND((#REF!-TIME(0,0,0))*1440,0)+1440,ROUND((#REF!-TIME(0,0,0))*1440,0))</f>
        <v>#REF!</v>
      </c>
      <c r="V351" s="9" t="e">
        <f>IF(AND(ROUND((#REF!-TIME(0,0,0))*1440,0)&gt;0,ROUND((#REF!-TIME(0,0,0))*1440,0)&lt;tbl_Case_mins[[#This Row],[Into Recov]],tbl_Case_mins[[#This Row],[Surgery End Date]]&gt;tbl_Case_mins[[#This Row],[Surgery Start Date]]),ROUND((#REF!-TIME(0,0,0))*1440,0)+1440,ROUND((#REF!-TIME(0,0,0))*1440,0))</f>
        <v>#REF!</v>
      </c>
      <c r="W351" s="9" t="e">
        <f>IF(AND(ROUND((#REF!-TIME(0,0,0))*1440,0)&gt;0,ROUND((#REF!-TIME(0,0,0))*1440,0)&lt;tbl_Case_mins[[#This Row],[Ward Called]],tbl_Case_mins[[#This Row],[Surgery End Date]]&gt;tbl_Case_mins[[#This Row],[Surgery Start Date]]),ROUND((#REF!-TIME(0,0,0))*1440,0)+1440,ROUND((#REF!-TIME(0,0,0))*1440,0))</f>
        <v>#REF!</v>
      </c>
      <c r="X351" s="4" t="e">
        <f>IF(ISBLANK(#REF!),tbl_Case_mins[[#This Row],[Surgery Start Date]],#REF!)</f>
        <v>#REF!</v>
      </c>
      <c r="Y351">
        <f>IFERROR(IF(VLOOKUP(tbl_Case_mins[[#This Row],[Theatre]],'Mng Theatres'!$C$7:$G$12,3,FALSE)="Yes","Yes","No"),0)</f>
        <v>0</v>
      </c>
      <c r="Z351" s="9" t="e" cm="1">
        <f t="array" ref="Z35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1" s="9" t="e" cm="1">
        <f t="array" ref="AA35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1" s="9" t="e">
        <f>IF(tbl_Case_mins[[#This Row],[Case Type]]="Unsch",1,0)</f>
        <v>#REF!</v>
      </c>
      <c r="AD351" s="9" t="e">
        <f>IF(tbl_Case_mins[[#This Row],[Case Type]]="Sch",1,0)</f>
        <v>#REF!</v>
      </c>
      <c r="AE35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1" s="9">
        <f>IFERROR(IF(ISBLANK(INDEX(Am_Close,MATCH(1,INDEX((tbl_Case_mins[[#This Row],[Theatre]]=Theatre_No)*(tbl_Case_mins[[#This Row],[Surgery Start Date]]=Date),0,1),0))*1440),0,INDEX(Am_Close,MATCH(1,INDEX((tbl_Case_mins[[#This Row],[Theatre]]=Theatre_No)*(tbl_Case_mins[[#This Row],[Surgery Start Date]]=Date),0,1),0))*1440),0)</f>
        <v>0</v>
      </c>
      <c r="AG351" s="9">
        <f>IFERROR(IF(ISBLANK(INDEX(PM_Open,MATCH(1,INDEX((tbl_Case_mins[[#This Row],[Theatre]]=Theatre_No)*(tbl_Case_mins[[#This Row],[Surgery Start Date]]=Date),0,1),0))*1440),0,INDEX(PM_Open,MATCH(1,INDEX((tbl_Case_mins[[#This Row],[Theatre]]=Theatre_No)*(tbl_Case_mins[[#This Row],[Surgery Start Date]]=Date),0,1),0))*1440),0)</f>
        <v>0</v>
      </c>
      <c r="AH35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1" s="9" t="e">
        <f>IF(tbl_Case_mins[[#This Row],[ThOpenAm]]=0,tbl_Case_mins[[#This Row],[ThOpenPM]],tbl_Case_mins[[#This Row],[ThOpenAm]])</f>
        <v>#REF!</v>
      </c>
      <c r="AJ351" s="9" t="e">
        <f>IF(tbl_Case_mins[[#This Row],[ThCloseAm]]&gt;0,IF(tbl_Case_mins[[#This Row],[ThOpenPM]]&gt;0,tbl_Case_mins[[#This Row],[ThClosePm]],tbl_Case_mins[[#This Row],[ThCloseAm]]),tbl_Case_mins[[#This Row],[ThClosePm]])</f>
        <v>#REF!</v>
      </c>
      <c r="AK351" s="9" t="e">
        <f>IF(tbl_Case_mins[[#This Row],[TOT]]&gt;0,1,0)</f>
        <v>#REF!</v>
      </c>
      <c r="AL35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1" s="9" t="e">
        <f>IF(AND(tbl_Case_mins[[#This Row],[Surgery Status]]&lt;&gt;2,tbl_Case_mins[[#This Row],[InCoreCase]]=0,tbl_Case_mins[[#This Row],[CancelledCase]]=0),1,0)</f>
        <v>#REF!</v>
      </c>
      <c r="AN351" s="9" t="e">
        <f>IF(tbl_Case_mins[[#This Row],[Surgery Status]]=1,1,0)</f>
        <v>#REF!</v>
      </c>
      <c r="AO35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1" s="9" t="e">
        <f>IF(AND(tbl_Case_mins[[#This Row],[NonCoreCase]]=1,tbl_Case_mins[[#This Row],[NoInCoreTime]]=0),1,0)</f>
        <v>#REF!</v>
      </c>
      <c r="AQ351" s="9" t="e">
        <f>IF(tbl_Case_mins[[#This Row],[Rank_AnaEnd]]&lt;tbl_Case_mins[[#This Row],[Rank_AnaSt]],1,0)</f>
        <v>#REF!</v>
      </c>
      <c r="AR351" s="9" t="e">
        <f>IF(AND(tbl_Case_mins[[#This Row],[InCoreCase]]=1,tbl_Case_mins[[#This Row],[Sch]]=1),1,0)</f>
        <v>#REF!</v>
      </c>
      <c r="AS351" s="9" t="e">
        <f>IF(AND(tbl_Case_mins[[#This Row],[InCoreCase]]=1,tbl_Case_mins[[#This Row],[Unsch]]=1),1,0)</f>
        <v>#REF!</v>
      </c>
      <c r="AT35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1" s="9" t="e">
        <f>IF(tbl_Case_mins[[#This Row],[Surgery Status]]=0,(tbl_Case_mins[[#This Row],[Anaesth End]]-tbl_Case_mins[[#This Row],[AnaesthStart]]),0)</f>
        <v>#REF!</v>
      </c>
      <c r="AX351" s="9" t="e">
        <f>IF(tbl_Case_mins[[#This Row],[Surgery Status]]=0,(tbl_Case_mins[[#This Row],[Surgery Finish]]-tbl_Case_mins[[#This Row],[Surgery Start]]),0)</f>
        <v>#REF!</v>
      </c>
      <c r="AY351" s="9" t="e">
        <f>tbl_Case_mins[[#This Row],[Surgery Start]]-tbl_Case_mins[[#This Row],[AnaesthStart]]</f>
        <v>#REF!</v>
      </c>
      <c r="AZ351" s="9" t="e">
        <f>tbl_Case_mins[[#This Row],[Anaesth End]]-tbl_Case_mins[[#This Row],[Surgery Finish]]</f>
        <v>#REF!</v>
      </c>
      <c r="BA35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1" s="16" cm="1">
        <f t="array" ref="BC35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1" s="16" t="e">
        <f>IF(AND(tbl_Case_mins[[#This Row],[FirstAMCase]]=1,tbl_Case_mins[[#This Row],[CancelledCase]]=0,OR(tbl_Case_mins[[#This Row],[EarlyStartAM]]&gt;0,tbl_Case_mins[[#This Row],[AnaesthStart]]=tbl_Case_mins[[#This Row],[ThOpenAm]])),1,0)</f>
        <v>#REF!</v>
      </c>
      <c r="BE351" s="16" t="e">
        <f>IF(AND(tbl_Case_mins[[#This Row],[Rank_AnaSt]]=tbl_Case_mins[[#This Row],[Min_RankAnaSt]],tbl_Case_mins[[#This Row],[Anaesth End]]&gt;=tbl_Case_mins[[#This Row],[ThOpenAm]],tbl_Case_mins[[#This Row],[PmCase]]=0),1,0)</f>
        <v>#REF!</v>
      </c>
      <c r="BF35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1" s="9" t="e" cm="1">
        <f t="array" ref="BH35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1" s="9" t="e">
        <f>IF(AND(tbl_Case_mins[[#This Row],[ThOpenPM]]&gt;0,tbl_Case_mins[[#This Row],[AnaesthStart]]&gt;tbl_Case_mins[[#This Row],[ThOpenPM]],tbl_Case_mins[[#This Row],[First PM Case]]=1),tbl_Case_mins[[#This Row],[AnaesthStart]]-tbl_Case_mins[[#This Row],[ThOpenPM]],0)</f>
        <v>#REF!</v>
      </c>
      <c r="BL35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1" s="9" t="e" cm="1">
        <f t="array" ref="BN35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1" s="9" t="e">
        <f>IF(AND(tbl_Case_mins[[#This Row],[ThClosePm]]&gt;0,tbl_Case_mins[[#This Row],[Anaesth End]]&gt;tbl_Case_mins[[#This Row],[ThClosePm]],tbl_Case_mins[[#This Row],[AnaesthStart]]&gt;tbl_Case_mins[[#This Row],[ThClosePm]]),tbl_Case_mins[[#This Row],[Into Recov]]-tbl_Case_mins[[#This Row],[AnaesthStart]],0)</f>
        <v>#REF!</v>
      </c>
      <c r="BP351" s="9" t="e">
        <f>IF(AND(tbl_Case_mins[[#This Row],[AnaesthStart]]&lt;tbl_Case_mins[[#This Row],[ThClosePm]],tbl_Case_mins[[#This Row],[Anaesth End]]&gt;tbl_Case_mins[[#This Row],[ThClosePm]]),tbl_Case_mins[[#This Row],[Anaesth End]]-tbl_Case_mins[[#This Row],[ThClosePm]],0)</f>
        <v>#REF!</v>
      </c>
      <c r="BQ351" s="9" t="e" cm="1">
        <f t="array" ref="BQ35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1" s="9" t="e" cm="1">
        <f t="array" ref="BR351">IF(tbl_Case_mins[[#This Row],[Rank_Adjust]]=SUMPRODUCT(-(tbl_Case_mins[Surgery Start Date]=tbl_Case_mins[[#This Row],[Surgery Start Date]]),-(tbl_Case_mins[Theatre]=tbl_Case_mins[[#This Row],[Theatre]])),INDEX(Poss_Time,MATCH(TEXT(tbl_Case_mins[[#This Row],[Surgery Start Date]],"ddd"),Day,0)),0)</f>
        <v>#REF!</v>
      </c>
      <c r="BS351" s="9" t="e">
        <f>tbl_Case_mins[[#This Row],[Core_Time]]*Util_Goal</f>
        <v>#REF!</v>
      </c>
      <c r="BT351" s="9" t="e" cm="1">
        <f t="array" ref="BT3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1" s="9" t="e" cm="1">
        <f t="array" ref="BU35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1" s="9" t="e">
        <f>IF(tbl_Case_mins[[#This Row],[Surgery End Date]]&gt;tbl_Case_mins[[#This Row],[Surgery Start Date]],tbl_Case_mins[[#This Row],[Anaesth End]]-1440,0)</f>
        <v>#REF!</v>
      </c>
      <c r="BY351" s="9" t="e">
        <f>tbl_Case_mins[[#This Row],[Total_NonCore]]-tbl_Case_mins[[#This Row],[NextDay_NonCore]]</f>
        <v>#REF!</v>
      </c>
      <c r="BZ351" s="10" t="e">
        <f>tbl_Case_mins[[#This Row],[InCoreUse]]/60</f>
        <v>#REF!</v>
      </c>
      <c r="CA351" s="10" t="e">
        <f>tbl_Case_mins[[#This Row],[Total_NonCore]]/60</f>
        <v>#REF!</v>
      </c>
      <c r="CB351" t="e" cm="1">
        <f t="array" ref="CB3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1" s="9" t="e" cm="1">
        <f t="array" ref="CC35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1" s="9" t="e" cm="1">
        <f t="array" ref="CD35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1" s="9" t="e" cm="1">
        <f t="array" ref="CE35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1" s="9" cm="1">
        <f t="array" ref="CF351">IFERROR(_xlfn.AGGREGATE(14,6,(tbl_Case_mins[Rank_AnaEnd])/((tbl_Case_mins[Surgery Start Date]=tbl_Case_mins[[#This Row],[Surgery Start Date]])*(tbl_Case_mins[Theatre]=tbl_Case_mins[[#This Row],[Theatre]])*(tbl_Case_mins[NoInCoreTime]=0)),1),-1)</f>
        <v>-1</v>
      </c>
      <c r="CG351" s="9" cm="1">
        <f t="array" ref="CG351">IFERROR(_xlfn.AGGREGATE(15,6,(tbl_Case_mins[Rank_AnaSt])/((tbl_Case_mins[Surgery Start Date]=tbl_Case_mins[[#This Row],[Surgery Start Date]])*(tbl_Case_mins[Theatre]=tbl_Case_mins[[#This Row],[Theatre]])*(tbl_Case_mins[NoInCoreTime]=0)),1),-1)</f>
        <v>-1</v>
      </c>
      <c r="CH35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1" t="e" cm="1">
        <f t="array" ref="CJ35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1" s="9" cm="1">
        <f t="array" ref="CO3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1" s="9" cm="1">
        <f t="array" ref="CP35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1" s="9" cm="1">
        <f t="array" ref="CQ351">IFERROR(IF(AND(tbl_Case_mins[[#This Row],[FirstAMCase]]=0,tbl_Case_mins[[#This Row],[Rank]]=_xlfn.AGGREGATE(14,6,(tbl_Case_mins[Rank])/((tbl_Case_mins[Surgery Start Date]=tbl_Case_mins[[#This Row],[Surgery Start Date]])*(tbl_Case_mins[Theatre]=tbl_Case_mins[[#This Row],[Theatre]])*(tbl_Case_mins[AmCase]=1)),1)),1,0),0)</f>
        <v>0</v>
      </c>
      <c r="CR351" s="9" cm="1">
        <f t="array" ref="CR35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1" s="9" t="e" cm="1">
        <f t="array" ref="CS35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1" s="9" cm="1">
        <f t="array" ref="CT351">IFERROR(IF(tbl_Case_mins[[#This Row],[Rank]]=_xlfn.AGGREGATE(15,6,(tbl_Case_mins[Rank])/((tbl_Case_mins[Surgery Start Date]=tbl_Case_mins[[#This Row],[Surgery Start Date]])*(tbl_Case_mins[Theatre]=tbl_Case_mins[[#This Row],[Theatre]])*(tbl_Case_mins[PmCase]=1)),1),1,0),0)</f>
        <v>0</v>
      </c>
      <c r="CU351">
        <f>IFERROR(#REF!,0)</f>
        <v>0</v>
      </c>
      <c r="CV351" s="9" t="e" cm="1">
        <f t="array" ref="CV35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1" s="9">
        <f>IFERROR(IF(ISBLANK(INDEX(Bay_AmClose,MATCH(1,INDEX((tbl_Case_mins[[#This Row],[Bay]]=BayNo)*(tbl_Case_mins[[#This Row],[Surgery Start Date]]=BDate),0,1),0))*1440),0,INDEX(Bay_AmClose,MATCH(1,INDEX((tbl_Case_mins[[#This Row],[Bay]]=BayNo)*(tbl_Case_mins[[#This Row],[Surgery Start Date]]=BDate),0,1),0))*1440),0)</f>
        <v>0</v>
      </c>
      <c r="CX351" s="9" cm="1">
        <f t="array" ref="CX351">IFERROR(IF(ISBLANK(INDEX(Bay_PmOpen,MATCH(1,INDEX((tbl_Case_mins[[#This Row],[Bay]]=BayNo)*(tbl_Case_mins[[#This Row],[Surgery Start Date]]=BDate),0,1),0))*1440),0,INDEX(Bay_PmOpen,MATCH(1,INDEX((tbl_Case_mins[[#This Row],[Bay]]=BayNo)*(tbl_Case_mins[[#This Row],[Surgery Start Date]]=BDate),0,1),0))*1440),0)</f>
        <v>0</v>
      </c>
      <c r="CY35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1" s="9"/>
    </row>
    <row r="352" spans="1:104" x14ac:dyDescent="0.2">
      <c r="A352">
        <v>351</v>
      </c>
      <c r="B352" t="e">
        <f>#REF!</f>
        <v>#REF!</v>
      </c>
      <c r="C352" t="e">
        <f>#REF!</f>
        <v>#REF!</v>
      </c>
      <c r="D352" t="e">
        <f>#REF!</f>
        <v>#REF!</v>
      </c>
      <c r="E352" t="e">
        <f>#REF!</f>
        <v>#REF!</v>
      </c>
      <c r="F352" t="e">
        <f>#REF!</f>
        <v>#REF!</v>
      </c>
      <c r="G352" t="e">
        <f>#REF!</f>
        <v>#REF!</v>
      </c>
      <c r="H352" t="e">
        <f>#REF!</f>
        <v>#REF!</v>
      </c>
      <c r="I352" t="e">
        <f>IF(#REF!="Case Cancelled",1,IF(#REF!="No Cases",2,0))</f>
        <v>#REF!</v>
      </c>
      <c r="J352" t="e">
        <f>#REF!</f>
        <v>#REF!</v>
      </c>
      <c r="K352" s="4" t="e">
        <f>#REF!</f>
        <v>#REF!</v>
      </c>
      <c r="L352" t="e">
        <f>"Wk "&amp;WEEKNUM(tbl_Case_mins[[#This Row],[Surgery Start Date]],21)</f>
        <v>#REF!</v>
      </c>
      <c r="M352" t="e">
        <f>TEXT(tbl_Case_mins[[#This Row],[Surgery Start Date]],"ddd")</f>
        <v>#REF!</v>
      </c>
      <c r="N352" s="9" t="e">
        <f>(#REF!-TIME(0,0,0))*1440</f>
        <v>#REF!</v>
      </c>
      <c r="O352" t="e">
        <f>IF(AND(ROUND((#REF!-TIME(0,0,0))*1440,0)&gt;0,ROUND((#REF!-TIME(0,0,0))*1440,0)&lt;tbl_Case_mins[[#This Row],[Patient Called]],tbl_Case_mins[[#This Row],[Surgery End Date]]&gt;tbl_Case_mins[[#This Row],[Surgery Start Date]]),ROUND((#REF!-TIME(0,0,0))*1440,0)+1440,ROUND((#REF!-TIME(0,0,0))*1440,0))</f>
        <v>#REF!</v>
      </c>
      <c r="P352" s="9" t="e">
        <f>IF(AND(ROUND((#REF!-TIME(0,0,0))*1440,0)&gt;0,ROUND((#REF!-TIME(0,0,0))*1440,0)&lt;tbl_Case_mins[[#This Row],[Arrival]],tbl_Case_mins[[#This Row],[Surgery End Date]]&gt;tbl_Case_mins[[#This Row],[Surgery Start Date]]),ROUND((#REF!-TIME(0,0,0))*1440,0)+1440,ROUND((#REF!-TIME(0,0,0))*1440,0))</f>
        <v>#REF!</v>
      </c>
      <c r="Q352" s="9" t="e">
        <f>IF(AND(ROUND((#REF!-TIME(0,0,0))*1440,0)&gt;0,ROUND((#REF!-TIME(0,0,0))*1440,0)&lt;tbl_Case_mins[[#This Row],[Into Th or AR]],tbl_Case_mins[[#This Row],[Surgery End Date]]&gt;tbl_Case_mins[[#This Row],[Surgery Start Date]]),ROUND((#REF!-TIME(0,0,0))*1440,0)+1440,ROUND((#REF!-TIME(0,0,0))*1440,0))</f>
        <v>#REF!</v>
      </c>
      <c r="R352" s="9" t="e">
        <f>IF(AND(ROUND((#REF!-TIME(0,0,0))*1440,0)&gt;0,ROUND((#REF!-TIME(0,0,0))*1440,0)&lt;tbl_Case_mins[[#This Row],[AnaesthStart]],tbl_Case_mins[[#This Row],[Surgery End Date]]&gt;tbl_Case_mins[[#This Row],[Surgery Start Date]]),ROUND((#REF!-TIME(0,0,0))*1440,0)+1440,ROUND((#REF!-TIME(0,0,0))*1440,0))</f>
        <v>#REF!</v>
      </c>
      <c r="S352" s="9" t="e">
        <f>IF(AND(ROUND((#REF!-TIME(0,0,0))*1440,0),ROUND((#REF!-TIME(0,0,0))*1440,0)&lt;tbl_Case_mins[[#This Row],[Surgery Start]],tbl_Case_mins[[#This Row],[Surgery End Date]]&gt;tbl_Case_mins[[#This Row],[Surgery Start Date]]),ROUND((#REF!-TIME(0,0,0))*1440,0)+1440,ROUND((#REF!-TIME(0,0,0))*1440,0))</f>
        <v>#REF!</v>
      </c>
      <c r="T352" s="9" t="e">
        <f>IF(AND(ROUND((#REF!-TIME(0,0,0))*1440,0)&gt;0,ROUND((#REF!-TIME(0,0,0))*1440,0)&lt;tbl_Case_mins[[#This Row],[Surgery Finish]],tbl_Case_mins[[#This Row],[Surgery End Date]]&gt;tbl_Case_mins[[#This Row],[Surgery Start Date]]),ROUND((#REF!-TIME(0,0,0))*1440,0)+1440,ROUND((#REF!-TIME(0,0,0))*1440,0))</f>
        <v>#REF!</v>
      </c>
      <c r="U352" s="9" t="e">
        <f>IF(AND(ROUND((#REF!-TIME(0,0,0))*1440,0)&gt;0,ROUND((#REF!-TIME(0,0,0))*1440,0)&lt;tbl_Case_mins[[#This Row],[Anaesth End]],tbl_Case_mins[[#This Row],[Surgery End Date]]&gt;tbl_Case_mins[[#This Row],[Surgery Start Date]]),ROUND((#REF!-TIME(0,0,0))*1440,0)+1440,ROUND((#REF!-TIME(0,0,0))*1440,0))</f>
        <v>#REF!</v>
      </c>
      <c r="V352" s="9" t="e">
        <f>IF(AND(ROUND((#REF!-TIME(0,0,0))*1440,0)&gt;0,ROUND((#REF!-TIME(0,0,0))*1440,0)&lt;tbl_Case_mins[[#This Row],[Into Recov]],tbl_Case_mins[[#This Row],[Surgery End Date]]&gt;tbl_Case_mins[[#This Row],[Surgery Start Date]]),ROUND((#REF!-TIME(0,0,0))*1440,0)+1440,ROUND((#REF!-TIME(0,0,0))*1440,0))</f>
        <v>#REF!</v>
      </c>
      <c r="W352" s="9" t="e">
        <f>IF(AND(ROUND((#REF!-TIME(0,0,0))*1440,0)&gt;0,ROUND((#REF!-TIME(0,0,0))*1440,0)&lt;tbl_Case_mins[[#This Row],[Ward Called]],tbl_Case_mins[[#This Row],[Surgery End Date]]&gt;tbl_Case_mins[[#This Row],[Surgery Start Date]]),ROUND((#REF!-TIME(0,0,0))*1440,0)+1440,ROUND((#REF!-TIME(0,0,0))*1440,0))</f>
        <v>#REF!</v>
      </c>
      <c r="X352" s="4" t="e">
        <f>IF(ISBLANK(#REF!),tbl_Case_mins[[#This Row],[Surgery Start Date]],#REF!)</f>
        <v>#REF!</v>
      </c>
      <c r="Y352">
        <f>IFERROR(IF(VLOOKUP(tbl_Case_mins[[#This Row],[Theatre]],'Mng Theatres'!$C$7:$G$12,3,FALSE)="Yes","Yes","No"),0)</f>
        <v>0</v>
      </c>
      <c r="Z352" s="9" t="e" cm="1">
        <f t="array" ref="Z35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2" s="9" t="e" cm="1">
        <f t="array" ref="AA35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2" s="9" t="e">
        <f>IF(tbl_Case_mins[[#This Row],[Case Type]]="Unsch",1,0)</f>
        <v>#REF!</v>
      </c>
      <c r="AD352" s="9" t="e">
        <f>IF(tbl_Case_mins[[#This Row],[Case Type]]="Sch",1,0)</f>
        <v>#REF!</v>
      </c>
      <c r="AE35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2" s="9">
        <f>IFERROR(IF(ISBLANK(INDEX(Am_Close,MATCH(1,INDEX((tbl_Case_mins[[#This Row],[Theatre]]=Theatre_No)*(tbl_Case_mins[[#This Row],[Surgery Start Date]]=Date),0,1),0))*1440),0,INDEX(Am_Close,MATCH(1,INDEX((tbl_Case_mins[[#This Row],[Theatre]]=Theatre_No)*(tbl_Case_mins[[#This Row],[Surgery Start Date]]=Date),0,1),0))*1440),0)</f>
        <v>0</v>
      </c>
      <c r="AG352" s="9">
        <f>IFERROR(IF(ISBLANK(INDEX(PM_Open,MATCH(1,INDEX((tbl_Case_mins[[#This Row],[Theatre]]=Theatre_No)*(tbl_Case_mins[[#This Row],[Surgery Start Date]]=Date),0,1),0))*1440),0,INDEX(PM_Open,MATCH(1,INDEX((tbl_Case_mins[[#This Row],[Theatre]]=Theatre_No)*(tbl_Case_mins[[#This Row],[Surgery Start Date]]=Date),0,1),0))*1440),0)</f>
        <v>0</v>
      </c>
      <c r="AH35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2" s="9" t="e">
        <f>IF(tbl_Case_mins[[#This Row],[ThOpenAm]]=0,tbl_Case_mins[[#This Row],[ThOpenPM]],tbl_Case_mins[[#This Row],[ThOpenAm]])</f>
        <v>#REF!</v>
      </c>
      <c r="AJ352" s="9" t="e">
        <f>IF(tbl_Case_mins[[#This Row],[ThCloseAm]]&gt;0,IF(tbl_Case_mins[[#This Row],[ThOpenPM]]&gt;0,tbl_Case_mins[[#This Row],[ThClosePm]],tbl_Case_mins[[#This Row],[ThCloseAm]]),tbl_Case_mins[[#This Row],[ThClosePm]])</f>
        <v>#REF!</v>
      </c>
      <c r="AK352" s="9" t="e">
        <f>IF(tbl_Case_mins[[#This Row],[TOT]]&gt;0,1,0)</f>
        <v>#REF!</v>
      </c>
      <c r="AL35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2" s="9" t="e">
        <f>IF(AND(tbl_Case_mins[[#This Row],[Surgery Status]]&lt;&gt;2,tbl_Case_mins[[#This Row],[InCoreCase]]=0,tbl_Case_mins[[#This Row],[CancelledCase]]=0),1,0)</f>
        <v>#REF!</v>
      </c>
      <c r="AN352" s="9" t="e">
        <f>IF(tbl_Case_mins[[#This Row],[Surgery Status]]=1,1,0)</f>
        <v>#REF!</v>
      </c>
      <c r="AO35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2" s="9" t="e">
        <f>IF(AND(tbl_Case_mins[[#This Row],[NonCoreCase]]=1,tbl_Case_mins[[#This Row],[NoInCoreTime]]=0),1,0)</f>
        <v>#REF!</v>
      </c>
      <c r="AQ352" s="9" t="e">
        <f>IF(tbl_Case_mins[[#This Row],[Rank_AnaEnd]]&lt;tbl_Case_mins[[#This Row],[Rank_AnaSt]],1,0)</f>
        <v>#REF!</v>
      </c>
      <c r="AR352" s="9" t="e">
        <f>IF(AND(tbl_Case_mins[[#This Row],[InCoreCase]]=1,tbl_Case_mins[[#This Row],[Sch]]=1),1,0)</f>
        <v>#REF!</v>
      </c>
      <c r="AS352" s="9" t="e">
        <f>IF(AND(tbl_Case_mins[[#This Row],[InCoreCase]]=1,tbl_Case_mins[[#This Row],[Unsch]]=1),1,0)</f>
        <v>#REF!</v>
      </c>
      <c r="AT35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2" s="9" t="e">
        <f>IF(tbl_Case_mins[[#This Row],[Surgery Status]]=0,(tbl_Case_mins[[#This Row],[Anaesth End]]-tbl_Case_mins[[#This Row],[AnaesthStart]]),0)</f>
        <v>#REF!</v>
      </c>
      <c r="AX352" s="9" t="e">
        <f>IF(tbl_Case_mins[[#This Row],[Surgery Status]]=0,(tbl_Case_mins[[#This Row],[Surgery Finish]]-tbl_Case_mins[[#This Row],[Surgery Start]]),0)</f>
        <v>#REF!</v>
      </c>
      <c r="AY352" s="9" t="e">
        <f>tbl_Case_mins[[#This Row],[Surgery Start]]-tbl_Case_mins[[#This Row],[AnaesthStart]]</f>
        <v>#REF!</v>
      </c>
      <c r="AZ352" s="9" t="e">
        <f>tbl_Case_mins[[#This Row],[Anaesth End]]-tbl_Case_mins[[#This Row],[Surgery Finish]]</f>
        <v>#REF!</v>
      </c>
      <c r="BA35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2" s="16" cm="1">
        <f t="array" ref="BC35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2" s="16" t="e">
        <f>IF(AND(tbl_Case_mins[[#This Row],[FirstAMCase]]=1,tbl_Case_mins[[#This Row],[CancelledCase]]=0,OR(tbl_Case_mins[[#This Row],[EarlyStartAM]]&gt;0,tbl_Case_mins[[#This Row],[AnaesthStart]]=tbl_Case_mins[[#This Row],[ThOpenAm]])),1,0)</f>
        <v>#REF!</v>
      </c>
      <c r="BE352" s="16" t="e">
        <f>IF(AND(tbl_Case_mins[[#This Row],[Rank_AnaSt]]=tbl_Case_mins[[#This Row],[Min_RankAnaSt]],tbl_Case_mins[[#This Row],[Anaesth End]]&gt;=tbl_Case_mins[[#This Row],[ThOpenAm]],tbl_Case_mins[[#This Row],[PmCase]]=0),1,0)</f>
        <v>#REF!</v>
      </c>
      <c r="BF35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2" s="9" t="e" cm="1">
        <f t="array" ref="BH35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2" s="9" t="e">
        <f>IF(AND(tbl_Case_mins[[#This Row],[ThOpenPM]]&gt;0,tbl_Case_mins[[#This Row],[AnaesthStart]]&gt;tbl_Case_mins[[#This Row],[ThOpenPM]],tbl_Case_mins[[#This Row],[First PM Case]]=1),tbl_Case_mins[[#This Row],[AnaesthStart]]-tbl_Case_mins[[#This Row],[ThOpenPM]],0)</f>
        <v>#REF!</v>
      </c>
      <c r="BL35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2" s="9" t="e" cm="1">
        <f t="array" ref="BN35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2" s="9" t="e">
        <f>IF(AND(tbl_Case_mins[[#This Row],[ThClosePm]]&gt;0,tbl_Case_mins[[#This Row],[Anaesth End]]&gt;tbl_Case_mins[[#This Row],[ThClosePm]],tbl_Case_mins[[#This Row],[AnaesthStart]]&gt;tbl_Case_mins[[#This Row],[ThClosePm]]),tbl_Case_mins[[#This Row],[Into Recov]]-tbl_Case_mins[[#This Row],[AnaesthStart]],0)</f>
        <v>#REF!</v>
      </c>
      <c r="BP352" s="9" t="e">
        <f>IF(AND(tbl_Case_mins[[#This Row],[AnaesthStart]]&lt;tbl_Case_mins[[#This Row],[ThClosePm]],tbl_Case_mins[[#This Row],[Anaesth End]]&gt;tbl_Case_mins[[#This Row],[ThClosePm]]),tbl_Case_mins[[#This Row],[Anaesth End]]-tbl_Case_mins[[#This Row],[ThClosePm]],0)</f>
        <v>#REF!</v>
      </c>
      <c r="BQ352" s="9" t="e" cm="1">
        <f t="array" ref="BQ35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2" s="9" t="e" cm="1">
        <f t="array" ref="BR352">IF(tbl_Case_mins[[#This Row],[Rank_Adjust]]=SUMPRODUCT(-(tbl_Case_mins[Surgery Start Date]=tbl_Case_mins[[#This Row],[Surgery Start Date]]),-(tbl_Case_mins[Theatre]=tbl_Case_mins[[#This Row],[Theatre]])),INDEX(Poss_Time,MATCH(TEXT(tbl_Case_mins[[#This Row],[Surgery Start Date]],"ddd"),Day,0)),0)</f>
        <v>#REF!</v>
      </c>
      <c r="BS352" s="9" t="e">
        <f>tbl_Case_mins[[#This Row],[Core_Time]]*Util_Goal</f>
        <v>#REF!</v>
      </c>
      <c r="BT352" s="9" t="e" cm="1">
        <f t="array" ref="BT3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2" s="9" t="e" cm="1">
        <f t="array" ref="BU35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2" s="9" t="e">
        <f>IF(tbl_Case_mins[[#This Row],[Surgery End Date]]&gt;tbl_Case_mins[[#This Row],[Surgery Start Date]],tbl_Case_mins[[#This Row],[Anaesth End]]-1440,0)</f>
        <v>#REF!</v>
      </c>
      <c r="BY352" s="9" t="e">
        <f>tbl_Case_mins[[#This Row],[Total_NonCore]]-tbl_Case_mins[[#This Row],[NextDay_NonCore]]</f>
        <v>#REF!</v>
      </c>
      <c r="BZ352" s="10" t="e">
        <f>tbl_Case_mins[[#This Row],[InCoreUse]]/60</f>
        <v>#REF!</v>
      </c>
      <c r="CA352" s="10" t="e">
        <f>tbl_Case_mins[[#This Row],[Total_NonCore]]/60</f>
        <v>#REF!</v>
      </c>
      <c r="CB352" t="e" cm="1">
        <f t="array" ref="CB3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2" s="9" t="e" cm="1">
        <f t="array" ref="CC35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2" s="9" t="e" cm="1">
        <f t="array" ref="CD35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2" s="9" t="e" cm="1">
        <f t="array" ref="CE35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2" s="9" cm="1">
        <f t="array" ref="CF352">IFERROR(_xlfn.AGGREGATE(14,6,(tbl_Case_mins[Rank_AnaEnd])/((tbl_Case_mins[Surgery Start Date]=tbl_Case_mins[[#This Row],[Surgery Start Date]])*(tbl_Case_mins[Theatre]=tbl_Case_mins[[#This Row],[Theatre]])*(tbl_Case_mins[NoInCoreTime]=0)),1),-1)</f>
        <v>-1</v>
      </c>
      <c r="CG352" s="9" cm="1">
        <f t="array" ref="CG352">IFERROR(_xlfn.AGGREGATE(15,6,(tbl_Case_mins[Rank_AnaSt])/((tbl_Case_mins[Surgery Start Date]=tbl_Case_mins[[#This Row],[Surgery Start Date]])*(tbl_Case_mins[Theatre]=tbl_Case_mins[[#This Row],[Theatre]])*(tbl_Case_mins[NoInCoreTime]=0)),1),-1)</f>
        <v>-1</v>
      </c>
      <c r="CH35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2" t="e" cm="1">
        <f t="array" ref="CJ35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2" s="9" cm="1">
        <f t="array" ref="CO3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2" s="9" cm="1">
        <f t="array" ref="CP35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2" s="9" cm="1">
        <f t="array" ref="CQ352">IFERROR(IF(AND(tbl_Case_mins[[#This Row],[FirstAMCase]]=0,tbl_Case_mins[[#This Row],[Rank]]=_xlfn.AGGREGATE(14,6,(tbl_Case_mins[Rank])/((tbl_Case_mins[Surgery Start Date]=tbl_Case_mins[[#This Row],[Surgery Start Date]])*(tbl_Case_mins[Theatre]=tbl_Case_mins[[#This Row],[Theatre]])*(tbl_Case_mins[AmCase]=1)),1)),1,0),0)</f>
        <v>0</v>
      </c>
      <c r="CR352" s="9" cm="1">
        <f t="array" ref="CR35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2" s="9" t="e" cm="1">
        <f t="array" ref="CS35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2" s="9" cm="1">
        <f t="array" ref="CT352">IFERROR(IF(tbl_Case_mins[[#This Row],[Rank]]=_xlfn.AGGREGATE(15,6,(tbl_Case_mins[Rank])/((tbl_Case_mins[Surgery Start Date]=tbl_Case_mins[[#This Row],[Surgery Start Date]])*(tbl_Case_mins[Theatre]=tbl_Case_mins[[#This Row],[Theatre]])*(tbl_Case_mins[PmCase]=1)),1),1,0),0)</f>
        <v>0</v>
      </c>
      <c r="CU352">
        <f>IFERROR(#REF!,0)</f>
        <v>0</v>
      </c>
      <c r="CV352" s="9" t="e" cm="1">
        <f t="array" ref="CV35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2" s="9">
        <f>IFERROR(IF(ISBLANK(INDEX(Bay_AmClose,MATCH(1,INDEX((tbl_Case_mins[[#This Row],[Bay]]=BayNo)*(tbl_Case_mins[[#This Row],[Surgery Start Date]]=BDate),0,1),0))*1440),0,INDEX(Bay_AmClose,MATCH(1,INDEX((tbl_Case_mins[[#This Row],[Bay]]=BayNo)*(tbl_Case_mins[[#This Row],[Surgery Start Date]]=BDate),0,1),0))*1440),0)</f>
        <v>0</v>
      </c>
      <c r="CX352" s="9" cm="1">
        <f t="array" ref="CX352">IFERROR(IF(ISBLANK(INDEX(Bay_PmOpen,MATCH(1,INDEX((tbl_Case_mins[[#This Row],[Bay]]=BayNo)*(tbl_Case_mins[[#This Row],[Surgery Start Date]]=BDate),0,1),0))*1440),0,INDEX(Bay_PmOpen,MATCH(1,INDEX((tbl_Case_mins[[#This Row],[Bay]]=BayNo)*(tbl_Case_mins[[#This Row],[Surgery Start Date]]=BDate),0,1),0))*1440),0)</f>
        <v>0</v>
      </c>
      <c r="CY35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2" s="9"/>
    </row>
    <row r="353" spans="1:104" x14ac:dyDescent="0.2">
      <c r="A353">
        <v>352</v>
      </c>
      <c r="B353" t="e">
        <f>#REF!</f>
        <v>#REF!</v>
      </c>
      <c r="C353" t="e">
        <f>#REF!</f>
        <v>#REF!</v>
      </c>
      <c r="D353" t="e">
        <f>#REF!</f>
        <v>#REF!</v>
      </c>
      <c r="E353" t="e">
        <f>#REF!</f>
        <v>#REF!</v>
      </c>
      <c r="F353" t="e">
        <f>#REF!</f>
        <v>#REF!</v>
      </c>
      <c r="G353" t="e">
        <f>#REF!</f>
        <v>#REF!</v>
      </c>
      <c r="H353" t="e">
        <f>#REF!</f>
        <v>#REF!</v>
      </c>
      <c r="I353" t="e">
        <f>IF(#REF!="Case Cancelled",1,IF(#REF!="No Cases",2,0))</f>
        <v>#REF!</v>
      </c>
      <c r="J353" t="e">
        <f>#REF!</f>
        <v>#REF!</v>
      </c>
      <c r="K353" s="4" t="e">
        <f>#REF!</f>
        <v>#REF!</v>
      </c>
      <c r="L353" t="e">
        <f>"Wk "&amp;WEEKNUM(tbl_Case_mins[[#This Row],[Surgery Start Date]],21)</f>
        <v>#REF!</v>
      </c>
      <c r="M353" t="e">
        <f>TEXT(tbl_Case_mins[[#This Row],[Surgery Start Date]],"ddd")</f>
        <v>#REF!</v>
      </c>
      <c r="N353" s="9" t="e">
        <f>(#REF!-TIME(0,0,0))*1440</f>
        <v>#REF!</v>
      </c>
      <c r="O353" t="e">
        <f>IF(AND(ROUND((#REF!-TIME(0,0,0))*1440,0)&gt;0,ROUND((#REF!-TIME(0,0,0))*1440,0)&lt;tbl_Case_mins[[#This Row],[Patient Called]],tbl_Case_mins[[#This Row],[Surgery End Date]]&gt;tbl_Case_mins[[#This Row],[Surgery Start Date]]),ROUND((#REF!-TIME(0,0,0))*1440,0)+1440,ROUND((#REF!-TIME(0,0,0))*1440,0))</f>
        <v>#REF!</v>
      </c>
      <c r="P353" s="9" t="e">
        <f>IF(AND(ROUND((#REF!-TIME(0,0,0))*1440,0)&gt;0,ROUND((#REF!-TIME(0,0,0))*1440,0)&lt;tbl_Case_mins[[#This Row],[Arrival]],tbl_Case_mins[[#This Row],[Surgery End Date]]&gt;tbl_Case_mins[[#This Row],[Surgery Start Date]]),ROUND((#REF!-TIME(0,0,0))*1440,0)+1440,ROUND((#REF!-TIME(0,0,0))*1440,0))</f>
        <v>#REF!</v>
      </c>
      <c r="Q353" s="9" t="e">
        <f>IF(AND(ROUND((#REF!-TIME(0,0,0))*1440,0)&gt;0,ROUND((#REF!-TIME(0,0,0))*1440,0)&lt;tbl_Case_mins[[#This Row],[Into Th or AR]],tbl_Case_mins[[#This Row],[Surgery End Date]]&gt;tbl_Case_mins[[#This Row],[Surgery Start Date]]),ROUND((#REF!-TIME(0,0,0))*1440,0)+1440,ROUND((#REF!-TIME(0,0,0))*1440,0))</f>
        <v>#REF!</v>
      </c>
      <c r="R353" s="9" t="e">
        <f>IF(AND(ROUND((#REF!-TIME(0,0,0))*1440,0)&gt;0,ROUND((#REF!-TIME(0,0,0))*1440,0)&lt;tbl_Case_mins[[#This Row],[AnaesthStart]],tbl_Case_mins[[#This Row],[Surgery End Date]]&gt;tbl_Case_mins[[#This Row],[Surgery Start Date]]),ROUND((#REF!-TIME(0,0,0))*1440,0)+1440,ROUND((#REF!-TIME(0,0,0))*1440,0))</f>
        <v>#REF!</v>
      </c>
      <c r="S353" s="9" t="e">
        <f>IF(AND(ROUND((#REF!-TIME(0,0,0))*1440,0),ROUND((#REF!-TIME(0,0,0))*1440,0)&lt;tbl_Case_mins[[#This Row],[Surgery Start]],tbl_Case_mins[[#This Row],[Surgery End Date]]&gt;tbl_Case_mins[[#This Row],[Surgery Start Date]]),ROUND((#REF!-TIME(0,0,0))*1440,0)+1440,ROUND((#REF!-TIME(0,0,0))*1440,0))</f>
        <v>#REF!</v>
      </c>
      <c r="T353" s="9" t="e">
        <f>IF(AND(ROUND((#REF!-TIME(0,0,0))*1440,0)&gt;0,ROUND((#REF!-TIME(0,0,0))*1440,0)&lt;tbl_Case_mins[[#This Row],[Surgery Finish]],tbl_Case_mins[[#This Row],[Surgery End Date]]&gt;tbl_Case_mins[[#This Row],[Surgery Start Date]]),ROUND((#REF!-TIME(0,0,0))*1440,0)+1440,ROUND((#REF!-TIME(0,0,0))*1440,0))</f>
        <v>#REF!</v>
      </c>
      <c r="U353" s="9" t="e">
        <f>IF(AND(ROUND((#REF!-TIME(0,0,0))*1440,0)&gt;0,ROUND((#REF!-TIME(0,0,0))*1440,0)&lt;tbl_Case_mins[[#This Row],[Anaesth End]],tbl_Case_mins[[#This Row],[Surgery End Date]]&gt;tbl_Case_mins[[#This Row],[Surgery Start Date]]),ROUND((#REF!-TIME(0,0,0))*1440,0)+1440,ROUND((#REF!-TIME(0,0,0))*1440,0))</f>
        <v>#REF!</v>
      </c>
      <c r="V353" s="9" t="e">
        <f>IF(AND(ROUND((#REF!-TIME(0,0,0))*1440,0)&gt;0,ROUND((#REF!-TIME(0,0,0))*1440,0)&lt;tbl_Case_mins[[#This Row],[Into Recov]],tbl_Case_mins[[#This Row],[Surgery End Date]]&gt;tbl_Case_mins[[#This Row],[Surgery Start Date]]),ROUND((#REF!-TIME(0,0,0))*1440,0)+1440,ROUND((#REF!-TIME(0,0,0))*1440,0))</f>
        <v>#REF!</v>
      </c>
      <c r="W353" s="9" t="e">
        <f>IF(AND(ROUND((#REF!-TIME(0,0,0))*1440,0)&gt;0,ROUND((#REF!-TIME(0,0,0))*1440,0)&lt;tbl_Case_mins[[#This Row],[Ward Called]],tbl_Case_mins[[#This Row],[Surgery End Date]]&gt;tbl_Case_mins[[#This Row],[Surgery Start Date]]),ROUND((#REF!-TIME(0,0,0))*1440,0)+1440,ROUND((#REF!-TIME(0,0,0))*1440,0))</f>
        <v>#REF!</v>
      </c>
      <c r="X353" s="4" t="e">
        <f>IF(ISBLANK(#REF!),tbl_Case_mins[[#This Row],[Surgery Start Date]],#REF!)</f>
        <v>#REF!</v>
      </c>
      <c r="Y353">
        <f>IFERROR(IF(VLOOKUP(tbl_Case_mins[[#This Row],[Theatre]],'Mng Theatres'!$C$7:$G$12,3,FALSE)="Yes","Yes","No"),0)</f>
        <v>0</v>
      </c>
      <c r="Z353" s="9" t="e" cm="1">
        <f t="array" ref="Z35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3" s="9" t="e" cm="1">
        <f t="array" ref="AA35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3" s="9" t="e">
        <f>IF(tbl_Case_mins[[#This Row],[Case Type]]="Unsch",1,0)</f>
        <v>#REF!</v>
      </c>
      <c r="AD353" s="9" t="e">
        <f>IF(tbl_Case_mins[[#This Row],[Case Type]]="Sch",1,0)</f>
        <v>#REF!</v>
      </c>
      <c r="AE35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3" s="9">
        <f>IFERROR(IF(ISBLANK(INDEX(Am_Close,MATCH(1,INDEX((tbl_Case_mins[[#This Row],[Theatre]]=Theatre_No)*(tbl_Case_mins[[#This Row],[Surgery Start Date]]=Date),0,1),0))*1440),0,INDEX(Am_Close,MATCH(1,INDEX((tbl_Case_mins[[#This Row],[Theatre]]=Theatre_No)*(tbl_Case_mins[[#This Row],[Surgery Start Date]]=Date),0,1),0))*1440),0)</f>
        <v>0</v>
      </c>
      <c r="AG353" s="9">
        <f>IFERROR(IF(ISBLANK(INDEX(PM_Open,MATCH(1,INDEX((tbl_Case_mins[[#This Row],[Theatre]]=Theatre_No)*(tbl_Case_mins[[#This Row],[Surgery Start Date]]=Date),0,1),0))*1440),0,INDEX(PM_Open,MATCH(1,INDEX((tbl_Case_mins[[#This Row],[Theatre]]=Theatre_No)*(tbl_Case_mins[[#This Row],[Surgery Start Date]]=Date),0,1),0))*1440),0)</f>
        <v>0</v>
      </c>
      <c r="AH35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3" s="9" t="e">
        <f>IF(tbl_Case_mins[[#This Row],[ThOpenAm]]=0,tbl_Case_mins[[#This Row],[ThOpenPM]],tbl_Case_mins[[#This Row],[ThOpenAm]])</f>
        <v>#REF!</v>
      </c>
      <c r="AJ353" s="9" t="e">
        <f>IF(tbl_Case_mins[[#This Row],[ThCloseAm]]&gt;0,IF(tbl_Case_mins[[#This Row],[ThOpenPM]]&gt;0,tbl_Case_mins[[#This Row],[ThClosePm]],tbl_Case_mins[[#This Row],[ThCloseAm]]),tbl_Case_mins[[#This Row],[ThClosePm]])</f>
        <v>#REF!</v>
      </c>
      <c r="AK353" s="9" t="e">
        <f>IF(tbl_Case_mins[[#This Row],[TOT]]&gt;0,1,0)</f>
        <v>#REF!</v>
      </c>
      <c r="AL35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3" s="9" t="e">
        <f>IF(AND(tbl_Case_mins[[#This Row],[Surgery Status]]&lt;&gt;2,tbl_Case_mins[[#This Row],[InCoreCase]]=0,tbl_Case_mins[[#This Row],[CancelledCase]]=0),1,0)</f>
        <v>#REF!</v>
      </c>
      <c r="AN353" s="9" t="e">
        <f>IF(tbl_Case_mins[[#This Row],[Surgery Status]]=1,1,0)</f>
        <v>#REF!</v>
      </c>
      <c r="AO35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3" s="9" t="e">
        <f>IF(AND(tbl_Case_mins[[#This Row],[NonCoreCase]]=1,tbl_Case_mins[[#This Row],[NoInCoreTime]]=0),1,0)</f>
        <v>#REF!</v>
      </c>
      <c r="AQ353" s="9" t="e">
        <f>IF(tbl_Case_mins[[#This Row],[Rank_AnaEnd]]&lt;tbl_Case_mins[[#This Row],[Rank_AnaSt]],1,0)</f>
        <v>#REF!</v>
      </c>
      <c r="AR353" s="9" t="e">
        <f>IF(AND(tbl_Case_mins[[#This Row],[InCoreCase]]=1,tbl_Case_mins[[#This Row],[Sch]]=1),1,0)</f>
        <v>#REF!</v>
      </c>
      <c r="AS353" s="9" t="e">
        <f>IF(AND(tbl_Case_mins[[#This Row],[InCoreCase]]=1,tbl_Case_mins[[#This Row],[Unsch]]=1),1,0)</f>
        <v>#REF!</v>
      </c>
      <c r="AT35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3" s="9" t="e">
        <f>IF(tbl_Case_mins[[#This Row],[Surgery Status]]=0,(tbl_Case_mins[[#This Row],[Anaesth End]]-tbl_Case_mins[[#This Row],[AnaesthStart]]),0)</f>
        <v>#REF!</v>
      </c>
      <c r="AX353" s="9" t="e">
        <f>IF(tbl_Case_mins[[#This Row],[Surgery Status]]=0,(tbl_Case_mins[[#This Row],[Surgery Finish]]-tbl_Case_mins[[#This Row],[Surgery Start]]),0)</f>
        <v>#REF!</v>
      </c>
      <c r="AY353" s="9" t="e">
        <f>tbl_Case_mins[[#This Row],[Surgery Start]]-tbl_Case_mins[[#This Row],[AnaesthStart]]</f>
        <v>#REF!</v>
      </c>
      <c r="AZ353" s="9" t="e">
        <f>tbl_Case_mins[[#This Row],[Anaesth End]]-tbl_Case_mins[[#This Row],[Surgery Finish]]</f>
        <v>#REF!</v>
      </c>
      <c r="BA35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3" s="16" cm="1">
        <f t="array" ref="BC35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3" s="16" t="e">
        <f>IF(AND(tbl_Case_mins[[#This Row],[FirstAMCase]]=1,tbl_Case_mins[[#This Row],[CancelledCase]]=0,OR(tbl_Case_mins[[#This Row],[EarlyStartAM]]&gt;0,tbl_Case_mins[[#This Row],[AnaesthStart]]=tbl_Case_mins[[#This Row],[ThOpenAm]])),1,0)</f>
        <v>#REF!</v>
      </c>
      <c r="BE353" s="16" t="e">
        <f>IF(AND(tbl_Case_mins[[#This Row],[Rank_AnaSt]]=tbl_Case_mins[[#This Row],[Min_RankAnaSt]],tbl_Case_mins[[#This Row],[Anaesth End]]&gt;=tbl_Case_mins[[#This Row],[ThOpenAm]],tbl_Case_mins[[#This Row],[PmCase]]=0),1,0)</f>
        <v>#REF!</v>
      </c>
      <c r="BF35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3" s="9" t="e" cm="1">
        <f t="array" ref="BH35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3" s="9" t="e">
        <f>IF(AND(tbl_Case_mins[[#This Row],[ThOpenPM]]&gt;0,tbl_Case_mins[[#This Row],[AnaesthStart]]&gt;tbl_Case_mins[[#This Row],[ThOpenPM]],tbl_Case_mins[[#This Row],[First PM Case]]=1),tbl_Case_mins[[#This Row],[AnaesthStart]]-tbl_Case_mins[[#This Row],[ThOpenPM]],0)</f>
        <v>#REF!</v>
      </c>
      <c r="BL35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3" s="9" t="e" cm="1">
        <f t="array" ref="BN35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3" s="9" t="e">
        <f>IF(AND(tbl_Case_mins[[#This Row],[ThClosePm]]&gt;0,tbl_Case_mins[[#This Row],[Anaesth End]]&gt;tbl_Case_mins[[#This Row],[ThClosePm]],tbl_Case_mins[[#This Row],[AnaesthStart]]&gt;tbl_Case_mins[[#This Row],[ThClosePm]]),tbl_Case_mins[[#This Row],[Into Recov]]-tbl_Case_mins[[#This Row],[AnaesthStart]],0)</f>
        <v>#REF!</v>
      </c>
      <c r="BP353" s="9" t="e">
        <f>IF(AND(tbl_Case_mins[[#This Row],[AnaesthStart]]&lt;tbl_Case_mins[[#This Row],[ThClosePm]],tbl_Case_mins[[#This Row],[Anaesth End]]&gt;tbl_Case_mins[[#This Row],[ThClosePm]]),tbl_Case_mins[[#This Row],[Anaesth End]]-tbl_Case_mins[[#This Row],[ThClosePm]],0)</f>
        <v>#REF!</v>
      </c>
      <c r="BQ353" s="9" t="e" cm="1">
        <f t="array" ref="BQ35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3" s="9" t="e" cm="1">
        <f t="array" ref="BR353">IF(tbl_Case_mins[[#This Row],[Rank_Adjust]]=SUMPRODUCT(-(tbl_Case_mins[Surgery Start Date]=tbl_Case_mins[[#This Row],[Surgery Start Date]]),-(tbl_Case_mins[Theatre]=tbl_Case_mins[[#This Row],[Theatre]])),INDEX(Poss_Time,MATCH(TEXT(tbl_Case_mins[[#This Row],[Surgery Start Date]],"ddd"),Day,0)),0)</f>
        <v>#REF!</v>
      </c>
      <c r="BS353" s="9" t="e">
        <f>tbl_Case_mins[[#This Row],[Core_Time]]*Util_Goal</f>
        <v>#REF!</v>
      </c>
      <c r="BT353" s="9" t="e" cm="1">
        <f t="array" ref="BT3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3" s="9" t="e" cm="1">
        <f t="array" ref="BU35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3" s="9" t="e">
        <f>IF(tbl_Case_mins[[#This Row],[Surgery End Date]]&gt;tbl_Case_mins[[#This Row],[Surgery Start Date]],tbl_Case_mins[[#This Row],[Anaesth End]]-1440,0)</f>
        <v>#REF!</v>
      </c>
      <c r="BY353" s="9" t="e">
        <f>tbl_Case_mins[[#This Row],[Total_NonCore]]-tbl_Case_mins[[#This Row],[NextDay_NonCore]]</f>
        <v>#REF!</v>
      </c>
      <c r="BZ353" s="10" t="e">
        <f>tbl_Case_mins[[#This Row],[InCoreUse]]/60</f>
        <v>#REF!</v>
      </c>
      <c r="CA353" s="10" t="e">
        <f>tbl_Case_mins[[#This Row],[Total_NonCore]]/60</f>
        <v>#REF!</v>
      </c>
      <c r="CB353" t="e" cm="1">
        <f t="array" ref="CB3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3" s="9" t="e" cm="1">
        <f t="array" ref="CC35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3" s="9" t="e" cm="1">
        <f t="array" ref="CD35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3" s="9" t="e" cm="1">
        <f t="array" ref="CE35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3" s="9" cm="1">
        <f t="array" ref="CF353">IFERROR(_xlfn.AGGREGATE(14,6,(tbl_Case_mins[Rank_AnaEnd])/((tbl_Case_mins[Surgery Start Date]=tbl_Case_mins[[#This Row],[Surgery Start Date]])*(tbl_Case_mins[Theatre]=tbl_Case_mins[[#This Row],[Theatre]])*(tbl_Case_mins[NoInCoreTime]=0)),1),-1)</f>
        <v>-1</v>
      </c>
      <c r="CG353" s="9" cm="1">
        <f t="array" ref="CG353">IFERROR(_xlfn.AGGREGATE(15,6,(tbl_Case_mins[Rank_AnaSt])/((tbl_Case_mins[Surgery Start Date]=tbl_Case_mins[[#This Row],[Surgery Start Date]])*(tbl_Case_mins[Theatre]=tbl_Case_mins[[#This Row],[Theatre]])*(tbl_Case_mins[NoInCoreTime]=0)),1),-1)</f>
        <v>-1</v>
      </c>
      <c r="CH35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3" t="e" cm="1">
        <f t="array" ref="CJ35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3" s="9" cm="1">
        <f t="array" ref="CO3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3" s="9" cm="1">
        <f t="array" ref="CP35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3" s="9" cm="1">
        <f t="array" ref="CQ353">IFERROR(IF(AND(tbl_Case_mins[[#This Row],[FirstAMCase]]=0,tbl_Case_mins[[#This Row],[Rank]]=_xlfn.AGGREGATE(14,6,(tbl_Case_mins[Rank])/((tbl_Case_mins[Surgery Start Date]=tbl_Case_mins[[#This Row],[Surgery Start Date]])*(tbl_Case_mins[Theatre]=tbl_Case_mins[[#This Row],[Theatre]])*(tbl_Case_mins[AmCase]=1)),1)),1,0),0)</f>
        <v>0</v>
      </c>
      <c r="CR353" s="9" cm="1">
        <f t="array" ref="CR35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3" s="9" t="e" cm="1">
        <f t="array" ref="CS35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3" s="9" cm="1">
        <f t="array" ref="CT353">IFERROR(IF(tbl_Case_mins[[#This Row],[Rank]]=_xlfn.AGGREGATE(15,6,(tbl_Case_mins[Rank])/((tbl_Case_mins[Surgery Start Date]=tbl_Case_mins[[#This Row],[Surgery Start Date]])*(tbl_Case_mins[Theatre]=tbl_Case_mins[[#This Row],[Theatre]])*(tbl_Case_mins[PmCase]=1)),1),1,0),0)</f>
        <v>0</v>
      </c>
      <c r="CU353">
        <f>IFERROR(#REF!,0)</f>
        <v>0</v>
      </c>
      <c r="CV353" s="9" t="e" cm="1">
        <f t="array" ref="CV35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3" s="9">
        <f>IFERROR(IF(ISBLANK(INDEX(Bay_AmClose,MATCH(1,INDEX((tbl_Case_mins[[#This Row],[Bay]]=BayNo)*(tbl_Case_mins[[#This Row],[Surgery Start Date]]=BDate),0,1),0))*1440),0,INDEX(Bay_AmClose,MATCH(1,INDEX((tbl_Case_mins[[#This Row],[Bay]]=BayNo)*(tbl_Case_mins[[#This Row],[Surgery Start Date]]=BDate),0,1),0))*1440),0)</f>
        <v>0</v>
      </c>
      <c r="CX353" s="9" cm="1">
        <f t="array" ref="CX353">IFERROR(IF(ISBLANK(INDEX(Bay_PmOpen,MATCH(1,INDEX((tbl_Case_mins[[#This Row],[Bay]]=BayNo)*(tbl_Case_mins[[#This Row],[Surgery Start Date]]=BDate),0,1),0))*1440),0,INDEX(Bay_PmOpen,MATCH(1,INDEX((tbl_Case_mins[[#This Row],[Bay]]=BayNo)*(tbl_Case_mins[[#This Row],[Surgery Start Date]]=BDate),0,1),0))*1440),0)</f>
        <v>0</v>
      </c>
      <c r="CY35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3" s="9"/>
    </row>
    <row r="354" spans="1:104" x14ac:dyDescent="0.2">
      <c r="A354">
        <v>353</v>
      </c>
      <c r="B354" t="e">
        <f>#REF!</f>
        <v>#REF!</v>
      </c>
      <c r="C354" t="e">
        <f>#REF!</f>
        <v>#REF!</v>
      </c>
      <c r="D354" t="e">
        <f>#REF!</f>
        <v>#REF!</v>
      </c>
      <c r="E354" t="e">
        <f>#REF!</f>
        <v>#REF!</v>
      </c>
      <c r="F354" t="e">
        <f>#REF!</f>
        <v>#REF!</v>
      </c>
      <c r="G354" t="e">
        <f>#REF!</f>
        <v>#REF!</v>
      </c>
      <c r="H354" t="e">
        <f>#REF!</f>
        <v>#REF!</v>
      </c>
      <c r="I354" t="e">
        <f>IF(#REF!="Case Cancelled",1,IF(#REF!="No Cases",2,0))</f>
        <v>#REF!</v>
      </c>
      <c r="J354" t="e">
        <f>#REF!</f>
        <v>#REF!</v>
      </c>
      <c r="K354" s="4" t="e">
        <f>#REF!</f>
        <v>#REF!</v>
      </c>
      <c r="L354" t="e">
        <f>"Wk "&amp;WEEKNUM(tbl_Case_mins[[#This Row],[Surgery Start Date]],21)</f>
        <v>#REF!</v>
      </c>
      <c r="M354" t="e">
        <f>TEXT(tbl_Case_mins[[#This Row],[Surgery Start Date]],"ddd")</f>
        <v>#REF!</v>
      </c>
      <c r="N354" s="9" t="e">
        <f>(#REF!-TIME(0,0,0))*1440</f>
        <v>#REF!</v>
      </c>
      <c r="O354" t="e">
        <f>IF(AND(ROUND((#REF!-TIME(0,0,0))*1440,0)&gt;0,ROUND((#REF!-TIME(0,0,0))*1440,0)&lt;tbl_Case_mins[[#This Row],[Patient Called]],tbl_Case_mins[[#This Row],[Surgery End Date]]&gt;tbl_Case_mins[[#This Row],[Surgery Start Date]]),ROUND((#REF!-TIME(0,0,0))*1440,0)+1440,ROUND((#REF!-TIME(0,0,0))*1440,0))</f>
        <v>#REF!</v>
      </c>
      <c r="P354" s="9" t="e">
        <f>IF(AND(ROUND((#REF!-TIME(0,0,0))*1440,0)&gt;0,ROUND((#REF!-TIME(0,0,0))*1440,0)&lt;tbl_Case_mins[[#This Row],[Arrival]],tbl_Case_mins[[#This Row],[Surgery End Date]]&gt;tbl_Case_mins[[#This Row],[Surgery Start Date]]),ROUND((#REF!-TIME(0,0,0))*1440,0)+1440,ROUND((#REF!-TIME(0,0,0))*1440,0))</f>
        <v>#REF!</v>
      </c>
      <c r="Q354" s="9" t="e">
        <f>IF(AND(ROUND((#REF!-TIME(0,0,0))*1440,0)&gt;0,ROUND((#REF!-TIME(0,0,0))*1440,0)&lt;tbl_Case_mins[[#This Row],[Into Th or AR]],tbl_Case_mins[[#This Row],[Surgery End Date]]&gt;tbl_Case_mins[[#This Row],[Surgery Start Date]]),ROUND((#REF!-TIME(0,0,0))*1440,0)+1440,ROUND((#REF!-TIME(0,0,0))*1440,0))</f>
        <v>#REF!</v>
      </c>
      <c r="R354" s="9" t="e">
        <f>IF(AND(ROUND((#REF!-TIME(0,0,0))*1440,0)&gt;0,ROUND((#REF!-TIME(0,0,0))*1440,0)&lt;tbl_Case_mins[[#This Row],[AnaesthStart]],tbl_Case_mins[[#This Row],[Surgery End Date]]&gt;tbl_Case_mins[[#This Row],[Surgery Start Date]]),ROUND((#REF!-TIME(0,0,0))*1440,0)+1440,ROUND((#REF!-TIME(0,0,0))*1440,0))</f>
        <v>#REF!</v>
      </c>
      <c r="S354" s="9" t="e">
        <f>IF(AND(ROUND((#REF!-TIME(0,0,0))*1440,0),ROUND((#REF!-TIME(0,0,0))*1440,0)&lt;tbl_Case_mins[[#This Row],[Surgery Start]],tbl_Case_mins[[#This Row],[Surgery End Date]]&gt;tbl_Case_mins[[#This Row],[Surgery Start Date]]),ROUND((#REF!-TIME(0,0,0))*1440,0)+1440,ROUND((#REF!-TIME(0,0,0))*1440,0))</f>
        <v>#REF!</v>
      </c>
      <c r="T354" s="9" t="e">
        <f>IF(AND(ROUND((#REF!-TIME(0,0,0))*1440,0)&gt;0,ROUND((#REF!-TIME(0,0,0))*1440,0)&lt;tbl_Case_mins[[#This Row],[Surgery Finish]],tbl_Case_mins[[#This Row],[Surgery End Date]]&gt;tbl_Case_mins[[#This Row],[Surgery Start Date]]),ROUND((#REF!-TIME(0,0,0))*1440,0)+1440,ROUND((#REF!-TIME(0,0,0))*1440,0))</f>
        <v>#REF!</v>
      </c>
      <c r="U354" s="9" t="e">
        <f>IF(AND(ROUND((#REF!-TIME(0,0,0))*1440,0)&gt;0,ROUND((#REF!-TIME(0,0,0))*1440,0)&lt;tbl_Case_mins[[#This Row],[Anaesth End]],tbl_Case_mins[[#This Row],[Surgery End Date]]&gt;tbl_Case_mins[[#This Row],[Surgery Start Date]]),ROUND((#REF!-TIME(0,0,0))*1440,0)+1440,ROUND((#REF!-TIME(0,0,0))*1440,0))</f>
        <v>#REF!</v>
      </c>
      <c r="V354" s="9" t="e">
        <f>IF(AND(ROUND((#REF!-TIME(0,0,0))*1440,0)&gt;0,ROUND((#REF!-TIME(0,0,0))*1440,0)&lt;tbl_Case_mins[[#This Row],[Into Recov]],tbl_Case_mins[[#This Row],[Surgery End Date]]&gt;tbl_Case_mins[[#This Row],[Surgery Start Date]]),ROUND((#REF!-TIME(0,0,0))*1440,0)+1440,ROUND((#REF!-TIME(0,0,0))*1440,0))</f>
        <v>#REF!</v>
      </c>
      <c r="W354" s="9" t="e">
        <f>IF(AND(ROUND((#REF!-TIME(0,0,0))*1440,0)&gt;0,ROUND((#REF!-TIME(0,0,0))*1440,0)&lt;tbl_Case_mins[[#This Row],[Ward Called]],tbl_Case_mins[[#This Row],[Surgery End Date]]&gt;tbl_Case_mins[[#This Row],[Surgery Start Date]]),ROUND((#REF!-TIME(0,0,0))*1440,0)+1440,ROUND((#REF!-TIME(0,0,0))*1440,0))</f>
        <v>#REF!</v>
      </c>
      <c r="X354" s="4" t="e">
        <f>IF(ISBLANK(#REF!),tbl_Case_mins[[#This Row],[Surgery Start Date]],#REF!)</f>
        <v>#REF!</v>
      </c>
      <c r="Y354">
        <f>IFERROR(IF(VLOOKUP(tbl_Case_mins[[#This Row],[Theatre]],'Mng Theatres'!$C$7:$G$12,3,FALSE)="Yes","Yes","No"),0)</f>
        <v>0</v>
      </c>
      <c r="Z354" s="9" t="e" cm="1">
        <f t="array" ref="Z35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4" s="9" t="e" cm="1">
        <f t="array" ref="AA35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4" s="9" t="e">
        <f>IF(tbl_Case_mins[[#This Row],[Case Type]]="Unsch",1,0)</f>
        <v>#REF!</v>
      </c>
      <c r="AD354" s="9" t="e">
        <f>IF(tbl_Case_mins[[#This Row],[Case Type]]="Sch",1,0)</f>
        <v>#REF!</v>
      </c>
      <c r="AE35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4" s="9">
        <f>IFERROR(IF(ISBLANK(INDEX(Am_Close,MATCH(1,INDEX((tbl_Case_mins[[#This Row],[Theatre]]=Theatre_No)*(tbl_Case_mins[[#This Row],[Surgery Start Date]]=Date),0,1),0))*1440),0,INDEX(Am_Close,MATCH(1,INDEX((tbl_Case_mins[[#This Row],[Theatre]]=Theatre_No)*(tbl_Case_mins[[#This Row],[Surgery Start Date]]=Date),0,1),0))*1440),0)</f>
        <v>0</v>
      </c>
      <c r="AG354" s="9">
        <f>IFERROR(IF(ISBLANK(INDEX(PM_Open,MATCH(1,INDEX((tbl_Case_mins[[#This Row],[Theatre]]=Theatre_No)*(tbl_Case_mins[[#This Row],[Surgery Start Date]]=Date),0,1),0))*1440),0,INDEX(PM_Open,MATCH(1,INDEX((tbl_Case_mins[[#This Row],[Theatre]]=Theatre_No)*(tbl_Case_mins[[#This Row],[Surgery Start Date]]=Date),0,1),0))*1440),0)</f>
        <v>0</v>
      </c>
      <c r="AH35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4" s="9" t="e">
        <f>IF(tbl_Case_mins[[#This Row],[ThOpenAm]]=0,tbl_Case_mins[[#This Row],[ThOpenPM]],tbl_Case_mins[[#This Row],[ThOpenAm]])</f>
        <v>#REF!</v>
      </c>
      <c r="AJ354" s="9" t="e">
        <f>IF(tbl_Case_mins[[#This Row],[ThCloseAm]]&gt;0,IF(tbl_Case_mins[[#This Row],[ThOpenPM]]&gt;0,tbl_Case_mins[[#This Row],[ThClosePm]],tbl_Case_mins[[#This Row],[ThCloseAm]]),tbl_Case_mins[[#This Row],[ThClosePm]])</f>
        <v>#REF!</v>
      </c>
      <c r="AK354" s="9" t="e">
        <f>IF(tbl_Case_mins[[#This Row],[TOT]]&gt;0,1,0)</f>
        <v>#REF!</v>
      </c>
      <c r="AL35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4" s="9" t="e">
        <f>IF(AND(tbl_Case_mins[[#This Row],[Surgery Status]]&lt;&gt;2,tbl_Case_mins[[#This Row],[InCoreCase]]=0,tbl_Case_mins[[#This Row],[CancelledCase]]=0),1,0)</f>
        <v>#REF!</v>
      </c>
      <c r="AN354" s="9" t="e">
        <f>IF(tbl_Case_mins[[#This Row],[Surgery Status]]=1,1,0)</f>
        <v>#REF!</v>
      </c>
      <c r="AO35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4" s="9" t="e">
        <f>IF(AND(tbl_Case_mins[[#This Row],[NonCoreCase]]=1,tbl_Case_mins[[#This Row],[NoInCoreTime]]=0),1,0)</f>
        <v>#REF!</v>
      </c>
      <c r="AQ354" s="9" t="e">
        <f>IF(tbl_Case_mins[[#This Row],[Rank_AnaEnd]]&lt;tbl_Case_mins[[#This Row],[Rank_AnaSt]],1,0)</f>
        <v>#REF!</v>
      </c>
      <c r="AR354" s="9" t="e">
        <f>IF(AND(tbl_Case_mins[[#This Row],[InCoreCase]]=1,tbl_Case_mins[[#This Row],[Sch]]=1),1,0)</f>
        <v>#REF!</v>
      </c>
      <c r="AS354" s="9" t="e">
        <f>IF(AND(tbl_Case_mins[[#This Row],[InCoreCase]]=1,tbl_Case_mins[[#This Row],[Unsch]]=1),1,0)</f>
        <v>#REF!</v>
      </c>
      <c r="AT35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4" s="9" t="e">
        <f>IF(tbl_Case_mins[[#This Row],[Surgery Status]]=0,(tbl_Case_mins[[#This Row],[Anaesth End]]-tbl_Case_mins[[#This Row],[AnaesthStart]]),0)</f>
        <v>#REF!</v>
      </c>
      <c r="AX354" s="9" t="e">
        <f>IF(tbl_Case_mins[[#This Row],[Surgery Status]]=0,(tbl_Case_mins[[#This Row],[Surgery Finish]]-tbl_Case_mins[[#This Row],[Surgery Start]]),0)</f>
        <v>#REF!</v>
      </c>
      <c r="AY354" s="9" t="e">
        <f>tbl_Case_mins[[#This Row],[Surgery Start]]-tbl_Case_mins[[#This Row],[AnaesthStart]]</f>
        <v>#REF!</v>
      </c>
      <c r="AZ354" s="9" t="e">
        <f>tbl_Case_mins[[#This Row],[Anaesth End]]-tbl_Case_mins[[#This Row],[Surgery Finish]]</f>
        <v>#REF!</v>
      </c>
      <c r="BA35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4" s="16" cm="1">
        <f t="array" ref="BC35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4" s="16" t="e">
        <f>IF(AND(tbl_Case_mins[[#This Row],[FirstAMCase]]=1,tbl_Case_mins[[#This Row],[CancelledCase]]=0,OR(tbl_Case_mins[[#This Row],[EarlyStartAM]]&gt;0,tbl_Case_mins[[#This Row],[AnaesthStart]]=tbl_Case_mins[[#This Row],[ThOpenAm]])),1,0)</f>
        <v>#REF!</v>
      </c>
      <c r="BE354" s="16" t="e">
        <f>IF(AND(tbl_Case_mins[[#This Row],[Rank_AnaSt]]=tbl_Case_mins[[#This Row],[Min_RankAnaSt]],tbl_Case_mins[[#This Row],[Anaesth End]]&gt;=tbl_Case_mins[[#This Row],[ThOpenAm]],tbl_Case_mins[[#This Row],[PmCase]]=0),1,0)</f>
        <v>#REF!</v>
      </c>
      <c r="BF35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4" s="9" t="e" cm="1">
        <f t="array" ref="BH35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4" s="9" t="e">
        <f>IF(AND(tbl_Case_mins[[#This Row],[ThOpenPM]]&gt;0,tbl_Case_mins[[#This Row],[AnaesthStart]]&gt;tbl_Case_mins[[#This Row],[ThOpenPM]],tbl_Case_mins[[#This Row],[First PM Case]]=1),tbl_Case_mins[[#This Row],[AnaesthStart]]-tbl_Case_mins[[#This Row],[ThOpenPM]],0)</f>
        <v>#REF!</v>
      </c>
      <c r="BL35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4" s="9" t="e" cm="1">
        <f t="array" ref="BN35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4" s="9" t="e">
        <f>IF(AND(tbl_Case_mins[[#This Row],[ThClosePm]]&gt;0,tbl_Case_mins[[#This Row],[Anaesth End]]&gt;tbl_Case_mins[[#This Row],[ThClosePm]],tbl_Case_mins[[#This Row],[AnaesthStart]]&gt;tbl_Case_mins[[#This Row],[ThClosePm]]),tbl_Case_mins[[#This Row],[Into Recov]]-tbl_Case_mins[[#This Row],[AnaesthStart]],0)</f>
        <v>#REF!</v>
      </c>
      <c r="BP354" s="9" t="e">
        <f>IF(AND(tbl_Case_mins[[#This Row],[AnaesthStart]]&lt;tbl_Case_mins[[#This Row],[ThClosePm]],tbl_Case_mins[[#This Row],[Anaesth End]]&gt;tbl_Case_mins[[#This Row],[ThClosePm]]),tbl_Case_mins[[#This Row],[Anaesth End]]-tbl_Case_mins[[#This Row],[ThClosePm]],0)</f>
        <v>#REF!</v>
      </c>
      <c r="BQ354" s="9" t="e" cm="1">
        <f t="array" ref="BQ35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4" s="9" t="e" cm="1">
        <f t="array" ref="BR354">IF(tbl_Case_mins[[#This Row],[Rank_Adjust]]=SUMPRODUCT(-(tbl_Case_mins[Surgery Start Date]=tbl_Case_mins[[#This Row],[Surgery Start Date]]),-(tbl_Case_mins[Theatre]=tbl_Case_mins[[#This Row],[Theatre]])),INDEX(Poss_Time,MATCH(TEXT(tbl_Case_mins[[#This Row],[Surgery Start Date]],"ddd"),Day,0)),0)</f>
        <v>#REF!</v>
      </c>
      <c r="BS354" s="9" t="e">
        <f>tbl_Case_mins[[#This Row],[Core_Time]]*Util_Goal</f>
        <v>#REF!</v>
      </c>
      <c r="BT354" s="9" t="e" cm="1">
        <f t="array" ref="BT3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4" s="9" t="e" cm="1">
        <f t="array" ref="BU35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4" s="9" t="e">
        <f>IF(tbl_Case_mins[[#This Row],[Surgery End Date]]&gt;tbl_Case_mins[[#This Row],[Surgery Start Date]],tbl_Case_mins[[#This Row],[Anaesth End]]-1440,0)</f>
        <v>#REF!</v>
      </c>
      <c r="BY354" s="9" t="e">
        <f>tbl_Case_mins[[#This Row],[Total_NonCore]]-tbl_Case_mins[[#This Row],[NextDay_NonCore]]</f>
        <v>#REF!</v>
      </c>
      <c r="BZ354" s="10" t="e">
        <f>tbl_Case_mins[[#This Row],[InCoreUse]]/60</f>
        <v>#REF!</v>
      </c>
      <c r="CA354" s="10" t="e">
        <f>tbl_Case_mins[[#This Row],[Total_NonCore]]/60</f>
        <v>#REF!</v>
      </c>
      <c r="CB354" t="e" cm="1">
        <f t="array" ref="CB3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4" s="9" t="e" cm="1">
        <f t="array" ref="CC35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4" s="9" t="e" cm="1">
        <f t="array" ref="CD35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4" s="9" t="e" cm="1">
        <f t="array" ref="CE35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4" s="9" cm="1">
        <f t="array" ref="CF354">IFERROR(_xlfn.AGGREGATE(14,6,(tbl_Case_mins[Rank_AnaEnd])/((tbl_Case_mins[Surgery Start Date]=tbl_Case_mins[[#This Row],[Surgery Start Date]])*(tbl_Case_mins[Theatre]=tbl_Case_mins[[#This Row],[Theatre]])*(tbl_Case_mins[NoInCoreTime]=0)),1),-1)</f>
        <v>-1</v>
      </c>
      <c r="CG354" s="9" cm="1">
        <f t="array" ref="CG354">IFERROR(_xlfn.AGGREGATE(15,6,(tbl_Case_mins[Rank_AnaSt])/((tbl_Case_mins[Surgery Start Date]=tbl_Case_mins[[#This Row],[Surgery Start Date]])*(tbl_Case_mins[Theatre]=tbl_Case_mins[[#This Row],[Theatre]])*(tbl_Case_mins[NoInCoreTime]=0)),1),-1)</f>
        <v>-1</v>
      </c>
      <c r="CH35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4" t="e" cm="1">
        <f t="array" ref="CJ35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4" s="9" cm="1">
        <f t="array" ref="CO3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4" s="9" cm="1">
        <f t="array" ref="CP35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4" s="9" cm="1">
        <f t="array" ref="CQ354">IFERROR(IF(AND(tbl_Case_mins[[#This Row],[FirstAMCase]]=0,tbl_Case_mins[[#This Row],[Rank]]=_xlfn.AGGREGATE(14,6,(tbl_Case_mins[Rank])/((tbl_Case_mins[Surgery Start Date]=tbl_Case_mins[[#This Row],[Surgery Start Date]])*(tbl_Case_mins[Theatre]=tbl_Case_mins[[#This Row],[Theatre]])*(tbl_Case_mins[AmCase]=1)),1)),1,0),0)</f>
        <v>0</v>
      </c>
      <c r="CR354" s="9" cm="1">
        <f t="array" ref="CR35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4" s="9" t="e" cm="1">
        <f t="array" ref="CS35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4" s="9" cm="1">
        <f t="array" ref="CT354">IFERROR(IF(tbl_Case_mins[[#This Row],[Rank]]=_xlfn.AGGREGATE(15,6,(tbl_Case_mins[Rank])/((tbl_Case_mins[Surgery Start Date]=tbl_Case_mins[[#This Row],[Surgery Start Date]])*(tbl_Case_mins[Theatre]=tbl_Case_mins[[#This Row],[Theatre]])*(tbl_Case_mins[PmCase]=1)),1),1,0),0)</f>
        <v>0</v>
      </c>
      <c r="CU354">
        <f>IFERROR(#REF!,0)</f>
        <v>0</v>
      </c>
      <c r="CV354" s="9" t="e" cm="1">
        <f t="array" ref="CV35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4" s="9">
        <f>IFERROR(IF(ISBLANK(INDEX(Bay_AmClose,MATCH(1,INDEX((tbl_Case_mins[[#This Row],[Bay]]=BayNo)*(tbl_Case_mins[[#This Row],[Surgery Start Date]]=BDate),0,1),0))*1440),0,INDEX(Bay_AmClose,MATCH(1,INDEX((tbl_Case_mins[[#This Row],[Bay]]=BayNo)*(tbl_Case_mins[[#This Row],[Surgery Start Date]]=BDate),0,1),0))*1440),0)</f>
        <v>0</v>
      </c>
      <c r="CX354" s="9" cm="1">
        <f t="array" ref="CX354">IFERROR(IF(ISBLANK(INDEX(Bay_PmOpen,MATCH(1,INDEX((tbl_Case_mins[[#This Row],[Bay]]=BayNo)*(tbl_Case_mins[[#This Row],[Surgery Start Date]]=BDate),0,1),0))*1440),0,INDEX(Bay_PmOpen,MATCH(1,INDEX((tbl_Case_mins[[#This Row],[Bay]]=BayNo)*(tbl_Case_mins[[#This Row],[Surgery Start Date]]=BDate),0,1),0))*1440),0)</f>
        <v>0</v>
      </c>
      <c r="CY35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4" s="9"/>
    </row>
    <row r="355" spans="1:104" x14ac:dyDescent="0.2">
      <c r="A355">
        <v>354</v>
      </c>
      <c r="B355" t="e">
        <f>#REF!</f>
        <v>#REF!</v>
      </c>
      <c r="C355" t="e">
        <f>#REF!</f>
        <v>#REF!</v>
      </c>
      <c r="D355" t="e">
        <f>#REF!</f>
        <v>#REF!</v>
      </c>
      <c r="E355" t="e">
        <f>#REF!</f>
        <v>#REF!</v>
      </c>
      <c r="F355" t="e">
        <f>#REF!</f>
        <v>#REF!</v>
      </c>
      <c r="G355" t="e">
        <f>#REF!</f>
        <v>#REF!</v>
      </c>
      <c r="H355" t="e">
        <f>#REF!</f>
        <v>#REF!</v>
      </c>
      <c r="I355" t="e">
        <f>IF(#REF!="Case Cancelled",1,IF(#REF!="No Cases",2,0))</f>
        <v>#REF!</v>
      </c>
      <c r="J355" t="e">
        <f>#REF!</f>
        <v>#REF!</v>
      </c>
      <c r="K355" s="4" t="e">
        <f>#REF!</f>
        <v>#REF!</v>
      </c>
      <c r="L355" t="e">
        <f>"Wk "&amp;WEEKNUM(tbl_Case_mins[[#This Row],[Surgery Start Date]],21)</f>
        <v>#REF!</v>
      </c>
      <c r="M355" t="e">
        <f>TEXT(tbl_Case_mins[[#This Row],[Surgery Start Date]],"ddd")</f>
        <v>#REF!</v>
      </c>
      <c r="N355" s="9" t="e">
        <f>(#REF!-TIME(0,0,0))*1440</f>
        <v>#REF!</v>
      </c>
      <c r="O355" t="e">
        <f>IF(AND(ROUND((#REF!-TIME(0,0,0))*1440,0)&gt;0,ROUND((#REF!-TIME(0,0,0))*1440,0)&lt;tbl_Case_mins[[#This Row],[Patient Called]],tbl_Case_mins[[#This Row],[Surgery End Date]]&gt;tbl_Case_mins[[#This Row],[Surgery Start Date]]),ROUND((#REF!-TIME(0,0,0))*1440,0)+1440,ROUND((#REF!-TIME(0,0,0))*1440,0))</f>
        <v>#REF!</v>
      </c>
      <c r="P355" s="9" t="e">
        <f>IF(AND(ROUND((#REF!-TIME(0,0,0))*1440,0)&gt;0,ROUND((#REF!-TIME(0,0,0))*1440,0)&lt;tbl_Case_mins[[#This Row],[Arrival]],tbl_Case_mins[[#This Row],[Surgery End Date]]&gt;tbl_Case_mins[[#This Row],[Surgery Start Date]]),ROUND((#REF!-TIME(0,0,0))*1440,0)+1440,ROUND((#REF!-TIME(0,0,0))*1440,0))</f>
        <v>#REF!</v>
      </c>
      <c r="Q355" s="9" t="e">
        <f>IF(AND(ROUND((#REF!-TIME(0,0,0))*1440,0)&gt;0,ROUND((#REF!-TIME(0,0,0))*1440,0)&lt;tbl_Case_mins[[#This Row],[Into Th or AR]],tbl_Case_mins[[#This Row],[Surgery End Date]]&gt;tbl_Case_mins[[#This Row],[Surgery Start Date]]),ROUND((#REF!-TIME(0,0,0))*1440,0)+1440,ROUND((#REF!-TIME(0,0,0))*1440,0))</f>
        <v>#REF!</v>
      </c>
      <c r="R355" s="9" t="e">
        <f>IF(AND(ROUND((#REF!-TIME(0,0,0))*1440,0)&gt;0,ROUND((#REF!-TIME(0,0,0))*1440,0)&lt;tbl_Case_mins[[#This Row],[AnaesthStart]],tbl_Case_mins[[#This Row],[Surgery End Date]]&gt;tbl_Case_mins[[#This Row],[Surgery Start Date]]),ROUND((#REF!-TIME(0,0,0))*1440,0)+1440,ROUND((#REF!-TIME(0,0,0))*1440,0))</f>
        <v>#REF!</v>
      </c>
      <c r="S355" s="9" t="e">
        <f>IF(AND(ROUND((#REF!-TIME(0,0,0))*1440,0),ROUND((#REF!-TIME(0,0,0))*1440,0)&lt;tbl_Case_mins[[#This Row],[Surgery Start]],tbl_Case_mins[[#This Row],[Surgery End Date]]&gt;tbl_Case_mins[[#This Row],[Surgery Start Date]]),ROUND((#REF!-TIME(0,0,0))*1440,0)+1440,ROUND((#REF!-TIME(0,0,0))*1440,0))</f>
        <v>#REF!</v>
      </c>
      <c r="T355" s="9" t="e">
        <f>IF(AND(ROUND((#REF!-TIME(0,0,0))*1440,0)&gt;0,ROUND((#REF!-TIME(0,0,0))*1440,0)&lt;tbl_Case_mins[[#This Row],[Surgery Finish]],tbl_Case_mins[[#This Row],[Surgery End Date]]&gt;tbl_Case_mins[[#This Row],[Surgery Start Date]]),ROUND((#REF!-TIME(0,0,0))*1440,0)+1440,ROUND((#REF!-TIME(0,0,0))*1440,0))</f>
        <v>#REF!</v>
      </c>
      <c r="U355" s="9" t="e">
        <f>IF(AND(ROUND((#REF!-TIME(0,0,0))*1440,0)&gt;0,ROUND((#REF!-TIME(0,0,0))*1440,0)&lt;tbl_Case_mins[[#This Row],[Anaesth End]],tbl_Case_mins[[#This Row],[Surgery End Date]]&gt;tbl_Case_mins[[#This Row],[Surgery Start Date]]),ROUND((#REF!-TIME(0,0,0))*1440,0)+1440,ROUND((#REF!-TIME(0,0,0))*1440,0))</f>
        <v>#REF!</v>
      </c>
      <c r="V355" s="9" t="e">
        <f>IF(AND(ROUND((#REF!-TIME(0,0,0))*1440,0)&gt;0,ROUND((#REF!-TIME(0,0,0))*1440,0)&lt;tbl_Case_mins[[#This Row],[Into Recov]],tbl_Case_mins[[#This Row],[Surgery End Date]]&gt;tbl_Case_mins[[#This Row],[Surgery Start Date]]),ROUND((#REF!-TIME(0,0,0))*1440,0)+1440,ROUND((#REF!-TIME(0,0,0))*1440,0))</f>
        <v>#REF!</v>
      </c>
      <c r="W355" s="9" t="e">
        <f>IF(AND(ROUND((#REF!-TIME(0,0,0))*1440,0)&gt;0,ROUND((#REF!-TIME(0,0,0))*1440,0)&lt;tbl_Case_mins[[#This Row],[Ward Called]],tbl_Case_mins[[#This Row],[Surgery End Date]]&gt;tbl_Case_mins[[#This Row],[Surgery Start Date]]),ROUND((#REF!-TIME(0,0,0))*1440,0)+1440,ROUND((#REF!-TIME(0,0,0))*1440,0))</f>
        <v>#REF!</v>
      </c>
      <c r="X355" s="4" t="e">
        <f>IF(ISBLANK(#REF!),tbl_Case_mins[[#This Row],[Surgery Start Date]],#REF!)</f>
        <v>#REF!</v>
      </c>
      <c r="Y355">
        <f>IFERROR(IF(VLOOKUP(tbl_Case_mins[[#This Row],[Theatre]],'Mng Theatres'!$C$7:$G$12,3,FALSE)="Yes","Yes","No"),0)</f>
        <v>0</v>
      </c>
      <c r="Z355" s="9" t="e" cm="1">
        <f t="array" ref="Z35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5" s="9" t="e" cm="1">
        <f t="array" ref="AA35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5" s="9" t="e">
        <f>IF(tbl_Case_mins[[#This Row],[Case Type]]="Unsch",1,0)</f>
        <v>#REF!</v>
      </c>
      <c r="AD355" s="9" t="e">
        <f>IF(tbl_Case_mins[[#This Row],[Case Type]]="Sch",1,0)</f>
        <v>#REF!</v>
      </c>
      <c r="AE35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5" s="9">
        <f>IFERROR(IF(ISBLANK(INDEX(Am_Close,MATCH(1,INDEX((tbl_Case_mins[[#This Row],[Theatre]]=Theatre_No)*(tbl_Case_mins[[#This Row],[Surgery Start Date]]=Date),0,1),0))*1440),0,INDEX(Am_Close,MATCH(1,INDEX((tbl_Case_mins[[#This Row],[Theatre]]=Theatre_No)*(tbl_Case_mins[[#This Row],[Surgery Start Date]]=Date),0,1),0))*1440),0)</f>
        <v>0</v>
      </c>
      <c r="AG355" s="9">
        <f>IFERROR(IF(ISBLANK(INDEX(PM_Open,MATCH(1,INDEX((tbl_Case_mins[[#This Row],[Theatre]]=Theatre_No)*(tbl_Case_mins[[#This Row],[Surgery Start Date]]=Date),0,1),0))*1440),0,INDEX(PM_Open,MATCH(1,INDEX((tbl_Case_mins[[#This Row],[Theatre]]=Theatre_No)*(tbl_Case_mins[[#This Row],[Surgery Start Date]]=Date),0,1),0))*1440),0)</f>
        <v>0</v>
      </c>
      <c r="AH35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5" s="9" t="e">
        <f>IF(tbl_Case_mins[[#This Row],[ThOpenAm]]=0,tbl_Case_mins[[#This Row],[ThOpenPM]],tbl_Case_mins[[#This Row],[ThOpenAm]])</f>
        <v>#REF!</v>
      </c>
      <c r="AJ355" s="9" t="e">
        <f>IF(tbl_Case_mins[[#This Row],[ThCloseAm]]&gt;0,IF(tbl_Case_mins[[#This Row],[ThOpenPM]]&gt;0,tbl_Case_mins[[#This Row],[ThClosePm]],tbl_Case_mins[[#This Row],[ThCloseAm]]),tbl_Case_mins[[#This Row],[ThClosePm]])</f>
        <v>#REF!</v>
      </c>
      <c r="AK355" s="9" t="e">
        <f>IF(tbl_Case_mins[[#This Row],[TOT]]&gt;0,1,0)</f>
        <v>#REF!</v>
      </c>
      <c r="AL35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5" s="9" t="e">
        <f>IF(AND(tbl_Case_mins[[#This Row],[Surgery Status]]&lt;&gt;2,tbl_Case_mins[[#This Row],[InCoreCase]]=0,tbl_Case_mins[[#This Row],[CancelledCase]]=0),1,0)</f>
        <v>#REF!</v>
      </c>
      <c r="AN355" s="9" t="e">
        <f>IF(tbl_Case_mins[[#This Row],[Surgery Status]]=1,1,0)</f>
        <v>#REF!</v>
      </c>
      <c r="AO35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5" s="9" t="e">
        <f>IF(AND(tbl_Case_mins[[#This Row],[NonCoreCase]]=1,tbl_Case_mins[[#This Row],[NoInCoreTime]]=0),1,0)</f>
        <v>#REF!</v>
      </c>
      <c r="AQ355" s="9" t="e">
        <f>IF(tbl_Case_mins[[#This Row],[Rank_AnaEnd]]&lt;tbl_Case_mins[[#This Row],[Rank_AnaSt]],1,0)</f>
        <v>#REF!</v>
      </c>
      <c r="AR355" s="9" t="e">
        <f>IF(AND(tbl_Case_mins[[#This Row],[InCoreCase]]=1,tbl_Case_mins[[#This Row],[Sch]]=1),1,0)</f>
        <v>#REF!</v>
      </c>
      <c r="AS355" s="9" t="e">
        <f>IF(AND(tbl_Case_mins[[#This Row],[InCoreCase]]=1,tbl_Case_mins[[#This Row],[Unsch]]=1),1,0)</f>
        <v>#REF!</v>
      </c>
      <c r="AT35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5" s="9" t="e">
        <f>IF(tbl_Case_mins[[#This Row],[Surgery Status]]=0,(tbl_Case_mins[[#This Row],[Anaesth End]]-tbl_Case_mins[[#This Row],[AnaesthStart]]),0)</f>
        <v>#REF!</v>
      </c>
      <c r="AX355" s="9" t="e">
        <f>IF(tbl_Case_mins[[#This Row],[Surgery Status]]=0,(tbl_Case_mins[[#This Row],[Surgery Finish]]-tbl_Case_mins[[#This Row],[Surgery Start]]),0)</f>
        <v>#REF!</v>
      </c>
      <c r="AY355" s="9" t="e">
        <f>tbl_Case_mins[[#This Row],[Surgery Start]]-tbl_Case_mins[[#This Row],[AnaesthStart]]</f>
        <v>#REF!</v>
      </c>
      <c r="AZ355" s="9" t="e">
        <f>tbl_Case_mins[[#This Row],[Anaesth End]]-tbl_Case_mins[[#This Row],[Surgery Finish]]</f>
        <v>#REF!</v>
      </c>
      <c r="BA35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5" s="16" cm="1">
        <f t="array" ref="BC35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5" s="16" t="e">
        <f>IF(AND(tbl_Case_mins[[#This Row],[FirstAMCase]]=1,tbl_Case_mins[[#This Row],[CancelledCase]]=0,OR(tbl_Case_mins[[#This Row],[EarlyStartAM]]&gt;0,tbl_Case_mins[[#This Row],[AnaesthStart]]=tbl_Case_mins[[#This Row],[ThOpenAm]])),1,0)</f>
        <v>#REF!</v>
      </c>
      <c r="BE355" s="16" t="e">
        <f>IF(AND(tbl_Case_mins[[#This Row],[Rank_AnaSt]]=tbl_Case_mins[[#This Row],[Min_RankAnaSt]],tbl_Case_mins[[#This Row],[Anaesth End]]&gt;=tbl_Case_mins[[#This Row],[ThOpenAm]],tbl_Case_mins[[#This Row],[PmCase]]=0),1,0)</f>
        <v>#REF!</v>
      </c>
      <c r="BF35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5" s="9" t="e" cm="1">
        <f t="array" ref="BH35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5" s="9" t="e">
        <f>IF(AND(tbl_Case_mins[[#This Row],[ThOpenPM]]&gt;0,tbl_Case_mins[[#This Row],[AnaesthStart]]&gt;tbl_Case_mins[[#This Row],[ThOpenPM]],tbl_Case_mins[[#This Row],[First PM Case]]=1),tbl_Case_mins[[#This Row],[AnaesthStart]]-tbl_Case_mins[[#This Row],[ThOpenPM]],0)</f>
        <v>#REF!</v>
      </c>
      <c r="BL35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5" s="9" t="e" cm="1">
        <f t="array" ref="BN35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5" s="9" t="e">
        <f>IF(AND(tbl_Case_mins[[#This Row],[ThClosePm]]&gt;0,tbl_Case_mins[[#This Row],[Anaesth End]]&gt;tbl_Case_mins[[#This Row],[ThClosePm]],tbl_Case_mins[[#This Row],[AnaesthStart]]&gt;tbl_Case_mins[[#This Row],[ThClosePm]]),tbl_Case_mins[[#This Row],[Into Recov]]-tbl_Case_mins[[#This Row],[AnaesthStart]],0)</f>
        <v>#REF!</v>
      </c>
      <c r="BP355" s="9" t="e">
        <f>IF(AND(tbl_Case_mins[[#This Row],[AnaesthStart]]&lt;tbl_Case_mins[[#This Row],[ThClosePm]],tbl_Case_mins[[#This Row],[Anaesth End]]&gt;tbl_Case_mins[[#This Row],[ThClosePm]]),tbl_Case_mins[[#This Row],[Anaesth End]]-tbl_Case_mins[[#This Row],[ThClosePm]],0)</f>
        <v>#REF!</v>
      </c>
      <c r="BQ355" s="9" t="e" cm="1">
        <f t="array" ref="BQ35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5" s="9" t="e" cm="1">
        <f t="array" ref="BR355">IF(tbl_Case_mins[[#This Row],[Rank_Adjust]]=SUMPRODUCT(-(tbl_Case_mins[Surgery Start Date]=tbl_Case_mins[[#This Row],[Surgery Start Date]]),-(tbl_Case_mins[Theatre]=tbl_Case_mins[[#This Row],[Theatre]])),INDEX(Poss_Time,MATCH(TEXT(tbl_Case_mins[[#This Row],[Surgery Start Date]],"ddd"),Day,0)),0)</f>
        <v>#REF!</v>
      </c>
      <c r="BS355" s="9" t="e">
        <f>tbl_Case_mins[[#This Row],[Core_Time]]*Util_Goal</f>
        <v>#REF!</v>
      </c>
      <c r="BT355" s="9" t="e" cm="1">
        <f t="array" ref="BT3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5" s="9" t="e" cm="1">
        <f t="array" ref="BU35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5" s="9" t="e">
        <f>IF(tbl_Case_mins[[#This Row],[Surgery End Date]]&gt;tbl_Case_mins[[#This Row],[Surgery Start Date]],tbl_Case_mins[[#This Row],[Anaesth End]]-1440,0)</f>
        <v>#REF!</v>
      </c>
      <c r="BY355" s="9" t="e">
        <f>tbl_Case_mins[[#This Row],[Total_NonCore]]-tbl_Case_mins[[#This Row],[NextDay_NonCore]]</f>
        <v>#REF!</v>
      </c>
      <c r="BZ355" s="10" t="e">
        <f>tbl_Case_mins[[#This Row],[InCoreUse]]/60</f>
        <v>#REF!</v>
      </c>
      <c r="CA355" s="10" t="e">
        <f>tbl_Case_mins[[#This Row],[Total_NonCore]]/60</f>
        <v>#REF!</v>
      </c>
      <c r="CB355" t="e" cm="1">
        <f t="array" ref="CB3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5" s="9" t="e" cm="1">
        <f t="array" ref="CC35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5" s="9" t="e" cm="1">
        <f t="array" ref="CD35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5" s="9" t="e" cm="1">
        <f t="array" ref="CE35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5" s="9" cm="1">
        <f t="array" ref="CF355">IFERROR(_xlfn.AGGREGATE(14,6,(tbl_Case_mins[Rank_AnaEnd])/((tbl_Case_mins[Surgery Start Date]=tbl_Case_mins[[#This Row],[Surgery Start Date]])*(tbl_Case_mins[Theatre]=tbl_Case_mins[[#This Row],[Theatre]])*(tbl_Case_mins[NoInCoreTime]=0)),1),-1)</f>
        <v>-1</v>
      </c>
      <c r="CG355" s="9" cm="1">
        <f t="array" ref="CG355">IFERROR(_xlfn.AGGREGATE(15,6,(tbl_Case_mins[Rank_AnaSt])/((tbl_Case_mins[Surgery Start Date]=tbl_Case_mins[[#This Row],[Surgery Start Date]])*(tbl_Case_mins[Theatre]=tbl_Case_mins[[#This Row],[Theatre]])*(tbl_Case_mins[NoInCoreTime]=0)),1),-1)</f>
        <v>-1</v>
      </c>
      <c r="CH35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5" t="e" cm="1">
        <f t="array" ref="CJ35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5" s="9" cm="1">
        <f t="array" ref="CO3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5" s="9" cm="1">
        <f t="array" ref="CP35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5" s="9" cm="1">
        <f t="array" ref="CQ355">IFERROR(IF(AND(tbl_Case_mins[[#This Row],[FirstAMCase]]=0,tbl_Case_mins[[#This Row],[Rank]]=_xlfn.AGGREGATE(14,6,(tbl_Case_mins[Rank])/((tbl_Case_mins[Surgery Start Date]=tbl_Case_mins[[#This Row],[Surgery Start Date]])*(tbl_Case_mins[Theatre]=tbl_Case_mins[[#This Row],[Theatre]])*(tbl_Case_mins[AmCase]=1)),1)),1,0),0)</f>
        <v>0</v>
      </c>
      <c r="CR355" s="9" cm="1">
        <f t="array" ref="CR35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5" s="9" t="e" cm="1">
        <f t="array" ref="CS35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5" s="9" cm="1">
        <f t="array" ref="CT355">IFERROR(IF(tbl_Case_mins[[#This Row],[Rank]]=_xlfn.AGGREGATE(15,6,(tbl_Case_mins[Rank])/((tbl_Case_mins[Surgery Start Date]=tbl_Case_mins[[#This Row],[Surgery Start Date]])*(tbl_Case_mins[Theatre]=tbl_Case_mins[[#This Row],[Theatre]])*(tbl_Case_mins[PmCase]=1)),1),1,0),0)</f>
        <v>0</v>
      </c>
      <c r="CU355">
        <f>IFERROR(#REF!,0)</f>
        <v>0</v>
      </c>
      <c r="CV355" s="9" t="e" cm="1">
        <f t="array" ref="CV35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5" s="9">
        <f>IFERROR(IF(ISBLANK(INDEX(Bay_AmClose,MATCH(1,INDEX((tbl_Case_mins[[#This Row],[Bay]]=BayNo)*(tbl_Case_mins[[#This Row],[Surgery Start Date]]=BDate),0,1),0))*1440),0,INDEX(Bay_AmClose,MATCH(1,INDEX((tbl_Case_mins[[#This Row],[Bay]]=BayNo)*(tbl_Case_mins[[#This Row],[Surgery Start Date]]=BDate),0,1),0))*1440),0)</f>
        <v>0</v>
      </c>
      <c r="CX355" s="9" cm="1">
        <f t="array" ref="CX355">IFERROR(IF(ISBLANK(INDEX(Bay_PmOpen,MATCH(1,INDEX((tbl_Case_mins[[#This Row],[Bay]]=BayNo)*(tbl_Case_mins[[#This Row],[Surgery Start Date]]=BDate),0,1),0))*1440),0,INDEX(Bay_PmOpen,MATCH(1,INDEX((tbl_Case_mins[[#This Row],[Bay]]=BayNo)*(tbl_Case_mins[[#This Row],[Surgery Start Date]]=BDate),0,1),0))*1440),0)</f>
        <v>0</v>
      </c>
      <c r="CY35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5" s="9"/>
    </row>
    <row r="356" spans="1:104" x14ac:dyDescent="0.2">
      <c r="A356">
        <v>355</v>
      </c>
      <c r="B356" t="e">
        <f>#REF!</f>
        <v>#REF!</v>
      </c>
      <c r="C356" t="e">
        <f>#REF!</f>
        <v>#REF!</v>
      </c>
      <c r="D356" t="e">
        <f>#REF!</f>
        <v>#REF!</v>
      </c>
      <c r="E356" t="e">
        <f>#REF!</f>
        <v>#REF!</v>
      </c>
      <c r="F356" t="e">
        <f>#REF!</f>
        <v>#REF!</v>
      </c>
      <c r="G356" t="e">
        <f>#REF!</f>
        <v>#REF!</v>
      </c>
      <c r="H356" t="e">
        <f>#REF!</f>
        <v>#REF!</v>
      </c>
      <c r="I356" t="e">
        <f>IF(#REF!="Case Cancelled",1,IF(#REF!="No Cases",2,0))</f>
        <v>#REF!</v>
      </c>
      <c r="J356" t="e">
        <f>#REF!</f>
        <v>#REF!</v>
      </c>
      <c r="K356" s="4" t="e">
        <f>#REF!</f>
        <v>#REF!</v>
      </c>
      <c r="L356" t="e">
        <f>"Wk "&amp;WEEKNUM(tbl_Case_mins[[#This Row],[Surgery Start Date]],21)</f>
        <v>#REF!</v>
      </c>
      <c r="M356" t="e">
        <f>TEXT(tbl_Case_mins[[#This Row],[Surgery Start Date]],"ddd")</f>
        <v>#REF!</v>
      </c>
      <c r="N356" s="9" t="e">
        <f>(#REF!-TIME(0,0,0))*1440</f>
        <v>#REF!</v>
      </c>
      <c r="O356" t="e">
        <f>IF(AND(ROUND((#REF!-TIME(0,0,0))*1440,0)&gt;0,ROUND((#REF!-TIME(0,0,0))*1440,0)&lt;tbl_Case_mins[[#This Row],[Patient Called]],tbl_Case_mins[[#This Row],[Surgery End Date]]&gt;tbl_Case_mins[[#This Row],[Surgery Start Date]]),ROUND((#REF!-TIME(0,0,0))*1440,0)+1440,ROUND((#REF!-TIME(0,0,0))*1440,0))</f>
        <v>#REF!</v>
      </c>
      <c r="P356" s="9" t="e">
        <f>IF(AND(ROUND((#REF!-TIME(0,0,0))*1440,0)&gt;0,ROUND((#REF!-TIME(0,0,0))*1440,0)&lt;tbl_Case_mins[[#This Row],[Arrival]],tbl_Case_mins[[#This Row],[Surgery End Date]]&gt;tbl_Case_mins[[#This Row],[Surgery Start Date]]),ROUND((#REF!-TIME(0,0,0))*1440,0)+1440,ROUND((#REF!-TIME(0,0,0))*1440,0))</f>
        <v>#REF!</v>
      </c>
      <c r="Q356" s="9" t="e">
        <f>IF(AND(ROUND((#REF!-TIME(0,0,0))*1440,0)&gt;0,ROUND((#REF!-TIME(0,0,0))*1440,0)&lt;tbl_Case_mins[[#This Row],[Into Th or AR]],tbl_Case_mins[[#This Row],[Surgery End Date]]&gt;tbl_Case_mins[[#This Row],[Surgery Start Date]]),ROUND((#REF!-TIME(0,0,0))*1440,0)+1440,ROUND((#REF!-TIME(0,0,0))*1440,0))</f>
        <v>#REF!</v>
      </c>
      <c r="R356" s="9" t="e">
        <f>IF(AND(ROUND((#REF!-TIME(0,0,0))*1440,0)&gt;0,ROUND((#REF!-TIME(0,0,0))*1440,0)&lt;tbl_Case_mins[[#This Row],[AnaesthStart]],tbl_Case_mins[[#This Row],[Surgery End Date]]&gt;tbl_Case_mins[[#This Row],[Surgery Start Date]]),ROUND((#REF!-TIME(0,0,0))*1440,0)+1440,ROUND((#REF!-TIME(0,0,0))*1440,0))</f>
        <v>#REF!</v>
      </c>
      <c r="S356" s="9" t="e">
        <f>IF(AND(ROUND((#REF!-TIME(0,0,0))*1440,0),ROUND((#REF!-TIME(0,0,0))*1440,0)&lt;tbl_Case_mins[[#This Row],[Surgery Start]],tbl_Case_mins[[#This Row],[Surgery End Date]]&gt;tbl_Case_mins[[#This Row],[Surgery Start Date]]),ROUND((#REF!-TIME(0,0,0))*1440,0)+1440,ROUND((#REF!-TIME(0,0,0))*1440,0))</f>
        <v>#REF!</v>
      </c>
      <c r="T356" s="9" t="e">
        <f>IF(AND(ROUND((#REF!-TIME(0,0,0))*1440,0)&gt;0,ROUND((#REF!-TIME(0,0,0))*1440,0)&lt;tbl_Case_mins[[#This Row],[Surgery Finish]],tbl_Case_mins[[#This Row],[Surgery End Date]]&gt;tbl_Case_mins[[#This Row],[Surgery Start Date]]),ROUND((#REF!-TIME(0,0,0))*1440,0)+1440,ROUND((#REF!-TIME(0,0,0))*1440,0))</f>
        <v>#REF!</v>
      </c>
      <c r="U356" s="9" t="e">
        <f>IF(AND(ROUND((#REF!-TIME(0,0,0))*1440,0)&gt;0,ROUND((#REF!-TIME(0,0,0))*1440,0)&lt;tbl_Case_mins[[#This Row],[Anaesth End]],tbl_Case_mins[[#This Row],[Surgery End Date]]&gt;tbl_Case_mins[[#This Row],[Surgery Start Date]]),ROUND((#REF!-TIME(0,0,0))*1440,0)+1440,ROUND((#REF!-TIME(0,0,0))*1440,0))</f>
        <v>#REF!</v>
      </c>
      <c r="V356" s="9" t="e">
        <f>IF(AND(ROUND((#REF!-TIME(0,0,0))*1440,0)&gt;0,ROUND((#REF!-TIME(0,0,0))*1440,0)&lt;tbl_Case_mins[[#This Row],[Into Recov]],tbl_Case_mins[[#This Row],[Surgery End Date]]&gt;tbl_Case_mins[[#This Row],[Surgery Start Date]]),ROUND((#REF!-TIME(0,0,0))*1440,0)+1440,ROUND((#REF!-TIME(0,0,0))*1440,0))</f>
        <v>#REF!</v>
      </c>
      <c r="W356" s="9" t="e">
        <f>IF(AND(ROUND((#REF!-TIME(0,0,0))*1440,0)&gt;0,ROUND((#REF!-TIME(0,0,0))*1440,0)&lt;tbl_Case_mins[[#This Row],[Ward Called]],tbl_Case_mins[[#This Row],[Surgery End Date]]&gt;tbl_Case_mins[[#This Row],[Surgery Start Date]]),ROUND((#REF!-TIME(0,0,0))*1440,0)+1440,ROUND((#REF!-TIME(0,0,0))*1440,0))</f>
        <v>#REF!</v>
      </c>
      <c r="X356" s="4" t="e">
        <f>IF(ISBLANK(#REF!),tbl_Case_mins[[#This Row],[Surgery Start Date]],#REF!)</f>
        <v>#REF!</v>
      </c>
      <c r="Y356">
        <f>IFERROR(IF(VLOOKUP(tbl_Case_mins[[#This Row],[Theatre]],'Mng Theatres'!$C$7:$G$12,3,FALSE)="Yes","Yes","No"),0)</f>
        <v>0</v>
      </c>
      <c r="Z356" s="9" t="e" cm="1">
        <f t="array" ref="Z35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6" s="9" t="e" cm="1">
        <f t="array" ref="AA35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6" s="9" t="e">
        <f>IF(tbl_Case_mins[[#This Row],[Case Type]]="Unsch",1,0)</f>
        <v>#REF!</v>
      </c>
      <c r="AD356" s="9" t="e">
        <f>IF(tbl_Case_mins[[#This Row],[Case Type]]="Sch",1,0)</f>
        <v>#REF!</v>
      </c>
      <c r="AE35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6" s="9">
        <f>IFERROR(IF(ISBLANK(INDEX(Am_Close,MATCH(1,INDEX((tbl_Case_mins[[#This Row],[Theatre]]=Theatre_No)*(tbl_Case_mins[[#This Row],[Surgery Start Date]]=Date),0,1),0))*1440),0,INDEX(Am_Close,MATCH(1,INDEX((tbl_Case_mins[[#This Row],[Theatre]]=Theatre_No)*(tbl_Case_mins[[#This Row],[Surgery Start Date]]=Date),0,1),0))*1440),0)</f>
        <v>0</v>
      </c>
      <c r="AG356" s="9">
        <f>IFERROR(IF(ISBLANK(INDEX(PM_Open,MATCH(1,INDEX((tbl_Case_mins[[#This Row],[Theatre]]=Theatre_No)*(tbl_Case_mins[[#This Row],[Surgery Start Date]]=Date),0,1),0))*1440),0,INDEX(PM_Open,MATCH(1,INDEX((tbl_Case_mins[[#This Row],[Theatre]]=Theatre_No)*(tbl_Case_mins[[#This Row],[Surgery Start Date]]=Date),0,1),0))*1440),0)</f>
        <v>0</v>
      </c>
      <c r="AH35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6" s="9" t="e">
        <f>IF(tbl_Case_mins[[#This Row],[ThOpenAm]]=0,tbl_Case_mins[[#This Row],[ThOpenPM]],tbl_Case_mins[[#This Row],[ThOpenAm]])</f>
        <v>#REF!</v>
      </c>
      <c r="AJ356" s="9" t="e">
        <f>IF(tbl_Case_mins[[#This Row],[ThCloseAm]]&gt;0,IF(tbl_Case_mins[[#This Row],[ThOpenPM]]&gt;0,tbl_Case_mins[[#This Row],[ThClosePm]],tbl_Case_mins[[#This Row],[ThCloseAm]]),tbl_Case_mins[[#This Row],[ThClosePm]])</f>
        <v>#REF!</v>
      </c>
      <c r="AK356" s="9" t="e">
        <f>IF(tbl_Case_mins[[#This Row],[TOT]]&gt;0,1,0)</f>
        <v>#REF!</v>
      </c>
      <c r="AL35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6" s="9" t="e">
        <f>IF(AND(tbl_Case_mins[[#This Row],[Surgery Status]]&lt;&gt;2,tbl_Case_mins[[#This Row],[InCoreCase]]=0,tbl_Case_mins[[#This Row],[CancelledCase]]=0),1,0)</f>
        <v>#REF!</v>
      </c>
      <c r="AN356" s="9" t="e">
        <f>IF(tbl_Case_mins[[#This Row],[Surgery Status]]=1,1,0)</f>
        <v>#REF!</v>
      </c>
      <c r="AO35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6" s="9" t="e">
        <f>IF(AND(tbl_Case_mins[[#This Row],[NonCoreCase]]=1,tbl_Case_mins[[#This Row],[NoInCoreTime]]=0),1,0)</f>
        <v>#REF!</v>
      </c>
      <c r="AQ356" s="9" t="e">
        <f>IF(tbl_Case_mins[[#This Row],[Rank_AnaEnd]]&lt;tbl_Case_mins[[#This Row],[Rank_AnaSt]],1,0)</f>
        <v>#REF!</v>
      </c>
      <c r="AR356" s="9" t="e">
        <f>IF(AND(tbl_Case_mins[[#This Row],[InCoreCase]]=1,tbl_Case_mins[[#This Row],[Sch]]=1),1,0)</f>
        <v>#REF!</v>
      </c>
      <c r="AS356" s="9" t="e">
        <f>IF(AND(tbl_Case_mins[[#This Row],[InCoreCase]]=1,tbl_Case_mins[[#This Row],[Unsch]]=1),1,0)</f>
        <v>#REF!</v>
      </c>
      <c r="AT35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6" s="9" t="e">
        <f>IF(tbl_Case_mins[[#This Row],[Surgery Status]]=0,(tbl_Case_mins[[#This Row],[Anaesth End]]-tbl_Case_mins[[#This Row],[AnaesthStart]]),0)</f>
        <v>#REF!</v>
      </c>
      <c r="AX356" s="9" t="e">
        <f>IF(tbl_Case_mins[[#This Row],[Surgery Status]]=0,(tbl_Case_mins[[#This Row],[Surgery Finish]]-tbl_Case_mins[[#This Row],[Surgery Start]]),0)</f>
        <v>#REF!</v>
      </c>
      <c r="AY356" s="9" t="e">
        <f>tbl_Case_mins[[#This Row],[Surgery Start]]-tbl_Case_mins[[#This Row],[AnaesthStart]]</f>
        <v>#REF!</v>
      </c>
      <c r="AZ356" s="9" t="e">
        <f>tbl_Case_mins[[#This Row],[Anaesth End]]-tbl_Case_mins[[#This Row],[Surgery Finish]]</f>
        <v>#REF!</v>
      </c>
      <c r="BA35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6" s="16" cm="1">
        <f t="array" ref="BC35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6" s="16" t="e">
        <f>IF(AND(tbl_Case_mins[[#This Row],[FirstAMCase]]=1,tbl_Case_mins[[#This Row],[CancelledCase]]=0,OR(tbl_Case_mins[[#This Row],[EarlyStartAM]]&gt;0,tbl_Case_mins[[#This Row],[AnaesthStart]]=tbl_Case_mins[[#This Row],[ThOpenAm]])),1,0)</f>
        <v>#REF!</v>
      </c>
      <c r="BE356" s="16" t="e">
        <f>IF(AND(tbl_Case_mins[[#This Row],[Rank_AnaSt]]=tbl_Case_mins[[#This Row],[Min_RankAnaSt]],tbl_Case_mins[[#This Row],[Anaesth End]]&gt;=tbl_Case_mins[[#This Row],[ThOpenAm]],tbl_Case_mins[[#This Row],[PmCase]]=0),1,0)</f>
        <v>#REF!</v>
      </c>
      <c r="BF35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6" s="9" t="e" cm="1">
        <f t="array" ref="BH35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6" s="9" t="e">
        <f>IF(AND(tbl_Case_mins[[#This Row],[ThOpenPM]]&gt;0,tbl_Case_mins[[#This Row],[AnaesthStart]]&gt;tbl_Case_mins[[#This Row],[ThOpenPM]],tbl_Case_mins[[#This Row],[First PM Case]]=1),tbl_Case_mins[[#This Row],[AnaesthStart]]-tbl_Case_mins[[#This Row],[ThOpenPM]],0)</f>
        <v>#REF!</v>
      </c>
      <c r="BL35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6" s="9" t="e" cm="1">
        <f t="array" ref="BN35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6" s="9" t="e">
        <f>IF(AND(tbl_Case_mins[[#This Row],[ThClosePm]]&gt;0,tbl_Case_mins[[#This Row],[Anaesth End]]&gt;tbl_Case_mins[[#This Row],[ThClosePm]],tbl_Case_mins[[#This Row],[AnaesthStart]]&gt;tbl_Case_mins[[#This Row],[ThClosePm]]),tbl_Case_mins[[#This Row],[Into Recov]]-tbl_Case_mins[[#This Row],[AnaesthStart]],0)</f>
        <v>#REF!</v>
      </c>
      <c r="BP356" s="9" t="e">
        <f>IF(AND(tbl_Case_mins[[#This Row],[AnaesthStart]]&lt;tbl_Case_mins[[#This Row],[ThClosePm]],tbl_Case_mins[[#This Row],[Anaesth End]]&gt;tbl_Case_mins[[#This Row],[ThClosePm]]),tbl_Case_mins[[#This Row],[Anaesth End]]-tbl_Case_mins[[#This Row],[ThClosePm]],0)</f>
        <v>#REF!</v>
      </c>
      <c r="BQ356" s="9" t="e" cm="1">
        <f t="array" ref="BQ35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6" s="9" t="e" cm="1">
        <f t="array" ref="BR356">IF(tbl_Case_mins[[#This Row],[Rank_Adjust]]=SUMPRODUCT(-(tbl_Case_mins[Surgery Start Date]=tbl_Case_mins[[#This Row],[Surgery Start Date]]),-(tbl_Case_mins[Theatre]=tbl_Case_mins[[#This Row],[Theatre]])),INDEX(Poss_Time,MATCH(TEXT(tbl_Case_mins[[#This Row],[Surgery Start Date]],"ddd"),Day,0)),0)</f>
        <v>#REF!</v>
      </c>
      <c r="BS356" s="9" t="e">
        <f>tbl_Case_mins[[#This Row],[Core_Time]]*Util_Goal</f>
        <v>#REF!</v>
      </c>
      <c r="BT356" s="9" t="e" cm="1">
        <f t="array" ref="BT3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6" s="9" t="e" cm="1">
        <f t="array" ref="BU35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6" s="9" t="e">
        <f>IF(tbl_Case_mins[[#This Row],[Surgery End Date]]&gt;tbl_Case_mins[[#This Row],[Surgery Start Date]],tbl_Case_mins[[#This Row],[Anaesth End]]-1440,0)</f>
        <v>#REF!</v>
      </c>
      <c r="BY356" s="9" t="e">
        <f>tbl_Case_mins[[#This Row],[Total_NonCore]]-tbl_Case_mins[[#This Row],[NextDay_NonCore]]</f>
        <v>#REF!</v>
      </c>
      <c r="BZ356" s="10" t="e">
        <f>tbl_Case_mins[[#This Row],[InCoreUse]]/60</f>
        <v>#REF!</v>
      </c>
      <c r="CA356" s="10" t="e">
        <f>tbl_Case_mins[[#This Row],[Total_NonCore]]/60</f>
        <v>#REF!</v>
      </c>
      <c r="CB356" t="e" cm="1">
        <f t="array" ref="CB3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6" s="9" t="e" cm="1">
        <f t="array" ref="CC35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6" s="9" t="e" cm="1">
        <f t="array" ref="CD35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6" s="9" t="e" cm="1">
        <f t="array" ref="CE35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6" s="9" cm="1">
        <f t="array" ref="CF356">IFERROR(_xlfn.AGGREGATE(14,6,(tbl_Case_mins[Rank_AnaEnd])/((tbl_Case_mins[Surgery Start Date]=tbl_Case_mins[[#This Row],[Surgery Start Date]])*(tbl_Case_mins[Theatre]=tbl_Case_mins[[#This Row],[Theatre]])*(tbl_Case_mins[NoInCoreTime]=0)),1),-1)</f>
        <v>-1</v>
      </c>
      <c r="CG356" s="9" cm="1">
        <f t="array" ref="CG356">IFERROR(_xlfn.AGGREGATE(15,6,(tbl_Case_mins[Rank_AnaSt])/((tbl_Case_mins[Surgery Start Date]=tbl_Case_mins[[#This Row],[Surgery Start Date]])*(tbl_Case_mins[Theatre]=tbl_Case_mins[[#This Row],[Theatre]])*(tbl_Case_mins[NoInCoreTime]=0)),1),-1)</f>
        <v>-1</v>
      </c>
      <c r="CH35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6" t="e" cm="1">
        <f t="array" ref="CJ35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6" s="9" cm="1">
        <f t="array" ref="CO3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6" s="9" cm="1">
        <f t="array" ref="CP35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6" s="9" cm="1">
        <f t="array" ref="CQ356">IFERROR(IF(AND(tbl_Case_mins[[#This Row],[FirstAMCase]]=0,tbl_Case_mins[[#This Row],[Rank]]=_xlfn.AGGREGATE(14,6,(tbl_Case_mins[Rank])/((tbl_Case_mins[Surgery Start Date]=tbl_Case_mins[[#This Row],[Surgery Start Date]])*(tbl_Case_mins[Theatre]=tbl_Case_mins[[#This Row],[Theatre]])*(tbl_Case_mins[AmCase]=1)),1)),1,0),0)</f>
        <v>0</v>
      </c>
      <c r="CR356" s="9" cm="1">
        <f t="array" ref="CR35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6" s="9" t="e" cm="1">
        <f t="array" ref="CS35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6" s="9" cm="1">
        <f t="array" ref="CT356">IFERROR(IF(tbl_Case_mins[[#This Row],[Rank]]=_xlfn.AGGREGATE(15,6,(tbl_Case_mins[Rank])/((tbl_Case_mins[Surgery Start Date]=tbl_Case_mins[[#This Row],[Surgery Start Date]])*(tbl_Case_mins[Theatre]=tbl_Case_mins[[#This Row],[Theatre]])*(tbl_Case_mins[PmCase]=1)),1),1,0),0)</f>
        <v>0</v>
      </c>
      <c r="CU356">
        <f>IFERROR(#REF!,0)</f>
        <v>0</v>
      </c>
      <c r="CV356" s="9" t="e" cm="1">
        <f t="array" ref="CV35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6" s="9">
        <f>IFERROR(IF(ISBLANK(INDEX(Bay_AmClose,MATCH(1,INDEX((tbl_Case_mins[[#This Row],[Bay]]=BayNo)*(tbl_Case_mins[[#This Row],[Surgery Start Date]]=BDate),0,1),0))*1440),0,INDEX(Bay_AmClose,MATCH(1,INDEX((tbl_Case_mins[[#This Row],[Bay]]=BayNo)*(tbl_Case_mins[[#This Row],[Surgery Start Date]]=BDate),0,1),0))*1440),0)</f>
        <v>0</v>
      </c>
      <c r="CX356" s="9" cm="1">
        <f t="array" ref="CX356">IFERROR(IF(ISBLANK(INDEX(Bay_PmOpen,MATCH(1,INDEX((tbl_Case_mins[[#This Row],[Bay]]=BayNo)*(tbl_Case_mins[[#This Row],[Surgery Start Date]]=BDate),0,1),0))*1440),0,INDEX(Bay_PmOpen,MATCH(1,INDEX((tbl_Case_mins[[#This Row],[Bay]]=BayNo)*(tbl_Case_mins[[#This Row],[Surgery Start Date]]=BDate),0,1),0))*1440),0)</f>
        <v>0</v>
      </c>
      <c r="CY35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6" s="9"/>
    </row>
    <row r="357" spans="1:104" x14ac:dyDescent="0.2">
      <c r="A357">
        <v>356</v>
      </c>
      <c r="B357" t="e">
        <f>#REF!</f>
        <v>#REF!</v>
      </c>
      <c r="C357" t="e">
        <f>#REF!</f>
        <v>#REF!</v>
      </c>
      <c r="D357" t="e">
        <f>#REF!</f>
        <v>#REF!</v>
      </c>
      <c r="E357" t="e">
        <f>#REF!</f>
        <v>#REF!</v>
      </c>
      <c r="F357" t="e">
        <f>#REF!</f>
        <v>#REF!</v>
      </c>
      <c r="G357" t="e">
        <f>#REF!</f>
        <v>#REF!</v>
      </c>
      <c r="H357" t="e">
        <f>#REF!</f>
        <v>#REF!</v>
      </c>
      <c r="I357" t="e">
        <f>IF(#REF!="Case Cancelled",1,IF(#REF!="No Cases",2,0))</f>
        <v>#REF!</v>
      </c>
      <c r="J357" t="e">
        <f>#REF!</f>
        <v>#REF!</v>
      </c>
      <c r="K357" s="4" t="e">
        <f>#REF!</f>
        <v>#REF!</v>
      </c>
      <c r="L357" t="e">
        <f>"Wk "&amp;WEEKNUM(tbl_Case_mins[[#This Row],[Surgery Start Date]],21)</f>
        <v>#REF!</v>
      </c>
      <c r="M357" t="e">
        <f>TEXT(tbl_Case_mins[[#This Row],[Surgery Start Date]],"ddd")</f>
        <v>#REF!</v>
      </c>
      <c r="N357" s="9" t="e">
        <f>(#REF!-TIME(0,0,0))*1440</f>
        <v>#REF!</v>
      </c>
      <c r="O357" t="e">
        <f>IF(AND(ROUND((#REF!-TIME(0,0,0))*1440,0)&gt;0,ROUND((#REF!-TIME(0,0,0))*1440,0)&lt;tbl_Case_mins[[#This Row],[Patient Called]],tbl_Case_mins[[#This Row],[Surgery End Date]]&gt;tbl_Case_mins[[#This Row],[Surgery Start Date]]),ROUND((#REF!-TIME(0,0,0))*1440,0)+1440,ROUND((#REF!-TIME(0,0,0))*1440,0))</f>
        <v>#REF!</v>
      </c>
      <c r="P357" s="9" t="e">
        <f>IF(AND(ROUND((#REF!-TIME(0,0,0))*1440,0)&gt;0,ROUND((#REF!-TIME(0,0,0))*1440,0)&lt;tbl_Case_mins[[#This Row],[Arrival]],tbl_Case_mins[[#This Row],[Surgery End Date]]&gt;tbl_Case_mins[[#This Row],[Surgery Start Date]]),ROUND((#REF!-TIME(0,0,0))*1440,0)+1440,ROUND((#REF!-TIME(0,0,0))*1440,0))</f>
        <v>#REF!</v>
      </c>
      <c r="Q357" s="9" t="e">
        <f>IF(AND(ROUND((#REF!-TIME(0,0,0))*1440,0)&gt;0,ROUND((#REF!-TIME(0,0,0))*1440,0)&lt;tbl_Case_mins[[#This Row],[Into Th or AR]],tbl_Case_mins[[#This Row],[Surgery End Date]]&gt;tbl_Case_mins[[#This Row],[Surgery Start Date]]),ROUND((#REF!-TIME(0,0,0))*1440,0)+1440,ROUND((#REF!-TIME(0,0,0))*1440,0))</f>
        <v>#REF!</v>
      </c>
      <c r="R357" s="9" t="e">
        <f>IF(AND(ROUND((#REF!-TIME(0,0,0))*1440,0)&gt;0,ROUND((#REF!-TIME(0,0,0))*1440,0)&lt;tbl_Case_mins[[#This Row],[AnaesthStart]],tbl_Case_mins[[#This Row],[Surgery End Date]]&gt;tbl_Case_mins[[#This Row],[Surgery Start Date]]),ROUND((#REF!-TIME(0,0,0))*1440,0)+1440,ROUND((#REF!-TIME(0,0,0))*1440,0))</f>
        <v>#REF!</v>
      </c>
      <c r="S357" s="9" t="e">
        <f>IF(AND(ROUND((#REF!-TIME(0,0,0))*1440,0),ROUND((#REF!-TIME(0,0,0))*1440,0)&lt;tbl_Case_mins[[#This Row],[Surgery Start]],tbl_Case_mins[[#This Row],[Surgery End Date]]&gt;tbl_Case_mins[[#This Row],[Surgery Start Date]]),ROUND((#REF!-TIME(0,0,0))*1440,0)+1440,ROUND((#REF!-TIME(0,0,0))*1440,0))</f>
        <v>#REF!</v>
      </c>
      <c r="T357" s="9" t="e">
        <f>IF(AND(ROUND((#REF!-TIME(0,0,0))*1440,0)&gt;0,ROUND((#REF!-TIME(0,0,0))*1440,0)&lt;tbl_Case_mins[[#This Row],[Surgery Finish]],tbl_Case_mins[[#This Row],[Surgery End Date]]&gt;tbl_Case_mins[[#This Row],[Surgery Start Date]]),ROUND((#REF!-TIME(0,0,0))*1440,0)+1440,ROUND((#REF!-TIME(0,0,0))*1440,0))</f>
        <v>#REF!</v>
      </c>
      <c r="U357" s="9" t="e">
        <f>IF(AND(ROUND((#REF!-TIME(0,0,0))*1440,0)&gt;0,ROUND((#REF!-TIME(0,0,0))*1440,0)&lt;tbl_Case_mins[[#This Row],[Anaesth End]],tbl_Case_mins[[#This Row],[Surgery End Date]]&gt;tbl_Case_mins[[#This Row],[Surgery Start Date]]),ROUND((#REF!-TIME(0,0,0))*1440,0)+1440,ROUND((#REF!-TIME(0,0,0))*1440,0))</f>
        <v>#REF!</v>
      </c>
      <c r="V357" s="9" t="e">
        <f>IF(AND(ROUND((#REF!-TIME(0,0,0))*1440,0)&gt;0,ROUND((#REF!-TIME(0,0,0))*1440,0)&lt;tbl_Case_mins[[#This Row],[Into Recov]],tbl_Case_mins[[#This Row],[Surgery End Date]]&gt;tbl_Case_mins[[#This Row],[Surgery Start Date]]),ROUND((#REF!-TIME(0,0,0))*1440,0)+1440,ROUND((#REF!-TIME(0,0,0))*1440,0))</f>
        <v>#REF!</v>
      </c>
      <c r="W357" s="9" t="e">
        <f>IF(AND(ROUND((#REF!-TIME(0,0,0))*1440,0)&gt;0,ROUND((#REF!-TIME(0,0,0))*1440,0)&lt;tbl_Case_mins[[#This Row],[Ward Called]],tbl_Case_mins[[#This Row],[Surgery End Date]]&gt;tbl_Case_mins[[#This Row],[Surgery Start Date]]),ROUND((#REF!-TIME(0,0,0))*1440,0)+1440,ROUND((#REF!-TIME(0,0,0))*1440,0))</f>
        <v>#REF!</v>
      </c>
      <c r="X357" s="4" t="e">
        <f>IF(ISBLANK(#REF!),tbl_Case_mins[[#This Row],[Surgery Start Date]],#REF!)</f>
        <v>#REF!</v>
      </c>
      <c r="Y357">
        <f>IFERROR(IF(VLOOKUP(tbl_Case_mins[[#This Row],[Theatre]],'Mng Theatres'!$C$7:$G$12,3,FALSE)="Yes","Yes","No"),0)</f>
        <v>0</v>
      </c>
      <c r="Z357" s="9" t="e" cm="1">
        <f t="array" ref="Z35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7" s="9" t="e" cm="1">
        <f t="array" ref="AA35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7" s="9" t="e">
        <f>IF(tbl_Case_mins[[#This Row],[Case Type]]="Unsch",1,0)</f>
        <v>#REF!</v>
      </c>
      <c r="AD357" s="9" t="e">
        <f>IF(tbl_Case_mins[[#This Row],[Case Type]]="Sch",1,0)</f>
        <v>#REF!</v>
      </c>
      <c r="AE35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7" s="9">
        <f>IFERROR(IF(ISBLANK(INDEX(Am_Close,MATCH(1,INDEX((tbl_Case_mins[[#This Row],[Theatre]]=Theatre_No)*(tbl_Case_mins[[#This Row],[Surgery Start Date]]=Date),0,1),0))*1440),0,INDEX(Am_Close,MATCH(1,INDEX((tbl_Case_mins[[#This Row],[Theatre]]=Theatre_No)*(tbl_Case_mins[[#This Row],[Surgery Start Date]]=Date),0,1),0))*1440),0)</f>
        <v>0</v>
      </c>
      <c r="AG357" s="9">
        <f>IFERROR(IF(ISBLANK(INDEX(PM_Open,MATCH(1,INDEX((tbl_Case_mins[[#This Row],[Theatre]]=Theatre_No)*(tbl_Case_mins[[#This Row],[Surgery Start Date]]=Date),0,1),0))*1440),0,INDEX(PM_Open,MATCH(1,INDEX((tbl_Case_mins[[#This Row],[Theatre]]=Theatre_No)*(tbl_Case_mins[[#This Row],[Surgery Start Date]]=Date),0,1),0))*1440),0)</f>
        <v>0</v>
      </c>
      <c r="AH35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7" s="9" t="e">
        <f>IF(tbl_Case_mins[[#This Row],[ThOpenAm]]=0,tbl_Case_mins[[#This Row],[ThOpenPM]],tbl_Case_mins[[#This Row],[ThOpenAm]])</f>
        <v>#REF!</v>
      </c>
      <c r="AJ357" s="9" t="e">
        <f>IF(tbl_Case_mins[[#This Row],[ThCloseAm]]&gt;0,IF(tbl_Case_mins[[#This Row],[ThOpenPM]]&gt;0,tbl_Case_mins[[#This Row],[ThClosePm]],tbl_Case_mins[[#This Row],[ThCloseAm]]),tbl_Case_mins[[#This Row],[ThClosePm]])</f>
        <v>#REF!</v>
      </c>
      <c r="AK357" s="9" t="e">
        <f>IF(tbl_Case_mins[[#This Row],[TOT]]&gt;0,1,0)</f>
        <v>#REF!</v>
      </c>
      <c r="AL35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7" s="9" t="e">
        <f>IF(AND(tbl_Case_mins[[#This Row],[Surgery Status]]&lt;&gt;2,tbl_Case_mins[[#This Row],[InCoreCase]]=0,tbl_Case_mins[[#This Row],[CancelledCase]]=0),1,0)</f>
        <v>#REF!</v>
      </c>
      <c r="AN357" s="9" t="e">
        <f>IF(tbl_Case_mins[[#This Row],[Surgery Status]]=1,1,0)</f>
        <v>#REF!</v>
      </c>
      <c r="AO35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7" s="9" t="e">
        <f>IF(AND(tbl_Case_mins[[#This Row],[NonCoreCase]]=1,tbl_Case_mins[[#This Row],[NoInCoreTime]]=0),1,0)</f>
        <v>#REF!</v>
      </c>
      <c r="AQ357" s="9" t="e">
        <f>IF(tbl_Case_mins[[#This Row],[Rank_AnaEnd]]&lt;tbl_Case_mins[[#This Row],[Rank_AnaSt]],1,0)</f>
        <v>#REF!</v>
      </c>
      <c r="AR357" s="9" t="e">
        <f>IF(AND(tbl_Case_mins[[#This Row],[InCoreCase]]=1,tbl_Case_mins[[#This Row],[Sch]]=1),1,0)</f>
        <v>#REF!</v>
      </c>
      <c r="AS357" s="9" t="e">
        <f>IF(AND(tbl_Case_mins[[#This Row],[InCoreCase]]=1,tbl_Case_mins[[#This Row],[Unsch]]=1),1,0)</f>
        <v>#REF!</v>
      </c>
      <c r="AT35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7" s="9" t="e">
        <f>IF(tbl_Case_mins[[#This Row],[Surgery Status]]=0,(tbl_Case_mins[[#This Row],[Anaesth End]]-tbl_Case_mins[[#This Row],[AnaesthStart]]),0)</f>
        <v>#REF!</v>
      </c>
      <c r="AX357" s="9" t="e">
        <f>IF(tbl_Case_mins[[#This Row],[Surgery Status]]=0,(tbl_Case_mins[[#This Row],[Surgery Finish]]-tbl_Case_mins[[#This Row],[Surgery Start]]),0)</f>
        <v>#REF!</v>
      </c>
      <c r="AY357" s="9" t="e">
        <f>tbl_Case_mins[[#This Row],[Surgery Start]]-tbl_Case_mins[[#This Row],[AnaesthStart]]</f>
        <v>#REF!</v>
      </c>
      <c r="AZ357" s="9" t="e">
        <f>tbl_Case_mins[[#This Row],[Anaesth End]]-tbl_Case_mins[[#This Row],[Surgery Finish]]</f>
        <v>#REF!</v>
      </c>
      <c r="BA35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7" s="16" cm="1">
        <f t="array" ref="BC35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7" s="16" t="e">
        <f>IF(AND(tbl_Case_mins[[#This Row],[FirstAMCase]]=1,tbl_Case_mins[[#This Row],[CancelledCase]]=0,OR(tbl_Case_mins[[#This Row],[EarlyStartAM]]&gt;0,tbl_Case_mins[[#This Row],[AnaesthStart]]=tbl_Case_mins[[#This Row],[ThOpenAm]])),1,0)</f>
        <v>#REF!</v>
      </c>
      <c r="BE357" s="16" t="e">
        <f>IF(AND(tbl_Case_mins[[#This Row],[Rank_AnaSt]]=tbl_Case_mins[[#This Row],[Min_RankAnaSt]],tbl_Case_mins[[#This Row],[Anaesth End]]&gt;=tbl_Case_mins[[#This Row],[ThOpenAm]],tbl_Case_mins[[#This Row],[PmCase]]=0),1,0)</f>
        <v>#REF!</v>
      </c>
      <c r="BF35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7" s="9" t="e" cm="1">
        <f t="array" ref="BH35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7" s="9" t="e">
        <f>IF(AND(tbl_Case_mins[[#This Row],[ThOpenPM]]&gt;0,tbl_Case_mins[[#This Row],[AnaesthStart]]&gt;tbl_Case_mins[[#This Row],[ThOpenPM]],tbl_Case_mins[[#This Row],[First PM Case]]=1),tbl_Case_mins[[#This Row],[AnaesthStart]]-tbl_Case_mins[[#This Row],[ThOpenPM]],0)</f>
        <v>#REF!</v>
      </c>
      <c r="BL35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7" s="9" t="e" cm="1">
        <f t="array" ref="BN35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7" s="9" t="e">
        <f>IF(AND(tbl_Case_mins[[#This Row],[ThClosePm]]&gt;0,tbl_Case_mins[[#This Row],[Anaesth End]]&gt;tbl_Case_mins[[#This Row],[ThClosePm]],tbl_Case_mins[[#This Row],[AnaesthStart]]&gt;tbl_Case_mins[[#This Row],[ThClosePm]]),tbl_Case_mins[[#This Row],[Into Recov]]-tbl_Case_mins[[#This Row],[AnaesthStart]],0)</f>
        <v>#REF!</v>
      </c>
      <c r="BP357" s="9" t="e">
        <f>IF(AND(tbl_Case_mins[[#This Row],[AnaesthStart]]&lt;tbl_Case_mins[[#This Row],[ThClosePm]],tbl_Case_mins[[#This Row],[Anaesth End]]&gt;tbl_Case_mins[[#This Row],[ThClosePm]]),tbl_Case_mins[[#This Row],[Anaesth End]]-tbl_Case_mins[[#This Row],[ThClosePm]],0)</f>
        <v>#REF!</v>
      </c>
      <c r="BQ357" s="9" t="e" cm="1">
        <f t="array" ref="BQ35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7" s="9" t="e" cm="1">
        <f t="array" ref="BR357">IF(tbl_Case_mins[[#This Row],[Rank_Adjust]]=SUMPRODUCT(-(tbl_Case_mins[Surgery Start Date]=tbl_Case_mins[[#This Row],[Surgery Start Date]]),-(tbl_Case_mins[Theatre]=tbl_Case_mins[[#This Row],[Theatre]])),INDEX(Poss_Time,MATCH(TEXT(tbl_Case_mins[[#This Row],[Surgery Start Date]],"ddd"),Day,0)),0)</f>
        <v>#REF!</v>
      </c>
      <c r="BS357" s="9" t="e">
        <f>tbl_Case_mins[[#This Row],[Core_Time]]*Util_Goal</f>
        <v>#REF!</v>
      </c>
      <c r="BT357" s="9" t="e" cm="1">
        <f t="array" ref="BT3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7" s="9" t="e" cm="1">
        <f t="array" ref="BU35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7" s="9" t="e">
        <f>IF(tbl_Case_mins[[#This Row],[Surgery End Date]]&gt;tbl_Case_mins[[#This Row],[Surgery Start Date]],tbl_Case_mins[[#This Row],[Anaesth End]]-1440,0)</f>
        <v>#REF!</v>
      </c>
      <c r="BY357" s="9" t="e">
        <f>tbl_Case_mins[[#This Row],[Total_NonCore]]-tbl_Case_mins[[#This Row],[NextDay_NonCore]]</f>
        <v>#REF!</v>
      </c>
      <c r="BZ357" s="10" t="e">
        <f>tbl_Case_mins[[#This Row],[InCoreUse]]/60</f>
        <v>#REF!</v>
      </c>
      <c r="CA357" s="10" t="e">
        <f>tbl_Case_mins[[#This Row],[Total_NonCore]]/60</f>
        <v>#REF!</v>
      </c>
      <c r="CB357" t="e" cm="1">
        <f t="array" ref="CB3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7" s="9" t="e" cm="1">
        <f t="array" ref="CC35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7" s="9" t="e" cm="1">
        <f t="array" ref="CD35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7" s="9" t="e" cm="1">
        <f t="array" ref="CE35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7" s="9" cm="1">
        <f t="array" ref="CF357">IFERROR(_xlfn.AGGREGATE(14,6,(tbl_Case_mins[Rank_AnaEnd])/((tbl_Case_mins[Surgery Start Date]=tbl_Case_mins[[#This Row],[Surgery Start Date]])*(tbl_Case_mins[Theatre]=tbl_Case_mins[[#This Row],[Theatre]])*(tbl_Case_mins[NoInCoreTime]=0)),1),-1)</f>
        <v>-1</v>
      </c>
      <c r="CG357" s="9" cm="1">
        <f t="array" ref="CG357">IFERROR(_xlfn.AGGREGATE(15,6,(tbl_Case_mins[Rank_AnaSt])/((tbl_Case_mins[Surgery Start Date]=tbl_Case_mins[[#This Row],[Surgery Start Date]])*(tbl_Case_mins[Theatre]=tbl_Case_mins[[#This Row],[Theatre]])*(tbl_Case_mins[NoInCoreTime]=0)),1),-1)</f>
        <v>-1</v>
      </c>
      <c r="CH35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7" t="e" cm="1">
        <f t="array" ref="CJ35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7" s="9" cm="1">
        <f t="array" ref="CO3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7" s="9" cm="1">
        <f t="array" ref="CP35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7" s="9" cm="1">
        <f t="array" ref="CQ357">IFERROR(IF(AND(tbl_Case_mins[[#This Row],[FirstAMCase]]=0,tbl_Case_mins[[#This Row],[Rank]]=_xlfn.AGGREGATE(14,6,(tbl_Case_mins[Rank])/((tbl_Case_mins[Surgery Start Date]=tbl_Case_mins[[#This Row],[Surgery Start Date]])*(tbl_Case_mins[Theatre]=tbl_Case_mins[[#This Row],[Theatre]])*(tbl_Case_mins[AmCase]=1)),1)),1,0),0)</f>
        <v>0</v>
      </c>
      <c r="CR357" s="9" cm="1">
        <f t="array" ref="CR35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7" s="9" t="e" cm="1">
        <f t="array" ref="CS35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7" s="9" cm="1">
        <f t="array" ref="CT357">IFERROR(IF(tbl_Case_mins[[#This Row],[Rank]]=_xlfn.AGGREGATE(15,6,(tbl_Case_mins[Rank])/((tbl_Case_mins[Surgery Start Date]=tbl_Case_mins[[#This Row],[Surgery Start Date]])*(tbl_Case_mins[Theatre]=tbl_Case_mins[[#This Row],[Theatre]])*(tbl_Case_mins[PmCase]=1)),1),1,0),0)</f>
        <v>0</v>
      </c>
      <c r="CU357">
        <f>IFERROR(#REF!,0)</f>
        <v>0</v>
      </c>
      <c r="CV357" s="9" t="e" cm="1">
        <f t="array" ref="CV35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7" s="9">
        <f>IFERROR(IF(ISBLANK(INDEX(Bay_AmClose,MATCH(1,INDEX((tbl_Case_mins[[#This Row],[Bay]]=BayNo)*(tbl_Case_mins[[#This Row],[Surgery Start Date]]=BDate),0,1),0))*1440),0,INDEX(Bay_AmClose,MATCH(1,INDEX((tbl_Case_mins[[#This Row],[Bay]]=BayNo)*(tbl_Case_mins[[#This Row],[Surgery Start Date]]=BDate),0,1),0))*1440),0)</f>
        <v>0</v>
      </c>
      <c r="CX357" s="9" cm="1">
        <f t="array" ref="CX357">IFERROR(IF(ISBLANK(INDEX(Bay_PmOpen,MATCH(1,INDEX((tbl_Case_mins[[#This Row],[Bay]]=BayNo)*(tbl_Case_mins[[#This Row],[Surgery Start Date]]=BDate),0,1),0))*1440),0,INDEX(Bay_PmOpen,MATCH(1,INDEX((tbl_Case_mins[[#This Row],[Bay]]=BayNo)*(tbl_Case_mins[[#This Row],[Surgery Start Date]]=BDate),0,1),0))*1440),0)</f>
        <v>0</v>
      </c>
      <c r="CY35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7" s="9"/>
    </row>
    <row r="358" spans="1:104" x14ac:dyDescent="0.2">
      <c r="A358">
        <v>357</v>
      </c>
      <c r="B358" t="e">
        <f>#REF!</f>
        <v>#REF!</v>
      </c>
      <c r="C358" t="e">
        <f>#REF!</f>
        <v>#REF!</v>
      </c>
      <c r="D358" t="e">
        <f>#REF!</f>
        <v>#REF!</v>
      </c>
      <c r="E358" t="e">
        <f>#REF!</f>
        <v>#REF!</v>
      </c>
      <c r="F358" t="e">
        <f>#REF!</f>
        <v>#REF!</v>
      </c>
      <c r="G358" t="e">
        <f>#REF!</f>
        <v>#REF!</v>
      </c>
      <c r="H358" t="e">
        <f>#REF!</f>
        <v>#REF!</v>
      </c>
      <c r="I358" t="e">
        <f>IF(#REF!="Case Cancelled",1,IF(#REF!="No Cases",2,0))</f>
        <v>#REF!</v>
      </c>
      <c r="J358" t="e">
        <f>#REF!</f>
        <v>#REF!</v>
      </c>
      <c r="K358" s="4" t="e">
        <f>#REF!</f>
        <v>#REF!</v>
      </c>
      <c r="L358" t="e">
        <f>"Wk "&amp;WEEKNUM(tbl_Case_mins[[#This Row],[Surgery Start Date]],21)</f>
        <v>#REF!</v>
      </c>
      <c r="M358" t="e">
        <f>TEXT(tbl_Case_mins[[#This Row],[Surgery Start Date]],"ddd")</f>
        <v>#REF!</v>
      </c>
      <c r="N358" s="9" t="e">
        <f>(#REF!-TIME(0,0,0))*1440</f>
        <v>#REF!</v>
      </c>
      <c r="O358" t="e">
        <f>IF(AND(ROUND((#REF!-TIME(0,0,0))*1440,0)&gt;0,ROUND((#REF!-TIME(0,0,0))*1440,0)&lt;tbl_Case_mins[[#This Row],[Patient Called]],tbl_Case_mins[[#This Row],[Surgery End Date]]&gt;tbl_Case_mins[[#This Row],[Surgery Start Date]]),ROUND((#REF!-TIME(0,0,0))*1440,0)+1440,ROUND((#REF!-TIME(0,0,0))*1440,0))</f>
        <v>#REF!</v>
      </c>
      <c r="P358" s="9" t="e">
        <f>IF(AND(ROUND((#REF!-TIME(0,0,0))*1440,0)&gt;0,ROUND((#REF!-TIME(0,0,0))*1440,0)&lt;tbl_Case_mins[[#This Row],[Arrival]],tbl_Case_mins[[#This Row],[Surgery End Date]]&gt;tbl_Case_mins[[#This Row],[Surgery Start Date]]),ROUND((#REF!-TIME(0,0,0))*1440,0)+1440,ROUND((#REF!-TIME(0,0,0))*1440,0))</f>
        <v>#REF!</v>
      </c>
      <c r="Q358" s="9" t="e">
        <f>IF(AND(ROUND((#REF!-TIME(0,0,0))*1440,0)&gt;0,ROUND((#REF!-TIME(0,0,0))*1440,0)&lt;tbl_Case_mins[[#This Row],[Into Th or AR]],tbl_Case_mins[[#This Row],[Surgery End Date]]&gt;tbl_Case_mins[[#This Row],[Surgery Start Date]]),ROUND((#REF!-TIME(0,0,0))*1440,0)+1440,ROUND((#REF!-TIME(0,0,0))*1440,0))</f>
        <v>#REF!</v>
      </c>
      <c r="R358" s="9" t="e">
        <f>IF(AND(ROUND((#REF!-TIME(0,0,0))*1440,0)&gt;0,ROUND((#REF!-TIME(0,0,0))*1440,0)&lt;tbl_Case_mins[[#This Row],[AnaesthStart]],tbl_Case_mins[[#This Row],[Surgery End Date]]&gt;tbl_Case_mins[[#This Row],[Surgery Start Date]]),ROUND((#REF!-TIME(0,0,0))*1440,0)+1440,ROUND((#REF!-TIME(0,0,0))*1440,0))</f>
        <v>#REF!</v>
      </c>
      <c r="S358" s="9" t="e">
        <f>IF(AND(ROUND((#REF!-TIME(0,0,0))*1440,0),ROUND((#REF!-TIME(0,0,0))*1440,0)&lt;tbl_Case_mins[[#This Row],[Surgery Start]],tbl_Case_mins[[#This Row],[Surgery End Date]]&gt;tbl_Case_mins[[#This Row],[Surgery Start Date]]),ROUND((#REF!-TIME(0,0,0))*1440,0)+1440,ROUND((#REF!-TIME(0,0,0))*1440,0))</f>
        <v>#REF!</v>
      </c>
      <c r="T358" s="9" t="e">
        <f>IF(AND(ROUND((#REF!-TIME(0,0,0))*1440,0)&gt;0,ROUND((#REF!-TIME(0,0,0))*1440,0)&lt;tbl_Case_mins[[#This Row],[Surgery Finish]],tbl_Case_mins[[#This Row],[Surgery End Date]]&gt;tbl_Case_mins[[#This Row],[Surgery Start Date]]),ROUND((#REF!-TIME(0,0,0))*1440,0)+1440,ROUND((#REF!-TIME(0,0,0))*1440,0))</f>
        <v>#REF!</v>
      </c>
      <c r="U358" s="9" t="e">
        <f>IF(AND(ROUND((#REF!-TIME(0,0,0))*1440,0)&gt;0,ROUND((#REF!-TIME(0,0,0))*1440,0)&lt;tbl_Case_mins[[#This Row],[Anaesth End]],tbl_Case_mins[[#This Row],[Surgery End Date]]&gt;tbl_Case_mins[[#This Row],[Surgery Start Date]]),ROUND((#REF!-TIME(0,0,0))*1440,0)+1440,ROUND((#REF!-TIME(0,0,0))*1440,0))</f>
        <v>#REF!</v>
      </c>
      <c r="V358" s="9" t="e">
        <f>IF(AND(ROUND((#REF!-TIME(0,0,0))*1440,0)&gt;0,ROUND((#REF!-TIME(0,0,0))*1440,0)&lt;tbl_Case_mins[[#This Row],[Into Recov]],tbl_Case_mins[[#This Row],[Surgery End Date]]&gt;tbl_Case_mins[[#This Row],[Surgery Start Date]]),ROUND((#REF!-TIME(0,0,0))*1440,0)+1440,ROUND((#REF!-TIME(0,0,0))*1440,0))</f>
        <v>#REF!</v>
      </c>
      <c r="W358" s="9" t="e">
        <f>IF(AND(ROUND((#REF!-TIME(0,0,0))*1440,0)&gt;0,ROUND((#REF!-TIME(0,0,0))*1440,0)&lt;tbl_Case_mins[[#This Row],[Ward Called]],tbl_Case_mins[[#This Row],[Surgery End Date]]&gt;tbl_Case_mins[[#This Row],[Surgery Start Date]]),ROUND((#REF!-TIME(0,0,0))*1440,0)+1440,ROUND((#REF!-TIME(0,0,0))*1440,0))</f>
        <v>#REF!</v>
      </c>
      <c r="X358" s="4" t="e">
        <f>IF(ISBLANK(#REF!),tbl_Case_mins[[#This Row],[Surgery Start Date]],#REF!)</f>
        <v>#REF!</v>
      </c>
      <c r="Y358">
        <f>IFERROR(IF(VLOOKUP(tbl_Case_mins[[#This Row],[Theatre]],'Mng Theatres'!$C$7:$G$12,3,FALSE)="Yes","Yes","No"),0)</f>
        <v>0</v>
      </c>
      <c r="Z358" s="9" t="e" cm="1">
        <f t="array" ref="Z35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8" s="9" t="e" cm="1">
        <f t="array" ref="AA35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8" s="9" t="e">
        <f>IF(tbl_Case_mins[[#This Row],[Case Type]]="Unsch",1,0)</f>
        <v>#REF!</v>
      </c>
      <c r="AD358" s="9" t="e">
        <f>IF(tbl_Case_mins[[#This Row],[Case Type]]="Sch",1,0)</f>
        <v>#REF!</v>
      </c>
      <c r="AE35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8" s="9">
        <f>IFERROR(IF(ISBLANK(INDEX(Am_Close,MATCH(1,INDEX((tbl_Case_mins[[#This Row],[Theatre]]=Theatre_No)*(tbl_Case_mins[[#This Row],[Surgery Start Date]]=Date),0,1),0))*1440),0,INDEX(Am_Close,MATCH(1,INDEX((tbl_Case_mins[[#This Row],[Theatre]]=Theatre_No)*(tbl_Case_mins[[#This Row],[Surgery Start Date]]=Date),0,1),0))*1440),0)</f>
        <v>0</v>
      </c>
      <c r="AG358" s="9">
        <f>IFERROR(IF(ISBLANK(INDEX(PM_Open,MATCH(1,INDEX((tbl_Case_mins[[#This Row],[Theatre]]=Theatre_No)*(tbl_Case_mins[[#This Row],[Surgery Start Date]]=Date),0,1),0))*1440),0,INDEX(PM_Open,MATCH(1,INDEX((tbl_Case_mins[[#This Row],[Theatre]]=Theatre_No)*(tbl_Case_mins[[#This Row],[Surgery Start Date]]=Date),0,1),0))*1440),0)</f>
        <v>0</v>
      </c>
      <c r="AH35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8" s="9" t="e">
        <f>IF(tbl_Case_mins[[#This Row],[ThOpenAm]]=0,tbl_Case_mins[[#This Row],[ThOpenPM]],tbl_Case_mins[[#This Row],[ThOpenAm]])</f>
        <v>#REF!</v>
      </c>
      <c r="AJ358" s="9" t="e">
        <f>IF(tbl_Case_mins[[#This Row],[ThCloseAm]]&gt;0,IF(tbl_Case_mins[[#This Row],[ThOpenPM]]&gt;0,tbl_Case_mins[[#This Row],[ThClosePm]],tbl_Case_mins[[#This Row],[ThCloseAm]]),tbl_Case_mins[[#This Row],[ThClosePm]])</f>
        <v>#REF!</v>
      </c>
      <c r="AK358" s="9" t="e">
        <f>IF(tbl_Case_mins[[#This Row],[TOT]]&gt;0,1,0)</f>
        <v>#REF!</v>
      </c>
      <c r="AL35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8" s="9" t="e">
        <f>IF(AND(tbl_Case_mins[[#This Row],[Surgery Status]]&lt;&gt;2,tbl_Case_mins[[#This Row],[InCoreCase]]=0,tbl_Case_mins[[#This Row],[CancelledCase]]=0),1,0)</f>
        <v>#REF!</v>
      </c>
      <c r="AN358" s="9" t="e">
        <f>IF(tbl_Case_mins[[#This Row],[Surgery Status]]=1,1,0)</f>
        <v>#REF!</v>
      </c>
      <c r="AO35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8" s="9" t="e">
        <f>IF(AND(tbl_Case_mins[[#This Row],[NonCoreCase]]=1,tbl_Case_mins[[#This Row],[NoInCoreTime]]=0),1,0)</f>
        <v>#REF!</v>
      </c>
      <c r="AQ358" s="9" t="e">
        <f>IF(tbl_Case_mins[[#This Row],[Rank_AnaEnd]]&lt;tbl_Case_mins[[#This Row],[Rank_AnaSt]],1,0)</f>
        <v>#REF!</v>
      </c>
      <c r="AR358" s="9" t="e">
        <f>IF(AND(tbl_Case_mins[[#This Row],[InCoreCase]]=1,tbl_Case_mins[[#This Row],[Sch]]=1),1,0)</f>
        <v>#REF!</v>
      </c>
      <c r="AS358" s="9" t="e">
        <f>IF(AND(tbl_Case_mins[[#This Row],[InCoreCase]]=1,tbl_Case_mins[[#This Row],[Unsch]]=1),1,0)</f>
        <v>#REF!</v>
      </c>
      <c r="AT35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8" s="9" t="e">
        <f>IF(tbl_Case_mins[[#This Row],[Surgery Status]]=0,(tbl_Case_mins[[#This Row],[Anaesth End]]-tbl_Case_mins[[#This Row],[AnaesthStart]]),0)</f>
        <v>#REF!</v>
      </c>
      <c r="AX358" s="9" t="e">
        <f>IF(tbl_Case_mins[[#This Row],[Surgery Status]]=0,(tbl_Case_mins[[#This Row],[Surgery Finish]]-tbl_Case_mins[[#This Row],[Surgery Start]]),0)</f>
        <v>#REF!</v>
      </c>
      <c r="AY358" s="9" t="e">
        <f>tbl_Case_mins[[#This Row],[Surgery Start]]-tbl_Case_mins[[#This Row],[AnaesthStart]]</f>
        <v>#REF!</v>
      </c>
      <c r="AZ358" s="9" t="e">
        <f>tbl_Case_mins[[#This Row],[Anaesth End]]-tbl_Case_mins[[#This Row],[Surgery Finish]]</f>
        <v>#REF!</v>
      </c>
      <c r="BA35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8" s="16" cm="1">
        <f t="array" ref="BC35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8" s="16" t="e">
        <f>IF(AND(tbl_Case_mins[[#This Row],[FirstAMCase]]=1,tbl_Case_mins[[#This Row],[CancelledCase]]=0,OR(tbl_Case_mins[[#This Row],[EarlyStartAM]]&gt;0,tbl_Case_mins[[#This Row],[AnaesthStart]]=tbl_Case_mins[[#This Row],[ThOpenAm]])),1,0)</f>
        <v>#REF!</v>
      </c>
      <c r="BE358" s="16" t="e">
        <f>IF(AND(tbl_Case_mins[[#This Row],[Rank_AnaSt]]=tbl_Case_mins[[#This Row],[Min_RankAnaSt]],tbl_Case_mins[[#This Row],[Anaesth End]]&gt;=tbl_Case_mins[[#This Row],[ThOpenAm]],tbl_Case_mins[[#This Row],[PmCase]]=0),1,0)</f>
        <v>#REF!</v>
      </c>
      <c r="BF35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8" s="9" t="e" cm="1">
        <f t="array" ref="BH35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8" s="9" t="e">
        <f>IF(AND(tbl_Case_mins[[#This Row],[ThOpenPM]]&gt;0,tbl_Case_mins[[#This Row],[AnaesthStart]]&gt;tbl_Case_mins[[#This Row],[ThOpenPM]],tbl_Case_mins[[#This Row],[First PM Case]]=1),tbl_Case_mins[[#This Row],[AnaesthStart]]-tbl_Case_mins[[#This Row],[ThOpenPM]],0)</f>
        <v>#REF!</v>
      </c>
      <c r="BL35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8" s="9" t="e" cm="1">
        <f t="array" ref="BN35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8" s="9" t="e">
        <f>IF(AND(tbl_Case_mins[[#This Row],[ThClosePm]]&gt;0,tbl_Case_mins[[#This Row],[Anaesth End]]&gt;tbl_Case_mins[[#This Row],[ThClosePm]],tbl_Case_mins[[#This Row],[AnaesthStart]]&gt;tbl_Case_mins[[#This Row],[ThClosePm]]),tbl_Case_mins[[#This Row],[Into Recov]]-tbl_Case_mins[[#This Row],[AnaesthStart]],0)</f>
        <v>#REF!</v>
      </c>
      <c r="BP358" s="9" t="e">
        <f>IF(AND(tbl_Case_mins[[#This Row],[AnaesthStart]]&lt;tbl_Case_mins[[#This Row],[ThClosePm]],tbl_Case_mins[[#This Row],[Anaesth End]]&gt;tbl_Case_mins[[#This Row],[ThClosePm]]),tbl_Case_mins[[#This Row],[Anaesth End]]-tbl_Case_mins[[#This Row],[ThClosePm]],0)</f>
        <v>#REF!</v>
      </c>
      <c r="BQ358" s="9" t="e" cm="1">
        <f t="array" ref="BQ35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8" s="9" t="e" cm="1">
        <f t="array" ref="BR358">IF(tbl_Case_mins[[#This Row],[Rank_Adjust]]=SUMPRODUCT(-(tbl_Case_mins[Surgery Start Date]=tbl_Case_mins[[#This Row],[Surgery Start Date]]),-(tbl_Case_mins[Theatre]=tbl_Case_mins[[#This Row],[Theatre]])),INDEX(Poss_Time,MATCH(TEXT(tbl_Case_mins[[#This Row],[Surgery Start Date]],"ddd"),Day,0)),0)</f>
        <v>#REF!</v>
      </c>
      <c r="BS358" s="9" t="e">
        <f>tbl_Case_mins[[#This Row],[Core_Time]]*Util_Goal</f>
        <v>#REF!</v>
      </c>
      <c r="BT358" s="9" t="e" cm="1">
        <f t="array" ref="BT3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8" s="9" t="e" cm="1">
        <f t="array" ref="BU35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8" s="9" t="e">
        <f>IF(tbl_Case_mins[[#This Row],[Surgery End Date]]&gt;tbl_Case_mins[[#This Row],[Surgery Start Date]],tbl_Case_mins[[#This Row],[Anaesth End]]-1440,0)</f>
        <v>#REF!</v>
      </c>
      <c r="BY358" s="9" t="e">
        <f>tbl_Case_mins[[#This Row],[Total_NonCore]]-tbl_Case_mins[[#This Row],[NextDay_NonCore]]</f>
        <v>#REF!</v>
      </c>
      <c r="BZ358" s="10" t="e">
        <f>tbl_Case_mins[[#This Row],[InCoreUse]]/60</f>
        <v>#REF!</v>
      </c>
      <c r="CA358" s="10" t="e">
        <f>tbl_Case_mins[[#This Row],[Total_NonCore]]/60</f>
        <v>#REF!</v>
      </c>
      <c r="CB358" t="e" cm="1">
        <f t="array" ref="CB3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8" s="9" t="e" cm="1">
        <f t="array" ref="CC35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8" s="9" t="e" cm="1">
        <f t="array" ref="CD35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8" s="9" t="e" cm="1">
        <f t="array" ref="CE35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8" s="9" cm="1">
        <f t="array" ref="CF358">IFERROR(_xlfn.AGGREGATE(14,6,(tbl_Case_mins[Rank_AnaEnd])/((tbl_Case_mins[Surgery Start Date]=tbl_Case_mins[[#This Row],[Surgery Start Date]])*(tbl_Case_mins[Theatre]=tbl_Case_mins[[#This Row],[Theatre]])*(tbl_Case_mins[NoInCoreTime]=0)),1),-1)</f>
        <v>-1</v>
      </c>
      <c r="CG358" s="9" cm="1">
        <f t="array" ref="CG358">IFERROR(_xlfn.AGGREGATE(15,6,(tbl_Case_mins[Rank_AnaSt])/((tbl_Case_mins[Surgery Start Date]=tbl_Case_mins[[#This Row],[Surgery Start Date]])*(tbl_Case_mins[Theatre]=tbl_Case_mins[[#This Row],[Theatre]])*(tbl_Case_mins[NoInCoreTime]=0)),1),-1)</f>
        <v>-1</v>
      </c>
      <c r="CH35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8" t="e" cm="1">
        <f t="array" ref="CJ35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8" s="9" cm="1">
        <f t="array" ref="CO3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8" s="9" cm="1">
        <f t="array" ref="CP35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8" s="9" cm="1">
        <f t="array" ref="CQ358">IFERROR(IF(AND(tbl_Case_mins[[#This Row],[FirstAMCase]]=0,tbl_Case_mins[[#This Row],[Rank]]=_xlfn.AGGREGATE(14,6,(tbl_Case_mins[Rank])/((tbl_Case_mins[Surgery Start Date]=tbl_Case_mins[[#This Row],[Surgery Start Date]])*(tbl_Case_mins[Theatre]=tbl_Case_mins[[#This Row],[Theatre]])*(tbl_Case_mins[AmCase]=1)),1)),1,0),0)</f>
        <v>0</v>
      </c>
      <c r="CR358" s="9" cm="1">
        <f t="array" ref="CR35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8" s="9" t="e" cm="1">
        <f t="array" ref="CS35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8" s="9" cm="1">
        <f t="array" ref="CT358">IFERROR(IF(tbl_Case_mins[[#This Row],[Rank]]=_xlfn.AGGREGATE(15,6,(tbl_Case_mins[Rank])/((tbl_Case_mins[Surgery Start Date]=tbl_Case_mins[[#This Row],[Surgery Start Date]])*(tbl_Case_mins[Theatre]=tbl_Case_mins[[#This Row],[Theatre]])*(tbl_Case_mins[PmCase]=1)),1),1,0),0)</f>
        <v>0</v>
      </c>
      <c r="CU358">
        <f>IFERROR(#REF!,0)</f>
        <v>0</v>
      </c>
      <c r="CV358" s="9" t="e" cm="1">
        <f t="array" ref="CV35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8" s="9">
        <f>IFERROR(IF(ISBLANK(INDEX(Bay_AmClose,MATCH(1,INDEX((tbl_Case_mins[[#This Row],[Bay]]=BayNo)*(tbl_Case_mins[[#This Row],[Surgery Start Date]]=BDate),0,1),0))*1440),0,INDEX(Bay_AmClose,MATCH(1,INDEX((tbl_Case_mins[[#This Row],[Bay]]=BayNo)*(tbl_Case_mins[[#This Row],[Surgery Start Date]]=BDate),0,1),0))*1440),0)</f>
        <v>0</v>
      </c>
      <c r="CX358" s="9" cm="1">
        <f t="array" ref="CX358">IFERROR(IF(ISBLANK(INDEX(Bay_PmOpen,MATCH(1,INDEX((tbl_Case_mins[[#This Row],[Bay]]=BayNo)*(tbl_Case_mins[[#This Row],[Surgery Start Date]]=BDate),0,1),0))*1440),0,INDEX(Bay_PmOpen,MATCH(1,INDEX((tbl_Case_mins[[#This Row],[Bay]]=BayNo)*(tbl_Case_mins[[#This Row],[Surgery Start Date]]=BDate),0,1),0))*1440),0)</f>
        <v>0</v>
      </c>
      <c r="CY35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8" s="9"/>
    </row>
    <row r="359" spans="1:104" x14ac:dyDescent="0.2">
      <c r="A359">
        <v>358</v>
      </c>
      <c r="B359" t="e">
        <f>#REF!</f>
        <v>#REF!</v>
      </c>
      <c r="C359" t="e">
        <f>#REF!</f>
        <v>#REF!</v>
      </c>
      <c r="D359" t="e">
        <f>#REF!</f>
        <v>#REF!</v>
      </c>
      <c r="E359" t="e">
        <f>#REF!</f>
        <v>#REF!</v>
      </c>
      <c r="F359" t="e">
        <f>#REF!</f>
        <v>#REF!</v>
      </c>
      <c r="G359" t="e">
        <f>#REF!</f>
        <v>#REF!</v>
      </c>
      <c r="H359" t="e">
        <f>#REF!</f>
        <v>#REF!</v>
      </c>
      <c r="I359" t="e">
        <f>IF(#REF!="Case Cancelled",1,IF(#REF!="No Cases",2,0))</f>
        <v>#REF!</v>
      </c>
      <c r="J359" t="e">
        <f>#REF!</f>
        <v>#REF!</v>
      </c>
      <c r="K359" s="4" t="e">
        <f>#REF!</f>
        <v>#REF!</v>
      </c>
      <c r="L359" t="e">
        <f>"Wk "&amp;WEEKNUM(tbl_Case_mins[[#This Row],[Surgery Start Date]],21)</f>
        <v>#REF!</v>
      </c>
      <c r="M359" t="e">
        <f>TEXT(tbl_Case_mins[[#This Row],[Surgery Start Date]],"ddd")</f>
        <v>#REF!</v>
      </c>
      <c r="N359" s="9" t="e">
        <f>(#REF!-TIME(0,0,0))*1440</f>
        <v>#REF!</v>
      </c>
      <c r="O359" t="e">
        <f>IF(AND(ROUND((#REF!-TIME(0,0,0))*1440,0)&gt;0,ROUND((#REF!-TIME(0,0,0))*1440,0)&lt;tbl_Case_mins[[#This Row],[Patient Called]],tbl_Case_mins[[#This Row],[Surgery End Date]]&gt;tbl_Case_mins[[#This Row],[Surgery Start Date]]),ROUND((#REF!-TIME(0,0,0))*1440,0)+1440,ROUND((#REF!-TIME(0,0,0))*1440,0))</f>
        <v>#REF!</v>
      </c>
      <c r="P359" s="9" t="e">
        <f>IF(AND(ROUND((#REF!-TIME(0,0,0))*1440,0)&gt;0,ROUND((#REF!-TIME(0,0,0))*1440,0)&lt;tbl_Case_mins[[#This Row],[Arrival]],tbl_Case_mins[[#This Row],[Surgery End Date]]&gt;tbl_Case_mins[[#This Row],[Surgery Start Date]]),ROUND((#REF!-TIME(0,0,0))*1440,0)+1440,ROUND((#REF!-TIME(0,0,0))*1440,0))</f>
        <v>#REF!</v>
      </c>
      <c r="Q359" s="9" t="e">
        <f>IF(AND(ROUND((#REF!-TIME(0,0,0))*1440,0)&gt;0,ROUND((#REF!-TIME(0,0,0))*1440,0)&lt;tbl_Case_mins[[#This Row],[Into Th or AR]],tbl_Case_mins[[#This Row],[Surgery End Date]]&gt;tbl_Case_mins[[#This Row],[Surgery Start Date]]),ROUND((#REF!-TIME(0,0,0))*1440,0)+1440,ROUND((#REF!-TIME(0,0,0))*1440,0))</f>
        <v>#REF!</v>
      </c>
      <c r="R359" s="9" t="e">
        <f>IF(AND(ROUND((#REF!-TIME(0,0,0))*1440,0)&gt;0,ROUND((#REF!-TIME(0,0,0))*1440,0)&lt;tbl_Case_mins[[#This Row],[AnaesthStart]],tbl_Case_mins[[#This Row],[Surgery End Date]]&gt;tbl_Case_mins[[#This Row],[Surgery Start Date]]),ROUND((#REF!-TIME(0,0,0))*1440,0)+1440,ROUND((#REF!-TIME(0,0,0))*1440,0))</f>
        <v>#REF!</v>
      </c>
      <c r="S359" s="9" t="e">
        <f>IF(AND(ROUND((#REF!-TIME(0,0,0))*1440,0),ROUND((#REF!-TIME(0,0,0))*1440,0)&lt;tbl_Case_mins[[#This Row],[Surgery Start]],tbl_Case_mins[[#This Row],[Surgery End Date]]&gt;tbl_Case_mins[[#This Row],[Surgery Start Date]]),ROUND((#REF!-TIME(0,0,0))*1440,0)+1440,ROUND((#REF!-TIME(0,0,0))*1440,0))</f>
        <v>#REF!</v>
      </c>
      <c r="T359" s="9" t="e">
        <f>IF(AND(ROUND((#REF!-TIME(0,0,0))*1440,0)&gt;0,ROUND((#REF!-TIME(0,0,0))*1440,0)&lt;tbl_Case_mins[[#This Row],[Surgery Finish]],tbl_Case_mins[[#This Row],[Surgery End Date]]&gt;tbl_Case_mins[[#This Row],[Surgery Start Date]]),ROUND((#REF!-TIME(0,0,0))*1440,0)+1440,ROUND((#REF!-TIME(0,0,0))*1440,0))</f>
        <v>#REF!</v>
      </c>
      <c r="U359" s="9" t="e">
        <f>IF(AND(ROUND((#REF!-TIME(0,0,0))*1440,0)&gt;0,ROUND((#REF!-TIME(0,0,0))*1440,0)&lt;tbl_Case_mins[[#This Row],[Anaesth End]],tbl_Case_mins[[#This Row],[Surgery End Date]]&gt;tbl_Case_mins[[#This Row],[Surgery Start Date]]),ROUND((#REF!-TIME(0,0,0))*1440,0)+1440,ROUND((#REF!-TIME(0,0,0))*1440,0))</f>
        <v>#REF!</v>
      </c>
      <c r="V359" s="9" t="e">
        <f>IF(AND(ROUND((#REF!-TIME(0,0,0))*1440,0)&gt;0,ROUND((#REF!-TIME(0,0,0))*1440,0)&lt;tbl_Case_mins[[#This Row],[Into Recov]],tbl_Case_mins[[#This Row],[Surgery End Date]]&gt;tbl_Case_mins[[#This Row],[Surgery Start Date]]),ROUND((#REF!-TIME(0,0,0))*1440,0)+1440,ROUND((#REF!-TIME(0,0,0))*1440,0))</f>
        <v>#REF!</v>
      </c>
      <c r="W359" s="9" t="e">
        <f>IF(AND(ROUND((#REF!-TIME(0,0,0))*1440,0)&gt;0,ROUND((#REF!-TIME(0,0,0))*1440,0)&lt;tbl_Case_mins[[#This Row],[Ward Called]],tbl_Case_mins[[#This Row],[Surgery End Date]]&gt;tbl_Case_mins[[#This Row],[Surgery Start Date]]),ROUND((#REF!-TIME(0,0,0))*1440,0)+1440,ROUND((#REF!-TIME(0,0,0))*1440,0))</f>
        <v>#REF!</v>
      </c>
      <c r="X359" s="4" t="e">
        <f>IF(ISBLANK(#REF!),tbl_Case_mins[[#This Row],[Surgery Start Date]],#REF!)</f>
        <v>#REF!</v>
      </c>
      <c r="Y359">
        <f>IFERROR(IF(VLOOKUP(tbl_Case_mins[[#This Row],[Theatre]],'Mng Theatres'!$C$7:$G$12,3,FALSE)="Yes","Yes","No"),0)</f>
        <v>0</v>
      </c>
      <c r="Z359" s="9" t="e" cm="1">
        <f t="array" ref="Z35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59" s="9" t="e" cm="1">
        <f t="array" ref="AA35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5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59" s="9" t="e">
        <f>IF(tbl_Case_mins[[#This Row],[Case Type]]="Unsch",1,0)</f>
        <v>#REF!</v>
      </c>
      <c r="AD359" s="9" t="e">
        <f>IF(tbl_Case_mins[[#This Row],[Case Type]]="Sch",1,0)</f>
        <v>#REF!</v>
      </c>
      <c r="AE35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59" s="9">
        <f>IFERROR(IF(ISBLANK(INDEX(Am_Close,MATCH(1,INDEX((tbl_Case_mins[[#This Row],[Theatre]]=Theatre_No)*(tbl_Case_mins[[#This Row],[Surgery Start Date]]=Date),0,1),0))*1440),0,INDEX(Am_Close,MATCH(1,INDEX((tbl_Case_mins[[#This Row],[Theatre]]=Theatre_No)*(tbl_Case_mins[[#This Row],[Surgery Start Date]]=Date),0,1),0))*1440),0)</f>
        <v>0</v>
      </c>
      <c r="AG359" s="9">
        <f>IFERROR(IF(ISBLANK(INDEX(PM_Open,MATCH(1,INDEX((tbl_Case_mins[[#This Row],[Theatre]]=Theatre_No)*(tbl_Case_mins[[#This Row],[Surgery Start Date]]=Date),0,1),0))*1440),0,INDEX(PM_Open,MATCH(1,INDEX((tbl_Case_mins[[#This Row],[Theatre]]=Theatre_No)*(tbl_Case_mins[[#This Row],[Surgery Start Date]]=Date),0,1),0))*1440),0)</f>
        <v>0</v>
      </c>
      <c r="AH35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59" s="9" t="e">
        <f>IF(tbl_Case_mins[[#This Row],[ThOpenAm]]=0,tbl_Case_mins[[#This Row],[ThOpenPM]],tbl_Case_mins[[#This Row],[ThOpenAm]])</f>
        <v>#REF!</v>
      </c>
      <c r="AJ359" s="9" t="e">
        <f>IF(tbl_Case_mins[[#This Row],[ThCloseAm]]&gt;0,IF(tbl_Case_mins[[#This Row],[ThOpenPM]]&gt;0,tbl_Case_mins[[#This Row],[ThClosePm]],tbl_Case_mins[[#This Row],[ThCloseAm]]),tbl_Case_mins[[#This Row],[ThClosePm]])</f>
        <v>#REF!</v>
      </c>
      <c r="AK359" s="9" t="e">
        <f>IF(tbl_Case_mins[[#This Row],[TOT]]&gt;0,1,0)</f>
        <v>#REF!</v>
      </c>
      <c r="AL35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59" s="9" t="e">
        <f>IF(AND(tbl_Case_mins[[#This Row],[Surgery Status]]&lt;&gt;2,tbl_Case_mins[[#This Row],[InCoreCase]]=0,tbl_Case_mins[[#This Row],[CancelledCase]]=0),1,0)</f>
        <v>#REF!</v>
      </c>
      <c r="AN359" s="9" t="e">
        <f>IF(tbl_Case_mins[[#This Row],[Surgery Status]]=1,1,0)</f>
        <v>#REF!</v>
      </c>
      <c r="AO35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59" s="9" t="e">
        <f>IF(AND(tbl_Case_mins[[#This Row],[NonCoreCase]]=1,tbl_Case_mins[[#This Row],[NoInCoreTime]]=0),1,0)</f>
        <v>#REF!</v>
      </c>
      <c r="AQ359" s="9" t="e">
        <f>IF(tbl_Case_mins[[#This Row],[Rank_AnaEnd]]&lt;tbl_Case_mins[[#This Row],[Rank_AnaSt]],1,0)</f>
        <v>#REF!</v>
      </c>
      <c r="AR359" s="9" t="e">
        <f>IF(AND(tbl_Case_mins[[#This Row],[InCoreCase]]=1,tbl_Case_mins[[#This Row],[Sch]]=1),1,0)</f>
        <v>#REF!</v>
      </c>
      <c r="AS359" s="9" t="e">
        <f>IF(AND(tbl_Case_mins[[#This Row],[InCoreCase]]=1,tbl_Case_mins[[#This Row],[Unsch]]=1),1,0)</f>
        <v>#REF!</v>
      </c>
      <c r="AT35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5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5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59" s="9" t="e">
        <f>IF(tbl_Case_mins[[#This Row],[Surgery Status]]=0,(tbl_Case_mins[[#This Row],[Anaesth End]]-tbl_Case_mins[[#This Row],[AnaesthStart]]),0)</f>
        <v>#REF!</v>
      </c>
      <c r="AX359" s="9" t="e">
        <f>IF(tbl_Case_mins[[#This Row],[Surgery Status]]=0,(tbl_Case_mins[[#This Row],[Surgery Finish]]-tbl_Case_mins[[#This Row],[Surgery Start]]),0)</f>
        <v>#REF!</v>
      </c>
      <c r="AY359" s="9" t="e">
        <f>tbl_Case_mins[[#This Row],[Surgery Start]]-tbl_Case_mins[[#This Row],[AnaesthStart]]</f>
        <v>#REF!</v>
      </c>
      <c r="AZ359" s="9" t="e">
        <f>tbl_Case_mins[[#This Row],[Anaesth End]]-tbl_Case_mins[[#This Row],[Surgery Finish]]</f>
        <v>#REF!</v>
      </c>
      <c r="BA35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5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59" s="16" cm="1">
        <f t="array" ref="BC35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59" s="16" t="e">
        <f>IF(AND(tbl_Case_mins[[#This Row],[FirstAMCase]]=1,tbl_Case_mins[[#This Row],[CancelledCase]]=0,OR(tbl_Case_mins[[#This Row],[EarlyStartAM]]&gt;0,tbl_Case_mins[[#This Row],[AnaesthStart]]=tbl_Case_mins[[#This Row],[ThOpenAm]])),1,0)</f>
        <v>#REF!</v>
      </c>
      <c r="BE359" s="16" t="e">
        <f>IF(AND(tbl_Case_mins[[#This Row],[Rank_AnaSt]]=tbl_Case_mins[[#This Row],[Min_RankAnaSt]],tbl_Case_mins[[#This Row],[Anaesth End]]&gt;=tbl_Case_mins[[#This Row],[ThOpenAm]],tbl_Case_mins[[#This Row],[PmCase]]=0),1,0)</f>
        <v>#REF!</v>
      </c>
      <c r="BF35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5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59" s="9" t="e" cm="1">
        <f t="array" ref="BH35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5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5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59" s="9" t="e">
        <f>IF(AND(tbl_Case_mins[[#This Row],[ThOpenPM]]&gt;0,tbl_Case_mins[[#This Row],[AnaesthStart]]&gt;tbl_Case_mins[[#This Row],[ThOpenPM]],tbl_Case_mins[[#This Row],[First PM Case]]=1),tbl_Case_mins[[#This Row],[AnaesthStart]]-tbl_Case_mins[[#This Row],[ThOpenPM]],0)</f>
        <v>#REF!</v>
      </c>
      <c r="BL35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5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59" s="9" t="e" cm="1">
        <f t="array" ref="BN35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59" s="9" t="e">
        <f>IF(AND(tbl_Case_mins[[#This Row],[ThClosePm]]&gt;0,tbl_Case_mins[[#This Row],[Anaesth End]]&gt;tbl_Case_mins[[#This Row],[ThClosePm]],tbl_Case_mins[[#This Row],[AnaesthStart]]&gt;tbl_Case_mins[[#This Row],[ThClosePm]]),tbl_Case_mins[[#This Row],[Into Recov]]-tbl_Case_mins[[#This Row],[AnaesthStart]],0)</f>
        <v>#REF!</v>
      </c>
      <c r="BP359" s="9" t="e">
        <f>IF(AND(tbl_Case_mins[[#This Row],[AnaesthStart]]&lt;tbl_Case_mins[[#This Row],[ThClosePm]],tbl_Case_mins[[#This Row],[Anaesth End]]&gt;tbl_Case_mins[[#This Row],[ThClosePm]]),tbl_Case_mins[[#This Row],[Anaesth End]]-tbl_Case_mins[[#This Row],[ThClosePm]],0)</f>
        <v>#REF!</v>
      </c>
      <c r="BQ359" s="9" t="e" cm="1">
        <f t="array" ref="BQ35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59" s="9" t="e" cm="1">
        <f t="array" ref="BR359">IF(tbl_Case_mins[[#This Row],[Rank_Adjust]]=SUMPRODUCT(-(tbl_Case_mins[Surgery Start Date]=tbl_Case_mins[[#This Row],[Surgery Start Date]]),-(tbl_Case_mins[Theatre]=tbl_Case_mins[[#This Row],[Theatre]])),INDEX(Poss_Time,MATCH(TEXT(tbl_Case_mins[[#This Row],[Surgery Start Date]],"ddd"),Day,0)),0)</f>
        <v>#REF!</v>
      </c>
      <c r="BS359" s="9" t="e">
        <f>tbl_Case_mins[[#This Row],[Core_Time]]*Util_Goal</f>
        <v>#REF!</v>
      </c>
      <c r="BT359" s="9" t="e" cm="1">
        <f t="array" ref="BT3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59" s="9" t="e" cm="1">
        <f t="array" ref="BU35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5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5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59" s="9" t="e">
        <f>IF(tbl_Case_mins[[#This Row],[Surgery End Date]]&gt;tbl_Case_mins[[#This Row],[Surgery Start Date]],tbl_Case_mins[[#This Row],[Anaesth End]]-1440,0)</f>
        <v>#REF!</v>
      </c>
      <c r="BY359" s="9" t="e">
        <f>tbl_Case_mins[[#This Row],[Total_NonCore]]-tbl_Case_mins[[#This Row],[NextDay_NonCore]]</f>
        <v>#REF!</v>
      </c>
      <c r="BZ359" s="10" t="e">
        <f>tbl_Case_mins[[#This Row],[InCoreUse]]/60</f>
        <v>#REF!</v>
      </c>
      <c r="CA359" s="10" t="e">
        <f>tbl_Case_mins[[#This Row],[Total_NonCore]]/60</f>
        <v>#REF!</v>
      </c>
      <c r="CB359" t="e" cm="1">
        <f t="array" ref="CB3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59" s="9" t="e" cm="1">
        <f t="array" ref="CC35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59" s="9" t="e" cm="1">
        <f t="array" ref="CD35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59" s="9" t="e" cm="1">
        <f t="array" ref="CE35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59" s="9" cm="1">
        <f t="array" ref="CF359">IFERROR(_xlfn.AGGREGATE(14,6,(tbl_Case_mins[Rank_AnaEnd])/((tbl_Case_mins[Surgery Start Date]=tbl_Case_mins[[#This Row],[Surgery Start Date]])*(tbl_Case_mins[Theatre]=tbl_Case_mins[[#This Row],[Theatre]])*(tbl_Case_mins[NoInCoreTime]=0)),1),-1)</f>
        <v>-1</v>
      </c>
      <c r="CG359" s="9" cm="1">
        <f t="array" ref="CG359">IFERROR(_xlfn.AGGREGATE(15,6,(tbl_Case_mins[Rank_AnaSt])/((tbl_Case_mins[Surgery Start Date]=tbl_Case_mins[[#This Row],[Surgery Start Date]])*(tbl_Case_mins[Theatre]=tbl_Case_mins[[#This Row],[Theatre]])*(tbl_Case_mins[NoInCoreTime]=0)),1),-1)</f>
        <v>-1</v>
      </c>
      <c r="CH35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5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59" t="e" cm="1">
        <f t="array" ref="CJ35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5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5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5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59" s="9" cm="1">
        <f t="array" ref="CO3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59" s="9" cm="1">
        <f t="array" ref="CP35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59" s="9" cm="1">
        <f t="array" ref="CQ359">IFERROR(IF(AND(tbl_Case_mins[[#This Row],[FirstAMCase]]=0,tbl_Case_mins[[#This Row],[Rank]]=_xlfn.AGGREGATE(14,6,(tbl_Case_mins[Rank])/((tbl_Case_mins[Surgery Start Date]=tbl_Case_mins[[#This Row],[Surgery Start Date]])*(tbl_Case_mins[Theatre]=tbl_Case_mins[[#This Row],[Theatre]])*(tbl_Case_mins[AmCase]=1)),1)),1,0),0)</f>
        <v>0</v>
      </c>
      <c r="CR359" s="9" cm="1">
        <f t="array" ref="CR35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59" s="9" t="e" cm="1">
        <f t="array" ref="CS35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59" s="9" cm="1">
        <f t="array" ref="CT359">IFERROR(IF(tbl_Case_mins[[#This Row],[Rank]]=_xlfn.AGGREGATE(15,6,(tbl_Case_mins[Rank])/((tbl_Case_mins[Surgery Start Date]=tbl_Case_mins[[#This Row],[Surgery Start Date]])*(tbl_Case_mins[Theatre]=tbl_Case_mins[[#This Row],[Theatre]])*(tbl_Case_mins[PmCase]=1)),1),1,0),0)</f>
        <v>0</v>
      </c>
      <c r="CU359">
        <f>IFERROR(#REF!,0)</f>
        <v>0</v>
      </c>
      <c r="CV359" s="9" t="e" cm="1">
        <f t="array" ref="CV35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59" s="9">
        <f>IFERROR(IF(ISBLANK(INDEX(Bay_AmClose,MATCH(1,INDEX((tbl_Case_mins[[#This Row],[Bay]]=BayNo)*(tbl_Case_mins[[#This Row],[Surgery Start Date]]=BDate),0,1),0))*1440),0,INDEX(Bay_AmClose,MATCH(1,INDEX((tbl_Case_mins[[#This Row],[Bay]]=BayNo)*(tbl_Case_mins[[#This Row],[Surgery Start Date]]=BDate),0,1),0))*1440),0)</f>
        <v>0</v>
      </c>
      <c r="CX359" s="9" cm="1">
        <f t="array" ref="CX359">IFERROR(IF(ISBLANK(INDEX(Bay_PmOpen,MATCH(1,INDEX((tbl_Case_mins[[#This Row],[Bay]]=BayNo)*(tbl_Case_mins[[#This Row],[Surgery Start Date]]=BDate),0,1),0))*1440),0,INDEX(Bay_PmOpen,MATCH(1,INDEX((tbl_Case_mins[[#This Row],[Bay]]=BayNo)*(tbl_Case_mins[[#This Row],[Surgery Start Date]]=BDate),0,1),0))*1440),0)</f>
        <v>0</v>
      </c>
      <c r="CY35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59" s="9"/>
    </row>
    <row r="360" spans="1:104" x14ac:dyDescent="0.2">
      <c r="A360">
        <v>359</v>
      </c>
      <c r="B360" t="e">
        <f>#REF!</f>
        <v>#REF!</v>
      </c>
      <c r="C360" t="e">
        <f>#REF!</f>
        <v>#REF!</v>
      </c>
      <c r="D360" t="e">
        <f>#REF!</f>
        <v>#REF!</v>
      </c>
      <c r="E360" t="e">
        <f>#REF!</f>
        <v>#REF!</v>
      </c>
      <c r="F360" t="e">
        <f>#REF!</f>
        <v>#REF!</v>
      </c>
      <c r="G360" t="e">
        <f>#REF!</f>
        <v>#REF!</v>
      </c>
      <c r="H360" t="e">
        <f>#REF!</f>
        <v>#REF!</v>
      </c>
      <c r="I360" t="e">
        <f>IF(#REF!="Case Cancelled",1,IF(#REF!="No Cases",2,0))</f>
        <v>#REF!</v>
      </c>
      <c r="J360" t="e">
        <f>#REF!</f>
        <v>#REF!</v>
      </c>
      <c r="K360" s="4" t="e">
        <f>#REF!</f>
        <v>#REF!</v>
      </c>
      <c r="L360" t="e">
        <f>"Wk "&amp;WEEKNUM(tbl_Case_mins[[#This Row],[Surgery Start Date]],21)</f>
        <v>#REF!</v>
      </c>
      <c r="M360" t="e">
        <f>TEXT(tbl_Case_mins[[#This Row],[Surgery Start Date]],"ddd")</f>
        <v>#REF!</v>
      </c>
      <c r="N360" s="9" t="e">
        <f>(#REF!-TIME(0,0,0))*1440</f>
        <v>#REF!</v>
      </c>
      <c r="O360" t="e">
        <f>IF(AND(ROUND((#REF!-TIME(0,0,0))*1440,0)&gt;0,ROUND((#REF!-TIME(0,0,0))*1440,0)&lt;tbl_Case_mins[[#This Row],[Patient Called]],tbl_Case_mins[[#This Row],[Surgery End Date]]&gt;tbl_Case_mins[[#This Row],[Surgery Start Date]]),ROUND((#REF!-TIME(0,0,0))*1440,0)+1440,ROUND((#REF!-TIME(0,0,0))*1440,0))</f>
        <v>#REF!</v>
      </c>
      <c r="P360" s="9" t="e">
        <f>IF(AND(ROUND((#REF!-TIME(0,0,0))*1440,0)&gt;0,ROUND((#REF!-TIME(0,0,0))*1440,0)&lt;tbl_Case_mins[[#This Row],[Arrival]],tbl_Case_mins[[#This Row],[Surgery End Date]]&gt;tbl_Case_mins[[#This Row],[Surgery Start Date]]),ROUND((#REF!-TIME(0,0,0))*1440,0)+1440,ROUND((#REF!-TIME(0,0,0))*1440,0))</f>
        <v>#REF!</v>
      </c>
      <c r="Q360" s="9" t="e">
        <f>IF(AND(ROUND((#REF!-TIME(0,0,0))*1440,0)&gt;0,ROUND((#REF!-TIME(0,0,0))*1440,0)&lt;tbl_Case_mins[[#This Row],[Into Th or AR]],tbl_Case_mins[[#This Row],[Surgery End Date]]&gt;tbl_Case_mins[[#This Row],[Surgery Start Date]]),ROUND((#REF!-TIME(0,0,0))*1440,0)+1440,ROUND((#REF!-TIME(0,0,0))*1440,0))</f>
        <v>#REF!</v>
      </c>
      <c r="R360" s="9" t="e">
        <f>IF(AND(ROUND((#REF!-TIME(0,0,0))*1440,0)&gt;0,ROUND((#REF!-TIME(0,0,0))*1440,0)&lt;tbl_Case_mins[[#This Row],[AnaesthStart]],tbl_Case_mins[[#This Row],[Surgery End Date]]&gt;tbl_Case_mins[[#This Row],[Surgery Start Date]]),ROUND((#REF!-TIME(0,0,0))*1440,0)+1440,ROUND((#REF!-TIME(0,0,0))*1440,0))</f>
        <v>#REF!</v>
      </c>
      <c r="S360" s="9" t="e">
        <f>IF(AND(ROUND((#REF!-TIME(0,0,0))*1440,0),ROUND((#REF!-TIME(0,0,0))*1440,0)&lt;tbl_Case_mins[[#This Row],[Surgery Start]],tbl_Case_mins[[#This Row],[Surgery End Date]]&gt;tbl_Case_mins[[#This Row],[Surgery Start Date]]),ROUND((#REF!-TIME(0,0,0))*1440,0)+1440,ROUND((#REF!-TIME(0,0,0))*1440,0))</f>
        <v>#REF!</v>
      </c>
      <c r="T360" s="9" t="e">
        <f>IF(AND(ROUND((#REF!-TIME(0,0,0))*1440,0)&gt;0,ROUND((#REF!-TIME(0,0,0))*1440,0)&lt;tbl_Case_mins[[#This Row],[Surgery Finish]],tbl_Case_mins[[#This Row],[Surgery End Date]]&gt;tbl_Case_mins[[#This Row],[Surgery Start Date]]),ROUND((#REF!-TIME(0,0,0))*1440,0)+1440,ROUND((#REF!-TIME(0,0,0))*1440,0))</f>
        <v>#REF!</v>
      </c>
      <c r="U360" s="9" t="e">
        <f>IF(AND(ROUND((#REF!-TIME(0,0,0))*1440,0)&gt;0,ROUND((#REF!-TIME(0,0,0))*1440,0)&lt;tbl_Case_mins[[#This Row],[Anaesth End]],tbl_Case_mins[[#This Row],[Surgery End Date]]&gt;tbl_Case_mins[[#This Row],[Surgery Start Date]]),ROUND((#REF!-TIME(0,0,0))*1440,0)+1440,ROUND((#REF!-TIME(0,0,0))*1440,0))</f>
        <v>#REF!</v>
      </c>
      <c r="V360" s="9" t="e">
        <f>IF(AND(ROUND((#REF!-TIME(0,0,0))*1440,0)&gt;0,ROUND((#REF!-TIME(0,0,0))*1440,0)&lt;tbl_Case_mins[[#This Row],[Into Recov]],tbl_Case_mins[[#This Row],[Surgery End Date]]&gt;tbl_Case_mins[[#This Row],[Surgery Start Date]]),ROUND((#REF!-TIME(0,0,0))*1440,0)+1440,ROUND((#REF!-TIME(0,0,0))*1440,0))</f>
        <v>#REF!</v>
      </c>
      <c r="W360" s="9" t="e">
        <f>IF(AND(ROUND((#REF!-TIME(0,0,0))*1440,0)&gt;0,ROUND((#REF!-TIME(0,0,0))*1440,0)&lt;tbl_Case_mins[[#This Row],[Ward Called]],tbl_Case_mins[[#This Row],[Surgery End Date]]&gt;tbl_Case_mins[[#This Row],[Surgery Start Date]]),ROUND((#REF!-TIME(0,0,0))*1440,0)+1440,ROUND((#REF!-TIME(0,0,0))*1440,0))</f>
        <v>#REF!</v>
      </c>
      <c r="X360" s="4" t="e">
        <f>IF(ISBLANK(#REF!),tbl_Case_mins[[#This Row],[Surgery Start Date]],#REF!)</f>
        <v>#REF!</v>
      </c>
      <c r="Y360">
        <f>IFERROR(IF(VLOOKUP(tbl_Case_mins[[#This Row],[Theatre]],'Mng Theatres'!$C$7:$G$12,3,FALSE)="Yes","Yes","No"),0)</f>
        <v>0</v>
      </c>
      <c r="Z360" s="9" t="e" cm="1">
        <f t="array" ref="Z36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0" s="9" t="e" cm="1">
        <f t="array" ref="AA36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0" s="9" t="e">
        <f>IF(tbl_Case_mins[[#This Row],[Case Type]]="Unsch",1,0)</f>
        <v>#REF!</v>
      </c>
      <c r="AD360" s="9" t="e">
        <f>IF(tbl_Case_mins[[#This Row],[Case Type]]="Sch",1,0)</f>
        <v>#REF!</v>
      </c>
      <c r="AE36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0" s="9">
        <f>IFERROR(IF(ISBLANK(INDEX(Am_Close,MATCH(1,INDEX((tbl_Case_mins[[#This Row],[Theatre]]=Theatre_No)*(tbl_Case_mins[[#This Row],[Surgery Start Date]]=Date),0,1),0))*1440),0,INDEX(Am_Close,MATCH(1,INDEX((tbl_Case_mins[[#This Row],[Theatre]]=Theatre_No)*(tbl_Case_mins[[#This Row],[Surgery Start Date]]=Date),0,1),0))*1440),0)</f>
        <v>0</v>
      </c>
      <c r="AG360" s="9">
        <f>IFERROR(IF(ISBLANK(INDEX(PM_Open,MATCH(1,INDEX((tbl_Case_mins[[#This Row],[Theatre]]=Theatre_No)*(tbl_Case_mins[[#This Row],[Surgery Start Date]]=Date),0,1),0))*1440),0,INDEX(PM_Open,MATCH(1,INDEX((tbl_Case_mins[[#This Row],[Theatre]]=Theatre_No)*(tbl_Case_mins[[#This Row],[Surgery Start Date]]=Date),0,1),0))*1440),0)</f>
        <v>0</v>
      </c>
      <c r="AH36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0" s="9" t="e">
        <f>IF(tbl_Case_mins[[#This Row],[ThOpenAm]]=0,tbl_Case_mins[[#This Row],[ThOpenPM]],tbl_Case_mins[[#This Row],[ThOpenAm]])</f>
        <v>#REF!</v>
      </c>
      <c r="AJ360" s="9" t="e">
        <f>IF(tbl_Case_mins[[#This Row],[ThCloseAm]]&gt;0,IF(tbl_Case_mins[[#This Row],[ThOpenPM]]&gt;0,tbl_Case_mins[[#This Row],[ThClosePm]],tbl_Case_mins[[#This Row],[ThCloseAm]]),tbl_Case_mins[[#This Row],[ThClosePm]])</f>
        <v>#REF!</v>
      </c>
      <c r="AK360" s="9" t="e">
        <f>IF(tbl_Case_mins[[#This Row],[TOT]]&gt;0,1,0)</f>
        <v>#REF!</v>
      </c>
      <c r="AL36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0" s="9" t="e">
        <f>IF(AND(tbl_Case_mins[[#This Row],[Surgery Status]]&lt;&gt;2,tbl_Case_mins[[#This Row],[InCoreCase]]=0,tbl_Case_mins[[#This Row],[CancelledCase]]=0),1,0)</f>
        <v>#REF!</v>
      </c>
      <c r="AN360" s="9" t="e">
        <f>IF(tbl_Case_mins[[#This Row],[Surgery Status]]=1,1,0)</f>
        <v>#REF!</v>
      </c>
      <c r="AO36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0" s="9" t="e">
        <f>IF(AND(tbl_Case_mins[[#This Row],[NonCoreCase]]=1,tbl_Case_mins[[#This Row],[NoInCoreTime]]=0),1,0)</f>
        <v>#REF!</v>
      </c>
      <c r="AQ360" s="9" t="e">
        <f>IF(tbl_Case_mins[[#This Row],[Rank_AnaEnd]]&lt;tbl_Case_mins[[#This Row],[Rank_AnaSt]],1,0)</f>
        <v>#REF!</v>
      </c>
      <c r="AR360" s="9" t="e">
        <f>IF(AND(tbl_Case_mins[[#This Row],[InCoreCase]]=1,tbl_Case_mins[[#This Row],[Sch]]=1),1,0)</f>
        <v>#REF!</v>
      </c>
      <c r="AS360" s="9" t="e">
        <f>IF(AND(tbl_Case_mins[[#This Row],[InCoreCase]]=1,tbl_Case_mins[[#This Row],[Unsch]]=1),1,0)</f>
        <v>#REF!</v>
      </c>
      <c r="AT36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0" s="9" t="e">
        <f>IF(tbl_Case_mins[[#This Row],[Surgery Status]]=0,(tbl_Case_mins[[#This Row],[Anaesth End]]-tbl_Case_mins[[#This Row],[AnaesthStart]]),0)</f>
        <v>#REF!</v>
      </c>
      <c r="AX360" s="9" t="e">
        <f>IF(tbl_Case_mins[[#This Row],[Surgery Status]]=0,(tbl_Case_mins[[#This Row],[Surgery Finish]]-tbl_Case_mins[[#This Row],[Surgery Start]]),0)</f>
        <v>#REF!</v>
      </c>
      <c r="AY360" s="9" t="e">
        <f>tbl_Case_mins[[#This Row],[Surgery Start]]-tbl_Case_mins[[#This Row],[AnaesthStart]]</f>
        <v>#REF!</v>
      </c>
      <c r="AZ360" s="9" t="e">
        <f>tbl_Case_mins[[#This Row],[Anaesth End]]-tbl_Case_mins[[#This Row],[Surgery Finish]]</f>
        <v>#REF!</v>
      </c>
      <c r="BA36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0" s="16" cm="1">
        <f t="array" ref="BC36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0" s="16" t="e">
        <f>IF(AND(tbl_Case_mins[[#This Row],[FirstAMCase]]=1,tbl_Case_mins[[#This Row],[CancelledCase]]=0,OR(tbl_Case_mins[[#This Row],[EarlyStartAM]]&gt;0,tbl_Case_mins[[#This Row],[AnaesthStart]]=tbl_Case_mins[[#This Row],[ThOpenAm]])),1,0)</f>
        <v>#REF!</v>
      </c>
      <c r="BE360" s="16" t="e">
        <f>IF(AND(tbl_Case_mins[[#This Row],[Rank_AnaSt]]=tbl_Case_mins[[#This Row],[Min_RankAnaSt]],tbl_Case_mins[[#This Row],[Anaesth End]]&gt;=tbl_Case_mins[[#This Row],[ThOpenAm]],tbl_Case_mins[[#This Row],[PmCase]]=0),1,0)</f>
        <v>#REF!</v>
      </c>
      <c r="BF36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0" s="9" t="e" cm="1">
        <f t="array" ref="BH36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0" s="9" t="e">
        <f>IF(AND(tbl_Case_mins[[#This Row],[ThOpenPM]]&gt;0,tbl_Case_mins[[#This Row],[AnaesthStart]]&gt;tbl_Case_mins[[#This Row],[ThOpenPM]],tbl_Case_mins[[#This Row],[First PM Case]]=1),tbl_Case_mins[[#This Row],[AnaesthStart]]-tbl_Case_mins[[#This Row],[ThOpenPM]],0)</f>
        <v>#REF!</v>
      </c>
      <c r="BL36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0" s="9" t="e" cm="1">
        <f t="array" ref="BN36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0" s="9" t="e">
        <f>IF(AND(tbl_Case_mins[[#This Row],[ThClosePm]]&gt;0,tbl_Case_mins[[#This Row],[Anaesth End]]&gt;tbl_Case_mins[[#This Row],[ThClosePm]],tbl_Case_mins[[#This Row],[AnaesthStart]]&gt;tbl_Case_mins[[#This Row],[ThClosePm]]),tbl_Case_mins[[#This Row],[Into Recov]]-tbl_Case_mins[[#This Row],[AnaesthStart]],0)</f>
        <v>#REF!</v>
      </c>
      <c r="BP360" s="9" t="e">
        <f>IF(AND(tbl_Case_mins[[#This Row],[AnaesthStart]]&lt;tbl_Case_mins[[#This Row],[ThClosePm]],tbl_Case_mins[[#This Row],[Anaesth End]]&gt;tbl_Case_mins[[#This Row],[ThClosePm]]),tbl_Case_mins[[#This Row],[Anaesth End]]-tbl_Case_mins[[#This Row],[ThClosePm]],0)</f>
        <v>#REF!</v>
      </c>
      <c r="BQ360" s="9" t="e" cm="1">
        <f t="array" ref="BQ36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0" s="9" t="e" cm="1">
        <f t="array" ref="BR360">IF(tbl_Case_mins[[#This Row],[Rank_Adjust]]=SUMPRODUCT(-(tbl_Case_mins[Surgery Start Date]=tbl_Case_mins[[#This Row],[Surgery Start Date]]),-(tbl_Case_mins[Theatre]=tbl_Case_mins[[#This Row],[Theatre]])),INDEX(Poss_Time,MATCH(TEXT(tbl_Case_mins[[#This Row],[Surgery Start Date]],"ddd"),Day,0)),0)</f>
        <v>#REF!</v>
      </c>
      <c r="BS360" s="9" t="e">
        <f>tbl_Case_mins[[#This Row],[Core_Time]]*Util_Goal</f>
        <v>#REF!</v>
      </c>
      <c r="BT360" s="9" t="e" cm="1">
        <f t="array" ref="BT3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0" s="9" t="e" cm="1">
        <f t="array" ref="BU36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0" s="9" t="e">
        <f>IF(tbl_Case_mins[[#This Row],[Surgery End Date]]&gt;tbl_Case_mins[[#This Row],[Surgery Start Date]],tbl_Case_mins[[#This Row],[Anaesth End]]-1440,0)</f>
        <v>#REF!</v>
      </c>
      <c r="BY360" s="9" t="e">
        <f>tbl_Case_mins[[#This Row],[Total_NonCore]]-tbl_Case_mins[[#This Row],[NextDay_NonCore]]</f>
        <v>#REF!</v>
      </c>
      <c r="BZ360" s="10" t="e">
        <f>tbl_Case_mins[[#This Row],[InCoreUse]]/60</f>
        <v>#REF!</v>
      </c>
      <c r="CA360" s="10" t="e">
        <f>tbl_Case_mins[[#This Row],[Total_NonCore]]/60</f>
        <v>#REF!</v>
      </c>
      <c r="CB360" t="e" cm="1">
        <f t="array" ref="CB3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0" s="9" t="e" cm="1">
        <f t="array" ref="CC36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0" s="9" t="e" cm="1">
        <f t="array" ref="CD36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0" s="9" t="e" cm="1">
        <f t="array" ref="CE36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0" s="9" cm="1">
        <f t="array" ref="CF360">IFERROR(_xlfn.AGGREGATE(14,6,(tbl_Case_mins[Rank_AnaEnd])/((tbl_Case_mins[Surgery Start Date]=tbl_Case_mins[[#This Row],[Surgery Start Date]])*(tbl_Case_mins[Theatre]=tbl_Case_mins[[#This Row],[Theatre]])*(tbl_Case_mins[NoInCoreTime]=0)),1),-1)</f>
        <v>-1</v>
      </c>
      <c r="CG360" s="9" cm="1">
        <f t="array" ref="CG360">IFERROR(_xlfn.AGGREGATE(15,6,(tbl_Case_mins[Rank_AnaSt])/((tbl_Case_mins[Surgery Start Date]=tbl_Case_mins[[#This Row],[Surgery Start Date]])*(tbl_Case_mins[Theatre]=tbl_Case_mins[[#This Row],[Theatre]])*(tbl_Case_mins[NoInCoreTime]=0)),1),-1)</f>
        <v>-1</v>
      </c>
      <c r="CH36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0" t="e" cm="1">
        <f t="array" ref="CJ36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0" s="9" cm="1">
        <f t="array" ref="CO3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0" s="9" cm="1">
        <f t="array" ref="CP36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0" s="9" cm="1">
        <f t="array" ref="CQ360">IFERROR(IF(AND(tbl_Case_mins[[#This Row],[FirstAMCase]]=0,tbl_Case_mins[[#This Row],[Rank]]=_xlfn.AGGREGATE(14,6,(tbl_Case_mins[Rank])/((tbl_Case_mins[Surgery Start Date]=tbl_Case_mins[[#This Row],[Surgery Start Date]])*(tbl_Case_mins[Theatre]=tbl_Case_mins[[#This Row],[Theatre]])*(tbl_Case_mins[AmCase]=1)),1)),1,0),0)</f>
        <v>0</v>
      </c>
      <c r="CR360" s="9" cm="1">
        <f t="array" ref="CR36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0" s="9" t="e" cm="1">
        <f t="array" ref="CS36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0" s="9" cm="1">
        <f t="array" ref="CT360">IFERROR(IF(tbl_Case_mins[[#This Row],[Rank]]=_xlfn.AGGREGATE(15,6,(tbl_Case_mins[Rank])/((tbl_Case_mins[Surgery Start Date]=tbl_Case_mins[[#This Row],[Surgery Start Date]])*(tbl_Case_mins[Theatre]=tbl_Case_mins[[#This Row],[Theatre]])*(tbl_Case_mins[PmCase]=1)),1),1,0),0)</f>
        <v>0</v>
      </c>
      <c r="CU360">
        <f>IFERROR(#REF!,0)</f>
        <v>0</v>
      </c>
      <c r="CV360" s="9" t="e" cm="1">
        <f t="array" ref="CV36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0" s="9">
        <f>IFERROR(IF(ISBLANK(INDEX(Bay_AmClose,MATCH(1,INDEX((tbl_Case_mins[[#This Row],[Bay]]=BayNo)*(tbl_Case_mins[[#This Row],[Surgery Start Date]]=BDate),0,1),0))*1440),0,INDEX(Bay_AmClose,MATCH(1,INDEX((tbl_Case_mins[[#This Row],[Bay]]=BayNo)*(tbl_Case_mins[[#This Row],[Surgery Start Date]]=BDate),0,1),0))*1440),0)</f>
        <v>0</v>
      </c>
      <c r="CX360" s="9" cm="1">
        <f t="array" ref="CX360">IFERROR(IF(ISBLANK(INDEX(Bay_PmOpen,MATCH(1,INDEX((tbl_Case_mins[[#This Row],[Bay]]=BayNo)*(tbl_Case_mins[[#This Row],[Surgery Start Date]]=BDate),0,1),0))*1440),0,INDEX(Bay_PmOpen,MATCH(1,INDEX((tbl_Case_mins[[#This Row],[Bay]]=BayNo)*(tbl_Case_mins[[#This Row],[Surgery Start Date]]=BDate),0,1),0))*1440),0)</f>
        <v>0</v>
      </c>
      <c r="CY36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0" s="9"/>
    </row>
    <row r="361" spans="1:104" x14ac:dyDescent="0.2">
      <c r="A361">
        <v>360</v>
      </c>
      <c r="B361" t="e">
        <f>#REF!</f>
        <v>#REF!</v>
      </c>
      <c r="C361" t="e">
        <f>#REF!</f>
        <v>#REF!</v>
      </c>
      <c r="D361" t="e">
        <f>#REF!</f>
        <v>#REF!</v>
      </c>
      <c r="E361" t="e">
        <f>#REF!</f>
        <v>#REF!</v>
      </c>
      <c r="F361" t="e">
        <f>#REF!</f>
        <v>#REF!</v>
      </c>
      <c r="G361" t="e">
        <f>#REF!</f>
        <v>#REF!</v>
      </c>
      <c r="H361" t="e">
        <f>#REF!</f>
        <v>#REF!</v>
      </c>
      <c r="I361" t="e">
        <f>IF(#REF!="Case Cancelled",1,IF(#REF!="No Cases",2,0))</f>
        <v>#REF!</v>
      </c>
      <c r="J361" t="e">
        <f>#REF!</f>
        <v>#REF!</v>
      </c>
      <c r="K361" s="4" t="e">
        <f>#REF!</f>
        <v>#REF!</v>
      </c>
      <c r="L361" t="e">
        <f>"Wk "&amp;WEEKNUM(tbl_Case_mins[[#This Row],[Surgery Start Date]],21)</f>
        <v>#REF!</v>
      </c>
      <c r="M361" t="e">
        <f>TEXT(tbl_Case_mins[[#This Row],[Surgery Start Date]],"ddd")</f>
        <v>#REF!</v>
      </c>
      <c r="N361" s="9" t="e">
        <f>(#REF!-TIME(0,0,0))*1440</f>
        <v>#REF!</v>
      </c>
      <c r="O361" t="e">
        <f>IF(AND(ROUND((#REF!-TIME(0,0,0))*1440,0)&gt;0,ROUND((#REF!-TIME(0,0,0))*1440,0)&lt;tbl_Case_mins[[#This Row],[Patient Called]],tbl_Case_mins[[#This Row],[Surgery End Date]]&gt;tbl_Case_mins[[#This Row],[Surgery Start Date]]),ROUND((#REF!-TIME(0,0,0))*1440,0)+1440,ROUND((#REF!-TIME(0,0,0))*1440,0))</f>
        <v>#REF!</v>
      </c>
      <c r="P361" s="9" t="e">
        <f>IF(AND(ROUND((#REF!-TIME(0,0,0))*1440,0)&gt;0,ROUND((#REF!-TIME(0,0,0))*1440,0)&lt;tbl_Case_mins[[#This Row],[Arrival]],tbl_Case_mins[[#This Row],[Surgery End Date]]&gt;tbl_Case_mins[[#This Row],[Surgery Start Date]]),ROUND((#REF!-TIME(0,0,0))*1440,0)+1440,ROUND((#REF!-TIME(0,0,0))*1440,0))</f>
        <v>#REF!</v>
      </c>
      <c r="Q361" s="9" t="e">
        <f>IF(AND(ROUND((#REF!-TIME(0,0,0))*1440,0)&gt;0,ROUND((#REF!-TIME(0,0,0))*1440,0)&lt;tbl_Case_mins[[#This Row],[Into Th or AR]],tbl_Case_mins[[#This Row],[Surgery End Date]]&gt;tbl_Case_mins[[#This Row],[Surgery Start Date]]),ROUND((#REF!-TIME(0,0,0))*1440,0)+1440,ROUND((#REF!-TIME(0,0,0))*1440,0))</f>
        <v>#REF!</v>
      </c>
      <c r="R361" s="9" t="e">
        <f>IF(AND(ROUND((#REF!-TIME(0,0,0))*1440,0)&gt;0,ROUND((#REF!-TIME(0,0,0))*1440,0)&lt;tbl_Case_mins[[#This Row],[AnaesthStart]],tbl_Case_mins[[#This Row],[Surgery End Date]]&gt;tbl_Case_mins[[#This Row],[Surgery Start Date]]),ROUND((#REF!-TIME(0,0,0))*1440,0)+1440,ROUND((#REF!-TIME(0,0,0))*1440,0))</f>
        <v>#REF!</v>
      </c>
      <c r="S361" s="9" t="e">
        <f>IF(AND(ROUND((#REF!-TIME(0,0,0))*1440,0),ROUND((#REF!-TIME(0,0,0))*1440,0)&lt;tbl_Case_mins[[#This Row],[Surgery Start]],tbl_Case_mins[[#This Row],[Surgery End Date]]&gt;tbl_Case_mins[[#This Row],[Surgery Start Date]]),ROUND((#REF!-TIME(0,0,0))*1440,0)+1440,ROUND((#REF!-TIME(0,0,0))*1440,0))</f>
        <v>#REF!</v>
      </c>
      <c r="T361" s="9" t="e">
        <f>IF(AND(ROUND((#REF!-TIME(0,0,0))*1440,0)&gt;0,ROUND((#REF!-TIME(0,0,0))*1440,0)&lt;tbl_Case_mins[[#This Row],[Surgery Finish]],tbl_Case_mins[[#This Row],[Surgery End Date]]&gt;tbl_Case_mins[[#This Row],[Surgery Start Date]]),ROUND((#REF!-TIME(0,0,0))*1440,0)+1440,ROUND((#REF!-TIME(0,0,0))*1440,0))</f>
        <v>#REF!</v>
      </c>
      <c r="U361" s="9" t="e">
        <f>IF(AND(ROUND((#REF!-TIME(0,0,0))*1440,0)&gt;0,ROUND((#REF!-TIME(0,0,0))*1440,0)&lt;tbl_Case_mins[[#This Row],[Anaesth End]],tbl_Case_mins[[#This Row],[Surgery End Date]]&gt;tbl_Case_mins[[#This Row],[Surgery Start Date]]),ROUND((#REF!-TIME(0,0,0))*1440,0)+1440,ROUND((#REF!-TIME(0,0,0))*1440,0))</f>
        <v>#REF!</v>
      </c>
      <c r="V361" s="9" t="e">
        <f>IF(AND(ROUND((#REF!-TIME(0,0,0))*1440,0)&gt;0,ROUND((#REF!-TIME(0,0,0))*1440,0)&lt;tbl_Case_mins[[#This Row],[Into Recov]],tbl_Case_mins[[#This Row],[Surgery End Date]]&gt;tbl_Case_mins[[#This Row],[Surgery Start Date]]),ROUND((#REF!-TIME(0,0,0))*1440,0)+1440,ROUND((#REF!-TIME(0,0,0))*1440,0))</f>
        <v>#REF!</v>
      </c>
      <c r="W361" s="9" t="e">
        <f>IF(AND(ROUND((#REF!-TIME(0,0,0))*1440,0)&gt;0,ROUND((#REF!-TIME(0,0,0))*1440,0)&lt;tbl_Case_mins[[#This Row],[Ward Called]],tbl_Case_mins[[#This Row],[Surgery End Date]]&gt;tbl_Case_mins[[#This Row],[Surgery Start Date]]),ROUND((#REF!-TIME(0,0,0))*1440,0)+1440,ROUND((#REF!-TIME(0,0,0))*1440,0))</f>
        <v>#REF!</v>
      </c>
      <c r="X361" s="4" t="e">
        <f>IF(ISBLANK(#REF!),tbl_Case_mins[[#This Row],[Surgery Start Date]],#REF!)</f>
        <v>#REF!</v>
      </c>
      <c r="Y361">
        <f>IFERROR(IF(VLOOKUP(tbl_Case_mins[[#This Row],[Theatre]],'Mng Theatres'!$C$7:$G$12,3,FALSE)="Yes","Yes","No"),0)</f>
        <v>0</v>
      </c>
      <c r="Z361" s="9" t="e" cm="1">
        <f t="array" ref="Z36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1" s="9" t="e" cm="1">
        <f t="array" ref="AA36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1" s="9" t="e">
        <f>IF(tbl_Case_mins[[#This Row],[Case Type]]="Unsch",1,0)</f>
        <v>#REF!</v>
      </c>
      <c r="AD361" s="9" t="e">
        <f>IF(tbl_Case_mins[[#This Row],[Case Type]]="Sch",1,0)</f>
        <v>#REF!</v>
      </c>
      <c r="AE36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1" s="9">
        <f>IFERROR(IF(ISBLANK(INDEX(Am_Close,MATCH(1,INDEX((tbl_Case_mins[[#This Row],[Theatre]]=Theatre_No)*(tbl_Case_mins[[#This Row],[Surgery Start Date]]=Date),0,1),0))*1440),0,INDEX(Am_Close,MATCH(1,INDEX((tbl_Case_mins[[#This Row],[Theatre]]=Theatre_No)*(tbl_Case_mins[[#This Row],[Surgery Start Date]]=Date),0,1),0))*1440),0)</f>
        <v>0</v>
      </c>
      <c r="AG361" s="9">
        <f>IFERROR(IF(ISBLANK(INDEX(PM_Open,MATCH(1,INDEX((tbl_Case_mins[[#This Row],[Theatre]]=Theatre_No)*(tbl_Case_mins[[#This Row],[Surgery Start Date]]=Date),0,1),0))*1440),0,INDEX(PM_Open,MATCH(1,INDEX((tbl_Case_mins[[#This Row],[Theatre]]=Theatre_No)*(tbl_Case_mins[[#This Row],[Surgery Start Date]]=Date),0,1),0))*1440),0)</f>
        <v>0</v>
      </c>
      <c r="AH36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1" s="9" t="e">
        <f>IF(tbl_Case_mins[[#This Row],[ThOpenAm]]=0,tbl_Case_mins[[#This Row],[ThOpenPM]],tbl_Case_mins[[#This Row],[ThOpenAm]])</f>
        <v>#REF!</v>
      </c>
      <c r="AJ361" s="9" t="e">
        <f>IF(tbl_Case_mins[[#This Row],[ThCloseAm]]&gt;0,IF(tbl_Case_mins[[#This Row],[ThOpenPM]]&gt;0,tbl_Case_mins[[#This Row],[ThClosePm]],tbl_Case_mins[[#This Row],[ThCloseAm]]),tbl_Case_mins[[#This Row],[ThClosePm]])</f>
        <v>#REF!</v>
      </c>
      <c r="AK361" s="9" t="e">
        <f>IF(tbl_Case_mins[[#This Row],[TOT]]&gt;0,1,0)</f>
        <v>#REF!</v>
      </c>
      <c r="AL36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1" s="9" t="e">
        <f>IF(AND(tbl_Case_mins[[#This Row],[Surgery Status]]&lt;&gt;2,tbl_Case_mins[[#This Row],[InCoreCase]]=0,tbl_Case_mins[[#This Row],[CancelledCase]]=0),1,0)</f>
        <v>#REF!</v>
      </c>
      <c r="AN361" s="9" t="e">
        <f>IF(tbl_Case_mins[[#This Row],[Surgery Status]]=1,1,0)</f>
        <v>#REF!</v>
      </c>
      <c r="AO36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1" s="9" t="e">
        <f>IF(AND(tbl_Case_mins[[#This Row],[NonCoreCase]]=1,tbl_Case_mins[[#This Row],[NoInCoreTime]]=0),1,0)</f>
        <v>#REF!</v>
      </c>
      <c r="AQ361" s="9" t="e">
        <f>IF(tbl_Case_mins[[#This Row],[Rank_AnaEnd]]&lt;tbl_Case_mins[[#This Row],[Rank_AnaSt]],1,0)</f>
        <v>#REF!</v>
      </c>
      <c r="AR361" s="9" t="e">
        <f>IF(AND(tbl_Case_mins[[#This Row],[InCoreCase]]=1,tbl_Case_mins[[#This Row],[Sch]]=1),1,0)</f>
        <v>#REF!</v>
      </c>
      <c r="AS361" s="9" t="e">
        <f>IF(AND(tbl_Case_mins[[#This Row],[InCoreCase]]=1,tbl_Case_mins[[#This Row],[Unsch]]=1),1,0)</f>
        <v>#REF!</v>
      </c>
      <c r="AT36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1" s="9" t="e">
        <f>IF(tbl_Case_mins[[#This Row],[Surgery Status]]=0,(tbl_Case_mins[[#This Row],[Anaesth End]]-tbl_Case_mins[[#This Row],[AnaesthStart]]),0)</f>
        <v>#REF!</v>
      </c>
      <c r="AX361" s="9" t="e">
        <f>IF(tbl_Case_mins[[#This Row],[Surgery Status]]=0,(tbl_Case_mins[[#This Row],[Surgery Finish]]-tbl_Case_mins[[#This Row],[Surgery Start]]),0)</f>
        <v>#REF!</v>
      </c>
      <c r="AY361" s="9" t="e">
        <f>tbl_Case_mins[[#This Row],[Surgery Start]]-tbl_Case_mins[[#This Row],[AnaesthStart]]</f>
        <v>#REF!</v>
      </c>
      <c r="AZ361" s="9" t="e">
        <f>tbl_Case_mins[[#This Row],[Anaesth End]]-tbl_Case_mins[[#This Row],[Surgery Finish]]</f>
        <v>#REF!</v>
      </c>
      <c r="BA36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1" s="16" cm="1">
        <f t="array" ref="BC36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1" s="16" t="e">
        <f>IF(AND(tbl_Case_mins[[#This Row],[FirstAMCase]]=1,tbl_Case_mins[[#This Row],[CancelledCase]]=0,OR(tbl_Case_mins[[#This Row],[EarlyStartAM]]&gt;0,tbl_Case_mins[[#This Row],[AnaesthStart]]=tbl_Case_mins[[#This Row],[ThOpenAm]])),1,0)</f>
        <v>#REF!</v>
      </c>
      <c r="BE361" s="16" t="e">
        <f>IF(AND(tbl_Case_mins[[#This Row],[Rank_AnaSt]]=tbl_Case_mins[[#This Row],[Min_RankAnaSt]],tbl_Case_mins[[#This Row],[Anaesth End]]&gt;=tbl_Case_mins[[#This Row],[ThOpenAm]],tbl_Case_mins[[#This Row],[PmCase]]=0),1,0)</f>
        <v>#REF!</v>
      </c>
      <c r="BF36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1" s="9" t="e" cm="1">
        <f t="array" ref="BH36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1" s="9" t="e">
        <f>IF(AND(tbl_Case_mins[[#This Row],[ThOpenPM]]&gt;0,tbl_Case_mins[[#This Row],[AnaesthStart]]&gt;tbl_Case_mins[[#This Row],[ThOpenPM]],tbl_Case_mins[[#This Row],[First PM Case]]=1),tbl_Case_mins[[#This Row],[AnaesthStart]]-tbl_Case_mins[[#This Row],[ThOpenPM]],0)</f>
        <v>#REF!</v>
      </c>
      <c r="BL36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1" s="9" t="e" cm="1">
        <f t="array" ref="BN36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1" s="9" t="e">
        <f>IF(AND(tbl_Case_mins[[#This Row],[ThClosePm]]&gt;0,tbl_Case_mins[[#This Row],[Anaesth End]]&gt;tbl_Case_mins[[#This Row],[ThClosePm]],tbl_Case_mins[[#This Row],[AnaesthStart]]&gt;tbl_Case_mins[[#This Row],[ThClosePm]]),tbl_Case_mins[[#This Row],[Into Recov]]-tbl_Case_mins[[#This Row],[AnaesthStart]],0)</f>
        <v>#REF!</v>
      </c>
      <c r="BP361" s="9" t="e">
        <f>IF(AND(tbl_Case_mins[[#This Row],[AnaesthStart]]&lt;tbl_Case_mins[[#This Row],[ThClosePm]],tbl_Case_mins[[#This Row],[Anaesth End]]&gt;tbl_Case_mins[[#This Row],[ThClosePm]]),tbl_Case_mins[[#This Row],[Anaesth End]]-tbl_Case_mins[[#This Row],[ThClosePm]],0)</f>
        <v>#REF!</v>
      </c>
      <c r="BQ361" s="9" t="e" cm="1">
        <f t="array" ref="BQ36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1" s="9" t="e" cm="1">
        <f t="array" ref="BR361">IF(tbl_Case_mins[[#This Row],[Rank_Adjust]]=SUMPRODUCT(-(tbl_Case_mins[Surgery Start Date]=tbl_Case_mins[[#This Row],[Surgery Start Date]]),-(tbl_Case_mins[Theatre]=tbl_Case_mins[[#This Row],[Theatre]])),INDEX(Poss_Time,MATCH(TEXT(tbl_Case_mins[[#This Row],[Surgery Start Date]],"ddd"),Day,0)),0)</f>
        <v>#REF!</v>
      </c>
      <c r="BS361" s="9" t="e">
        <f>tbl_Case_mins[[#This Row],[Core_Time]]*Util_Goal</f>
        <v>#REF!</v>
      </c>
      <c r="BT361" s="9" t="e" cm="1">
        <f t="array" ref="BT3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1" s="9" t="e" cm="1">
        <f t="array" ref="BU36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1" s="9" t="e">
        <f>IF(tbl_Case_mins[[#This Row],[Surgery End Date]]&gt;tbl_Case_mins[[#This Row],[Surgery Start Date]],tbl_Case_mins[[#This Row],[Anaesth End]]-1440,0)</f>
        <v>#REF!</v>
      </c>
      <c r="BY361" s="9" t="e">
        <f>tbl_Case_mins[[#This Row],[Total_NonCore]]-tbl_Case_mins[[#This Row],[NextDay_NonCore]]</f>
        <v>#REF!</v>
      </c>
      <c r="BZ361" s="10" t="e">
        <f>tbl_Case_mins[[#This Row],[InCoreUse]]/60</f>
        <v>#REF!</v>
      </c>
      <c r="CA361" s="10" t="e">
        <f>tbl_Case_mins[[#This Row],[Total_NonCore]]/60</f>
        <v>#REF!</v>
      </c>
      <c r="CB361" t="e" cm="1">
        <f t="array" ref="CB3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1" s="9" t="e" cm="1">
        <f t="array" ref="CC36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1" s="9" t="e" cm="1">
        <f t="array" ref="CD36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1" s="9" t="e" cm="1">
        <f t="array" ref="CE36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1" s="9" cm="1">
        <f t="array" ref="CF361">IFERROR(_xlfn.AGGREGATE(14,6,(tbl_Case_mins[Rank_AnaEnd])/((tbl_Case_mins[Surgery Start Date]=tbl_Case_mins[[#This Row],[Surgery Start Date]])*(tbl_Case_mins[Theatre]=tbl_Case_mins[[#This Row],[Theatre]])*(tbl_Case_mins[NoInCoreTime]=0)),1),-1)</f>
        <v>-1</v>
      </c>
      <c r="CG361" s="9" cm="1">
        <f t="array" ref="CG361">IFERROR(_xlfn.AGGREGATE(15,6,(tbl_Case_mins[Rank_AnaSt])/((tbl_Case_mins[Surgery Start Date]=tbl_Case_mins[[#This Row],[Surgery Start Date]])*(tbl_Case_mins[Theatre]=tbl_Case_mins[[#This Row],[Theatre]])*(tbl_Case_mins[NoInCoreTime]=0)),1),-1)</f>
        <v>-1</v>
      </c>
      <c r="CH36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1" t="e" cm="1">
        <f t="array" ref="CJ36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1" s="9" cm="1">
        <f t="array" ref="CO3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1" s="9" cm="1">
        <f t="array" ref="CP36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1" s="9" cm="1">
        <f t="array" ref="CQ361">IFERROR(IF(AND(tbl_Case_mins[[#This Row],[FirstAMCase]]=0,tbl_Case_mins[[#This Row],[Rank]]=_xlfn.AGGREGATE(14,6,(tbl_Case_mins[Rank])/((tbl_Case_mins[Surgery Start Date]=tbl_Case_mins[[#This Row],[Surgery Start Date]])*(tbl_Case_mins[Theatre]=tbl_Case_mins[[#This Row],[Theatre]])*(tbl_Case_mins[AmCase]=1)),1)),1,0),0)</f>
        <v>0</v>
      </c>
      <c r="CR361" s="9" cm="1">
        <f t="array" ref="CR36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1" s="9" t="e" cm="1">
        <f t="array" ref="CS36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1" s="9" cm="1">
        <f t="array" ref="CT361">IFERROR(IF(tbl_Case_mins[[#This Row],[Rank]]=_xlfn.AGGREGATE(15,6,(tbl_Case_mins[Rank])/((tbl_Case_mins[Surgery Start Date]=tbl_Case_mins[[#This Row],[Surgery Start Date]])*(tbl_Case_mins[Theatre]=tbl_Case_mins[[#This Row],[Theatre]])*(tbl_Case_mins[PmCase]=1)),1),1,0),0)</f>
        <v>0</v>
      </c>
      <c r="CU361">
        <f>IFERROR(#REF!,0)</f>
        <v>0</v>
      </c>
      <c r="CV361" s="9" t="e" cm="1">
        <f t="array" ref="CV36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1" s="9">
        <f>IFERROR(IF(ISBLANK(INDEX(Bay_AmClose,MATCH(1,INDEX((tbl_Case_mins[[#This Row],[Bay]]=BayNo)*(tbl_Case_mins[[#This Row],[Surgery Start Date]]=BDate),0,1),0))*1440),0,INDEX(Bay_AmClose,MATCH(1,INDEX((tbl_Case_mins[[#This Row],[Bay]]=BayNo)*(tbl_Case_mins[[#This Row],[Surgery Start Date]]=BDate),0,1),0))*1440),0)</f>
        <v>0</v>
      </c>
      <c r="CX361" s="9" cm="1">
        <f t="array" ref="CX361">IFERROR(IF(ISBLANK(INDEX(Bay_PmOpen,MATCH(1,INDEX((tbl_Case_mins[[#This Row],[Bay]]=BayNo)*(tbl_Case_mins[[#This Row],[Surgery Start Date]]=BDate),0,1),0))*1440),0,INDEX(Bay_PmOpen,MATCH(1,INDEX((tbl_Case_mins[[#This Row],[Bay]]=BayNo)*(tbl_Case_mins[[#This Row],[Surgery Start Date]]=BDate),0,1),0))*1440),0)</f>
        <v>0</v>
      </c>
      <c r="CY36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1" s="9"/>
    </row>
    <row r="362" spans="1:104" x14ac:dyDescent="0.2">
      <c r="A362">
        <v>361</v>
      </c>
      <c r="B362" t="e">
        <f>#REF!</f>
        <v>#REF!</v>
      </c>
      <c r="C362" t="e">
        <f>#REF!</f>
        <v>#REF!</v>
      </c>
      <c r="D362" t="e">
        <f>#REF!</f>
        <v>#REF!</v>
      </c>
      <c r="E362" t="e">
        <f>#REF!</f>
        <v>#REF!</v>
      </c>
      <c r="F362" t="e">
        <f>#REF!</f>
        <v>#REF!</v>
      </c>
      <c r="G362" t="e">
        <f>#REF!</f>
        <v>#REF!</v>
      </c>
      <c r="H362" t="e">
        <f>#REF!</f>
        <v>#REF!</v>
      </c>
      <c r="I362" t="e">
        <f>IF(#REF!="Case Cancelled",1,IF(#REF!="No Cases",2,0))</f>
        <v>#REF!</v>
      </c>
      <c r="J362" t="e">
        <f>#REF!</f>
        <v>#REF!</v>
      </c>
      <c r="K362" s="4" t="e">
        <f>#REF!</f>
        <v>#REF!</v>
      </c>
      <c r="L362" t="e">
        <f>"Wk "&amp;WEEKNUM(tbl_Case_mins[[#This Row],[Surgery Start Date]],21)</f>
        <v>#REF!</v>
      </c>
      <c r="M362" t="e">
        <f>TEXT(tbl_Case_mins[[#This Row],[Surgery Start Date]],"ddd")</f>
        <v>#REF!</v>
      </c>
      <c r="N362" s="9" t="e">
        <f>(#REF!-TIME(0,0,0))*1440</f>
        <v>#REF!</v>
      </c>
      <c r="O362" t="e">
        <f>IF(AND(ROUND((#REF!-TIME(0,0,0))*1440,0)&gt;0,ROUND((#REF!-TIME(0,0,0))*1440,0)&lt;tbl_Case_mins[[#This Row],[Patient Called]],tbl_Case_mins[[#This Row],[Surgery End Date]]&gt;tbl_Case_mins[[#This Row],[Surgery Start Date]]),ROUND((#REF!-TIME(0,0,0))*1440,0)+1440,ROUND((#REF!-TIME(0,0,0))*1440,0))</f>
        <v>#REF!</v>
      </c>
      <c r="P362" s="9" t="e">
        <f>IF(AND(ROUND((#REF!-TIME(0,0,0))*1440,0)&gt;0,ROUND((#REF!-TIME(0,0,0))*1440,0)&lt;tbl_Case_mins[[#This Row],[Arrival]],tbl_Case_mins[[#This Row],[Surgery End Date]]&gt;tbl_Case_mins[[#This Row],[Surgery Start Date]]),ROUND((#REF!-TIME(0,0,0))*1440,0)+1440,ROUND((#REF!-TIME(0,0,0))*1440,0))</f>
        <v>#REF!</v>
      </c>
      <c r="Q362" s="9" t="e">
        <f>IF(AND(ROUND((#REF!-TIME(0,0,0))*1440,0)&gt;0,ROUND((#REF!-TIME(0,0,0))*1440,0)&lt;tbl_Case_mins[[#This Row],[Into Th or AR]],tbl_Case_mins[[#This Row],[Surgery End Date]]&gt;tbl_Case_mins[[#This Row],[Surgery Start Date]]),ROUND((#REF!-TIME(0,0,0))*1440,0)+1440,ROUND((#REF!-TIME(0,0,0))*1440,0))</f>
        <v>#REF!</v>
      </c>
      <c r="R362" s="9" t="e">
        <f>IF(AND(ROUND((#REF!-TIME(0,0,0))*1440,0)&gt;0,ROUND((#REF!-TIME(0,0,0))*1440,0)&lt;tbl_Case_mins[[#This Row],[AnaesthStart]],tbl_Case_mins[[#This Row],[Surgery End Date]]&gt;tbl_Case_mins[[#This Row],[Surgery Start Date]]),ROUND((#REF!-TIME(0,0,0))*1440,0)+1440,ROUND((#REF!-TIME(0,0,0))*1440,0))</f>
        <v>#REF!</v>
      </c>
      <c r="S362" s="9" t="e">
        <f>IF(AND(ROUND((#REF!-TIME(0,0,0))*1440,0),ROUND((#REF!-TIME(0,0,0))*1440,0)&lt;tbl_Case_mins[[#This Row],[Surgery Start]],tbl_Case_mins[[#This Row],[Surgery End Date]]&gt;tbl_Case_mins[[#This Row],[Surgery Start Date]]),ROUND((#REF!-TIME(0,0,0))*1440,0)+1440,ROUND((#REF!-TIME(0,0,0))*1440,0))</f>
        <v>#REF!</v>
      </c>
      <c r="T362" s="9" t="e">
        <f>IF(AND(ROUND((#REF!-TIME(0,0,0))*1440,0)&gt;0,ROUND((#REF!-TIME(0,0,0))*1440,0)&lt;tbl_Case_mins[[#This Row],[Surgery Finish]],tbl_Case_mins[[#This Row],[Surgery End Date]]&gt;tbl_Case_mins[[#This Row],[Surgery Start Date]]),ROUND((#REF!-TIME(0,0,0))*1440,0)+1440,ROUND((#REF!-TIME(0,0,0))*1440,0))</f>
        <v>#REF!</v>
      </c>
      <c r="U362" s="9" t="e">
        <f>IF(AND(ROUND((#REF!-TIME(0,0,0))*1440,0)&gt;0,ROUND((#REF!-TIME(0,0,0))*1440,0)&lt;tbl_Case_mins[[#This Row],[Anaesth End]],tbl_Case_mins[[#This Row],[Surgery End Date]]&gt;tbl_Case_mins[[#This Row],[Surgery Start Date]]),ROUND((#REF!-TIME(0,0,0))*1440,0)+1440,ROUND((#REF!-TIME(0,0,0))*1440,0))</f>
        <v>#REF!</v>
      </c>
      <c r="V362" s="9" t="e">
        <f>IF(AND(ROUND((#REF!-TIME(0,0,0))*1440,0)&gt;0,ROUND((#REF!-TIME(0,0,0))*1440,0)&lt;tbl_Case_mins[[#This Row],[Into Recov]],tbl_Case_mins[[#This Row],[Surgery End Date]]&gt;tbl_Case_mins[[#This Row],[Surgery Start Date]]),ROUND((#REF!-TIME(0,0,0))*1440,0)+1440,ROUND((#REF!-TIME(0,0,0))*1440,0))</f>
        <v>#REF!</v>
      </c>
      <c r="W362" s="9" t="e">
        <f>IF(AND(ROUND((#REF!-TIME(0,0,0))*1440,0)&gt;0,ROUND((#REF!-TIME(0,0,0))*1440,0)&lt;tbl_Case_mins[[#This Row],[Ward Called]],tbl_Case_mins[[#This Row],[Surgery End Date]]&gt;tbl_Case_mins[[#This Row],[Surgery Start Date]]),ROUND((#REF!-TIME(0,0,0))*1440,0)+1440,ROUND((#REF!-TIME(0,0,0))*1440,0))</f>
        <v>#REF!</v>
      </c>
      <c r="X362" s="4" t="e">
        <f>IF(ISBLANK(#REF!),tbl_Case_mins[[#This Row],[Surgery Start Date]],#REF!)</f>
        <v>#REF!</v>
      </c>
      <c r="Y362">
        <f>IFERROR(IF(VLOOKUP(tbl_Case_mins[[#This Row],[Theatre]],'Mng Theatres'!$C$7:$G$12,3,FALSE)="Yes","Yes","No"),0)</f>
        <v>0</v>
      </c>
      <c r="Z362" s="9" t="e" cm="1">
        <f t="array" ref="Z36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2" s="9" t="e" cm="1">
        <f t="array" ref="AA36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2" s="9" t="e">
        <f>IF(tbl_Case_mins[[#This Row],[Case Type]]="Unsch",1,0)</f>
        <v>#REF!</v>
      </c>
      <c r="AD362" s="9" t="e">
        <f>IF(tbl_Case_mins[[#This Row],[Case Type]]="Sch",1,0)</f>
        <v>#REF!</v>
      </c>
      <c r="AE36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2" s="9">
        <f>IFERROR(IF(ISBLANK(INDEX(Am_Close,MATCH(1,INDEX((tbl_Case_mins[[#This Row],[Theatre]]=Theatre_No)*(tbl_Case_mins[[#This Row],[Surgery Start Date]]=Date),0,1),0))*1440),0,INDEX(Am_Close,MATCH(1,INDEX((tbl_Case_mins[[#This Row],[Theatre]]=Theatre_No)*(tbl_Case_mins[[#This Row],[Surgery Start Date]]=Date),0,1),0))*1440),0)</f>
        <v>0</v>
      </c>
      <c r="AG362" s="9">
        <f>IFERROR(IF(ISBLANK(INDEX(PM_Open,MATCH(1,INDEX((tbl_Case_mins[[#This Row],[Theatre]]=Theatre_No)*(tbl_Case_mins[[#This Row],[Surgery Start Date]]=Date),0,1),0))*1440),0,INDEX(PM_Open,MATCH(1,INDEX((tbl_Case_mins[[#This Row],[Theatre]]=Theatre_No)*(tbl_Case_mins[[#This Row],[Surgery Start Date]]=Date),0,1),0))*1440),0)</f>
        <v>0</v>
      </c>
      <c r="AH36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2" s="9" t="e">
        <f>IF(tbl_Case_mins[[#This Row],[ThOpenAm]]=0,tbl_Case_mins[[#This Row],[ThOpenPM]],tbl_Case_mins[[#This Row],[ThOpenAm]])</f>
        <v>#REF!</v>
      </c>
      <c r="AJ362" s="9" t="e">
        <f>IF(tbl_Case_mins[[#This Row],[ThCloseAm]]&gt;0,IF(tbl_Case_mins[[#This Row],[ThOpenPM]]&gt;0,tbl_Case_mins[[#This Row],[ThClosePm]],tbl_Case_mins[[#This Row],[ThCloseAm]]),tbl_Case_mins[[#This Row],[ThClosePm]])</f>
        <v>#REF!</v>
      </c>
      <c r="AK362" s="9" t="e">
        <f>IF(tbl_Case_mins[[#This Row],[TOT]]&gt;0,1,0)</f>
        <v>#REF!</v>
      </c>
      <c r="AL36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2" s="9" t="e">
        <f>IF(AND(tbl_Case_mins[[#This Row],[Surgery Status]]&lt;&gt;2,tbl_Case_mins[[#This Row],[InCoreCase]]=0,tbl_Case_mins[[#This Row],[CancelledCase]]=0),1,0)</f>
        <v>#REF!</v>
      </c>
      <c r="AN362" s="9" t="e">
        <f>IF(tbl_Case_mins[[#This Row],[Surgery Status]]=1,1,0)</f>
        <v>#REF!</v>
      </c>
      <c r="AO36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2" s="9" t="e">
        <f>IF(AND(tbl_Case_mins[[#This Row],[NonCoreCase]]=1,tbl_Case_mins[[#This Row],[NoInCoreTime]]=0),1,0)</f>
        <v>#REF!</v>
      </c>
      <c r="AQ362" s="9" t="e">
        <f>IF(tbl_Case_mins[[#This Row],[Rank_AnaEnd]]&lt;tbl_Case_mins[[#This Row],[Rank_AnaSt]],1,0)</f>
        <v>#REF!</v>
      </c>
      <c r="AR362" s="9" t="e">
        <f>IF(AND(tbl_Case_mins[[#This Row],[InCoreCase]]=1,tbl_Case_mins[[#This Row],[Sch]]=1),1,0)</f>
        <v>#REF!</v>
      </c>
      <c r="AS362" s="9" t="e">
        <f>IF(AND(tbl_Case_mins[[#This Row],[InCoreCase]]=1,tbl_Case_mins[[#This Row],[Unsch]]=1),1,0)</f>
        <v>#REF!</v>
      </c>
      <c r="AT36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2" s="9" t="e">
        <f>IF(tbl_Case_mins[[#This Row],[Surgery Status]]=0,(tbl_Case_mins[[#This Row],[Anaesth End]]-tbl_Case_mins[[#This Row],[AnaesthStart]]),0)</f>
        <v>#REF!</v>
      </c>
      <c r="AX362" s="9" t="e">
        <f>IF(tbl_Case_mins[[#This Row],[Surgery Status]]=0,(tbl_Case_mins[[#This Row],[Surgery Finish]]-tbl_Case_mins[[#This Row],[Surgery Start]]),0)</f>
        <v>#REF!</v>
      </c>
      <c r="AY362" s="9" t="e">
        <f>tbl_Case_mins[[#This Row],[Surgery Start]]-tbl_Case_mins[[#This Row],[AnaesthStart]]</f>
        <v>#REF!</v>
      </c>
      <c r="AZ362" s="9" t="e">
        <f>tbl_Case_mins[[#This Row],[Anaesth End]]-tbl_Case_mins[[#This Row],[Surgery Finish]]</f>
        <v>#REF!</v>
      </c>
      <c r="BA36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2" s="16" cm="1">
        <f t="array" ref="BC36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2" s="16" t="e">
        <f>IF(AND(tbl_Case_mins[[#This Row],[FirstAMCase]]=1,tbl_Case_mins[[#This Row],[CancelledCase]]=0,OR(tbl_Case_mins[[#This Row],[EarlyStartAM]]&gt;0,tbl_Case_mins[[#This Row],[AnaesthStart]]=tbl_Case_mins[[#This Row],[ThOpenAm]])),1,0)</f>
        <v>#REF!</v>
      </c>
      <c r="BE362" s="16" t="e">
        <f>IF(AND(tbl_Case_mins[[#This Row],[Rank_AnaSt]]=tbl_Case_mins[[#This Row],[Min_RankAnaSt]],tbl_Case_mins[[#This Row],[Anaesth End]]&gt;=tbl_Case_mins[[#This Row],[ThOpenAm]],tbl_Case_mins[[#This Row],[PmCase]]=0),1,0)</f>
        <v>#REF!</v>
      </c>
      <c r="BF36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2" s="9" t="e" cm="1">
        <f t="array" ref="BH36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2" s="9" t="e">
        <f>IF(AND(tbl_Case_mins[[#This Row],[ThOpenPM]]&gt;0,tbl_Case_mins[[#This Row],[AnaesthStart]]&gt;tbl_Case_mins[[#This Row],[ThOpenPM]],tbl_Case_mins[[#This Row],[First PM Case]]=1),tbl_Case_mins[[#This Row],[AnaesthStart]]-tbl_Case_mins[[#This Row],[ThOpenPM]],0)</f>
        <v>#REF!</v>
      </c>
      <c r="BL36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2" s="9" t="e" cm="1">
        <f t="array" ref="BN36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2" s="9" t="e">
        <f>IF(AND(tbl_Case_mins[[#This Row],[ThClosePm]]&gt;0,tbl_Case_mins[[#This Row],[Anaesth End]]&gt;tbl_Case_mins[[#This Row],[ThClosePm]],tbl_Case_mins[[#This Row],[AnaesthStart]]&gt;tbl_Case_mins[[#This Row],[ThClosePm]]),tbl_Case_mins[[#This Row],[Into Recov]]-tbl_Case_mins[[#This Row],[AnaesthStart]],0)</f>
        <v>#REF!</v>
      </c>
      <c r="BP362" s="9" t="e">
        <f>IF(AND(tbl_Case_mins[[#This Row],[AnaesthStart]]&lt;tbl_Case_mins[[#This Row],[ThClosePm]],tbl_Case_mins[[#This Row],[Anaesth End]]&gt;tbl_Case_mins[[#This Row],[ThClosePm]]),tbl_Case_mins[[#This Row],[Anaesth End]]-tbl_Case_mins[[#This Row],[ThClosePm]],0)</f>
        <v>#REF!</v>
      </c>
      <c r="BQ362" s="9" t="e" cm="1">
        <f t="array" ref="BQ36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2" s="9" t="e" cm="1">
        <f t="array" ref="BR362">IF(tbl_Case_mins[[#This Row],[Rank_Adjust]]=SUMPRODUCT(-(tbl_Case_mins[Surgery Start Date]=tbl_Case_mins[[#This Row],[Surgery Start Date]]),-(tbl_Case_mins[Theatre]=tbl_Case_mins[[#This Row],[Theatre]])),INDEX(Poss_Time,MATCH(TEXT(tbl_Case_mins[[#This Row],[Surgery Start Date]],"ddd"),Day,0)),0)</f>
        <v>#REF!</v>
      </c>
      <c r="BS362" s="9" t="e">
        <f>tbl_Case_mins[[#This Row],[Core_Time]]*Util_Goal</f>
        <v>#REF!</v>
      </c>
      <c r="BT362" s="9" t="e" cm="1">
        <f t="array" ref="BT3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2" s="9" t="e" cm="1">
        <f t="array" ref="BU36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2" s="9" t="e">
        <f>IF(tbl_Case_mins[[#This Row],[Surgery End Date]]&gt;tbl_Case_mins[[#This Row],[Surgery Start Date]],tbl_Case_mins[[#This Row],[Anaesth End]]-1440,0)</f>
        <v>#REF!</v>
      </c>
      <c r="BY362" s="9" t="e">
        <f>tbl_Case_mins[[#This Row],[Total_NonCore]]-tbl_Case_mins[[#This Row],[NextDay_NonCore]]</f>
        <v>#REF!</v>
      </c>
      <c r="BZ362" s="10" t="e">
        <f>tbl_Case_mins[[#This Row],[InCoreUse]]/60</f>
        <v>#REF!</v>
      </c>
      <c r="CA362" s="10" t="e">
        <f>tbl_Case_mins[[#This Row],[Total_NonCore]]/60</f>
        <v>#REF!</v>
      </c>
      <c r="CB362" t="e" cm="1">
        <f t="array" ref="CB3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2" s="9" t="e" cm="1">
        <f t="array" ref="CC36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2" s="9" t="e" cm="1">
        <f t="array" ref="CD36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2" s="9" t="e" cm="1">
        <f t="array" ref="CE36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2" s="9" cm="1">
        <f t="array" ref="CF362">IFERROR(_xlfn.AGGREGATE(14,6,(tbl_Case_mins[Rank_AnaEnd])/((tbl_Case_mins[Surgery Start Date]=tbl_Case_mins[[#This Row],[Surgery Start Date]])*(tbl_Case_mins[Theatre]=tbl_Case_mins[[#This Row],[Theatre]])*(tbl_Case_mins[NoInCoreTime]=0)),1),-1)</f>
        <v>-1</v>
      </c>
      <c r="CG362" s="9" cm="1">
        <f t="array" ref="CG362">IFERROR(_xlfn.AGGREGATE(15,6,(tbl_Case_mins[Rank_AnaSt])/((tbl_Case_mins[Surgery Start Date]=tbl_Case_mins[[#This Row],[Surgery Start Date]])*(tbl_Case_mins[Theatre]=tbl_Case_mins[[#This Row],[Theatre]])*(tbl_Case_mins[NoInCoreTime]=0)),1),-1)</f>
        <v>-1</v>
      </c>
      <c r="CH36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2" t="e" cm="1">
        <f t="array" ref="CJ36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2" s="9" cm="1">
        <f t="array" ref="CO3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2" s="9" cm="1">
        <f t="array" ref="CP36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2" s="9" cm="1">
        <f t="array" ref="CQ362">IFERROR(IF(AND(tbl_Case_mins[[#This Row],[FirstAMCase]]=0,tbl_Case_mins[[#This Row],[Rank]]=_xlfn.AGGREGATE(14,6,(tbl_Case_mins[Rank])/((tbl_Case_mins[Surgery Start Date]=tbl_Case_mins[[#This Row],[Surgery Start Date]])*(tbl_Case_mins[Theatre]=tbl_Case_mins[[#This Row],[Theatre]])*(tbl_Case_mins[AmCase]=1)),1)),1,0),0)</f>
        <v>0</v>
      </c>
      <c r="CR362" s="9" cm="1">
        <f t="array" ref="CR36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2" s="9" t="e" cm="1">
        <f t="array" ref="CS36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2" s="9" cm="1">
        <f t="array" ref="CT362">IFERROR(IF(tbl_Case_mins[[#This Row],[Rank]]=_xlfn.AGGREGATE(15,6,(tbl_Case_mins[Rank])/((tbl_Case_mins[Surgery Start Date]=tbl_Case_mins[[#This Row],[Surgery Start Date]])*(tbl_Case_mins[Theatre]=tbl_Case_mins[[#This Row],[Theatre]])*(tbl_Case_mins[PmCase]=1)),1),1,0),0)</f>
        <v>0</v>
      </c>
      <c r="CU362">
        <f>IFERROR(#REF!,0)</f>
        <v>0</v>
      </c>
      <c r="CV362" s="9" t="e" cm="1">
        <f t="array" ref="CV36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2" s="9">
        <f>IFERROR(IF(ISBLANK(INDEX(Bay_AmClose,MATCH(1,INDEX((tbl_Case_mins[[#This Row],[Bay]]=BayNo)*(tbl_Case_mins[[#This Row],[Surgery Start Date]]=BDate),0,1),0))*1440),0,INDEX(Bay_AmClose,MATCH(1,INDEX((tbl_Case_mins[[#This Row],[Bay]]=BayNo)*(tbl_Case_mins[[#This Row],[Surgery Start Date]]=BDate),0,1),0))*1440),0)</f>
        <v>0</v>
      </c>
      <c r="CX362" s="9" cm="1">
        <f t="array" ref="CX362">IFERROR(IF(ISBLANK(INDEX(Bay_PmOpen,MATCH(1,INDEX((tbl_Case_mins[[#This Row],[Bay]]=BayNo)*(tbl_Case_mins[[#This Row],[Surgery Start Date]]=BDate),0,1),0))*1440),0,INDEX(Bay_PmOpen,MATCH(1,INDEX((tbl_Case_mins[[#This Row],[Bay]]=BayNo)*(tbl_Case_mins[[#This Row],[Surgery Start Date]]=BDate),0,1),0))*1440),0)</f>
        <v>0</v>
      </c>
      <c r="CY36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2" s="9"/>
    </row>
    <row r="363" spans="1:104" x14ac:dyDescent="0.2">
      <c r="A363">
        <v>362</v>
      </c>
      <c r="B363" t="e">
        <f>#REF!</f>
        <v>#REF!</v>
      </c>
      <c r="C363" t="e">
        <f>#REF!</f>
        <v>#REF!</v>
      </c>
      <c r="D363" t="e">
        <f>#REF!</f>
        <v>#REF!</v>
      </c>
      <c r="E363" t="e">
        <f>#REF!</f>
        <v>#REF!</v>
      </c>
      <c r="F363" t="e">
        <f>#REF!</f>
        <v>#REF!</v>
      </c>
      <c r="G363" t="e">
        <f>#REF!</f>
        <v>#REF!</v>
      </c>
      <c r="H363" t="e">
        <f>#REF!</f>
        <v>#REF!</v>
      </c>
      <c r="I363" t="e">
        <f>IF(#REF!="Case Cancelled",1,IF(#REF!="No Cases",2,0))</f>
        <v>#REF!</v>
      </c>
      <c r="J363" t="e">
        <f>#REF!</f>
        <v>#REF!</v>
      </c>
      <c r="K363" s="4" t="e">
        <f>#REF!</f>
        <v>#REF!</v>
      </c>
      <c r="L363" t="e">
        <f>"Wk "&amp;WEEKNUM(tbl_Case_mins[[#This Row],[Surgery Start Date]],21)</f>
        <v>#REF!</v>
      </c>
      <c r="M363" t="e">
        <f>TEXT(tbl_Case_mins[[#This Row],[Surgery Start Date]],"ddd")</f>
        <v>#REF!</v>
      </c>
      <c r="N363" s="9" t="e">
        <f>(#REF!-TIME(0,0,0))*1440</f>
        <v>#REF!</v>
      </c>
      <c r="O363" t="e">
        <f>IF(AND(ROUND((#REF!-TIME(0,0,0))*1440,0)&gt;0,ROUND((#REF!-TIME(0,0,0))*1440,0)&lt;tbl_Case_mins[[#This Row],[Patient Called]],tbl_Case_mins[[#This Row],[Surgery End Date]]&gt;tbl_Case_mins[[#This Row],[Surgery Start Date]]),ROUND((#REF!-TIME(0,0,0))*1440,0)+1440,ROUND((#REF!-TIME(0,0,0))*1440,0))</f>
        <v>#REF!</v>
      </c>
      <c r="P363" s="9" t="e">
        <f>IF(AND(ROUND((#REF!-TIME(0,0,0))*1440,0)&gt;0,ROUND((#REF!-TIME(0,0,0))*1440,0)&lt;tbl_Case_mins[[#This Row],[Arrival]],tbl_Case_mins[[#This Row],[Surgery End Date]]&gt;tbl_Case_mins[[#This Row],[Surgery Start Date]]),ROUND((#REF!-TIME(0,0,0))*1440,0)+1440,ROUND((#REF!-TIME(0,0,0))*1440,0))</f>
        <v>#REF!</v>
      </c>
      <c r="Q363" s="9" t="e">
        <f>IF(AND(ROUND((#REF!-TIME(0,0,0))*1440,0)&gt;0,ROUND((#REF!-TIME(0,0,0))*1440,0)&lt;tbl_Case_mins[[#This Row],[Into Th or AR]],tbl_Case_mins[[#This Row],[Surgery End Date]]&gt;tbl_Case_mins[[#This Row],[Surgery Start Date]]),ROUND((#REF!-TIME(0,0,0))*1440,0)+1440,ROUND((#REF!-TIME(0,0,0))*1440,0))</f>
        <v>#REF!</v>
      </c>
      <c r="R363" s="9" t="e">
        <f>IF(AND(ROUND((#REF!-TIME(0,0,0))*1440,0)&gt;0,ROUND((#REF!-TIME(0,0,0))*1440,0)&lt;tbl_Case_mins[[#This Row],[AnaesthStart]],tbl_Case_mins[[#This Row],[Surgery End Date]]&gt;tbl_Case_mins[[#This Row],[Surgery Start Date]]),ROUND((#REF!-TIME(0,0,0))*1440,0)+1440,ROUND((#REF!-TIME(0,0,0))*1440,0))</f>
        <v>#REF!</v>
      </c>
      <c r="S363" s="9" t="e">
        <f>IF(AND(ROUND((#REF!-TIME(0,0,0))*1440,0),ROUND((#REF!-TIME(0,0,0))*1440,0)&lt;tbl_Case_mins[[#This Row],[Surgery Start]],tbl_Case_mins[[#This Row],[Surgery End Date]]&gt;tbl_Case_mins[[#This Row],[Surgery Start Date]]),ROUND((#REF!-TIME(0,0,0))*1440,0)+1440,ROUND((#REF!-TIME(0,0,0))*1440,0))</f>
        <v>#REF!</v>
      </c>
      <c r="T363" s="9" t="e">
        <f>IF(AND(ROUND((#REF!-TIME(0,0,0))*1440,0)&gt;0,ROUND((#REF!-TIME(0,0,0))*1440,0)&lt;tbl_Case_mins[[#This Row],[Surgery Finish]],tbl_Case_mins[[#This Row],[Surgery End Date]]&gt;tbl_Case_mins[[#This Row],[Surgery Start Date]]),ROUND((#REF!-TIME(0,0,0))*1440,0)+1440,ROUND((#REF!-TIME(0,0,0))*1440,0))</f>
        <v>#REF!</v>
      </c>
      <c r="U363" s="9" t="e">
        <f>IF(AND(ROUND((#REF!-TIME(0,0,0))*1440,0)&gt;0,ROUND((#REF!-TIME(0,0,0))*1440,0)&lt;tbl_Case_mins[[#This Row],[Anaesth End]],tbl_Case_mins[[#This Row],[Surgery End Date]]&gt;tbl_Case_mins[[#This Row],[Surgery Start Date]]),ROUND((#REF!-TIME(0,0,0))*1440,0)+1440,ROUND((#REF!-TIME(0,0,0))*1440,0))</f>
        <v>#REF!</v>
      </c>
      <c r="V363" s="9" t="e">
        <f>IF(AND(ROUND((#REF!-TIME(0,0,0))*1440,0)&gt;0,ROUND((#REF!-TIME(0,0,0))*1440,0)&lt;tbl_Case_mins[[#This Row],[Into Recov]],tbl_Case_mins[[#This Row],[Surgery End Date]]&gt;tbl_Case_mins[[#This Row],[Surgery Start Date]]),ROUND((#REF!-TIME(0,0,0))*1440,0)+1440,ROUND((#REF!-TIME(0,0,0))*1440,0))</f>
        <v>#REF!</v>
      </c>
      <c r="W363" s="9" t="e">
        <f>IF(AND(ROUND((#REF!-TIME(0,0,0))*1440,0)&gt;0,ROUND((#REF!-TIME(0,0,0))*1440,0)&lt;tbl_Case_mins[[#This Row],[Ward Called]],tbl_Case_mins[[#This Row],[Surgery End Date]]&gt;tbl_Case_mins[[#This Row],[Surgery Start Date]]),ROUND((#REF!-TIME(0,0,0))*1440,0)+1440,ROUND((#REF!-TIME(0,0,0))*1440,0))</f>
        <v>#REF!</v>
      </c>
      <c r="X363" s="4" t="e">
        <f>IF(ISBLANK(#REF!),tbl_Case_mins[[#This Row],[Surgery Start Date]],#REF!)</f>
        <v>#REF!</v>
      </c>
      <c r="Y363">
        <f>IFERROR(IF(VLOOKUP(tbl_Case_mins[[#This Row],[Theatre]],'Mng Theatres'!$C$7:$G$12,3,FALSE)="Yes","Yes","No"),0)</f>
        <v>0</v>
      </c>
      <c r="Z363" s="9" t="e" cm="1">
        <f t="array" ref="Z36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3" s="9" t="e" cm="1">
        <f t="array" ref="AA36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3" s="9" t="e">
        <f>IF(tbl_Case_mins[[#This Row],[Case Type]]="Unsch",1,0)</f>
        <v>#REF!</v>
      </c>
      <c r="AD363" s="9" t="e">
        <f>IF(tbl_Case_mins[[#This Row],[Case Type]]="Sch",1,0)</f>
        <v>#REF!</v>
      </c>
      <c r="AE36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3" s="9">
        <f>IFERROR(IF(ISBLANK(INDEX(Am_Close,MATCH(1,INDEX((tbl_Case_mins[[#This Row],[Theatre]]=Theatre_No)*(tbl_Case_mins[[#This Row],[Surgery Start Date]]=Date),0,1),0))*1440),0,INDEX(Am_Close,MATCH(1,INDEX((tbl_Case_mins[[#This Row],[Theatre]]=Theatre_No)*(tbl_Case_mins[[#This Row],[Surgery Start Date]]=Date),0,1),0))*1440),0)</f>
        <v>0</v>
      </c>
      <c r="AG363" s="9">
        <f>IFERROR(IF(ISBLANK(INDEX(PM_Open,MATCH(1,INDEX((tbl_Case_mins[[#This Row],[Theatre]]=Theatre_No)*(tbl_Case_mins[[#This Row],[Surgery Start Date]]=Date),0,1),0))*1440),0,INDEX(PM_Open,MATCH(1,INDEX((tbl_Case_mins[[#This Row],[Theatre]]=Theatre_No)*(tbl_Case_mins[[#This Row],[Surgery Start Date]]=Date),0,1),0))*1440),0)</f>
        <v>0</v>
      </c>
      <c r="AH36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3" s="9" t="e">
        <f>IF(tbl_Case_mins[[#This Row],[ThOpenAm]]=0,tbl_Case_mins[[#This Row],[ThOpenPM]],tbl_Case_mins[[#This Row],[ThOpenAm]])</f>
        <v>#REF!</v>
      </c>
      <c r="AJ363" s="9" t="e">
        <f>IF(tbl_Case_mins[[#This Row],[ThCloseAm]]&gt;0,IF(tbl_Case_mins[[#This Row],[ThOpenPM]]&gt;0,tbl_Case_mins[[#This Row],[ThClosePm]],tbl_Case_mins[[#This Row],[ThCloseAm]]),tbl_Case_mins[[#This Row],[ThClosePm]])</f>
        <v>#REF!</v>
      </c>
      <c r="AK363" s="9" t="e">
        <f>IF(tbl_Case_mins[[#This Row],[TOT]]&gt;0,1,0)</f>
        <v>#REF!</v>
      </c>
      <c r="AL36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3" s="9" t="e">
        <f>IF(AND(tbl_Case_mins[[#This Row],[Surgery Status]]&lt;&gt;2,tbl_Case_mins[[#This Row],[InCoreCase]]=0,tbl_Case_mins[[#This Row],[CancelledCase]]=0),1,0)</f>
        <v>#REF!</v>
      </c>
      <c r="AN363" s="9" t="e">
        <f>IF(tbl_Case_mins[[#This Row],[Surgery Status]]=1,1,0)</f>
        <v>#REF!</v>
      </c>
      <c r="AO36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3" s="9" t="e">
        <f>IF(AND(tbl_Case_mins[[#This Row],[NonCoreCase]]=1,tbl_Case_mins[[#This Row],[NoInCoreTime]]=0),1,0)</f>
        <v>#REF!</v>
      </c>
      <c r="AQ363" s="9" t="e">
        <f>IF(tbl_Case_mins[[#This Row],[Rank_AnaEnd]]&lt;tbl_Case_mins[[#This Row],[Rank_AnaSt]],1,0)</f>
        <v>#REF!</v>
      </c>
      <c r="AR363" s="9" t="e">
        <f>IF(AND(tbl_Case_mins[[#This Row],[InCoreCase]]=1,tbl_Case_mins[[#This Row],[Sch]]=1),1,0)</f>
        <v>#REF!</v>
      </c>
      <c r="AS363" s="9" t="e">
        <f>IF(AND(tbl_Case_mins[[#This Row],[InCoreCase]]=1,tbl_Case_mins[[#This Row],[Unsch]]=1),1,0)</f>
        <v>#REF!</v>
      </c>
      <c r="AT36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3" s="9" t="e">
        <f>IF(tbl_Case_mins[[#This Row],[Surgery Status]]=0,(tbl_Case_mins[[#This Row],[Anaesth End]]-tbl_Case_mins[[#This Row],[AnaesthStart]]),0)</f>
        <v>#REF!</v>
      </c>
      <c r="AX363" s="9" t="e">
        <f>IF(tbl_Case_mins[[#This Row],[Surgery Status]]=0,(tbl_Case_mins[[#This Row],[Surgery Finish]]-tbl_Case_mins[[#This Row],[Surgery Start]]),0)</f>
        <v>#REF!</v>
      </c>
      <c r="AY363" s="9" t="e">
        <f>tbl_Case_mins[[#This Row],[Surgery Start]]-tbl_Case_mins[[#This Row],[AnaesthStart]]</f>
        <v>#REF!</v>
      </c>
      <c r="AZ363" s="9" t="e">
        <f>tbl_Case_mins[[#This Row],[Anaesth End]]-tbl_Case_mins[[#This Row],[Surgery Finish]]</f>
        <v>#REF!</v>
      </c>
      <c r="BA36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3" s="16" cm="1">
        <f t="array" ref="BC36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3" s="16" t="e">
        <f>IF(AND(tbl_Case_mins[[#This Row],[FirstAMCase]]=1,tbl_Case_mins[[#This Row],[CancelledCase]]=0,OR(tbl_Case_mins[[#This Row],[EarlyStartAM]]&gt;0,tbl_Case_mins[[#This Row],[AnaesthStart]]=tbl_Case_mins[[#This Row],[ThOpenAm]])),1,0)</f>
        <v>#REF!</v>
      </c>
      <c r="BE363" s="16" t="e">
        <f>IF(AND(tbl_Case_mins[[#This Row],[Rank_AnaSt]]=tbl_Case_mins[[#This Row],[Min_RankAnaSt]],tbl_Case_mins[[#This Row],[Anaesth End]]&gt;=tbl_Case_mins[[#This Row],[ThOpenAm]],tbl_Case_mins[[#This Row],[PmCase]]=0),1,0)</f>
        <v>#REF!</v>
      </c>
      <c r="BF36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3" s="9" t="e" cm="1">
        <f t="array" ref="BH36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3" s="9" t="e">
        <f>IF(AND(tbl_Case_mins[[#This Row],[ThOpenPM]]&gt;0,tbl_Case_mins[[#This Row],[AnaesthStart]]&gt;tbl_Case_mins[[#This Row],[ThOpenPM]],tbl_Case_mins[[#This Row],[First PM Case]]=1),tbl_Case_mins[[#This Row],[AnaesthStart]]-tbl_Case_mins[[#This Row],[ThOpenPM]],0)</f>
        <v>#REF!</v>
      </c>
      <c r="BL36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3" s="9" t="e" cm="1">
        <f t="array" ref="BN36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3" s="9" t="e">
        <f>IF(AND(tbl_Case_mins[[#This Row],[ThClosePm]]&gt;0,tbl_Case_mins[[#This Row],[Anaesth End]]&gt;tbl_Case_mins[[#This Row],[ThClosePm]],tbl_Case_mins[[#This Row],[AnaesthStart]]&gt;tbl_Case_mins[[#This Row],[ThClosePm]]),tbl_Case_mins[[#This Row],[Into Recov]]-tbl_Case_mins[[#This Row],[AnaesthStart]],0)</f>
        <v>#REF!</v>
      </c>
      <c r="BP363" s="9" t="e">
        <f>IF(AND(tbl_Case_mins[[#This Row],[AnaesthStart]]&lt;tbl_Case_mins[[#This Row],[ThClosePm]],tbl_Case_mins[[#This Row],[Anaesth End]]&gt;tbl_Case_mins[[#This Row],[ThClosePm]]),tbl_Case_mins[[#This Row],[Anaesth End]]-tbl_Case_mins[[#This Row],[ThClosePm]],0)</f>
        <v>#REF!</v>
      </c>
      <c r="BQ363" s="9" t="e" cm="1">
        <f t="array" ref="BQ36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3" s="9" t="e" cm="1">
        <f t="array" ref="BR363">IF(tbl_Case_mins[[#This Row],[Rank_Adjust]]=SUMPRODUCT(-(tbl_Case_mins[Surgery Start Date]=tbl_Case_mins[[#This Row],[Surgery Start Date]]),-(tbl_Case_mins[Theatre]=tbl_Case_mins[[#This Row],[Theatre]])),INDEX(Poss_Time,MATCH(TEXT(tbl_Case_mins[[#This Row],[Surgery Start Date]],"ddd"),Day,0)),0)</f>
        <v>#REF!</v>
      </c>
      <c r="BS363" s="9" t="e">
        <f>tbl_Case_mins[[#This Row],[Core_Time]]*Util_Goal</f>
        <v>#REF!</v>
      </c>
      <c r="BT363" s="9" t="e" cm="1">
        <f t="array" ref="BT3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3" s="9" t="e" cm="1">
        <f t="array" ref="BU36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3" s="9" t="e">
        <f>IF(tbl_Case_mins[[#This Row],[Surgery End Date]]&gt;tbl_Case_mins[[#This Row],[Surgery Start Date]],tbl_Case_mins[[#This Row],[Anaesth End]]-1440,0)</f>
        <v>#REF!</v>
      </c>
      <c r="BY363" s="9" t="e">
        <f>tbl_Case_mins[[#This Row],[Total_NonCore]]-tbl_Case_mins[[#This Row],[NextDay_NonCore]]</f>
        <v>#REF!</v>
      </c>
      <c r="BZ363" s="10" t="e">
        <f>tbl_Case_mins[[#This Row],[InCoreUse]]/60</f>
        <v>#REF!</v>
      </c>
      <c r="CA363" s="10" t="e">
        <f>tbl_Case_mins[[#This Row],[Total_NonCore]]/60</f>
        <v>#REF!</v>
      </c>
      <c r="CB363" t="e" cm="1">
        <f t="array" ref="CB3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3" s="9" t="e" cm="1">
        <f t="array" ref="CC36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3" s="9" t="e" cm="1">
        <f t="array" ref="CD36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3" s="9" t="e" cm="1">
        <f t="array" ref="CE36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3" s="9" cm="1">
        <f t="array" ref="CF363">IFERROR(_xlfn.AGGREGATE(14,6,(tbl_Case_mins[Rank_AnaEnd])/((tbl_Case_mins[Surgery Start Date]=tbl_Case_mins[[#This Row],[Surgery Start Date]])*(tbl_Case_mins[Theatre]=tbl_Case_mins[[#This Row],[Theatre]])*(tbl_Case_mins[NoInCoreTime]=0)),1),-1)</f>
        <v>-1</v>
      </c>
      <c r="CG363" s="9" cm="1">
        <f t="array" ref="CG363">IFERROR(_xlfn.AGGREGATE(15,6,(tbl_Case_mins[Rank_AnaSt])/((tbl_Case_mins[Surgery Start Date]=tbl_Case_mins[[#This Row],[Surgery Start Date]])*(tbl_Case_mins[Theatre]=tbl_Case_mins[[#This Row],[Theatre]])*(tbl_Case_mins[NoInCoreTime]=0)),1),-1)</f>
        <v>-1</v>
      </c>
      <c r="CH36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3" t="e" cm="1">
        <f t="array" ref="CJ36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3" s="9" cm="1">
        <f t="array" ref="CO3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3" s="9" cm="1">
        <f t="array" ref="CP36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3" s="9" cm="1">
        <f t="array" ref="CQ363">IFERROR(IF(AND(tbl_Case_mins[[#This Row],[FirstAMCase]]=0,tbl_Case_mins[[#This Row],[Rank]]=_xlfn.AGGREGATE(14,6,(tbl_Case_mins[Rank])/((tbl_Case_mins[Surgery Start Date]=tbl_Case_mins[[#This Row],[Surgery Start Date]])*(tbl_Case_mins[Theatre]=tbl_Case_mins[[#This Row],[Theatre]])*(tbl_Case_mins[AmCase]=1)),1)),1,0),0)</f>
        <v>0</v>
      </c>
      <c r="CR363" s="9" cm="1">
        <f t="array" ref="CR36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3" s="9" t="e" cm="1">
        <f t="array" ref="CS36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3" s="9" cm="1">
        <f t="array" ref="CT363">IFERROR(IF(tbl_Case_mins[[#This Row],[Rank]]=_xlfn.AGGREGATE(15,6,(tbl_Case_mins[Rank])/((tbl_Case_mins[Surgery Start Date]=tbl_Case_mins[[#This Row],[Surgery Start Date]])*(tbl_Case_mins[Theatre]=tbl_Case_mins[[#This Row],[Theatre]])*(tbl_Case_mins[PmCase]=1)),1),1,0),0)</f>
        <v>0</v>
      </c>
      <c r="CU363">
        <f>IFERROR(#REF!,0)</f>
        <v>0</v>
      </c>
      <c r="CV363" s="9" t="e" cm="1">
        <f t="array" ref="CV36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3" s="9">
        <f>IFERROR(IF(ISBLANK(INDEX(Bay_AmClose,MATCH(1,INDEX((tbl_Case_mins[[#This Row],[Bay]]=BayNo)*(tbl_Case_mins[[#This Row],[Surgery Start Date]]=BDate),0,1),0))*1440),0,INDEX(Bay_AmClose,MATCH(1,INDEX((tbl_Case_mins[[#This Row],[Bay]]=BayNo)*(tbl_Case_mins[[#This Row],[Surgery Start Date]]=BDate),0,1),0))*1440),0)</f>
        <v>0</v>
      </c>
      <c r="CX363" s="9" cm="1">
        <f t="array" ref="CX363">IFERROR(IF(ISBLANK(INDEX(Bay_PmOpen,MATCH(1,INDEX((tbl_Case_mins[[#This Row],[Bay]]=BayNo)*(tbl_Case_mins[[#This Row],[Surgery Start Date]]=BDate),0,1),0))*1440),0,INDEX(Bay_PmOpen,MATCH(1,INDEX((tbl_Case_mins[[#This Row],[Bay]]=BayNo)*(tbl_Case_mins[[#This Row],[Surgery Start Date]]=BDate),0,1),0))*1440),0)</f>
        <v>0</v>
      </c>
      <c r="CY36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3" s="9"/>
    </row>
    <row r="364" spans="1:104" x14ac:dyDescent="0.2">
      <c r="A364">
        <v>363</v>
      </c>
      <c r="B364" t="e">
        <f>#REF!</f>
        <v>#REF!</v>
      </c>
      <c r="C364" t="e">
        <f>#REF!</f>
        <v>#REF!</v>
      </c>
      <c r="D364" t="e">
        <f>#REF!</f>
        <v>#REF!</v>
      </c>
      <c r="E364" t="e">
        <f>#REF!</f>
        <v>#REF!</v>
      </c>
      <c r="F364" t="e">
        <f>#REF!</f>
        <v>#REF!</v>
      </c>
      <c r="G364" t="e">
        <f>#REF!</f>
        <v>#REF!</v>
      </c>
      <c r="H364" t="e">
        <f>#REF!</f>
        <v>#REF!</v>
      </c>
      <c r="I364" t="e">
        <f>IF(#REF!="Case Cancelled",1,IF(#REF!="No Cases",2,0))</f>
        <v>#REF!</v>
      </c>
      <c r="J364" t="e">
        <f>#REF!</f>
        <v>#REF!</v>
      </c>
      <c r="K364" s="4" t="e">
        <f>#REF!</f>
        <v>#REF!</v>
      </c>
      <c r="L364" t="e">
        <f>"Wk "&amp;WEEKNUM(tbl_Case_mins[[#This Row],[Surgery Start Date]],21)</f>
        <v>#REF!</v>
      </c>
      <c r="M364" t="e">
        <f>TEXT(tbl_Case_mins[[#This Row],[Surgery Start Date]],"ddd")</f>
        <v>#REF!</v>
      </c>
      <c r="N364" s="9" t="e">
        <f>(#REF!-TIME(0,0,0))*1440</f>
        <v>#REF!</v>
      </c>
      <c r="O364" t="e">
        <f>IF(AND(ROUND((#REF!-TIME(0,0,0))*1440,0)&gt;0,ROUND((#REF!-TIME(0,0,0))*1440,0)&lt;tbl_Case_mins[[#This Row],[Patient Called]],tbl_Case_mins[[#This Row],[Surgery End Date]]&gt;tbl_Case_mins[[#This Row],[Surgery Start Date]]),ROUND((#REF!-TIME(0,0,0))*1440,0)+1440,ROUND((#REF!-TIME(0,0,0))*1440,0))</f>
        <v>#REF!</v>
      </c>
      <c r="P364" s="9" t="e">
        <f>IF(AND(ROUND((#REF!-TIME(0,0,0))*1440,0)&gt;0,ROUND((#REF!-TIME(0,0,0))*1440,0)&lt;tbl_Case_mins[[#This Row],[Arrival]],tbl_Case_mins[[#This Row],[Surgery End Date]]&gt;tbl_Case_mins[[#This Row],[Surgery Start Date]]),ROUND((#REF!-TIME(0,0,0))*1440,0)+1440,ROUND((#REF!-TIME(0,0,0))*1440,0))</f>
        <v>#REF!</v>
      </c>
      <c r="Q364" s="9" t="e">
        <f>IF(AND(ROUND((#REF!-TIME(0,0,0))*1440,0)&gt;0,ROUND((#REF!-TIME(0,0,0))*1440,0)&lt;tbl_Case_mins[[#This Row],[Into Th or AR]],tbl_Case_mins[[#This Row],[Surgery End Date]]&gt;tbl_Case_mins[[#This Row],[Surgery Start Date]]),ROUND((#REF!-TIME(0,0,0))*1440,0)+1440,ROUND((#REF!-TIME(0,0,0))*1440,0))</f>
        <v>#REF!</v>
      </c>
      <c r="R364" s="9" t="e">
        <f>IF(AND(ROUND((#REF!-TIME(0,0,0))*1440,0)&gt;0,ROUND((#REF!-TIME(0,0,0))*1440,0)&lt;tbl_Case_mins[[#This Row],[AnaesthStart]],tbl_Case_mins[[#This Row],[Surgery End Date]]&gt;tbl_Case_mins[[#This Row],[Surgery Start Date]]),ROUND((#REF!-TIME(0,0,0))*1440,0)+1440,ROUND((#REF!-TIME(0,0,0))*1440,0))</f>
        <v>#REF!</v>
      </c>
      <c r="S364" s="9" t="e">
        <f>IF(AND(ROUND((#REF!-TIME(0,0,0))*1440,0),ROUND((#REF!-TIME(0,0,0))*1440,0)&lt;tbl_Case_mins[[#This Row],[Surgery Start]],tbl_Case_mins[[#This Row],[Surgery End Date]]&gt;tbl_Case_mins[[#This Row],[Surgery Start Date]]),ROUND((#REF!-TIME(0,0,0))*1440,0)+1440,ROUND((#REF!-TIME(0,0,0))*1440,0))</f>
        <v>#REF!</v>
      </c>
      <c r="T364" s="9" t="e">
        <f>IF(AND(ROUND((#REF!-TIME(0,0,0))*1440,0)&gt;0,ROUND((#REF!-TIME(0,0,0))*1440,0)&lt;tbl_Case_mins[[#This Row],[Surgery Finish]],tbl_Case_mins[[#This Row],[Surgery End Date]]&gt;tbl_Case_mins[[#This Row],[Surgery Start Date]]),ROUND((#REF!-TIME(0,0,0))*1440,0)+1440,ROUND((#REF!-TIME(0,0,0))*1440,0))</f>
        <v>#REF!</v>
      </c>
      <c r="U364" s="9" t="e">
        <f>IF(AND(ROUND((#REF!-TIME(0,0,0))*1440,0)&gt;0,ROUND((#REF!-TIME(0,0,0))*1440,0)&lt;tbl_Case_mins[[#This Row],[Anaesth End]],tbl_Case_mins[[#This Row],[Surgery End Date]]&gt;tbl_Case_mins[[#This Row],[Surgery Start Date]]),ROUND((#REF!-TIME(0,0,0))*1440,0)+1440,ROUND((#REF!-TIME(0,0,0))*1440,0))</f>
        <v>#REF!</v>
      </c>
      <c r="V364" s="9" t="e">
        <f>IF(AND(ROUND((#REF!-TIME(0,0,0))*1440,0)&gt;0,ROUND((#REF!-TIME(0,0,0))*1440,0)&lt;tbl_Case_mins[[#This Row],[Into Recov]],tbl_Case_mins[[#This Row],[Surgery End Date]]&gt;tbl_Case_mins[[#This Row],[Surgery Start Date]]),ROUND((#REF!-TIME(0,0,0))*1440,0)+1440,ROUND((#REF!-TIME(0,0,0))*1440,0))</f>
        <v>#REF!</v>
      </c>
      <c r="W364" s="9" t="e">
        <f>IF(AND(ROUND((#REF!-TIME(0,0,0))*1440,0)&gt;0,ROUND((#REF!-TIME(0,0,0))*1440,0)&lt;tbl_Case_mins[[#This Row],[Ward Called]],tbl_Case_mins[[#This Row],[Surgery End Date]]&gt;tbl_Case_mins[[#This Row],[Surgery Start Date]]),ROUND((#REF!-TIME(0,0,0))*1440,0)+1440,ROUND((#REF!-TIME(0,0,0))*1440,0))</f>
        <v>#REF!</v>
      </c>
      <c r="X364" s="4" t="e">
        <f>IF(ISBLANK(#REF!),tbl_Case_mins[[#This Row],[Surgery Start Date]],#REF!)</f>
        <v>#REF!</v>
      </c>
      <c r="Y364">
        <f>IFERROR(IF(VLOOKUP(tbl_Case_mins[[#This Row],[Theatre]],'Mng Theatres'!$C$7:$G$12,3,FALSE)="Yes","Yes","No"),0)</f>
        <v>0</v>
      </c>
      <c r="Z364" s="9" t="e" cm="1">
        <f t="array" ref="Z36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4" s="9" t="e" cm="1">
        <f t="array" ref="AA36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4" s="9" t="e">
        <f>IF(tbl_Case_mins[[#This Row],[Case Type]]="Unsch",1,0)</f>
        <v>#REF!</v>
      </c>
      <c r="AD364" s="9" t="e">
        <f>IF(tbl_Case_mins[[#This Row],[Case Type]]="Sch",1,0)</f>
        <v>#REF!</v>
      </c>
      <c r="AE36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4" s="9">
        <f>IFERROR(IF(ISBLANK(INDEX(Am_Close,MATCH(1,INDEX((tbl_Case_mins[[#This Row],[Theatre]]=Theatre_No)*(tbl_Case_mins[[#This Row],[Surgery Start Date]]=Date),0,1),0))*1440),0,INDEX(Am_Close,MATCH(1,INDEX((tbl_Case_mins[[#This Row],[Theatre]]=Theatre_No)*(tbl_Case_mins[[#This Row],[Surgery Start Date]]=Date),0,1),0))*1440),0)</f>
        <v>0</v>
      </c>
      <c r="AG364" s="9">
        <f>IFERROR(IF(ISBLANK(INDEX(PM_Open,MATCH(1,INDEX((tbl_Case_mins[[#This Row],[Theatre]]=Theatre_No)*(tbl_Case_mins[[#This Row],[Surgery Start Date]]=Date),0,1),0))*1440),0,INDEX(PM_Open,MATCH(1,INDEX((tbl_Case_mins[[#This Row],[Theatre]]=Theatre_No)*(tbl_Case_mins[[#This Row],[Surgery Start Date]]=Date),0,1),0))*1440),0)</f>
        <v>0</v>
      </c>
      <c r="AH36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4" s="9" t="e">
        <f>IF(tbl_Case_mins[[#This Row],[ThOpenAm]]=0,tbl_Case_mins[[#This Row],[ThOpenPM]],tbl_Case_mins[[#This Row],[ThOpenAm]])</f>
        <v>#REF!</v>
      </c>
      <c r="AJ364" s="9" t="e">
        <f>IF(tbl_Case_mins[[#This Row],[ThCloseAm]]&gt;0,IF(tbl_Case_mins[[#This Row],[ThOpenPM]]&gt;0,tbl_Case_mins[[#This Row],[ThClosePm]],tbl_Case_mins[[#This Row],[ThCloseAm]]),tbl_Case_mins[[#This Row],[ThClosePm]])</f>
        <v>#REF!</v>
      </c>
      <c r="AK364" s="9" t="e">
        <f>IF(tbl_Case_mins[[#This Row],[TOT]]&gt;0,1,0)</f>
        <v>#REF!</v>
      </c>
      <c r="AL36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4" s="9" t="e">
        <f>IF(AND(tbl_Case_mins[[#This Row],[Surgery Status]]&lt;&gt;2,tbl_Case_mins[[#This Row],[InCoreCase]]=0,tbl_Case_mins[[#This Row],[CancelledCase]]=0),1,0)</f>
        <v>#REF!</v>
      </c>
      <c r="AN364" s="9" t="e">
        <f>IF(tbl_Case_mins[[#This Row],[Surgery Status]]=1,1,0)</f>
        <v>#REF!</v>
      </c>
      <c r="AO36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4" s="9" t="e">
        <f>IF(AND(tbl_Case_mins[[#This Row],[NonCoreCase]]=1,tbl_Case_mins[[#This Row],[NoInCoreTime]]=0),1,0)</f>
        <v>#REF!</v>
      </c>
      <c r="AQ364" s="9" t="e">
        <f>IF(tbl_Case_mins[[#This Row],[Rank_AnaEnd]]&lt;tbl_Case_mins[[#This Row],[Rank_AnaSt]],1,0)</f>
        <v>#REF!</v>
      </c>
      <c r="AR364" s="9" t="e">
        <f>IF(AND(tbl_Case_mins[[#This Row],[InCoreCase]]=1,tbl_Case_mins[[#This Row],[Sch]]=1),1,0)</f>
        <v>#REF!</v>
      </c>
      <c r="AS364" s="9" t="e">
        <f>IF(AND(tbl_Case_mins[[#This Row],[InCoreCase]]=1,tbl_Case_mins[[#This Row],[Unsch]]=1),1,0)</f>
        <v>#REF!</v>
      </c>
      <c r="AT36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4" s="9" t="e">
        <f>IF(tbl_Case_mins[[#This Row],[Surgery Status]]=0,(tbl_Case_mins[[#This Row],[Anaesth End]]-tbl_Case_mins[[#This Row],[AnaesthStart]]),0)</f>
        <v>#REF!</v>
      </c>
      <c r="AX364" s="9" t="e">
        <f>IF(tbl_Case_mins[[#This Row],[Surgery Status]]=0,(tbl_Case_mins[[#This Row],[Surgery Finish]]-tbl_Case_mins[[#This Row],[Surgery Start]]),0)</f>
        <v>#REF!</v>
      </c>
      <c r="AY364" s="9" t="e">
        <f>tbl_Case_mins[[#This Row],[Surgery Start]]-tbl_Case_mins[[#This Row],[AnaesthStart]]</f>
        <v>#REF!</v>
      </c>
      <c r="AZ364" s="9" t="e">
        <f>tbl_Case_mins[[#This Row],[Anaesth End]]-tbl_Case_mins[[#This Row],[Surgery Finish]]</f>
        <v>#REF!</v>
      </c>
      <c r="BA36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4" s="16" cm="1">
        <f t="array" ref="BC36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4" s="16" t="e">
        <f>IF(AND(tbl_Case_mins[[#This Row],[FirstAMCase]]=1,tbl_Case_mins[[#This Row],[CancelledCase]]=0,OR(tbl_Case_mins[[#This Row],[EarlyStartAM]]&gt;0,tbl_Case_mins[[#This Row],[AnaesthStart]]=tbl_Case_mins[[#This Row],[ThOpenAm]])),1,0)</f>
        <v>#REF!</v>
      </c>
      <c r="BE364" s="16" t="e">
        <f>IF(AND(tbl_Case_mins[[#This Row],[Rank_AnaSt]]=tbl_Case_mins[[#This Row],[Min_RankAnaSt]],tbl_Case_mins[[#This Row],[Anaesth End]]&gt;=tbl_Case_mins[[#This Row],[ThOpenAm]],tbl_Case_mins[[#This Row],[PmCase]]=0),1,0)</f>
        <v>#REF!</v>
      </c>
      <c r="BF36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4" s="9" t="e" cm="1">
        <f t="array" ref="BH36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4" s="9" t="e">
        <f>IF(AND(tbl_Case_mins[[#This Row],[ThOpenPM]]&gt;0,tbl_Case_mins[[#This Row],[AnaesthStart]]&gt;tbl_Case_mins[[#This Row],[ThOpenPM]],tbl_Case_mins[[#This Row],[First PM Case]]=1),tbl_Case_mins[[#This Row],[AnaesthStart]]-tbl_Case_mins[[#This Row],[ThOpenPM]],0)</f>
        <v>#REF!</v>
      </c>
      <c r="BL36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4" s="9" t="e" cm="1">
        <f t="array" ref="BN36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4" s="9" t="e">
        <f>IF(AND(tbl_Case_mins[[#This Row],[ThClosePm]]&gt;0,tbl_Case_mins[[#This Row],[Anaesth End]]&gt;tbl_Case_mins[[#This Row],[ThClosePm]],tbl_Case_mins[[#This Row],[AnaesthStart]]&gt;tbl_Case_mins[[#This Row],[ThClosePm]]),tbl_Case_mins[[#This Row],[Into Recov]]-tbl_Case_mins[[#This Row],[AnaesthStart]],0)</f>
        <v>#REF!</v>
      </c>
      <c r="BP364" s="9" t="e">
        <f>IF(AND(tbl_Case_mins[[#This Row],[AnaesthStart]]&lt;tbl_Case_mins[[#This Row],[ThClosePm]],tbl_Case_mins[[#This Row],[Anaesth End]]&gt;tbl_Case_mins[[#This Row],[ThClosePm]]),tbl_Case_mins[[#This Row],[Anaesth End]]-tbl_Case_mins[[#This Row],[ThClosePm]],0)</f>
        <v>#REF!</v>
      </c>
      <c r="BQ364" s="9" t="e" cm="1">
        <f t="array" ref="BQ36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4" s="9" t="e" cm="1">
        <f t="array" ref="BR364">IF(tbl_Case_mins[[#This Row],[Rank_Adjust]]=SUMPRODUCT(-(tbl_Case_mins[Surgery Start Date]=tbl_Case_mins[[#This Row],[Surgery Start Date]]),-(tbl_Case_mins[Theatre]=tbl_Case_mins[[#This Row],[Theatre]])),INDEX(Poss_Time,MATCH(TEXT(tbl_Case_mins[[#This Row],[Surgery Start Date]],"ddd"),Day,0)),0)</f>
        <v>#REF!</v>
      </c>
      <c r="BS364" s="9" t="e">
        <f>tbl_Case_mins[[#This Row],[Core_Time]]*Util_Goal</f>
        <v>#REF!</v>
      </c>
      <c r="BT364" s="9" t="e" cm="1">
        <f t="array" ref="BT3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4" s="9" t="e" cm="1">
        <f t="array" ref="BU36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4" s="9" t="e">
        <f>IF(tbl_Case_mins[[#This Row],[Surgery End Date]]&gt;tbl_Case_mins[[#This Row],[Surgery Start Date]],tbl_Case_mins[[#This Row],[Anaesth End]]-1440,0)</f>
        <v>#REF!</v>
      </c>
      <c r="BY364" s="9" t="e">
        <f>tbl_Case_mins[[#This Row],[Total_NonCore]]-tbl_Case_mins[[#This Row],[NextDay_NonCore]]</f>
        <v>#REF!</v>
      </c>
      <c r="BZ364" s="10" t="e">
        <f>tbl_Case_mins[[#This Row],[InCoreUse]]/60</f>
        <v>#REF!</v>
      </c>
      <c r="CA364" s="10" t="e">
        <f>tbl_Case_mins[[#This Row],[Total_NonCore]]/60</f>
        <v>#REF!</v>
      </c>
      <c r="CB364" t="e" cm="1">
        <f t="array" ref="CB3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4" s="9" t="e" cm="1">
        <f t="array" ref="CC36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4" s="9" t="e" cm="1">
        <f t="array" ref="CD36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4" s="9" t="e" cm="1">
        <f t="array" ref="CE36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4" s="9" cm="1">
        <f t="array" ref="CF364">IFERROR(_xlfn.AGGREGATE(14,6,(tbl_Case_mins[Rank_AnaEnd])/((tbl_Case_mins[Surgery Start Date]=tbl_Case_mins[[#This Row],[Surgery Start Date]])*(tbl_Case_mins[Theatre]=tbl_Case_mins[[#This Row],[Theatre]])*(tbl_Case_mins[NoInCoreTime]=0)),1),-1)</f>
        <v>-1</v>
      </c>
      <c r="CG364" s="9" cm="1">
        <f t="array" ref="CG364">IFERROR(_xlfn.AGGREGATE(15,6,(tbl_Case_mins[Rank_AnaSt])/((tbl_Case_mins[Surgery Start Date]=tbl_Case_mins[[#This Row],[Surgery Start Date]])*(tbl_Case_mins[Theatre]=tbl_Case_mins[[#This Row],[Theatre]])*(tbl_Case_mins[NoInCoreTime]=0)),1),-1)</f>
        <v>-1</v>
      </c>
      <c r="CH36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4" t="e" cm="1">
        <f t="array" ref="CJ36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4" s="9" cm="1">
        <f t="array" ref="CO3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4" s="9" cm="1">
        <f t="array" ref="CP36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4" s="9" cm="1">
        <f t="array" ref="CQ364">IFERROR(IF(AND(tbl_Case_mins[[#This Row],[FirstAMCase]]=0,tbl_Case_mins[[#This Row],[Rank]]=_xlfn.AGGREGATE(14,6,(tbl_Case_mins[Rank])/((tbl_Case_mins[Surgery Start Date]=tbl_Case_mins[[#This Row],[Surgery Start Date]])*(tbl_Case_mins[Theatre]=tbl_Case_mins[[#This Row],[Theatre]])*(tbl_Case_mins[AmCase]=1)),1)),1,0),0)</f>
        <v>0</v>
      </c>
      <c r="CR364" s="9" cm="1">
        <f t="array" ref="CR36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4" s="9" t="e" cm="1">
        <f t="array" ref="CS36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4" s="9" cm="1">
        <f t="array" ref="CT364">IFERROR(IF(tbl_Case_mins[[#This Row],[Rank]]=_xlfn.AGGREGATE(15,6,(tbl_Case_mins[Rank])/((tbl_Case_mins[Surgery Start Date]=tbl_Case_mins[[#This Row],[Surgery Start Date]])*(tbl_Case_mins[Theatre]=tbl_Case_mins[[#This Row],[Theatre]])*(tbl_Case_mins[PmCase]=1)),1),1,0),0)</f>
        <v>0</v>
      </c>
      <c r="CU364">
        <f>IFERROR(#REF!,0)</f>
        <v>0</v>
      </c>
      <c r="CV364" s="9" t="e" cm="1">
        <f t="array" ref="CV36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4" s="9">
        <f>IFERROR(IF(ISBLANK(INDEX(Bay_AmClose,MATCH(1,INDEX((tbl_Case_mins[[#This Row],[Bay]]=BayNo)*(tbl_Case_mins[[#This Row],[Surgery Start Date]]=BDate),0,1),0))*1440),0,INDEX(Bay_AmClose,MATCH(1,INDEX((tbl_Case_mins[[#This Row],[Bay]]=BayNo)*(tbl_Case_mins[[#This Row],[Surgery Start Date]]=BDate),0,1),0))*1440),0)</f>
        <v>0</v>
      </c>
      <c r="CX364" s="9" cm="1">
        <f t="array" ref="CX364">IFERROR(IF(ISBLANK(INDEX(Bay_PmOpen,MATCH(1,INDEX((tbl_Case_mins[[#This Row],[Bay]]=BayNo)*(tbl_Case_mins[[#This Row],[Surgery Start Date]]=BDate),0,1),0))*1440),0,INDEX(Bay_PmOpen,MATCH(1,INDEX((tbl_Case_mins[[#This Row],[Bay]]=BayNo)*(tbl_Case_mins[[#This Row],[Surgery Start Date]]=BDate),0,1),0))*1440),0)</f>
        <v>0</v>
      </c>
      <c r="CY36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4" s="9"/>
    </row>
    <row r="365" spans="1:104" x14ac:dyDescent="0.2">
      <c r="A365">
        <v>364</v>
      </c>
      <c r="B365" t="e">
        <f>#REF!</f>
        <v>#REF!</v>
      </c>
      <c r="C365" t="e">
        <f>#REF!</f>
        <v>#REF!</v>
      </c>
      <c r="D365" t="e">
        <f>#REF!</f>
        <v>#REF!</v>
      </c>
      <c r="E365" t="e">
        <f>#REF!</f>
        <v>#REF!</v>
      </c>
      <c r="F365" t="e">
        <f>#REF!</f>
        <v>#REF!</v>
      </c>
      <c r="G365" t="e">
        <f>#REF!</f>
        <v>#REF!</v>
      </c>
      <c r="H365" t="e">
        <f>#REF!</f>
        <v>#REF!</v>
      </c>
      <c r="I365" t="e">
        <f>IF(#REF!="Case Cancelled",1,IF(#REF!="No Cases",2,0))</f>
        <v>#REF!</v>
      </c>
      <c r="J365" t="e">
        <f>#REF!</f>
        <v>#REF!</v>
      </c>
      <c r="K365" s="4" t="e">
        <f>#REF!</f>
        <v>#REF!</v>
      </c>
      <c r="L365" t="e">
        <f>"Wk "&amp;WEEKNUM(tbl_Case_mins[[#This Row],[Surgery Start Date]],21)</f>
        <v>#REF!</v>
      </c>
      <c r="M365" t="e">
        <f>TEXT(tbl_Case_mins[[#This Row],[Surgery Start Date]],"ddd")</f>
        <v>#REF!</v>
      </c>
      <c r="N365" s="9" t="e">
        <f>(#REF!-TIME(0,0,0))*1440</f>
        <v>#REF!</v>
      </c>
      <c r="O365" t="e">
        <f>IF(AND(ROUND((#REF!-TIME(0,0,0))*1440,0)&gt;0,ROUND((#REF!-TIME(0,0,0))*1440,0)&lt;tbl_Case_mins[[#This Row],[Patient Called]],tbl_Case_mins[[#This Row],[Surgery End Date]]&gt;tbl_Case_mins[[#This Row],[Surgery Start Date]]),ROUND((#REF!-TIME(0,0,0))*1440,0)+1440,ROUND((#REF!-TIME(0,0,0))*1440,0))</f>
        <v>#REF!</v>
      </c>
      <c r="P365" s="9" t="e">
        <f>IF(AND(ROUND((#REF!-TIME(0,0,0))*1440,0)&gt;0,ROUND((#REF!-TIME(0,0,0))*1440,0)&lt;tbl_Case_mins[[#This Row],[Arrival]],tbl_Case_mins[[#This Row],[Surgery End Date]]&gt;tbl_Case_mins[[#This Row],[Surgery Start Date]]),ROUND((#REF!-TIME(0,0,0))*1440,0)+1440,ROUND((#REF!-TIME(0,0,0))*1440,0))</f>
        <v>#REF!</v>
      </c>
      <c r="Q365" s="9" t="e">
        <f>IF(AND(ROUND((#REF!-TIME(0,0,0))*1440,0)&gt;0,ROUND((#REF!-TIME(0,0,0))*1440,0)&lt;tbl_Case_mins[[#This Row],[Into Th or AR]],tbl_Case_mins[[#This Row],[Surgery End Date]]&gt;tbl_Case_mins[[#This Row],[Surgery Start Date]]),ROUND((#REF!-TIME(0,0,0))*1440,0)+1440,ROUND((#REF!-TIME(0,0,0))*1440,0))</f>
        <v>#REF!</v>
      </c>
      <c r="R365" s="9" t="e">
        <f>IF(AND(ROUND((#REF!-TIME(0,0,0))*1440,0)&gt;0,ROUND((#REF!-TIME(0,0,0))*1440,0)&lt;tbl_Case_mins[[#This Row],[AnaesthStart]],tbl_Case_mins[[#This Row],[Surgery End Date]]&gt;tbl_Case_mins[[#This Row],[Surgery Start Date]]),ROUND((#REF!-TIME(0,0,0))*1440,0)+1440,ROUND((#REF!-TIME(0,0,0))*1440,0))</f>
        <v>#REF!</v>
      </c>
      <c r="S365" s="9" t="e">
        <f>IF(AND(ROUND((#REF!-TIME(0,0,0))*1440,0),ROUND((#REF!-TIME(0,0,0))*1440,0)&lt;tbl_Case_mins[[#This Row],[Surgery Start]],tbl_Case_mins[[#This Row],[Surgery End Date]]&gt;tbl_Case_mins[[#This Row],[Surgery Start Date]]),ROUND((#REF!-TIME(0,0,0))*1440,0)+1440,ROUND((#REF!-TIME(0,0,0))*1440,0))</f>
        <v>#REF!</v>
      </c>
      <c r="T365" s="9" t="e">
        <f>IF(AND(ROUND((#REF!-TIME(0,0,0))*1440,0)&gt;0,ROUND((#REF!-TIME(0,0,0))*1440,0)&lt;tbl_Case_mins[[#This Row],[Surgery Finish]],tbl_Case_mins[[#This Row],[Surgery End Date]]&gt;tbl_Case_mins[[#This Row],[Surgery Start Date]]),ROUND((#REF!-TIME(0,0,0))*1440,0)+1440,ROUND((#REF!-TIME(0,0,0))*1440,0))</f>
        <v>#REF!</v>
      </c>
      <c r="U365" s="9" t="e">
        <f>IF(AND(ROUND((#REF!-TIME(0,0,0))*1440,0)&gt;0,ROUND((#REF!-TIME(0,0,0))*1440,0)&lt;tbl_Case_mins[[#This Row],[Anaesth End]],tbl_Case_mins[[#This Row],[Surgery End Date]]&gt;tbl_Case_mins[[#This Row],[Surgery Start Date]]),ROUND((#REF!-TIME(0,0,0))*1440,0)+1440,ROUND((#REF!-TIME(0,0,0))*1440,0))</f>
        <v>#REF!</v>
      </c>
      <c r="V365" s="9" t="e">
        <f>IF(AND(ROUND((#REF!-TIME(0,0,0))*1440,0)&gt;0,ROUND((#REF!-TIME(0,0,0))*1440,0)&lt;tbl_Case_mins[[#This Row],[Into Recov]],tbl_Case_mins[[#This Row],[Surgery End Date]]&gt;tbl_Case_mins[[#This Row],[Surgery Start Date]]),ROUND((#REF!-TIME(0,0,0))*1440,0)+1440,ROUND((#REF!-TIME(0,0,0))*1440,0))</f>
        <v>#REF!</v>
      </c>
      <c r="W365" s="9" t="e">
        <f>IF(AND(ROUND((#REF!-TIME(0,0,0))*1440,0)&gt;0,ROUND((#REF!-TIME(0,0,0))*1440,0)&lt;tbl_Case_mins[[#This Row],[Ward Called]],tbl_Case_mins[[#This Row],[Surgery End Date]]&gt;tbl_Case_mins[[#This Row],[Surgery Start Date]]),ROUND((#REF!-TIME(0,0,0))*1440,0)+1440,ROUND((#REF!-TIME(0,0,0))*1440,0))</f>
        <v>#REF!</v>
      </c>
      <c r="X365" s="4" t="e">
        <f>IF(ISBLANK(#REF!),tbl_Case_mins[[#This Row],[Surgery Start Date]],#REF!)</f>
        <v>#REF!</v>
      </c>
      <c r="Y365">
        <f>IFERROR(IF(VLOOKUP(tbl_Case_mins[[#This Row],[Theatre]],'Mng Theatres'!$C$7:$G$12,3,FALSE)="Yes","Yes","No"),0)</f>
        <v>0</v>
      </c>
      <c r="Z365" s="9" t="e" cm="1">
        <f t="array" ref="Z36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5" s="9" t="e" cm="1">
        <f t="array" ref="AA36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5" s="9" t="e">
        <f>IF(tbl_Case_mins[[#This Row],[Case Type]]="Unsch",1,0)</f>
        <v>#REF!</v>
      </c>
      <c r="AD365" s="9" t="e">
        <f>IF(tbl_Case_mins[[#This Row],[Case Type]]="Sch",1,0)</f>
        <v>#REF!</v>
      </c>
      <c r="AE36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5" s="9">
        <f>IFERROR(IF(ISBLANK(INDEX(Am_Close,MATCH(1,INDEX((tbl_Case_mins[[#This Row],[Theatre]]=Theatre_No)*(tbl_Case_mins[[#This Row],[Surgery Start Date]]=Date),0,1),0))*1440),0,INDEX(Am_Close,MATCH(1,INDEX((tbl_Case_mins[[#This Row],[Theatre]]=Theatre_No)*(tbl_Case_mins[[#This Row],[Surgery Start Date]]=Date),0,1),0))*1440),0)</f>
        <v>0</v>
      </c>
      <c r="AG365" s="9">
        <f>IFERROR(IF(ISBLANK(INDEX(PM_Open,MATCH(1,INDEX((tbl_Case_mins[[#This Row],[Theatre]]=Theatre_No)*(tbl_Case_mins[[#This Row],[Surgery Start Date]]=Date),0,1),0))*1440),0,INDEX(PM_Open,MATCH(1,INDEX((tbl_Case_mins[[#This Row],[Theatre]]=Theatre_No)*(tbl_Case_mins[[#This Row],[Surgery Start Date]]=Date),0,1),0))*1440),0)</f>
        <v>0</v>
      </c>
      <c r="AH36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5" s="9" t="e">
        <f>IF(tbl_Case_mins[[#This Row],[ThOpenAm]]=0,tbl_Case_mins[[#This Row],[ThOpenPM]],tbl_Case_mins[[#This Row],[ThOpenAm]])</f>
        <v>#REF!</v>
      </c>
      <c r="AJ365" s="9" t="e">
        <f>IF(tbl_Case_mins[[#This Row],[ThCloseAm]]&gt;0,IF(tbl_Case_mins[[#This Row],[ThOpenPM]]&gt;0,tbl_Case_mins[[#This Row],[ThClosePm]],tbl_Case_mins[[#This Row],[ThCloseAm]]),tbl_Case_mins[[#This Row],[ThClosePm]])</f>
        <v>#REF!</v>
      </c>
      <c r="AK365" s="9" t="e">
        <f>IF(tbl_Case_mins[[#This Row],[TOT]]&gt;0,1,0)</f>
        <v>#REF!</v>
      </c>
      <c r="AL36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5" s="9" t="e">
        <f>IF(AND(tbl_Case_mins[[#This Row],[Surgery Status]]&lt;&gt;2,tbl_Case_mins[[#This Row],[InCoreCase]]=0,tbl_Case_mins[[#This Row],[CancelledCase]]=0),1,0)</f>
        <v>#REF!</v>
      </c>
      <c r="AN365" s="9" t="e">
        <f>IF(tbl_Case_mins[[#This Row],[Surgery Status]]=1,1,0)</f>
        <v>#REF!</v>
      </c>
      <c r="AO36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5" s="9" t="e">
        <f>IF(AND(tbl_Case_mins[[#This Row],[NonCoreCase]]=1,tbl_Case_mins[[#This Row],[NoInCoreTime]]=0),1,0)</f>
        <v>#REF!</v>
      </c>
      <c r="AQ365" s="9" t="e">
        <f>IF(tbl_Case_mins[[#This Row],[Rank_AnaEnd]]&lt;tbl_Case_mins[[#This Row],[Rank_AnaSt]],1,0)</f>
        <v>#REF!</v>
      </c>
      <c r="AR365" s="9" t="e">
        <f>IF(AND(tbl_Case_mins[[#This Row],[InCoreCase]]=1,tbl_Case_mins[[#This Row],[Sch]]=1),1,0)</f>
        <v>#REF!</v>
      </c>
      <c r="AS365" s="9" t="e">
        <f>IF(AND(tbl_Case_mins[[#This Row],[InCoreCase]]=1,tbl_Case_mins[[#This Row],[Unsch]]=1),1,0)</f>
        <v>#REF!</v>
      </c>
      <c r="AT36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5" s="9" t="e">
        <f>IF(tbl_Case_mins[[#This Row],[Surgery Status]]=0,(tbl_Case_mins[[#This Row],[Anaesth End]]-tbl_Case_mins[[#This Row],[AnaesthStart]]),0)</f>
        <v>#REF!</v>
      </c>
      <c r="AX365" s="9" t="e">
        <f>IF(tbl_Case_mins[[#This Row],[Surgery Status]]=0,(tbl_Case_mins[[#This Row],[Surgery Finish]]-tbl_Case_mins[[#This Row],[Surgery Start]]),0)</f>
        <v>#REF!</v>
      </c>
      <c r="AY365" s="9" t="e">
        <f>tbl_Case_mins[[#This Row],[Surgery Start]]-tbl_Case_mins[[#This Row],[AnaesthStart]]</f>
        <v>#REF!</v>
      </c>
      <c r="AZ365" s="9" t="e">
        <f>tbl_Case_mins[[#This Row],[Anaesth End]]-tbl_Case_mins[[#This Row],[Surgery Finish]]</f>
        <v>#REF!</v>
      </c>
      <c r="BA36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5" s="16" cm="1">
        <f t="array" ref="BC36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5" s="16" t="e">
        <f>IF(AND(tbl_Case_mins[[#This Row],[FirstAMCase]]=1,tbl_Case_mins[[#This Row],[CancelledCase]]=0,OR(tbl_Case_mins[[#This Row],[EarlyStartAM]]&gt;0,tbl_Case_mins[[#This Row],[AnaesthStart]]=tbl_Case_mins[[#This Row],[ThOpenAm]])),1,0)</f>
        <v>#REF!</v>
      </c>
      <c r="BE365" s="16" t="e">
        <f>IF(AND(tbl_Case_mins[[#This Row],[Rank_AnaSt]]=tbl_Case_mins[[#This Row],[Min_RankAnaSt]],tbl_Case_mins[[#This Row],[Anaesth End]]&gt;=tbl_Case_mins[[#This Row],[ThOpenAm]],tbl_Case_mins[[#This Row],[PmCase]]=0),1,0)</f>
        <v>#REF!</v>
      </c>
      <c r="BF36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5" s="9" t="e" cm="1">
        <f t="array" ref="BH36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5" s="9" t="e">
        <f>IF(AND(tbl_Case_mins[[#This Row],[ThOpenPM]]&gt;0,tbl_Case_mins[[#This Row],[AnaesthStart]]&gt;tbl_Case_mins[[#This Row],[ThOpenPM]],tbl_Case_mins[[#This Row],[First PM Case]]=1),tbl_Case_mins[[#This Row],[AnaesthStart]]-tbl_Case_mins[[#This Row],[ThOpenPM]],0)</f>
        <v>#REF!</v>
      </c>
      <c r="BL36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5" s="9" t="e" cm="1">
        <f t="array" ref="BN36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5" s="9" t="e">
        <f>IF(AND(tbl_Case_mins[[#This Row],[ThClosePm]]&gt;0,tbl_Case_mins[[#This Row],[Anaesth End]]&gt;tbl_Case_mins[[#This Row],[ThClosePm]],tbl_Case_mins[[#This Row],[AnaesthStart]]&gt;tbl_Case_mins[[#This Row],[ThClosePm]]),tbl_Case_mins[[#This Row],[Into Recov]]-tbl_Case_mins[[#This Row],[AnaesthStart]],0)</f>
        <v>#REF!</v>
      </c>
      <c r="BP365" s="9" t="e">
        <f>IF(AND(tbl_Case_mins[[#This Row],[AnaesthStart]]&lt;tbl_Case_mins[[#This Row],[ThClosePm]],tbl_Case_mins[[#This Row],[Anaesth End]]&gt;tbl_Case_mins[[#This Row],[ThClosePm]]),tbl_Case_mins[[#This Row],[Anaesth End]]-tbl_Case_mins[[#This Row],[ThClosePm]],0)</f>
        <v>#REF!</v>
      </c>
      <c r="BQ365" s="9" t="e" cm="1">
        <f t="array" ref="BQ36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5" s="9" t="e" cm="1">
        <f t="array" ref="BR365">IF(tbl_Case_mins[[#This Row],[Rank_Adjust]]=SUMPRODUCT(-(tbl_Case_mins[Surgery Start Date]=tbl_Case_mins[[#This Row],[Surgery Start Date]]),-(tbl_Case_mins[Theatre]=tbl_Case_mins[[#This Row],[Theatre]])),INDEX(Poss_Time,MATCH(TEXT(tbl_Case_mins[[#This Row],[Surgery Start Date]],"ddd"),Day,0)),0)</f>
        <v>#REF!</v>
      </c>
      <c r="BS365" s="9" t="e">
        <f>tbl_Case_mins[[#This Row],[Core_Time]]*Util_Goal</f>
        <v>#REF!</v>
      </c>
      <c r="BT365" s="9" t="e" cm="1">
        <f t="array" ref="BT3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5" s="9" t="e" cm="1">
        <f t="array" ref="BU36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5" s="9" t="e">
        <f>IF(tbl_Case_mins[[#This Row],[Surgery End Date]]&gt;tbl_Case_mins[[#This Row],[Surgery Start Date]],tbl_Case_mins[[#This Row],[Anaesth End]]-1440,0)</f>
        <v>#REF!</v>
      </c>
      <c r="BY365" s="9" t="e">
        <f>tbl_Case_mins[[#This Row],[Total_NonCore]]-tbl_Case_mins[[#This Row],[NextDay_NonCore]]</f>
        <v>#REF!</v>
      </c>
      <c r="BZ365" s="10" t="e">
        <f>tbl_Case_mins[[#This Row],[InCoreUse]]/60</f>
        <v>#REF!</v>
      </c>
      <c r="CA365" s="10" t="e">
        <f>tbl_Case_mins[[#This Row],[Total_NonCore]]/60</f>
        <v>#REF!</v>
      </c>
      <c r="CB365" t="e" cm="1">
        <f t="array" ref="CB3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5" s="9" t="e" cm="1">
        <f t="array" ref="CC36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5" s="9" t="e" cm="1">
        <f t="array" ref="CD36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5" s="9" t="e" cm="1">
        <f t="array" ref="CE36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5" s="9" cm="1">
        <f t="array" ref="CF365">IFERROR(_xlfn.AGGREGATE(14,6,(tbl_Case_mins[Rank_AnaEnd])/((tbl_Case_mins[Surgery Start Date]=tbl_Case_mins[[#This Row],[Surgery Start Date]])*(tbl_Case_mins[Theatre]=tbl_Case_mins[[#This Row],[Theatre]])*(tbl_Case_mins[NoInCoreTime]=0)),1),-1)</f>
        <v>-1</v>
      </c>
      <c r="CG365" s="9" cm="1">
        <f t="array" ref="CG365">IFERROR(_xlfn.AGGREGATE(15,6,(tbl_Case_mins[Rank_AnaSt])/((tbl_Case_mins[Surgery Start Date]=tbl_Case_mins[[#This Row],[Surgery Start Date]])*(tbl_Case_mins[Theatre]=tbl_Case_mins[[#This Row],[Theatre]])*(tbl_Case_mins[NoInCoreTime]=0)),1),-1)</f>
        <v>-1</v>
      </c>
      <c r="CH36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5" t="e" cm="1">
        <f t="array" ref="CJ36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5" s="9" cm="1">
        <f t="array" ref="CO3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5" s="9" cm="1">
        <f t="array" ref="CP36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5" s="9" cm="1">
        <f t="array" ref="CQ365">IFERROR(IF(AND(tbl_Case_mins[[#This Row],[FirstAMCase]]=0,tbl_Case_mins[[#This Row],[Rank]]=_xlfn.AGGREGATE(14,6,(tbl_Case_mins[Rank])/((tbl_Case_mins[Surgery Start Date]=tbl_Case_mins[[#This Row],[Surgery Start Date]])*(tbl_Case_mins[Theatre]=tbl_Case_mins[[#This Row],[Theatre]])*(tbl_Case_mins[AmCase]=1)),1)),1,0),0)</f>
        <v>0</v>
      </c>
      <c r="CR365" s="9" cm="1">
        <f t="array" ref="CR36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5" s="9" t="e" cm="1">
        <f t="array" ref="CS36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5" s="9" cm="1">
        <f t="array" ref="CT365">IFERROR(IF(tbl_Case_mins[[#This Row],[Rank]]=_xlfn.AGGREGATE(15,6,(tbl_Case_mins[Rank])/((tbl_Case_mins[Surgery Start Date]=tbl_Case_mins[[#This Row],[Surgery Start Date]])*(tbl_Case_mins[Theatre]=tbl_Case_mins[[#This Row],[Theatre]])*(tbl_Case_mins[PmCase]=1)),1),1,0),0)</f>
        <v>0</v>
      </c>
      <c r="CU365">
        <f>IFERROR(#REF!,0)</f>
        <v>0</v>
      </c>
      <c r="CV365" s="9" t="e" cm="1">
        <f t="array" ref="CV36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5" s="9">
        <f>IFERROR(IF(ISBLANK(INDEX(Bay_AmClose,MATCH(1,INDEX((tbl_Case_mins[[#This Row],[Bay]]=BayNo)*(tbl_Case_mins[[#This Row],[Surgery Start Date]]=BDate),0,1),0))*1440),0,INDEX(Bay_AmClose,MATCH(1,INDEX((tbl_Case_mins[[#This Row],[Bay]]=BayNo)*(tbl_Case_mins[[#This Row],[Surgery Start Date]]=BDate),0,1),0))*1440),0)</f>
        <v>0</v>
      </c>
      <c r="CX365" s="9" cm="1">
        <f t="array" ref="CX365">IFERROR(IF(ISBLANK(INDEX(Bay_PmOpen,MATCH(1,INDEX((tbl_Case_mins[[#This Row],[Bay]]=BayNo)*(tbl_Case_mins[[#This Row],[Surgery Start Date]]=BDate),0,1),0))*1440),0,INDEX(Bay_PmOpen,MATCH(1,INDEX((tbl_Case_mins[[#This Row],[Bay]]=BayNo)*(tbl_Case_mins[[#This Row],[Surgery Start Date]]=BDate),0,1),0))*1440),0)</f>
        <v>0</v>
      </c>
      <c r="CY36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5" s="9"/>
    </row>
    <row r="366" spans="1:104" x14ac:dyDescent="0.2">
      <c r="A366">
        <v>365</v>
      </c>
      <c r="B366" t="e">
        <f>#REF!</f>
        <v>#REF!</v>
      </c>
      <c r="C366" t="e">
        <f>#REF!</f>
        <v>#REF!</v>
      </c>
      <c r="D366" t="e">
        <f>#REF!</f>
        <v>#REF!</v>
      </c>
      <c r="E366" t="e">
        <f>#REF!</f>
        <v>#REF!</v>
      </c>
      <c r="F366" t="e">
        <f>#REF!</f>
        <v>#REF!</v>
      </c>
      <c r="G366" t="e">
        <f>#REF!</f>
        <v>#REF!</v>
      </c>
      <c r="H366" t="e">
        <f>#REF!</f>
        <v>#REF!</v>
      </c>
      <c r="I366" t="e">
        <f>IF(#REF!="Case Cancelled",1,IF(#REF!="No Cases",2,0))</f>
        <v>#REF!</v>
      </c>
      <c r="J366" t="e">
        <f>#REF!</f>
        <v>#REF!</v>
      </c>
      <c r="K366" s="4" t="e">
        <f>#REF!</f>
        <v>#REF!</v>
      </c>
      <c r="L366" t="e">
        <f>"Wk "&amp;WEEKNUM(tbl_Case_mins[[#This Row],[Surgery Start Date]],21)</f>
        <v>#REF!</v>
      </c>
      <c r="M366" t="e">
        <f>TEXT(tbl_Case_mins[[#This Row],[Surgery Start Date]],"ddd")</f>
        <v>#REF!</v>
      </c>
      <c r="N366" s="9" t="e">
        <f>(#REF!-TIME(0,0,0))*1440</f>
        <v>#REF!</v>
      </c>
      <c r="O366" t="e">
        <f>IF(AND(ROUND((#REF!-TIME(0,0,0))*1440,0)&gt;0,ROUND((#REF!-TIME(0,0,0))*1440,0)&lt;tbl_Case_mins[[#This Row],[Patient Called]],tbl_Case_mins[[#This Row],[Surgery End Date]]&gt;tbl_Case_mins[[#This Row],[Surgery Start Date]]),ROUND((#REF!-TIME(0,0,0))*1440,0)+1440,ROUND((#REF!-TIME(0,0,0))*1440,0))</f>
        <v>#REF!</v>
      </c>
      <c r="P366" s="9" t="e">
        <f>IF(AND(ROUND((#REF!-TIME(0,0,0))*1440,0)&gt;0,ROUND((#REF!-TIME(0,0,0))*1440,0)&lt;tbl_Case_mins[[#This Row],[Arrival]],tbl_Case_mins[[#This Row],[Surgery End Date]]&gt;tbl_Case_mins[[#This Row],[Surgery Start Date]]),ROUND((#REF!-TIME(0,0,0))*1440,0)+1440,ROUND((#REF!-TIME(0,0,0))*1440,0))</f>
        <v>#REF!</v>
      </c>
      <c r="Q366" s="9" t="e">
        <f>IF(AND(ROUND((#REF!-TIME(0,0,0))*1440,0)&gt;0,ROUND((#REF!-TIME(0,0,0))*1440,0)&lt;tbl_Case_mins[[#This Row],[Into Th or AR]],tbl_Case_mins[[#This Row],[Surgery End Date]]&gt;tbl_Case_mins[[#This Row],[Surgery Start Date]]),ROUND((#REF!-TIME(0,0,0))*1440,0)+1440,ROUND((#REF!-TIME(0,0,0))*1440,0))</f>
        <v>#REF!</v>
      </c>
      <c r="R366" s="9" t="e">
        <f>IF(AND(ROUND((#REF!-TIME(0,0,0))*1440,0)&gt;0,ROUND((#REF!-TIME(0,0,0))*1440,0)&lt;tbl_Case_mins[[#This Row],[AnaesthStart]],tbl_Case_mins[[#This Row],[Surgery End Date]]&gt;tbl_Case_mins[[#This Row],[Surgery Start Date]]),ROUND((#REF!-TIME(0,0,0))*1440,0)+1440,ROUND((#REF!-TIME(0,0,0))*1440,0))</f>
        <v>#REF!</v>
      </c>
      <c r="S366" s="9" t="e">
        <f>IF(AND(ROUND((#REF!-TIME(0,0,0))*1440,0),ROUND((#REF!-TIME(0,0,0))*1440,0)&lt;tbl_Case_mins[[#This Row],[Surgery Start]],tbl_Case_mins[[#This Row],[Surgery End Date]]&gt;tbl_Case_mins[[#This Row],[Surgery Start Date]]),ROUND((#REF!-TIME(0,0,0))*1440,0)+1440,ROUND((#REF!-TIME(0,0,0))*1440,0))</f>
        <v>#REF!</v>
      </c>
      <c r="T366" s="9" t="e">
        <f>IF(AND(ROUND((#REF!-TIME(0,0,0))*1440,0)&gt;0,ROUND((#REF!-TIME(0,0,0))*1440,0)&lt;tbl_Case_mins[[#This Row],[Surgery Finish]],tbl_Case_mins[[#This Row],[Surgery End Date]]&gt;tbl_Case_mins[[#This Row],[Surgery Start Date]]),ROUND((#REF!-TIME(0,0,0))*1440,0)+1440,ROUND((#REF!-TIME(0,0,0))*1440,0))</f>
        <v>#REF!</v>
      </c>
      <c r="U366" s="9" t="e">
        <f>IF(AND(ROUND((#REF!-TIME(0,0,0))*1440,0)&gt;0,ROUND((#REF!-TIME(0,0,0))*1440,0)&lt;tbl_Case_mins[[#This Row],[Anaesth End]],tbl_Case_mins[[#This Row],[Surgery End Date]]&gt;tbl_Case_mins[[#This Row],[Surgery Start Date]]),ROUND((#REF!-TIME(0,0,0))*1440,0)+1440,ROUND((#REF!-TIME(0,0,0))*1440,0))</f>
        <v>#REF!</v>
      </c>
      <c r="V366" s="9" t="e">
        <f>IF(AND(ROUND((#REF!-TIME(0,0,0))*1440,0)&gt;0,ROUND((#REF!-TIME(0,0,0))*1440,0)&lt;tbl_Case_mins[[#This Row],[Into Recov]],tbl_Case_mins[[#This Row],[Surgery End Date]]&gt;tbl_Case_mins[[#This Row],[Surgery Start Date]]),ROUND((#REF!-TIME(0,0,0))*1440,0)+1440,ROUND((#REF!-TIME(0,0,0))*1440,0))</f>
        <v>#REF!</v>
      </c>
      <c r="W366" s="9" t="e">
        <f>IF(AND(ROUND((#REF!-TIME(0,0,0))*1440,0)&gt;0,ROUND((#REF!-TIME(0,0,0))*1440,0)&lt;tbl_Case_mins[[#This Row],[Ward Called]],tbl_Case_mins[[#This Row],[Surgery End Date]]&gt;tbl_Case_mins[[#This Row],[Surgery Start Date]]),ROUND((#REF!-TIME(0,0,0))*1440,0)+1440,ROUND((#REF!-TIME(0,0,0))*1440,0))</f>
        <v>#REF!</v>
      </c>
      <c r="X366" s="4" t="e">
        <f>IF(ISBLANK(#REF!),tbl_Case_mins[[#This Row],[Surgery Start Date]],#REF!)</f>
        <v>#REF!</v>
      </c>
      <c r="Y366">
        <f>IFERROR(IF(VLOOKUP(tbl_Case_mins[[#This Row],[Theatre]],'Mng Theatres'!$C$7:$G$12,3,FALSE)="Yes","Yes","No"),0)</f>
        <v>0</v>
      </c>
      <c r="Z366" s="9" t="e" cm="1">
        <f t="array" ref="Z36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6" s="9" t="e" cm="1">
        <f t="array" ref="AA36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6" s="9" t="e">
        <f>IF(tbl_Case_mins[[#This Row],[Case Type]]="Unsch",1,0)</f>
        <v>#REF!</v>
      </c>
      <c r="AD366" s="9" t="e">
        <f>IF(tbl_Case_mins[[#This Row],[Case Type]]="Sch",1,0)</f>
        <v>#REF!</v>
      </c>
      <c r="AE36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6" s="9">
        <f>IFERROR(IF(ISBLANK(INDEX(Am_Close,MATCH(1,INDEX((tbl_Case_mins[[#This Row],[Theatre]]=Theatre_No)*(tbl_Case_mins[[#This Row],[Surgery Start Date]]=Date),0,1),0))*1440),0,INDEX(Am_Close,MATCH(1,INDEX((tbl_Case_mins[[#This Row],[Theatre]]=Theatre_No)*(tbl_Case_mins[[#This Row],[Surgery Start Date]]=Date),0,1),0))*1440),0)</f>
        <v>0</v>
      </c>
      <c r="AG366" s="9">
        <f>IFERROR(IF(ISBLANK(INDEX(PM_Open,MATCH(1,INDEX((tbl_Case_mins[[#This Row],[Theatre]]=Theatre_No)*(tbl_Case_mins[[#This Row],[Surgery Start Date]]=Date),0,1),0))*1440),0,INDEX(PM_Open,MATCH(1,INDEX((tbl_Case_mins[[#This Row],[Theatre]]=Theatre_No)*(tbl_Case_mins[[#This Row],[Surgery Start Date]]=Date),0,1),0))*1440),0)</f>
        <v>0</v>
      </c>
      <c r="AH36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6" s="9" t="e">
        <f>IF(tbl_Case_mins[[#This Row],[ThOpenAm]]=0,tbl_Case_mins[[#This Row],[ThOpenPM]],tbl_Case_mins[[#This Row],[ThOpenAm]])</f>
        <v>#REF!</v>
      </c>
      <c r="AJ366" s="9" t="e">
        <f>IF(tbl_Case_mins[[#This Row],[ThCloseAm]]&gt;0,IF(tbl_Case_mins[[#This Row],[ThOpenPM]]&gt;0,tbl_Case_mins[[#This Row],[ThClosePm]],tbl_Case_mins[[#This Row],[ThCloseAm]]),tbl_Case_mins[[#This Row],[ThClosePm]])</f>
        <v>#REF!</v>
      </c>
      <c r="AK366" s="9" t="e">
        <f>IF(tbl_Case_mins[[#This Row],[TOT]]&gt;0,1,0)</f>
        <v>#REF!</v>
      </c>
      <c r="AL36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6" s="9" t="e">
        <f>IF(AND(tbl_Case_mins[[#This Row],[Surgery Status]]&lt;&gt;2,tbl_Case_mins[[#This Row],[InCoreCase]]=0,tbl_Case_mins[[#This Row],[CancelledCase]]=0),1,0)</f>
        <v>#REF!</v>
      </c>
      <c r="AN366" s="9" t="e">
        <f>IF(tbl_Case_mins[[#This Row],[Surgery Status]]=1,1,0)</f>
        <v>#REF!</v>
      </c>
      <c r="AO36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6" s="9" t="e">
        <f>IF(AND(tbl_Case_mins[[#This Row],[NonCoreCase]]=1,tbl_Case_mins[[#This Row],[NoInCoreTime]]=0),1,0)</f>
        <v>#REF!</v>
      </c>
      <c r="AQ366" s="9" t="e">
        <f>IF(tbl_Case_mins[[#This Row],[Rank_AnaEnd]]&lt;tbl_Case_mins[[#This Row],[Rank_AnaSt]],1,0)</f>
        <v>#REF!</v>
      </c>
      <c r="AR366" s="9" t="e">
        <f>IF(AND(tbl_Case_mins[[#This Row],[InCoreCase]]=1,tbl_Case_mins[[#This Row],[Sch]]=1),1,0)</f>
        <v>#REF!</v>
      </c>
      <c r="AS366" s="9" t="e">
        <f>IF(AND(tbl_Case_mins[[#This Row],[InCoreCase]]=1,tbl_Case_mins[[#This Row],[Unsch]]=1),1,0)</f>
        <v>#REF!</v>
      </c>
      <c r="AT36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6" s="9" t="e">
        <f>IF(tbl_Case_mins[[#This Row],[Surgery Status]]=0,(tbl_Case_mins[[#This Row],[Anaesth End]]-tbl_Case_mins[[#This Row],[AnaesthStart]]),0)</f>
        <v>#REF!</v>
      </c>
      <c r="AX366" s="9" t="e">
        <f>IF(tbl_Case_mins[[#This Row],[Surgery Status]]=0,(tbl_Case_mins[[#This Row],[Surgery Finish]]-tbl_Case_mins[[#This Row],[Surgery Start]]),0)</f>
        <v>#REF!</v>
      </c>
      <c r="AY366" s="9" t="e">
        <f>tbl_Case_mins[[#This Row],[Surgery Start]]-tbl_Case_mins[[#This Row],[AnaesthStart]]</f>
        <v>#REF!</v>
      </c>
      <c r="AZ366" s="9" t="e">
        <f>tbl_Case_mins[[#This Row],[Anaesth End]]-tbl_Case_mins[[#This Row],[Surgery Finish]]</f>
        <v>#REF!</v>
      </c>
      <c r="BA36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6" s="16" cm="1">
        <f t="array" ref="BC36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6" s="16" t="e">
        <f>IF(AND(tbl_Case_mins[[#This Row],[FirstAMCase]]=1,tbl_Case_mins[[#This Row],[CancelledCase]]=0,OR(tbl_Case_mins[[#This Row],[EarlyStartAM]]&gt;0,tbl_Case_mins[[#This Row],[AnaesthStart]]=tbl_Case_mins[[#This Row],[ThOpenAm]])),1,0)</f>
        <v>#REF!</v>
      </c>
      <c r="BE366" s="16" t="e">
        <f>IF(AND(tbl_Case_mins[[#This Row],[Rank_AnaSt]]=tbl_Case_mins[[#This Row],[Min_RankAnaSt]],tbl_Case_mins[[#This Row],[Anaesth End]]&gt;=tbl_Case_mins[[#This Row],[ThOpenAm]],tbl_Case_mins[[#This Row],[PmCase]]=0),1,0)</f>
        <v>#REF!</v>
      </c>
      <c r="BF36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6" s="9" t="e" cm="1">
        <f t="array" ref="BH36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6" s="9" t="e">
        <f>IF(AND(tbl_Case_mins[[#This Row],[ThOpenPM]]&gt;0,tbl_Case_mins[[#This Row],[AnaesthStart]]&gt;tbl_Case_mins[[#This Row],[ThOpenPM]],tbl_Case_mins[[#This Row],[First PM Case]]=1),tbl_Case_mins[[#This Row],[AnaesthStart]]-tbl_Case_mins[[#This Row],[ThOpenPM]],0)</f>
        <v>#REF!</v>
      </c>
      <c r="BL36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6" s="9" t="e" cm="1">
        <f t="array" ref="BN36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6" s="9" t="e">
        <f>IF(AND(tbl_Case_mins[[#This Row],[ThClosePm]]&gt;0,tbl_Case_mins[[#This Row],[Anaesth End]]&gt;tbl_Case_mins[[#This Row],[ThClosePm]],tbl_Case_mins[[#This Row],[AnaesthStart]]&gt;tbl_Case_mins[[#This Row],[ThClosePm]]),tbl_Case_mins[[#This Row],[Into Recov]]-tbl_Case_mins[[#This Row],[AnaesthStart]],0)</f>
        <v>#REF!</v>
      </c>
      <c r="BP366" s="9" t="e">
        <f>IF(AND(tbl_Case_mins[[#This Row],[AnaesthStart]]&lt;tbl_Case_mins[[#This Row],[ThClosePm]],tbl_Case_mins[[#This Row],[Anaesth End]]&gt;tbl_Case_mins[[#This Row],[ThClosePm]]),tbl_Case_mins[[#This Row],[Anaesth End]]-tbl_Case_mins[[#This Row],[ThClosePm]],0)</f>
        <v>#REF!</v>
      </c>
      <c r="BQ366" s="9" t="e" cm="1">
        <f t="array" ref="BQ36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6" s="9" t="e" cm="1">
        <f t="array" ref="BR366">IF(tbl_Case_mins[[#This Row],[Rank_Adjust]]=SUMPRODUCT(-(tbl_Case_mins[Surgery Start Date]=tbl_Case_mins[[#This Row],[Surgery Start Date]]),-(tbl_Case_mins[Theatre]=tbl_Case_mins[[#This Row],[Theatre]])),INDEX(Poss_Time,MATCH(TEXT(tbl_Case_mins[[#This Row],[Surgery Start Date]],"ddd"),Day,0)),0)</f>
        <v>#REF!</v>
      </c>
      <c r="BS366" s="9" t="e">
        <f>tbl_Case_mins[[#This Row],[Core_Time]]*Util_Goal</f>
        <v>#REF!</v>
      </c>
      <c r="BT366" s="9" t="e" cm="1">
        <f t="array" ref="BT3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6" s="9" t="e" cm="1">
        <f t="array" ref="BU36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6" s="9" t="e">
        <f>IF(tbl_Case_mins[[#This Row],[Surgery End Date]]&gt;tbl_Case_mins[[#This Row],[Surgery Start Date]],tbl_Case_mins[[#This Row],[Anaesth End]]-1440,0)</f>
        <v>#REF!</v>
      </c>
      <c r="BY366" s="9" t="e">
        <f>tbl_Case_mins[[#This Row],[Total_NonCore]]-tbl_Case_mins[[#This Row],[NextDay_NonCore]]</f>
        <v>#REF!</v>
      </c>
      <c r="BZ366" s="10" t="e">
        <f>tbl_Case_mins[[#This Row],[InCoreUse]]/60</f>
        <v>#REF!</v>
      </c>
      <c r="CA366" s="10" t="e">
        <f>tbl_Case_mins[[#This Row],[Total_NonCore]]/60</f>
        <v>#REF!</v>
      </c>
      <c r="CB366" t="e" cm="1">
        <f t="array" ref="CB3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6" s="9" t="e" cm="1">
        <f t="array" ref="CC36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6" s="9" t="e" cm="1">
        <f t="array" ref="CD36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6" s="9" t="e" cm="1">
        <f t="array" ref="CE36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6" s="9" cm="1">
        <f t="array" ref="CF366">IFERROR(_xlfn.AGGREGATE(14,6,(tbl_Case_mins[Rank_AnaEnd])/((tbl_Case_mins[Surgery Start Date]=tbl_Case_mins[[#This Row],[Surgery Start Date]])*(tbl_Case_mins[Theatre]=tbl_Case_mins[[#This Row],[Theatre]])*(tbl_Case_mins[NoInCoreTime]=0)),1),-1)</f>
        <v>-1</v>
      </c>
      <c r="CG366" s="9" cm="1">
        <f t="array" ref="CG366">IFERROR(_xlfn.AGGREGATE(15,6,(tbl_Case_mins[Rank_AnaSt])/((tbl_Case_mins[Surgery Start Date]=tbl_Case_mins[[#This Row],[Surgery Start Date]])*(tbl_Case_mins[Theatre]=tbl_Case_mins[[#This Row],[Theatre]])*(tbl_Case_mins[NoInCoreTime]=0)),1),-1)</f>
        <v>-1</v>
      </c>
      <c r="CH36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6" t="e" cm="1">
        <f t="array" ref="CJ36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6" s="9" cm="1">
        <f t="array" ref="CO3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6" s="9" cm="1">
        <f t="array" ref="CP36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6" s="9" cm="1">
        <f t="array" ref="CQ366">IFERROR(IF(AND(tbl_Case_mins[[#This Row],[FirstAMCase]]=0,tbl_Case_mins[[#This Row],[Rank]]=_xlfn.AGGREGATE(14,6,(tbl_Case_mins[Rank])/((tbl_Case_mins[Surgery Start Date]=tbl_Case_mins[[#This Row],[Surgery Start Date]])*(tbl_Case_mins[Theatre]=tbl_Case_mins[[#This Row],[Theatre]])*(tbl_Case_mins[AmCase]=1)),1)),1,0),0)</f>
        <v>0</v>
      </c>
      <c r="CR366" s="9" cm="1">
        <f t="array" ref="CR36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6" s="9" t="e" cm="1">
        <f t="array" ref="CS36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6" s="9" cm="1">
        <f t="array" ref="CT366">IFERROR(IF(tbl_Case_mins[[#This Row],[Rank]]=_xlfn.AGGREGATE(15,6,(tbl_Case_mins[Rank])/((tbl_Case_mins[Surgery Start Date]=tbl_Case_mins[[#This Row],[Surgery Start Date]])*(tbl_Case_mins[Theatre]=tbl_Case_mins[[#This Row],[Theatre]])*(tbl_Case_mins[PmCase]=1)),1),1,0),0)</f>
        <v>0</v>
      </c>
      <c r="CU366">
        <f>IFERROR(#REF!,0)</f>
        <v>0</v>
      </c>
      <c r="CV366" s="9" t="e" cm="1">
        <f t="array" ref="CV36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6" s="9">
        <f>IFERROR(IF(ISBLANK(INDEX(Bay_AmClose,MATCH(1,INDEX((tbl_Case_mins[[#This Row],[Bay]]=BayNo)*(tbl_Case_mins[[#This Row],[Surgery Start Date]]=BDate),0,1),0))*1440),0,INDEX(Bay_AmClose,MATCH(1,INDEX((tbl_Case_mins[[#This Row],[Bay]]=BayNo)*(tbl_Case_mins[[#This Row],[Surgery Start Date]]=BDate),0,1),0))*1440),0)</f>
        <v>0</v>
      </c>
      <c r="CX366" s="9" cm="1">
        <f t="array" ref="CX366">IFERROR(IF(ISBLANK(INDEX(Bay_PmOpen,MATCH(1,INDEX((tbl_Case_mins[[#This Row],[Bay]]=BayNo)*(tbl_Case_mins[[#This Row],[Surgery Start Date]]=BDate),0,1),0))*1440),0,INDEX(Bay_PmOpen,MATCH(1,INDEX((tbl_Case_mins[[#This Row],[Bay]]=BayNo)*(tbl_Case_mins[[#This Row],[Surgery Start Date]]=BDate),0,1),0))*1440),0)</f>
        <v>0</v>
      </c>
      <c r="CY36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6" s="9"/>
    </row>
    <row r="367" spans="1:104" x14ac:dyDescent="0.2">
      <c r="A367">
        <v>366</v>
      </c>
      <c r="B367" t="e">
        <f>#REF!</f>
        <v>#REF!</v>
      </c>
      <c r="C367" t="e">
        <f>#REF!</f>
        <v>#REF!</v>
      </c>
      <c r="D367" t="e">
        <f>#REF!</f>
        <v>#REF!</v>
      </c>
      <c r="E367" t="e">
        <f>#REF!</f>
        <v>#REF!</v>
      </c>
      <c r="F367" t="e">
        <f>#REF!</f>
        <v>#REF!</v>
      </c>
      <c r="G367" t="e">
        <f>#REF!</f>
        <v>#REF!</v>
      </c>
      <c r="H367" t="e">
        <f>#REF!</f>
        <v>#REF!</v>
      </c>
      <c r="I367" t="e">
        <f>IF(#REF!="Case Cancelled",1,IF(#REF!="No Cases",2,0))</f>
        <v>#REF!</v>
      </c>
      <c r="J367" t="e">
        <f>#REF!</f>
        <v>#REF!</v>
      </c>
      <c r="K367" s="4" t="e">
        <f>#REF!</f>
        <v>#REF!</v>
      </c>
      <c r="L367" t="e">
        <f>"Wk "&amp;WEEKNUM(tbl_Case_mins[[#This Row],[Surgery Start Date]],21)</f>
        <v>#REF!</v>
      </c>
      <c r="M367" t="e">
        <f>TEXT(tbl_Case_mins[[#This Row],[Surgery Start Date]],"ddd")</f>
        <v>#REF!</v>
      </c>
      <c r="N367" s="9" t="e">
        <f>(#REF!-TIME(0,0,0))*1440</f>
        <v>#REF!</v>
      </c>
      <c r="O367" t="e">
        <f>IF(AND(ROUND((#REF!-TIME(0,0,0))*1440,0)&gt;0,ROUND((#REF!-TIME(0,0,0))*1440,0)&lt;tbl_Case_mins[[#This Row],[Patient Called]],tbl_Case_mins[[#This Row],[Surgery End Date]]&gt;tbl_Case_mins[[#This Row],[Surgery Start Date]]),ROUND((#REF!-TIME(0,0,0))*1440,0)+1440,ROUND((#REF!-TIME(0,0,0))*1440,0))</f>
        <v>#REF!</v>
      </c>
      <c r="P367" s="9" t="e">
        <f>IF(AND(ROUND((#REF!-TIME(0,0,0))*1440,0)&gt;0,ROUND((#REF!-TIME(0,0,0))*1440,0)&lt;tbl_Case_mins[[#This Row],[Arrival]],tbl_Case_mins[[#This Row],[Surgery End Date]]&gt;tbl_Case_mins[[#This Row],[Surgery Start Date]]),ROUND((#REF!-TIME(0,0,0))*1440,0)+1440,ROUND((#REF!-TIME(0,0,0))*1440,0))</f>
        <v>#REF!</v>
      </c>
      <c r="Q367" s="9" t="e">
        <f>IF(AND(ROUND((#REF!-TIME(0,0,0))*1440,0)&gt;0,ROUND((#REF!-TIME(0,0,0))*1440,0)&lt;tbl_Case_mins[[#This Row],[Into Th or AR]],tbl_Case_mins[[#This Row],[Surgery End Date]]&gt;tbl_Case_mins[[#This Row],[Surgery Start Date]]),ROUND((#REF!-TIME(0,0,0))*1440,0)+1440,ROUND((#REF!-TIME(0,0,0))*1440,0))</f>
        <v>#REF!</v>
      </c>
      <c r="R367" s="9" t="e">
        <f>IF(AND(ROUND((#REF!-TIME(0,0,0))*1440,0)&gt;0,ROUND((#REF!-TIME(0,0,0))*1440,0)&lt;tbl_Case_mins[[#This Row],[AnaesthStart]],tbl_Case_mins[[#This Row],[Surgery End Date]]&gt;tbl_Case_mins[[#This Row],[Surgery Start Date]]),ROUND((#REF!-TIME(0,0,0))*1440,0)+1440,ROUND((#REF!-TIME(0,0,0))*1440,0))</f>
        <v>#REF!</v>
      </c>
      <c r="S367" s="9" t="e">
        <f>IF(AND(ROUND((#REF!-TIME(0,0,0))*1440,0),ROUND((#REF!-TIME(0,0,0))*1440,0)&lt;tbl_Case_mins[[#This Row],[Surgery Start]],tbl_Case_mins[[#This Row],[Surgery End Date]]&gt;tbl_Case_mins[[#This Row],[Surgery Start Date]]),ROUND((#REF!-TIME(0,0,0))*1440,0)+1440,ROUND((#REF!-TIME(0,0,0))*1440,0))</f>
        <v>#REF!</v>
      </c>
      <c r="T367" s="9" t="e">
        <f>IF(AND(ROUND((#REF!-TIME(0,0,0))*1440,0)&gt;0,ROUND((#REF!-TIME(0,0,0))*1440,0)&lt;tbl_Case_mins[[#This Row],[Surgery Finish]],tbl_Case_mins[[#This Row],[Surgery End Date]]&gt;tbl_Case_mins[[#This Row],[Surgery Start Date]]),ROUND((#REF!-TIME(0,0,0))*1440,0)+1440,ROUND((#REF!-TIME(0,0,0))*1440,0))</f>
        <v>#REF!</v>
      </c>
      <c r="U367" s="9" t="e">
        <f>IF(AND(ROUND((#REF!-TIME(0,0,0))*1440,0)&gt;0,ROUND((#REF!-TIME(0,0,0))*1440,0)&lt;tbl_Case_mins[[#This Row],[Anaesth End]],tbl_Case_mins[[#This Row],[Surgery End Date]]&gt;tbl_Case_mins[[#This Row],[Surgery Start Date]]),ROUND((#REF!-TIME(0,0,0))*1440,0)+1440,ROUND((#REF!-TIME(0,0,0))*1440,0))</f>
        <v>#REF!</v>
      </c>
      <c r="V367" s="9" t="e">
        <f>IF(AND(ROUND((#REF!-TIME(0,0,0))*1440,0)&gt;0,ROUND((#REF!-TIME(0,0,0))*1440,0)&lt;tbl_Case_mins[[#This Row],[Into Recov]],tbl_Case_mins[[#This Row],[Surgery End Date]]&gt;tbl_Case_mins[[#This Row],[Surgery Start Date]]),ROUND((#REF!-TIME(0,0,0))*1440,0)+1440,ROUND((#REF!-TIME(0,0,0))*1440,0))</f>
        <v>#REF!</v>
      </c>
      <c r="W367" s="9" t="e">
        <f>IF(AND(ROUND((#REF!-TIME(0,0,0))*1440,0)&gt;0,ROUND((#REF!-TIME(0,0,0))*1440,0)&lt;tbl_Case_mins[[#This Row],[Ward Called]],tbl_Case_mins[[#This Row],[Surgery End Date]]&gt;tbl_Case_mins[[#This Row],[Surgery Start Date]]),ROUND((#REF!-TIME(0,0,0))*1440,0)+1440,ROUND((#REF!-TIME(0,0,0))*1440,0))</f>
        <v>#REF!</v>
      </c>
      <c r="X367" s="4" t="e">
        <f>IF(ISBLANK(#REF!),tbl_Case_mins[[#This Row],[Surgery Start Date]],#REF!)</f>
        <v>#REF!</v>
      </c>
      <c r="Y367">
        <f>IFERROR(IF(VLOOKUP(tbl_Case_mins[[#This Row],[Theatre]],'Mng Theatres'!$C$7:$G$12,3,FALSE)="Yes","Yes","No"),0)</f>
        <v>0</v>
      </c>
      <c r="Z367" s="9" t="e" cm="1">
        <f t="array" ref="Z36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7" s="9" t="e" cm="1">
        <f t="array" ref="AA36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7" s="9" t="e">
        <f>IF(tbl_Case_mins[[#This Row],[Case Type]]="Unsch",1,0)</f>
        <v>#REF!</v>
      </c>
      <c r="AD367" s="9" t="e">
        <f>IF(tbl_Case_mins[[#This Row],[Case Type]]="Sch",1,0)</f>
        <v>#REF!</v>
      </c>
      <c r="AE36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7" s="9">
        <f>IFERROR(IF(ISBLANK(INDEX(Am_Close,MATCH(1,INDEX((tbl_Case_mins[[#This Row],[Theatre]]=Theatre_No)*(tbl_Case_mins[[#This Row],[Surgery Start Date]]=Date),0,1),0))*1440),0,INDEX(Am_Close,MATCH(1,INDEX((tbl_Case_mins[[#This Row],[Theatre]]=Theatre_No)*(tbl_Case_mins[[#This Row],[Surgery Start Date]]=Date),0,1),0))*1440),0)</f>
        <v>0</v>
      </c>
      <c r="AG367" s="9">
        <f>IFERROR(IF(ISBLANK(INDEX(PM_Open,MATCH(1,INDEX((tbl_Case_mins[[#This Row],[Theatre]]=Theatre_No)*(tbl_Case_mins[[#This Row],[Surgery Start Date]]=Date),0,1),0))*1440),0,INDEX(PM_Open,MATCH(1,INDEX((tbl_Case_mins[[#This Row],[Theatre]]=Theatre_No)*(tbl_Case_mins[[#This Row],[Surgery Start Date]]=Date),0,1),0))*1440),0)</f>
        <v>0</v>
      </c>
      <c r="AH36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7" s="9" t="e">
        <f>IF(tbl_Case_mins[[#This Row],[ThOpenAm]]=0,tbl_Case_mins[[#This Row],[ThOpenPM]],tbl_Case_mins[[#This Row],[ThOpenAm]])</f>
        <v>#REF!</v>
      </c>
      <c r="AJ367" s="9" t="e">
        <f>IF(tbl_Case_mins[[#This Row],[ThCloseAm]]&gt;0,IF(tbl_Case_mins[[#This Row],[ThOpenPM]]&gt;0,tbl_Case_mins[[#This Row],[ThClosePm]],tbl_Case_mins[[#This Row],[ThCloseAm]]),tbl_Case_mins[[#This Row],[ThClosePm]])</f>
        <v>#REF!</v>
      </c>
      <c r="AK367" s="9" t="e">
        <f>IF(tbl_Case_mins[[#This Row],[TOT]]&gt;0,1,0)</f>
        <v>#REF!</v>
      </c>
      <c r="AL36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7" s="9" t="e">
        <f>IF(AND(tbl_Case_mins[[#This Row],[Surgery Status]]&lt;&gt;2,tbl_Case_mins[[#This Row],[InCoreCase]]=0,tbl_Case_mins[[#This Row],[CancelledCase]]=0),1,0)</f>
        <v>#REF!</v>
      </c>
      <c r="AN367" s="9" t="e">
        <f>IF(tbl_Case_mins[[#This Row],[Surgery Status]]=1,1,0)</f>
        <v>#REF!</v>
      </c>
      <c r="AO36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7" s="9" t="e">
        <f>IF(AND(tbl_Case_mins[[#This Row],[NonCoreCase]]=1,tbl_Case_mins[[#This Row],[NoInCoreTime]]=0),1,0)</f>
        <v>#REF!</v>
      </c>
      <c r="AQ367" s="9" t="e">
        <f>IF(tbl_Case_mins[[#This Row],[Rank_AnaEnd]]&lt;tbl_Case_mins[[#This Row],[Rank_AnaSt]],1,0)</f>
        <v>#REF!</v>
      </c>
      <c r="AR367" s="9" t="e">
        <f>IF(AND(tbl_Case_mins[[#This Row],[InCoreCase]]=1,tbl_Case_mins[[#This Row],[Sch]]=1),1,0)</f>
        <v>#REF!</v>
      </c>
      <c r="AS367" s="9" t="e">
        <f>IF(AND(tbl_Case_mins[[#This Row],[InCoreCase]]=1,tbl_Case_mins[[#This Row],[Unsch]]=1),1,0)</f>
        <v>#REF!</v>
      </c>
      <c r="AT36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7" s="9" t="e">
        <f>IF(tbl_Case_mins[[#This Row],[Surgery Status]]=0,(tbl_Case_mins[[#This Row],[Anaesth End]]-tbl_Case_mins[[#This Row],[AnaesthStart]]),0)</f>
        <v>#REF!</v>
      </c>
      <c r="AX367" s="9" t="e">
        <f>IF(tbl_Case_mins[[#This Row],[Surgery Status]]=0,(tbl_Case_mins[[#This Row],[Surgery Finish]]-tbl_Case_mins[[#This Row],[Surgery Start]]),0)</f>
        <v>#REF!</v>
      </c>
      <c r="AY367" s="9" t="e">
        <f>tbl_Case_mins[[#This Row],[Surgery Start]]-tbl_Case_mins[[#This Row],[AnaesthStart]]</f>
        <v>#REF!</v>
      </c>
      <c r="AZ367" s="9" t="e">
        <f>tbl_Case_mins[[#This Row],[Anaesth End]]-tbl_Case_mins[[#This Row],[Surgery Finish]]</f>
        <v>#REF!</v>
      </c>
      <c r="BA36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7" s="16" cm="1">
        <f t="array" ref="BC36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7" s="16" t="e">
        <f>IF(AND(tbl_Case_mins[[#This Row],[FirstAMCase]]=1,tbl_Case_mins[[#This Row],[CancelledCase]]=0,OR(tbl_Case_mins[[#This Row],[EarlyStartAM]]&gt;0,tbl_Case_mins[[#This Row],[AnaesthStart]]=tbl_Case_mins[[#This Row],[ThOpenAm]])),1,0)</f>
        <v>#REF!</v>
      </c>
      <c r="BE367" s="16" t="e">
        <f>IF(AND(tbl_Case_mins[[#This Row],[Rank_AnaSt]]=tbl_Case_mins[[#This Row],[Min_RankAnaSt]],tbl_Case_mins[[#This Row],[Anaesth End]]&gt;=tbl_Case_mins[[#This Row],[ThOpenAm]],tbl_Case_mins[[#This Row],[PmCase]]=0),1,0)</f>
        <v>#REF!</v>
      </c>
      <c r="BF36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7" s="9" t="e" cm="1">
        <f t="array" ref="BH36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7" s="9" t="e">
        <f>IF(AND(tbl_Case_mins[[#This Row],[ThOpenPM]]&gt;0,tbl_Case_mins[[#This Row],[AnaesthStart]]&gt;tbl_Case_mins[[#This Row],[ThOpenPM]],tbl_Case_mins[[#This Row],[First PM Case]]=1),tbl_Case_mins[[#This Row],[AnaesthStart]]-tbl_Case_mins[[#This Row],[ThOpenPM]],0)</f>
        <v>#REF!</v>
      </c>
      <c r="BL36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7" s="9" t="e" cm="1">
        <f t="array" ref="BN36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7" s="9" t="e">
        <f>IF(AND(tbl_Case_mins[[#This Row],[ThClosePm]]&gt;0,tbl_Case_mins[[#This Row],[Anaesth End]]&gt;tbl_Case_mins[[#This Row],[ThClosePm]],tbl_Case_mins[[#This Row],[AnaesthStart]]&gt;tbl_Case_mins[[#This Row],[ThClosePm]]),tbl_Case_mins[[#This Row],[Into Recov]]-tbl_Case_mins[[#This Row],[AnaesthStart]],0)</f>
        <v>#REF!</v>
      </c>
      <c r="BP367" s="9" t="e">
        <f>IF(AND(tbl_Case_mins[[#This Row],[AnaesthStart]]&lt;tbl_Case_mins[[#This Row],[ThClosePm]],tbl_Case_mins[[#This Row],[Anaesth End]]&gt;tbl_Case_mins[[#This Row],[ThClosePm]]),tbl_Case_mins[[#This Row],[Anaesth End]]-tbl_Case_mins[[#This Row],[ThClosePm]],0)</f>
        <v>#REF!</v>
      </c>
      <c r="BQ367" s="9" t="e" cm="1">
        <f t="array" ref="BQ36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7" s="9" t="e" cm="1">
        <f t="array" ref="BR367">IF(tbl_Case_mins[[#This Row],[Rank_Adjust]]=SUMPRODUCT(-(tbl_Case_mins[Surgery Start Date]=tbl_Case_mins[[#This Row],[Surgery Start Date]]),-(tbl_Case_mins[Theatre]=tbl_Case_mins[[#This Row],[Theatre]])),INDEX(Poss_Time,MATCH(TEXT(tbl_Case_mins[[#This Row],[Surgery Start Date]],"ddd"),Day,0)),0)</f>
        <v>#REF!</v>
      </c>
      <c r="BS367" s="9" t="e">
        <f>tbl_Case_mins[[#This Row],[Core_Time]]*Util_Goal</f>
        <v>#REF!</v>
      </c>
      <c r="BT367" s="9" t="e" cm="1">
        <f t="array" ref="BT3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7" s="9" t="e" cm="1">
        <f t="array" ref="BU36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7" s="9" t="e">
        <f>IF(tbl_Case_mins[[#This Row],[Surgery End Date]]&gt;tbl_Case_mins[[#This Row],[Surgery Start Date]],tbl_Case_mins[[#This Row],[Anaesth End]]-1440,0)</f>
        <v>#REF!</v>
      </c>
      <c r="BY367" s="9" t="e">
        <f>tbl_Case_mins[[#This Row],[Total_NonCore]]-tbl_Case_mins[[#This Row],[NextDay_NonCore]]</f>
        <v>#REF!</v>
      </c>
      <c r="BZ367" s="10" t="e">
        <f>tbl_Case_mins[[#This Row],[InCoreUse]]/60</f>
        <v>#REF!</v>
      </c>
      <c r="CA367" s="10" t="e">
        <f>tbl_Case_mins[[#This Row],[Total_NonCore]]/60</f>
        <v>#REF!</v>
      </c>
      <c r="CB367" t="e" cm="1">
        <f t="array" ref="CB3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7" s="9" t="e" cm="1">
        <f t="array" ref="CC36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7" s="9" t="e" cm="1">
        <f t="array" ref="CD36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7" s="9" t="e" cm="1">
        <f t="array" ref="CE36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7" s="9" cm="1">
        <f t="array" ref="CF367">IFERROR(_xlfn.AGGREGATE(14,6,(tbl_Case_mins[Rank_AnaEnd])/((tbl_Case_mins[Surgery Start Date]=tbl_Case_mins[[#This Row],[Surgery Start Date]])*(tbl_Case_mins[Theatre]=tbl_Case_mins[[#This Row],[Theatre]])*(tbl_Case_mins[NoInCoreTime]=0)),1),-1)</f>
        <v>-1</v>
      </c>
      <c r="CG367" s="9" cm="1">
        <f t="array" ref="CG367">IFERROR(_xlfn.AGGREGATE(15,6,(tbl_Case_mins[Rank_AnaSt])/((tbl_Case_mins[Surgery Start Date]=tbl_Case_mins[[#This Row],[Surgery Start Date]])*(tbl_Case_mins[Theatre]=tbl_Case_mins[[#This Row],[Theatre]])*(tbl_Case_mins[NoInCoreTime]=0)),1),-1)</f>
        <v>-1</v>
      </c>
      <c r="CH36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7" t="e" cm="1">
        <f t="array" ref="CJ36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7" s="9" cm="1">
        <f t="array" ref="CO3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7" s="9" cm="1">
        <f t="array" ref="CP36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7" s="9" cm="1">
        <f t="array" ref="CQ367">IFERROR(IF(AND(tbl_Case_mins[[#This Row],[FirstAMCase]]=0,tbl_Case_mins[[#This Row],[Rank]]=_xlfn.AGGREGATE(14,6,(tbl_Case_mins[Rank])/((tbl_Case_mins[Surgery Start Date]=tbl_Case_mins[[#This Row],[Surgery Start Date]])*(tbl_Case_mins[Theatre]=tbl_Case_mins[[#This Row],[Theatre]])*(tbl_Case_mins[AmCase]=1)),1)),1,0),0)</f>
        <v>0</v>
      </c>
      <c r="CR367" s="9" cm="1">
        <f t="array" ref="CR36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7" s="9" t="e" cm="1">
        <f t="array" ref="CS36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7" s="9" cm="1">
        <f t="array" ref="CT367">IFERROR(IF(tbl_Case_mins[[#This Row],[Rank]]=_xlfn.AGGREGATE(15,6,(tbl_Case_mins[Rank])/((tbl_Case_mins[Surgery Start Date]=tbl_Case_mins[[#This Row],[Surgery Start Date]])*(tbl_Case_mins[Theatre]=tbl_Case_mins[[#This Row],[Theatre]])*(tbl_Case_mins[PmCase]=1)),1),1,0),0)</f>
        <v>0</v>
      </c>
      <c r="CU367">
        <f>IFERROR(#REF!,0)</f>
        <v>0</v>
      </c>
      <c r="CV367" s="9" t="e" cm="1">
        <f t="array" ref="CV36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7" s="9">
        <f>IFERROR(IF(ISBLANK(INDEX(Bay_AmClose,MATCH(1,INDEX((tbl_Case_mins[[#This Row],[Bay]]=BayNo)*(tbl_Case_mins[[#This Row],[Surgery Start Date]]=BDate),0,1),0))*1440),0,INDEX(Bay_AmClose,MATCH(1,INDEX((tbl_Case_mins[[#This Row],[Bay]]=BayNo)*(tbl_Case_mins[[#This Row],[Surgery Start Date]]=BDate),0,1),0))*1440),0)</f>
        <v>0</v>
      </c>
      <c r="CX367" s="9" cm="1">
        <f t="array" ref="CX367">IFERROR(IF(ISBLANK(INDEX(Bay_PmOpen,MATCH(1,INDEX((tbl_Case_mins[[#This Row],[Bay]]=BayNo)*(tbl_Case_mins[[#This Row],[Surgery Start Date]]=BDate),0,1),0))*1440),0,INDEX(Bay_PmOpen,MATCH(1,INDEX((tbl_Case_mins[[#This Row],[Bay]]=BayNo)*(tbl_Case_mins[[#This Row],[Surgery Start Date]]=BDate),0,1),0))*1440),0)</f>
        <v>0</v>
      </c>
      <c r="CY36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7" s="9"/>
    </row>
    <row r="368" spans="1:104" x14ac:dyDescent="0.2">
      <c r="A368">
        <v>367</v>
      </c>
      <c r="B368" t="e">
        <f>#REF!</f>
        <v>#REF!</v>
      </c>
      <c r="C368" t="e">
        <f>#REF!</f>
        <v>#REF!</v>
      </c>
      <c r="D368" t="e">
        <f>#REF!</f>
        <v>#REF!</v>
      </c>
      <c r="E368" t="e">
        <f>#REF!</f>
        <v>#REF!</v>
      </c>
      <c r="F368" t="e">
        <f>#REF!</f>
        <v>#REF!</v>
      </c>
      <c r="G368" t="e">
        <f>#REF!</f>
        <v>#REF!</v>
      </c>
      <c r="H368" t="e">
        <f>#REF!</f>
        <v>#REF!</v>
      </c>
      <c r="I368" t="e">
        <f>IF(#REF!="Case Cancelled",1,IF(#REF!="No Cases",2,0))</f>
        <v>#REF!</v>
      </c>
      <c r="J368" t="e">
        <f>#REF!</f>
        <v>#REF!</v>
      </c>
      <c r="K368" s="4" t="e">
        <f>#REF!</f>
        <v>#REF!</v>
      </c>
      <c r="L368" t="e">
        <f>"Wk "&amp;WEEKNUM(tbl_Case_mins[[#This Row],[Surgery Start Date]],21)</f>
        <v>#REF!</v>
      </c>
      <c r="M368" t="e">
        <f>TEXT(tbl_Case_mins[[#This Row],[Surgery Start Date]],"ddd")</f>
        <v>#REF!</v>
      </c>
      <c r="N368" s="9" t="e">
        <f>(#REF!-TIME(0,0,0))*1440</f>
        <v>#REF!</v>
      </c>
      <c r="O368" t="e">
        <f>IF(AND(ROUND((#REF!-TIME(0,0,0))*1440,0)&gt;0,ROUND((#REF!-TIME(0,0,0))*1440,0)&lt;tbl_Case_mins[[#This Row],[Patient Called]],tbl_Case_mins[[#This Row],[Surgery End Date]]&gt;tbl_Case_mins[[#This Row],[Surgery Start Date]]),ROUND((#REF!-TIME(0,0,0))*1440,0)+1440,ROUND((#REF!-TIME(0,0,0))*1440,0))</f>
        <v>#REF!</v>
      </c>
      <c r="P368" s="9" t="e">
        <f>IF(AND(ROUND((#REF!-TIME(0,0,0))*1440,0)&gt;0,ROUND((#REF!-TIME(0,0,0))*1440,0)&lt;tbl_Case_mins[[#This Row],[Arrival]],tbl_Case_mins[[#This Row],[Surgery End Date]]&gt;tbl_Case_mins[[#This Row],[Surgery Start Date]]),ROUND((#REF!-TIME(0,0,0))*1440,0)+1440,ROUND((#REF!-TIME(0,0,0))*1440,0))</f>
        <v>#REF!</v>
      </c>
      <c r="Q368" s="9" t="e">
        <f>IF(AND(ROUND((#REF!-TIME(0,0,0))*1440,0)&gt;0,ROUND((#REF!-TIME(0,0,0))*1440,0)&lt;tbl_Case_mins[[#This Row],[Into Th or AR]],tbl_Case_mins[[#This Row],[Surgery End Date]]&gt;tbl_Case_mins[[#This Row],[Surgery Start Date]]),ROUND((#REF!-TIME(0,0,0))*1440,0)+1440,ROUND((#REF!-TIME(0,0,0))*1440,0))</f>
        <v>#REF!</v>
      </c>
      <c r="R368" s="9" t="e">
        <f>IF(AND(ROUND((#REF!-TIME(0,0,0))*1440,0)&gt;0,ROUND((#REF!-TIME(0,0,0))*1440,0)&lt;tbl_Case_mins[[#This Row],[AnaesthStart]],tbl_Case_mins[[#This Row],[Surgery End Date]]&gt;tbl_Case_mins[[#This Row],[Surgery Start Date]]),ROUND((#REF!-TIME(0,0,0))*1440,0)+1440,ROUND((#REF!-TIME(0,0,0))*1440,0))</f>
        <v>#REF!</v>
      </c>
      <c r="S368" s="9" t="e">
        <f>IF(AND(ROUND((#REF!-TIME(0,0,0))*1440,0),ROUND((#REF!-TIME(0,0,0))*1440,0)&lt;tbl_Case_mins[[#This Row],[Surgery Start]],tbl_Case_mins[[#This Row],[Surgery End Date]]&gt;tbl_Case_mins[[#This Row],[Surgery Start Date]]),ROUND((#REF!-TIME(0,0,0))*1440,0)+1440,ROUND((#REF!-TIME(0,0,0))*1440,0))</f>
        <v>#REF!</v>
      </c>
      <c r="T368" s="9" t="e">
        <f>IF(AND(ROUND((#REF!-TIME(0,0,0))*1440,0)&gt;0,ROUND((#REF!-TIME(0,0,0))*1440,0)&lt;tbl_Case_mins[[#This Row],[Surgery Finish]],tbl_Case_mins[[#This Row],[Surgery End Date]]&gt;tbl_Case_mins[[#This Row],[Surgery Start Date]]),ROUND((#REF!-TIME(0,0,0))*1440,0)+1440,ROUND((#REF!-TIME(0,0,0))*1440,0))</f>
        <v>#REF!</v>
      </c>
      <c r="U368" s="9" t="e">
        <f>IF(AND(ROUND((#REF!-TIME(0,0,0))*1440,0)&gt;0,ROUND((#REF!-TIME(0,0,0))*1440,0)&lt;tbl_Case_mins[[#This Row],[Anaesth End]],tbl_Case_mins[[#This Row],[Surgery End Date]]&gt;tbl_Case_mins[[#This Row],[Surgery Start Date]]),ROUND((#REF!-TIME(0,0,0))*1440,0)+1440,ROUND((#REF!-TIME(0,0,0))*1440,0))</f>
        <v>#REF!</v>
      </c>
      <c r="V368" s="9" t="e">
        <f>IF(AND(ROUND((#REF!-TIME(0,0,0))*1440,0)&gt;0,ROUND((#REF!-TIME(0,0,0))*1440,0)&lt;tbl_Case_mins[[#This Row],[Into Recov]],tbl_Case_mins[[#This Row],[Surgery End Date]]&gt;tbl_Case_mins[[#This Row],[Surgery Start Date]]),ROUND((#REF!-TIME(0,0,0))*1440,0)+1440,ROUND((#REF!-TIME(0,0,0))*1440,0))</f>
        <v>#REF!</v>
      </c>
      <c r="W368" s="9" t="e">
        <f>IF(AND(ROUND((#REF!-TIME(0,0,0))*1440,0)&gt;0,ROUND((#REF!-TIME(0,0,0))*1440,0)&lt;tbl_Case_mins[[#This Row],[Ward Called]],tbl_Case_mins[[#This Row],[Surgery End Date]]&gt;tbl_Case_mins[[#This Row],[Surgery Start Date]]),ROUND((#REF!-TIME(0,0,0))*1440,0)+1440,ROUND((#REF!-TIME(0,0,0))*1440,0))</f>
        <v>#REF!</v>
      </c>
      <c r="X368" s="4" t="e">
        <f>IF(ISBLANK(#REF!),tbl_Case_mins[[#This Row],[Surgery Start Date]],#REF!)</f>
        <v>#REF!</v>
      </c>
      <c r="Y368">
        <f>IFERROR(IF(VLOOKUP(tbl_Case_mins[[#This Row],[Theatre]],'Mng Theatres'!$C$7:$G$12,3,FALSE)="Yes","Yes","No"),0)</f>
        <v>0</v>
      </c>
      <c r="Z368" s="9" t="e" cm="1">
        <f t="array" ref="Z36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8" s="9" t="e" cm="1">
        <f t="array" ref="AA36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8" s="9" t="e">
        <f>IF(tbl_Case_mins[[#This Row],[Case Type]]="Unsch",1,0)</f>
        <v>#REF!</v>
      </c>
      <c r="AD368" s="9" t="e">
        <f>IF(tbl_Case_mins[[#This Row],[Case Type]]="Sch",1,0)</f>
        <v>#REF!</v>
      </c>
      <c r="AE36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8" s="9">
        <f>IFERROR(IF(ISBLANK(INDEX(Am_Close,MATCH(1,INDEX((tbl_Case_mins[[#This Row],[Theatre]]=Theatre_No)*(tbl_Case_mins[[#This Row],[Surgery Start Date]]=Date),0,1),0))*1440),0,INDEX(Am_Close,MATCH(1,INDEX((tbl_Case_mins[[#This Row],[Theatre]]=Theatre_No)*(tbl_Case_mins[[#This Row],[Surgery Start Date]]=Date),0,1),0))*1440),0)</f>
        <v>0</v>
      </c>
      <c r="AG368" s="9">
        <f>IFERROR(IF(ISBLANK(INDEX(PM_Open,MATCH(1,INDEX((tbl_Case_mins[[#This Row],[Theatre]]=Theatre_No)*(tbl_Case_mins[[#This Row],[Surgery Start Date]]=Date),0,1),0))*1440),0,INDEX(PM_Open,MATCH(1,INDEX((tbl_Case_mins[[#This Row],[Theatre]]=Theatre_No)*(tbl_Case_mins[[#This Row],[Surgery Start Date]]=Date),0,1),0))*1440),0)</f>
        <v>0</v>
      </c>
      <c r="AH36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8" s="9" t="e">
        <f>IF(tbl_Case_mins[[#This Row],[ThOpenAm]]=0,tbl_Case_mins[[#This Row],[ThOpenPM]],tbl_Case_mins[[#This Row],[ThOpenAm]])</f>
        <v>#REF!</v>
      </c>
      <c r="AJ368" s="9" t="e">
        <f>IF(tbl_Case_mins[[#This Row],[ThCloseAm]]&gt;0,IF(tbl_Case_mins[[#This Row],[ThOpenPM]]&gt;0,tbl_Case_mins[[#This Row],[ThClosePm]],tbl_Case_mins[[#This Row],[ThCloseAm]]),tbl_Case_mins[[#This Row],[ThClosePm]])</f>
        <v>#REF!</v>
      </c>
      <c r="AK368" s="9" t="e">
        <f>IF(tbl_Case_mins[[#This Row],[TOT]]&gt;0,1,0)</f>
        <v>#REF!</v>
      </c>
      <c r="AL36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8" s="9" t="e">
        <f>IF(AND(tbl_Case_mins[[#This Row],[Surgery Status]]&lt;&gt;2,tbl_Case_mins[[#This Row],[InCoreCase]]=0,tbl_Case_mins[[#This Row],[CancelledCase]]=0),1,0)</f>
        <v>#REF!</v>
      </c>
      <c r="AN368" s="9" t="e">
        <f>IF(tbl_Case_mins[[#This Row],[Surgery Status]]=1,1,0)</f>
        <v>#REF!</v>
      </c>
      <c r="AO36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8" s="9" t="e">
        <f>IF(AND(tbl_Case_mins[[#This Row],[NonCoreCase]]=1,tbl_Case_mins[[#This Row],[NoInCoreTime]]=0),1,0)</f>
        <v>#REF!</v>
      </c>
      <c r="AQ368" s="9" t="e">
        <f>IF(tbl_Case_mins[[#This Row],[Rank_AnaEnd]]&lt;tbl_Case_mins[[#This Row],[Rank_AnaSt]],1,0)</f>
        <v>#REF!</v>
      </c>
      <c r="AR368" s="9" t="e">
        <f>IF(AND(tbl_Case_mins[[#This Row],[InCoreCase]]=1,tbl_Case_mins[[#This Row],[Sch]]=1),1,0)</f>
        <v>#REF!</v>
      </c>
      <c r="AS368" s="9" t="e">
        <f>IF(AND(tbl_Case_mins[[#This Row],[InCoreCase]]=1,tbl_Case_mins[[#This Row],[Unsch]]=1),1,0)</f>
        <v>#REF!</v>
      </c>
      <c r="AT36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8" s="9" t="e">
        <f>IF(tbl_Case_mins[[#This Row],[Surgery Status]]=0,(tbl_Case_mins[[#This Row],[Anaesth End]]-tbl_Case_mins[[#This Row],[AnaesthStart]]),0)</f>
        <v>#REF!</v>
      </c>
      <c r="AX368" s="9" t="e">
        <f>IF(tbl_Case_mins[[#This Row],[Surgery Status]]=0,(tbl_Case_mins[[#This Row],[Surgery Finish]]-tbl_Case_mins[[#This Row],[Surgery Start]]),0)</f>
        <v>#REF!</v>
      </c>
      <c r="AY368" s="9" t="e">
        <f>tbl_Case_mins[[#This Row],[Surgery Start]]-tbl_Case_mins[[#This Row],[AnaesthStart]]</f>
        <v>#REF!</v>
      </c>
      <c r="AZ368" s="9" t="e">
        <f>tbl_Case_mins[[#This Row],[Anaesth End]]-tbl_Case_mins[[#This Row],[Surgery Finish]]</f>
        <v>#REF!</v>
      </c>
      <c r="BA36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8" s="16" cm="1">
        <f t="array" ref="BC36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8" s="16" t="e">
        <f>IF(AND(tbl_Case_mins[[#This Row],[FirstAMCase]]=1,tbl_Case_mins[[#This Row],[CancelledCase]]=0,OR(tbl_Case_mins[[#This Row],[EarlyStartAM]]&gt;0,tbl_Case_mins[[#This Row],[AnaesthStart]]=tbl_Case_mins[[#This Row],[ThOpenAm]])),1,0)</f>
        <v>#REF!</v>
      </c>
      <c r="BE368" s="16" t="e">
        <f>IF(AND(tbl_Case_mins[[#This Row],[Rank_AnaSt]]=tbl_Case_mins[[#This Row],[Min_RankAnaSt]],tbl_Case_mins[[#This Row],[Anaesth End]]&gt;=tbl_Case_mins[[#This Row],[ThOpenAm]],tbl_Case_mins[[#This Row],[PmCase]]=0),1,0)</f>
        <v>#REF!</v>
      </c>
      <c r="BF36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8" s="9" t="e" cm="1">
        <f t="array" ref="BH36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8" s="9" t="e">
        <f>IF(AND(tbl_Case_mins[[#This Row],[ThOpenPM]]&gt;0,tbl_Case_mins[[#This Row],[AnaesthStart]]&gt;tbl_Case_mins[[#This Row],[ThOpenPM]],tbl_Case_mins[[#This Row],[First PM Case]]=1),tbl_Case_mins[[#This Row],[AnaesthStart]]-tbl_Case_mins[[#This Row],[ThOpenPM]],0)</f>
        <v>#REF!</v>
      </c>
      <c r="BL36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8" s="9" t="e" cm="1">
        <f t="array" ref="BN36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8" s="9" t="e">
        <f>IF(AND(tbl_Case_mins[[#This Row],[ThClosePm]]&gt;0,tbl_Case_mins[[#This Row],[Anaesth End]]&gt;tbl_Case_mins[[#This Row],[ThClosePm]],tbl_Case_mins[[#This Row],[AnaesthStart]]&gt;tbl_Case_mins[[#This Row],[ThClosePm]]),tbl_Case_mins[[#This Row],[Into Recov]]-tbl_Case_mins[[#This Row],[AnaesthStart]],0)</f>
        <v>#REF!</v>
      </c>
      <c r="BP368" s="9" t="e">
        <f>IF(AND(tbl_Case_mins[[#This Row],[AnaesthStart]]&lt;tbl_Case_mins[[#This Row],[ThClosePm]],tbl_Case_mins[[#This Row],[Anaesth End]]&gt;tbl_Case_mins[[#This Row],[ThClosePm]]),tbl_Case_mins[[#This Row],[Anaesth End]]-tbl_Case_mins[[#This Row],[ThClosePm]],0)</f>
        <v>#REF!</v>
      </c>
      <c r="BQ368" s="9" t="e" cm="1">
        <f t="array" ref="BQ36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8" s="9" t="e" cm="1">
        <f t="array" ref="BR368">IF(tbl_Case_mins[[#This Row],[Rank_Adjust]]=SUMPRODUCT(-(tbl_Case_mins[Surgery Start Date]=tbl_Case_mins[[#This Row],[Surgery Start Date]]),-(tbl_Case_mins[Theatre]=tbl_Case_mins[[#This Row],[Theatre]])),INDEX(Poss_Time,MATCH(TEXT(tbl_Case_mins[[#This Row],[Surgery Start Date]],"ddd"),Day,0)),0)</f>
        <v>#REF!</v>
      </c>
      <c r="BS368" s="9" t="e">
        <f>tbl_Case_mins[[#This Row],[Core_Time]]*Util_Goal</f>
        <v>#REF!</v>
      </c>
      <c r="BT368" s="9" t="e" cm="1">
        <f t="array" ref="BT3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8" s="9" t="e" cm="1">
        <f t="array" ref="BU36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8" s="9" t="e">
        <f>IF(tbl_Case_mins[[#This Row],[Surgery End Date]]&gt;tbl_Case_mins[[#This Row],[Surgery Start Date]],tbl_Case_mins[[#This Row],[Anaesth End]]-1440,0)</f>
        <v>#REF!</v>
      </c>
      <c r="BY368" s="9" t="e">
        <f>tbl_Case_mins[[#This Row],[Total_NonCore]]-tbl_Case_mins[[#This Row],[NextDay_NonCore]]</f>
        <v>#REF!</v>
      </c>
      <c r="BZ368" s="10" t="e">
        <f>tbl_Case_mins[[#This Row],[InCoreUse]]/60</f>
        <v>#REF!</v>
      </c>
      <c r="CA368" s="10" t="e">
        <f>tbl_Case_mins[[#This Row],[Total_NonCore]]/60</f>
        <v>#REF!</v>
      </c>
      <c r="CB368" t="e" cm="1">
        <f t="array" ref="CB3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8" s="9" t="e" cm="1">
        <f t="array" ref="CC36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8" s="9" t="e" cm="1">
        <f t="array" ref="CD36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8" s="9" t="e" cm="1">
        <f t="array" ref="CE36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8" s="9" cm="1">
        <f t="array" ref="CF368">IFERROR(_xlfn.AGGREGATE(14,6,(tbl_Case_mins[Rank_AnaEnd])/((tbl_Case_mins[Surgery Start Date]=tbl_Case_mins[[#This Row],[Surgery Start Date]])*(tbl_Case_mins[Theatre]=tbl_Case_mins[[#This Row],[Theatre]])*(tbl_Case_mins[NoInCoreTime]=0)),1),-1)</f>
        <v>-1</v>
      </c>
      <c r="CG368" s="9" cm="1">
        <f t="array" ref="CG368">IFERROR(_xlfn.AGGREGATE(15,6,(tbl_Case_mins[Rank_AnaSt])/((tbl_Case_mins[Surgery Start Date]=tbl_Case_mins[[#This Row],[Surgery Start Date]])*(tbl_Case_mins[Theatre]=tbl_Case_mins[[#This Row],[Theatre]])*(tbl_Case_mins[NoInCoreTime]=0)),1),-1)</f>
        <v>-1</v>
      </c>
      <c r="CH36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8" t="e" cm="1">
        <f t="array" ref="CJ36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8" s="9" cm="1">
        <f t="array" ref="CO3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8" s="9" cm="1">
        <f t="array" ref="CP36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8" s="9" cm="1">
        <f t="array" ref="CQ368">IFERROR(IF(AND(tbl_Case_mins[[#This Row],[FirstAMCase]]=0,tbl_Case_mins[[#This Row],[Rank]]=_xlfn.AGGREGATE(14,6,(tbl_Case_mins[Rank])/((tbl_Case_mins[Surgery Start Date]=tbl_Case_mins[[#This Row],[Surgery Start Date]])*(tbl_Case_mins[Theatre]=tbl_Case_mins[[#This Row],[Theatre]])*(tbl_Case_mins[AmCase]=1)),1)),1,0),0)</f>
        <v>0</v>
      </c>
      <c r="CR368" s="9" cm="1">
        <f t="array" ref="CR36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8" s="9" t="e" cm="1">
        <f t="array" ref="CS36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8" s="9" cm="1">
        <f t="array" ref="CT368">IFERROR(IF(tbl_Case_mins[[#This Row],[Rank]]=_xlfn.AGGREGATE(15,6,(tbl_Case_mins[Rank])/((tbl_Case_mins[Surgery Start Date]=tbl_Case_mins[[#This Row],[Surgery Start Date]])*(tbl_Case_mins[Theatre]=tbl_Case_mins[[#This Row],[Theatre]])*(tbl_Case_mins[PmCase]=1)),1),1,0),0)</f>
        <v>0</v>
      </c>
      <c r="CU368">
        <f>IFERROR(#REF!,0)</f>
        <v>0</v>
      </c>
      <c r="CV368" s="9" t="e" cm="1">
        <f t="array" ref="CV36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8" s="9">
        <f>IFERROR(IF(ISBLANK(INDEX(Bay_AmClose,MATCH(1,INDEX((tbl_Case_mins[[#This Row],[Bay]]=BayNo)*(tbl_Case_mins[[#This Row],[Surgery Start Date]]=BDate),0,1),0))*1440),0,INDEX(Bay_AmClose,MATCH(1,INDEX((tbl_Case_mins[[#This Row],[Bay]]=BayNo)*(tbl_Case_mins[[#This Row],[Surgery Start Date]]=BDate),0,1),0))*1440),0)</f>
        <v>0</v>
      </c>
      <c r="CX368" s="9" cm="1">
        <f t="array" ref="CX368">IFERROR(IF(ISBLANK(INDEX(Bay_PmOpen,MATCH(1,INDEX((tbl_Case_mins[[#This Row],[Bay]]=BayNo)*(tbl_Case_mins[[#This Row],[Surgery Start Date]]=BDate),0,1),0))*1440),0,INDEX(Bay_PmOpen,MATCH(1,INDEX((tbl_Case_mins[[#This Row],[Bay]]=BayNo)*(tbl_Case_mins[[#This Row],[Surgery Start Date]]=BDate),0,1),0))*1440),0)</f>
        <v>0</v>
      </c>
      <c r="CY36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8" s="9"/>
    </row>
    <row r="369" spans="1:104" x14ac:dyDescent="0.2">
      <c r="A369">
        <v>368</v>
      </c>
      <c r="B369" t="e">
        <f>#REF!</f>
        <v>#REF!</v>
      </c>
      <c r="C369" t="e">
        <f>#REF!</f>
        <v>#REF!</v>
      </c>
      <c r="D369" t="e">
        <f>#REF!</f>
        <v>#REF!</v>
      </c>
      <c r="E369" t="e">
        <f>#REF!</f>
        <v>#REF!</v>
      </c>
      <c r="F369" t="e">
        <f>#REF!</f>
        <v>#REF!</v>
      </c>
      <c r="G369" t="e">
        <f>#REF!</f>
        <v>#REF!</v>
      </c>
      <c r="H369" t="e">
        <f>#REF!</f>
        <v>#REF!</v>
      </c>
      <c r="I369" t="e">
        <f>IF(#REF!="Case Cancelled",1,IF(#REF!="No Cases",2,0))</f>
        <v>#REF!</v>
      </c>
      <c r="J369" t="e">
        <f>#REF!</f>
        <v>#REF!</v>
      </c>
      <c r="K369" s="4" t="e">
        <f>#REF!</f>
        <v>#REF!</v>
      </c>
      <c r="L369" t="e">
        <f>"Wk "&amp;WEEKNUM(tbl_Case_mins[[#This Row],[Surgery Start Date]],21)</f>
        <v>#REF!</v>
      </c>
      <c r="M369" t="e">
        <f>TEXT(tbl_Case_mins[[#This Row],[Surgery Start Date]],"ddd")</f>
        <v>#REF!</v>
      </c>
      <c r="N369" s="9" t="e">
        <f>(#REF!-TIME(0,0,0))*1440</f>
        <v>#REF!</v>
      </c>
      <c r="O369" t="e">
        <f>IF(AND(ROUND((#REF!-TIME(0,0,0))*1440,0)&gt;0,ROUND((#REF!-TIME(0,0,0))*1440,0)&lt;tbl_Case_mins[[#This Row],[Patient Called]],tbl_Case_mins[[#This Row],[Surgery End Date]]&gt;tbl_Case_mins[[#This Row],[Surgery Start Date]]),ROUND((#REF!-TIME(0,0,0))*1440,0)+1440,ROUND((#REF!-TIME(0,0,0))*1440,0))</f>
        <v>#REF!</v>
      </c>
      <c r="P369" s="9" t="e">
        <f>IF(AND(ROUND((#REF!-TIME(0,0,0))*1440,0)&gt;0,ROUND((#REF!-TIME(0,0,0))*1440,0)&lt;tbl_Case_mins[[#This Row],[Arrival]],tbl_Case_mins[[#This Row],[Surgery End Date]]&gt;tbl_Case_mins[[#This Row],[Surgery Start Date]]),ROUND((#REF!-TIME(0,0,0))*1440,0)+1440,ROUND((#REF!-TIME(0,0,0))*1440,0))</f>
        <v>#REF!</v>
      </c>
      <c r="Q369" s="9" t="e">
        <f>IF(AND(ROUND((#REF!-TIME(0,0,0))*1440,0)&gt;0,ROUND((#REF!-TIME(0,0,0))*1440,0)&lt;tbl_Case_mins[[#This Row],[Into Th or AR]],tbl_Case_mins[[#This Row],[Surgery End Date]]&gt;tbl_Case_mins[[#This Row],[Surgery Start Date]]),ROUND((#REF!-TIME(0,0,0))*1440,0)+1440,ROUND((#REF!-TIME(0,0,0))*1440,0))</f>
        <v>#REF!</v>
      </c>
      <c r="R369" s="9" t="e">
        <f>IF(AND(ROUND((#REF!-TIME(0,0,0))*1440,0)&gt;0,ROUND((#REF!-TIME(0,0,0))*1440,0)&lt;tbl_Case_mins[[#This Row],[AnaesthStart]],tbl_Case_mins[[#This Row],[Surgery End Date]]&gt;tbl_Case_mins[[#This Row],[Surgery Start Date]]),ROUND((#REF!-TIME(0,0,0))*1440,0)+1440,ROUND((#REF!-TIME(0,0,0))*1440,0))</f>
        <v>#REF!</v>
      </c>
      <c r="S369" s="9" t="e">
        <f>IF(AND(ROUND((#REF!-TIME(0,0,0))*1440,0),ROUND((#REF!-TIME(0,0,0))*1440,0)&lt;tbl_Case_mins[[#This Row],[Surgery Start]],tbl_Case_mins[[#This Row],[Surgery End Date]]&gt;tbl_Case_mins[[#This Row],[Surgery Start Date]]),ROUND((#REF!-TIME(0,0,0))*1440,0)+1440,ROUND((#REF!-TIME(0,0,0))*1440,0))</f>
        <v>#REF!</v>
      </c>
      <c r="T369" s="9" t="e">
        <f>IF(AND(ROUND((#REF!-TIME(0,0,0))*1440,0)&gt;0,ROUND((#REF!-TIME(0,0,0))*1440,0)&lt;tbl_Case_mins[[#This Row],[Surgery Finish]],tbl_Case_mins[[#This Row],[Surgery End Date]]&gt;tbl_Case_mins[[#This Row],[Surgery Start Date]]),ROUND((#REF!-TIME(0,0,0))*1440,0)+1440,ROUND((#REF!-TIME(0,0,0))*1440,0))</f>
        <v>#REF!</v>
      </c>
      <c r="U369" s="9" t="e">
        <f>IF(AND(ROUND((#REF!-TIME(0,0,0))*1440,0)&gt;0,ROUND((#REF!-TIME(0,0,0))*1440,0)&lt;tbl_Case_mins[[#This Row],[Anaesth End]],tbl_Case_mins[[#This Row],[Surgery End Date]]&gt;tbl_Case_mins[[#This Row],[Surgery Start Date]]),ROUND((#REF!-TIME(0,0,0))*1440,0)+1440,ROUND((#REF!-TIME(0,0,0))*1440,0))</f>
        <v>#REF!</v>
      </c>
      <c r="V369" s="9" t="e">
        <f>IF(AND(ROUND((#REF!-TIME(0,0,0))*1440,0)&gt;0,ROUND((#REF!-TIME(0,0,0))*1440,0)&lt;tbl_Case_mins[[#This Row],[Into Recov]],tbl_Case_mins[[#This Row],[Surgery End Date]]&gt;tbl_Case_mins[[#This Row],[Surgery Start Date]]),ROUND((#REF!-TIME(0,0,0))*1440,0)+1440,ROUND((#REF!-TIME(0,0,0))*1440,0))</f>
        <v>#REF!</v>
      </c>
      <c r="W369" s="9" t="e">
        <f>IF(AND(ROUND((#REF!-TIME(0,0,0))*1440,0)&gt;0,ROUND((#REF!-TIME(0,0,0))*1440,0)&lt;tbl_Case_mins[[#This Row],[Ward Called]],tbl_Case_mins[[#This Row],[Surgery End Date]]&gt;tbl_Case_mins[[#This Row],[Surgery Start Date]]),ROUND((#REF!-TIME(0,0,0))*1440,0)+1440,ROUND((#REF!-TIME(0,0,0))*1440,0))</f>
        <v>#REF!</v>
      </c>
      <c r="X369" s="4" t="e">
        <f>IF(ISBLANK(#REF!),tbl_Case_mins[[#This Row],[Surgery Start Date]],#REF!)</f>
        <v>#REF!</v>
      </c>
      <c r="Y369">
        <f>IFERROR(IF(VLOOKUP(tbl_Case_mins[[#This Row],[Theatre]],'Mng Theatres'!$C$7:$G$12,3,FALSE)="Yes","Yes","No"),0)</f>
        <v>0</v>
      </c>
      <c r="Z369" s="9" t="e" cm="1">
        <f t="array" ref="Z36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69" s="9" t="e" cm="1">
        <f t="array" ref="AA36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6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69" s="9" t="e">
        <f>IF(tbl_Case_mins[[#This Row],[Case Type]]="Unsch",1,0)</f>
        <v>#REF!</v>
      </c>
      <c r="AD369" s="9" t="e">
        <f>IF(tbl_Case_mins[[#This Row],[Case Type]]="Sch",1,0)</f>
        <v>#REF!</v>
      </c>
      <c r="AE36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69" s="9">
        <f>IFERROR(IF(ISBLANK(INDEX(Am_Close,MATCH(1,INDEX((tbl_Case_mins[[#This Row],[Theatre]]=Theatre_No)*(tbl_Case_mins[[#This Row],[Surgery Start Date]]=Date),0,1),0))*1440),0,INDEX(Am_Close,MATCH(1,INDEX((tbl_Case_mins[[#This Row],[Theatre]]=Theatre_No)*(tbl_Case_mins[[#This Row],[Surgery Start Date]]=Date),0,1),0))*1440),0)</f>
        <v>0</v>
      </c>
      <c r="AG369" s="9">
        <f>IFERROR(IF(ISBLANK(INDEX(PM_Open,MATCH(1,INDEX((tbl_Case_mins[[#This Row],[Theatre]]=Theatre_No)*(tbl_Case_mins[[#This Row],[Surgery Start Date]]=Date),0,1),0))*1440),0,INDEX(PM_Open,MATCH(1,INDEX((tbl_Case_mins[[#This Row],[Theatre]]=Theatre_No)*(tbl_Case_mins[[#This Row],[Surgery Start Date]]=Date),0,1),0))*1440),0)</f>
        <v>0</v>
      </c>
      <c r="AH36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69" s="9" t="e">
        <f>IF(tbl_Case_mins[[#This Row],[ThOpenAm]]=0,tbl_Case_mins[[#This Row],[ThOpenPM]],tbl_Case_mins[[#This Row],[ThOpenAm]])</f>
        <v>#REF!</v>
      </c>
      <c r="AJ369" s="9" t="e">
        <f>IF(tbl_Case_mins[[#This Row],[ThCloseAm]]&gt;0,IF(tbl_Case_mins[[#This Row],[ThOpenPM]]&gt;0,tbl_Case_mins[[#This Row],[ThClosePm]],tbl_Case_mins[[#This Row],[ThCloseAm]]),tbl_Case_mins[[#This Row],[ThClosePm]])</f>
        <v>#REF!</v>
      </c>
      <c r="AK369" s="9" t="e">
        <f>IF(tbl_Case_mins[[#This Row],[TOT]]&gt;0,1,0)</f>
        <v>#REF!</v>
      </c>
      <c r="AL36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69" s="9" t="e">
        <f>IF(AND(tbl_Case_mins[[#This Row],[Surgery Status]]&lt;&gt;2,tbl_Case_mins[[#This Row],[InCoreCase]]=0,tbl_Case_mins[[#This Row],[CancelledCase]]=0),1,0)</f>
        <v>#REF!</v>
      </c>
      <c r="AN369" s="9" t="e">
        <f>IF(tbl_Case_mins[[#This Row],[Surgery Status]]=1,1,0)</f>
        <v>#REF!</v>
      </c>
      <c r="AO36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69" s="9" t="e">
        <f>IF(AND(tbl_Case_mins[[#This Row],[NonCoreCase]]=1,tbl_Case_mins[[#This Row],[NoInCoreTime]]=0),1,0)</f>
        <v>#REF!</v>
      </c>
      <c r="AQ369" s="9" t="e">
        <f>IF(tbl_Case_mins[[#This Row],[Rank_AnaEnd]]&lt;tbl_Case_mins[[#This Row],[Rank_AnaSt]],1,0)</f>
        <v>#REF!</v>
      </c>
      <c r="AR369" s="9" t="e">
        <f>IF(AND(tbl_Case_mins[[#This Row],[InCoreCase]]=1,tbl_Case_mins[[#This Row],[Sch]]=1),1,0)</f>
        <v>#REF!</v>
      </c>
      <c r="AS369" s="9" t="e">
        <f>IF(AND(tbl_Case_mins[[#This Row],[InCoreCase]]=1,tbl_Case_mins[[#This Row],[Unsch]]=1),1,0)</f>
        <v>#REF!</v>
      </c>
      <c r="AT36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6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6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69" s="9" t="e">
        <f>IF(tbl_Case_mins[[#This Row],[Surgery Status]]=0,(tbl_Case_mins[[#This Row],[Anaesth End]]-tbl_Case_mins[[#This Row],[AnaesthStart]]),0)</f>
        <v>#REF!</v>
      </c>
      <c r="AX369" s="9" t="e">
        <f>IF(tbl_Case_mins[[#This Row],[Surgery Status]]=0,(tbl_Case_mins[[#This Row],[Surgery Finish]]-tbl_Case_mins[[#This Row],[Surgery Start]]),0)</f>
        <v>#REF!</v>
      </c>
      <c r="AY369" s="9" t="e">
        <f>tbl_Case_mins[[#This Row],[Surgery Start]]-tbl_Case_mins[[#This Row],[AnaesthStart]]</f>
        <v>#REF!</v>
      </c>
      <c r="AZ369" s="9" t="e">
        <f>tbl_Case_mins[[#This Row],[Anaesth End]]-tbl_Case_mins[[#This Row],[Surgery Finish]]</f>
        <v>#REF!</v>
      </c>
      <c r="BA36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6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69" s="16" cm="1">
        <f t="array" ref="BC36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69" s="16" t="e">
        <f>IF(AND(tbl_Case_mins[[#This Row],[FirstAMCase]]=1,tbl_Case_mins[[#This Row],[CancelledCase]]=0,OR(tbl_Case_mins[[#This Row],[EarlyStartAM]]&gt;0,tbl_Case_mins[[#This Row],[AnaesthStart]]=tbl_Case_mins[[#This Row],[ThOpenAm]])),1,0)</f>
        <v>#REF!</v>
      </c>
      <c r="BE369" s="16" t="e">
        <f>IF(AND(tbl_Case_mins[[#This Row],[Rank_AnaSt]]=tbl_Case_mins[[#This Row],[Min_RankAnaSt]],tbl_Case_mins[[#This Row],[Anaesth End]]&gt;=tbl_Case_mins[[#This Row],[ThOpenAm]],tbl_Case_mins[[#This Row],[PmCase]]=0),1,0)</f>
        <v>#REF!</v>
      </c>
      <c r="BF36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6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69" s="9" t="e" cm="1">
        <f t="array" ref="BH36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6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6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69" s="9" t="e">
        <f>IF(AND(tbl_Case_mins[[#This Row],[ThOpenPM]]&gt;0,tbl_Case_mins[[#This Row],[AnaesthStart]]&gt;tbl_Case_mins[[#This Row],[ThOpenPM]],tbl_Case_mins[[#This Row],[First PM Case]]=1),tbl_Case_mins[[#This Row],[AnaesthStart]]-tbl_Case_mins[[#This Row],[ThOpenPM]],0)</f>
        <v>#REF!</v>
      </c>
      <c r="BL36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6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69" s="9" t="e" cm="1">
        <f t="array" ref="BN36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69" s="9" t="e">
        <f>IF(AND(tbl_Case_mins[[#This Row],[ThClosePm]]&gt;0,tbl_Case_mins[[#This Row],[Anaesth End]]&gt;tbl_Case_mins[[#This Row],[ThClosePm]],tbl_Case_mins[[#This Row],[AnaesthStart]]&gt;tbl_Case_mins[[#This Row],[ThClosePm]]),tbl_Case_mins[[#This Row],[Into Recov]]-tbl_Case_mins[[#This Row],[AnaesthStart]],0)</f>
        <v>#REF!</v>
      </c>
      <c r="BP369" s="9" t="e">
        <f>IF(AND(tbl_Case_mins[[#This Row],[AnaesthStart]]&lt;tbl_Case_mins[[#This Row],[ThClosePm]],tbl_Case_mins[[#This Row],[Anaesth End]]&gt;tbl_Case_mins[[#This Row],[ThClosePm]]),tbl_Case_mins[[#This Row],[Anaesth End]]-tbl_Case_mins[[#This Row],[ThClosePm]],0)</f>
        <v>#REF!</v>
      </c>
      <c r="BQ369" s="9" t="e" cm="1">
        <f t="array" ref="BQ36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69" s="9" t="e" cm="1">
        <f t="array" ref="BR369">IF(tbl_Case_mins[[#This Row],[Rank_Adjust]]=SUMPRODUCT(-(tbl_Case_mins[Surgery Start Date]=tbl_Case_mins[[#This Row],[Surgery Start Date]]),-(tbl_Case_mins[Theatre]=tbl_Case_mins[[#This Row],[Theatre]])),INDEX(Poss_Time,MATCH(TEXT(tbl_Case_mins[[#This Row],[Surgery Start Date]],"ddd"),Day,0)),0)</f>
        <v>#REF!</v>
      </c>
      <c r="BS369" s="9" t="e">
        <f>tbl_Case_mins[[#This Row],[Core_Time]]*Util_Goal</f>
        <v>#REF!</v>
      </c>
      <c r="BT369" s="9" t="e" cm="1">
        <f t="array" ref="BT3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69" s="9" t="e" cm="1">
        <f t="array" ref="BU36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6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6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69" s="9" t="e">
        <f>IF(tbl_Case_mins[[#This Row],[Surgery End Date]]&gt;tbl_Case_mins[[#This Row],[Surgery Start Date]],tbl_Case_mins[[#This Row],[Anaesth End]]-1440,0)</f>
        <v>#REF!</v>
      </c>
      <c r="BY369" s="9" t="e">
        <f>tbl_Case_mins[[#This Row],[Total_NonCore]]-tbl_Case_mins[[#This Row],[NextDay_NonCore]]</f>
        <v>#REF!</v>
      </c>
      <c r="BZ369" s="10" t="e">
        <f>tbl_Case_mins[[#This Row],[InCoreUse]]/60</f>
        <v>#REF!</v>
      </c>
      <c r="CA369" s="10" t="e">
        <f>tbl_Case_mins[[#This Row],[Total_NonCore]]/60</f>
        <v>#REF!</v>
      </c>
      <c r="CB369" t="e" cm="1">
        <f t="array" ref="CB3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69" s="9" t="e" cm="1">
        <f t="array" ref="CC36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69" s="9" t="e" cm="1">
        <f t="array" ref="CD36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69" s="9" t="e" cm="1">
        <f t="array" ref="CE36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69" s="9" cm="1">
        <f t="array" ref="CF369">IFERROR(_xlfn.AGGREGATE(14,6,(tbl_Case_mins[Rank_AnaEnd])/((tbl_Case_mins[Surgery Start Date]=tbl_Case_mins[[#This Row],[Surgery Start Date]])*(tbl_Case_mins[Theatre]=tbl_Case_mins[[#This Row],[Theatre]])*(tbl_Case_mins[NoInCoreTime]=0)),1),-1)</f>
        <v>-1</v>
      </c>
      <c r="CG369" s="9" cm="1">
        <f t="array" ref="CG369">IFERROR(_xlfn.AGGREGATE(15,6,(tbl_Case_mins[Rank_AnaSt])/((tbl_Case_mins[Surgery Start Date]=tbl_Case_mins[[#This Row],[Surgery Start Date]])*(tbl_Case_mins[Theatre]=tbl_Case_mins[[#This Row],[Theatre]])*(tbl_Case_mins[NoInCoreTime]=0)),1),-1)</f>
        <v>-1</v>
      </c>
      <c r="CH36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6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69" t="e" cm="1">
        <f t="array" ref="CJ36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6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6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6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69" s="9" cm="1">
        <f t="array" ref="CO3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69" s="9" cm="1">
        <f t="array" ref="CP36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69" s="9" cm="1">
        <f t="array" ref="CQ369">IFERROR(IF(AND(tbl_Case_mins[[#This Row],[FirstAMCase]]=0,tbl_Case_mins[[#This Row],[Rank]]=_xlfn.AGGREGATE(14,6,(tbl_Case_mins[Rank])/((tbl_Case_mins[Surgery Start Date]=tbl_Case_mins[[#This Row],[Surgery Start Date]])*(tbl_Case_mins[Theatre]=tbl_Case_mins[[#This Row],[Theatre]])*(tbl_Case_mins[AmCase]=1)),1)),1,0),0)</f>
        <v>0</v>
      </c>
      <c r="CR369" s="9" cm="1">
        <f t="array" ref="CR36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69" s="9" t="e" cm="1">
        <f t="array" ref="CS36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69" s="9" cm="1">
        <f t="array" ref="CT369">IFERROR(IF(tbl_Case_mins[[#This Row],[Rank]]=_xlfn.AGGREGATE(15,6,(tbl_Case_mins[Rank])/((tbl_Case_mins[Surgery Start Date]=tbl_Case_mins[[#This Row],[Surgery Start Date]])*(tbl_Case_mins[Theatre]=tbl_Case_mins[[#This Row],[Theatre]])*(tbl_Case_mins[PmCase]=1)),1),1,0),0)</f>
        <v>0</v>
      </c>
      <c r="CU369">
        <f>IFERROR(#REF!,0)</f>
        <v>0</v>
      </c>
      <c r="CV369" s="9" t="e" cm="1">
        <f t="array" ref="CV36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69" s="9">
        <f>IFERROR(IF(ISBLANK(INDEX(Bay_AmClose,MATCH(1,INDEX((tbl_Case_mins[[#This Row],[Bay]]=BayNo)*(tbl_Case_mins[[#This Row],[Surgery Start Date]]=BDate),0,1),0))*1440),0,INDEX(Bay_AmClose,MATCH(1,INDEX((tbl_Case_mins[[#This Row],[Bay]]=BayNo)*(tbl_Case_mins[[#This Row],[Surgery Start Date]]=BDate),0,1),0))*1440),0)</f>
        <v>0</v>
      </c>
      <c r="CX369" s="9" cm="1">
        <f t="array" ref="CX369">IFERROR(IF(ISBLANK(INDEX(Bay_PmOpen,MATCH(1,INDEX((tbl_Case_mins[[#This Row],[Bay]]=BayNo)*(tbl_Case_mins[[#This Row],[Surgery Start Date]]=BDate),0,1),0))*1440),0,INDEX(Bay_PmOpen,MATCH(1,INDEX((tbl_Case_mins[[#This Row],[Bay]]=BayNo)*(tbl_Case_mins[[#This Row],[Surgery Start Date]]=BDate),0,1),0))*1440),0)</f>
        <v>0</v>
      </c>
      <c r="CY36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69" s="9"/>
    </row>
    <row r="370" spans="1:104" x14ac:dyDescent="0.2">
      <c r="A370">
        <v>369</v>
      </c>
      <c r="B370" t="e">
        <f>#REF!</f>
        <v>#REF!</v>
      </c>
      <c r="C370" t="e">
        <f>#REF!</f>
        <v>#REF!</v>
      </c>
      <c r="D370" t="e">
        <f>#REF!</f>
        <v>#REF!</v>
      </c>
      <c r="E370" t="e">
        <f>#REF!</f>
        <v>#REF!</v>
      </c>
      <c r="F370" t="e">
        <f>#REF!</f>
        <v>#REF!</v>
      </c>
      <c r="G370" t="e">
        <f>#REF!</f>
        <v>#REF!</v>
      </c>
      <c r="H370" t="e">
        <f>#REF!</f>
        <v>#REF!</v>
      </c>
      <c r="I370" t="e">
        <f>IF(#REF!="Case Cancelled",1,IF(#REF!="No Cases",2,0))</f>
        <v>#REF!</v>
      </c>
      <c r="J370" t="e">
        <f>#REF!</f>
        <v>#REF!</v>
      </c>
      <c r="K370" s="4" t="e">
        <f>#REF!</f>
        <v>#REF!</v>
      </c>
      <c r="L370" t="e">
        <f>"Wk "&amp;WEEKNUM(tbl_Case_mins[[#This Row],[Surgery Start Date]],21)</f>
        <v>#REF!</v>
      </c>
      <c r="M370" t="e">
        <f>TEXT(tbl_Case_mins[[#This Row],[Surgery Start Date]],"ddd")</f>
        <v>#REF!</v>
      </c>
      <c r="N370" s="9" t="e">
        <f>(#REF!-TIME(0,0,0))*1440</f>
        <v>#REF!</v>
      </c>
      <c r="O370" t="e">
        <f>IF(AND(ROUND((#REF!-TIME(0,0,0))*1440,0)&gt;0,ROUND((#REF!-TIME(0,0,0))*1440,0)&lt;tbl_Case_mins[[#This Row],[Patient Called]],tbl_Case_mins[[#This Row],[Surgery End Date]]&gt;tbl_Case_mins[[#This Row],[Surgery Start Date]]),ROUND((#REF!-TIME(0,0,0))*1440,0)+1440,ROUND((#REF!-TIME(0,0,0))*1440,0))</f>
        <v>#REF!</v>
      </c>
      <c r="P370" s="9" t="e">
        <f>IF(AND(ROUND((#REF!-TIME(0,0,0))*1440,0)&gt;0,ROUND((#REF!-TIME(0,0,0))*1440,0)&lt;tbl_Case_mins[[#This Row],[Arrival]],tbl_Case_mins[[#This Row],[Surgery End Date]]&gt;tbl_Case_mins[[#This Row],[Surgery Start Date]]),ROUND((#REF!-TIME(0,0,0))*1440,0)+1440,ROUND((#REF!-TIME(0,0,0))*1440,0))</f>
        <v>#REF!</v>
      </c>
      <c r="Q370" s="9" t="e">
        <f>IF(AND(ROUND((#REF!-TIME(0,0,0))*1440,0)&gt;0,ROUND((#REF!-TIME(0,0,0))*1440,0)&lt;tbl_Case_mins[[#This Row],[Into Th or AR]],tbl_Case_mins[[#This Row],[Surgery End Date]]&gt;tbl_Case_mins[[#This Row],[Surgery Start Date]]),ROUND((#REF!-TIME(0,0,0))*1440,0)+1440,ROUND((#REF!-TIME(0,0,0))*1440,0))</f>
        <v>#REF!</v>
      </c>
      <c r="R370" s="9" t="e">
        <f>IF(AND(ROUND((#REF!-TIME(0,0,0))*1440,0)&gt;0,ROUND((#REF!-TIME(0,0,0))*1440,0)&lt;tbl_Case_mins[[#This Row],[AnaesthStart]],tbl_Case_mins[[#This Row],[Surgery End Date]]&gt;tbl_Case_mins[[#This Row],[Surgery Start Date]]),ROUND((#REF!-TIME(0,0,0))*1440,0)+1440,ROUND((#REF!-TIME(0,0,0))*1440,0))</f>
        <v>#REF!</v>
      </c>
      <c r="S370" s="9" t="e">
        <f>IF(AND(ROUND((#REF!-TIME(0,0,0))*1440,0),ROUND((#REF!-TIME(0,0,0))*1440,0)&lt;tbl_Case_mins[[#This Row],[Surgery Start]],tbl_Case_mins[[#This Row],[Surgery End Date]]&gt;tbl_Case_mins[[#This Row],[Surgery Start Date]]),ROUND((#REF!-TIME(0,0,0))*1440,0)+1440,ROUND((#REF!-TIME(0,0,0))*1440,0))</f>
        <v>#REF!</v>
      </c>
      <c r="T370" s="9" t="e">
        <f>IF(AND(ROUND((#REF!-TIME(0,0,0))*1440,0)&gt;0,ROUND((#REF!-TIME(0,0,0))*1440,0)&lt;tbl_Case_mins[[#This Row],[Surgery Finish]],tbl_Case_mins[[#This Row],[Surgery End Date]]&gt;tbl_Case_mins[[#This Row],[Surgery Start Date]]),ROUND((#REF!-TIME(0,0,0))*1440,0)+1440,ROUND((#REF!-TIME(0,0,0))*1440,0))</f>
        <v>#REF!</v>
      </c>
      <c r="U370" s="9" t="e">
        <f>IF(AND(ROUND((#REF!-TIME(0,0,0))*1440,0)&gt;0,ROUND((#REF!-TIME(0,0,0))*1440,0)&lt;tbl_Case_mins[[#This Row],[Anaesth End]],tbl_Case_mins[[#This Row],[Surgery End Date]]&gt;tbl_Case_mins[[#This Row],[Surgery Start Date]]),ROUND((#REF!-TIME(0,0,0))*1440,0)+1440,ROUND((#REF!-TIME(0,0,0))*1440,0))</f>
        <v>#REF!</v>
      </c>
      <c r="V370" s="9" t="e">
        <f>IF(AND(ROUND((#REF!-TIME(0,0,0))*1440,0)&gt;0,ROUND((#REF!-TIME(0,0,0))*1440,0)&lt;tbl_Case_mins[[#This Row],[Into Recov]],tbl_Case_mins[[#This Row],[Surgery End Date]]&gt;tbl_Case_mins[[#This Row],[Surgery Start Date]]),ROUND((#REF!-TIME(0,0,0))*1440,0)+1440,ROUND((#REF!-TIME(0,0,0))*1440,0))</f>
        <v>#REF!</v>
      </c>
      <c r="W370" s="9" t="e">
        <f>IF(AND(ROUND((#REF!-TIME(0,0,0))*1440,0)&gt;0,ROUND((#REF!-TIME(0,0,0))*1440,0)&lt;tbl_Case_mins[[#This Row],[Ward Called]],tbl_Case_mins[[#This Row],[Surgery End Date]]&gt;tbl_Case_mins[[#This Row],[Surgery Start Date]]),ROUND((#REF!-TIME(0,0,0))*1440,0)+1440,ROUND((#REF!-TIME(0,0,0))*1440,0))</f>
        <v>#REF!</v>
      </c>
      <c r="X370" s="4" t="e">
        <f>IF(ISBLANK(#REF!),tbl_Case_mins[[#This Row],[Surgery Start Date]],#REF!)</f>
        <v>#REF!</v>
      </c>
      <c r="Y370">
        <f>IFERROR(IF(VLOOKUP(tbl_Case_mins[[#This Row],[Theatre]],'Mng Theatres'!$C$7:$G$12,3,FALSE)="Yes","Yes","No"),0)</f>
        <v>0</v>
      </c>
      <c r="Z370" s="9" t="e" cm="1">
        <f t="array" ref="Z37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0" s="9" t="e" cm="1">
        <f t="array" ref="AA37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0" s="9" t="e">
        <f>IF(tbl_Case_mins[[#This Row],[Case Type]]="Unsch",1,0)</f>
        <v>#REF!</v>
      </c>
      <c r="AD370" s="9" t="e">
        <f>IF(tbl_Case_mins[[#This Row],[Case Type]]="Sch",1,0)</f>
        <v>#REF!</v>
      </c>
      <c r="AE37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0" s="9">
        <f>IFERROR(IF(ISBLANK(INDEX(Am_Close,MATCH(1,INDEX((tbl_Case_mins[[#This Row],[Theatre]]=Theatre_No)*(tbl_Case_mins[[#This Row],[Surgery Start Date]]=Date),0,1),0))*1440),0,INDEX(Am_Close,MATCH(1,INDEX((tbl_Case_mins[[#This Row],[Theatre]]=Theatre_No)*(tbl_Case_mins[[#This Row],[Surgery Start Date]]=Date),0,1),0))*1440),0)</f>
        <v>0</v>
      </c>
      <c r="AG370" s="9">
        <f>IFERROR(IF(ISBLANK(INDEX(PM_Open,MATCH(1,INDEX((tbl_Case_mins[[#This Row],[Theatre]]=Theatre_No)*(tbl_Case_mins[[#This Row],[Surgery Start Date]]=Date),0,1),0))*1440),0,INDEX(PM_Open,MATCH(1,INDEX((tbl_Case_mins[[#This Row],[Theatre]]=Theatre_No)*(tbl_Case_mins[[#This Row],[Surgery Start Date]]=Date),0,1),0))*1440),0)</f>
        <v>0</v>
      </c>
      <c r="AH37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0" s="9" t="e">
        <f>IF(tbl_Case_mins[[#This Row],[ThOpenAm]]=0,tbl_Case_mins[[#This Row],[ThOpenPM]],tbl_Case_mins[[#This Row],[ThOpenAm]])</f>
        <v>#REF!</v>
      </c>
      <c r="AJ370" s="9" t="e">
        <f>IF(tbl_Case_mins[[#This Row],[ThCloseAm]]&gt;0,IF(tbl_Case_mins[[#This Row],[ThOpenPM]]&gt;0,tbl_Case_mins[[#This Row],[ThClosePm]],tbl_Case_mins[[#This Row],[ThCloseAm]]),tbl_Case_mins[[#This Row],[ThClosePm]])</f>
        <v>#REF!</v>
      </c>
      <c r="AK370" s="9" t="e">
        <f>IF(tbl_Case_mins[[#This Row],[TOT]]&gt;0,1,0)</f>
        <v>#REF!</v>
      </c>
      <c r="AL37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0" s="9" t="e">
        <f>IF(AND(tbl_Case_mins[[#This Row],[Surgery Status]]&lt;&gt;2,tbl_Case_mins[[#This Row],[InCoreCase]]=0,tbl_Case_mins[[#This Row],[CancelledCase]]=0),1,0)</f>
        <v>#REF!</v>
      </c>
      <c r="AN370" s="9" t="e">
        <f>IF(tbl_Case_mins[[#This Row],[Surgery Status]]=1,1,0)</f>
        <v>#REF!</v>
      </c>
      <c r="AO37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0" s="9" t="e">
        <f>IF(AND(tbl_Case_mins[[#This Row],[NonCoreCase]]=1,tbl_Case_mins[[#This Row],[NoInCoreTime]]=0),1,0)</f>
        <v>#REF!</v>
      </c>
      <c r="AQ370" s="9" t="e">
        <f>IF(tbl_Case_mins[[#This Row],[Rank_AnaEnd]]&lt;tbl_Case_mins[[#This Row],[Rank_AnaSt]],1,0)</f>
        <v>#REF!</v>
      </c>
      <c r="AR370" s="9" t="e">
        <f>IF(AND(tbl_Case_mins[[#This Row],[InCoreCase]]=1,tbl_Case_mins[[#This Row],[Sch]]=1),1,0)</f>
        <v>#REF!</v>
      </c>
      <c r="AS370" s="9" t="e">
        <f>IF(AND(tbl_Case_mins[[#This Row],[InCoreCase]]=1,tbl_Case_mins[[#This Row],[Unsch]]=1),1,0)</f>
        <v>#REF!</v>
      </c>
      <c r="AT37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0" s="9" t="e">
        <f>IF(tbl_Case_mins[[#This Row],[Surgery Status]]=0,(tbl_Case_mins[[#This Row],[Anaesth End]]-tbl_Case_mins[[#This Row],[AnaesthStart]]),0)</f>
        <v>#REF!</v>
      </c>
      <c r="AX370" s="9" t="e">
        <f>IF(tbl_Case_mins[[#This Row],[Surgery Status]]=0,(tbl_Case_mins[[#This Row],[Surgery Finish]]-tbl_Case_mins[[#This Row],[Surgery Start]]),0)</f>
        <v>#REF!</v>
      </c>
      <c r="AY370" s="9" t="e">
        <f>tbl_Case_mins[[#This Row],[Surgery Start]]-tbl_Case_mins[[#This Row],[AnaesthStart]]</f>
        <v>#REF!</v>
      </c>
      <c r="AZ370" s="9" t="e">
        <f>tbl_Case_mins[[#This Row],[Anaesth End]]-tbl_Case_mins[[#This Row],[Surgery Finish]]</f>
        <v>#REF!</v>
      </c>
      <c r="BA37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0" s="16" cm="1">
        <f t="array" ref="BC37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0" s="16" t="e">
        <f>IF(AND(tbl_Case_mins[[#This Row],[FirstAMCase]]=1,tbl_Case_mins[[#This Row],[CancelledCase]]=0,OR(tbl_Case_mins[[#This Row],[EarlyStartAM]]&gt;0,tbl_Case_mins[[#This Row],[AnaesthStart]]=tbl_Case_mins[[#This Row],[ThOpenAm]])),1,0)</f>
        <v>#REF!</v>
      </c>
      <c r="BE370" s="16" t="e">
        <f>IF(AND(tbl_Case_mins[[#This Row],[Rank_AnaSt]]=tbl_Case_mins[[#This Row],[Min_RankAnaSt]],tbl_Case_mins[[#This Row],[Anaesth End]]&gt;=tbl_Case_mins[[#This Row],[ThOpenAm]],tbl_Case_mins[[#This Row],[PmCase]]=0),1,0)</f>
        <v>#REF!</v>
      </c>
      <c r="BF37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0" s="9" t="e" cm="1">
        <f t="array" ref="BH37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0" s="9" t="e">
        <f>IF(AND(tbl_Case_mins[[#This Row],[ThOpenPM]]&gt;0,tbl_Case_mins[[#This Row],[AnaesthStart]]&gt;tbl_Case_mins[[#This Row],[ThOpenPM]],tbl_Case_mins[[#This Row],[First PM Case]]=1),tbl_Case_mins[[#This Row],[AnaesthStart]]-tbl_Case_mins[[#This Row],[ThOpenPM]],0)</f>
        <v>#REF!</v>
      </c>
      <c r="BL37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0" s="9" t="e" cm="1">
        <f t="array" ref="BN37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0" s="9" t="e">
        <f>IF(AND(tbl_Case_mins[[#This Row],[ThClosePm]]&gt;0,tbl_Case_mins[[#This Row],[Anaesth End]]&gt;tbl_Case_mins[[#This Row],[ThClosePm]],tbl_Case_mins[[#This Row],[AnaesthStart]]&gt;tbl_Case_mins[[#This Row],[ThClosePm]]),tbl_Case_mins[[#This Row],[Into Recov]]-tbl_Case_mins[[#This Row],[AnaesthStart]],0)</f>
        <v>#REF!</v>
      </c>
      <c r="BP370" s="9" t="e">
        <f>IF(AND(tbl_Case_mins[[#This Row],[AnaesthStart]]&lt;tbl_Case_mins[[#This Row],[ThClosePm]],tbl_Case_mins[[#This Row],[Anaesth End]]&gt;tbl_Case_mins[[#This Row],[ThClosePm]]),tbl_Case_mins[[#This Row],[Anaesth End]]-tbl_Case_mins[[#This Row],[ThClosePm]],0)</f>
        <v>#REF!</v>
      </c>
      <c r="BQ370" s="9" t="e" cm="1">
        <f t="array" ref="BQ37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0" s="9" t="e" cm="1">
        <f t="array" ref="BR370">IF(tbl_Case_mins[[#This Row],[Rank_Adjust]]=SUMPRODUCT(-(tbl_Case_mins[Surgery Start Date]=tbl_Case_mins[[#This Row],[Surgery Start Date]]),-(tbl_Case_mins[Theatre]=tbl_Case_mins[[#This Row],[Theatre]])),INDEX(Poss_Time,MATCH(TEXT(tbl_Case_mins[[#This Row],[Surgery Start Date]],"ddd"),Day,0)),0)</f>
        <v>#REF!</v>
      </c>
      <c r="BS370" s="9" t="e">
        <f>tbl_Case_mins[[#This Row],[Core_Time]]*Util_Goal</f>
        <v>#REF!</v>
      </c>
      <c r="BT370" s="9" t="e" cm="1">
        <f t="array" ref="BT3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0" s="9" t="e" cm="1">
        <f t="array" ref="BU37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0" s="9" t="e">
        <f>IF(tbl_Case_mins[[#This Row],[Surgery End Date]]&gt;tbl_Case_mins[[#This Row],[Surgery Start Date]],tbl_Case_mins[[#This Row],[Anaesth End]]-1440,0)</f>
        <v>#REF!</v>
      </c>
      <c r="BY370" s="9" t="e">
        <f>tbl_Case_mins[[#This Row],[Total_NonCore]]-tbl_Case_mins[[#This Row],[NextDay_NonCore]]</f>
        <v>#REF!</v>
      </c>
      <c r="BZ370" s="10" t="e">
        <f>tbl_Case_mins[[#This Row],[InCoreUse]]/60</f>
        <v>#REF!</v>
      </c>
      <c r="CA370" s="10" t="e">
        <f>tbl_Case_mins[[#This Row],[Total_NonCore]]/60</f>
        <v>#REF!</v>
      </c>
      <c r="CB370" t="e" cm="1">
        <f t="array" ref="CB3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0" s="9" t="e" cm="1">
        <f t="array" ref="CC37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0" s="9" t="e" cm="1">
        <f t="array" ref="CD37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0" s="9" t="e" cm="1">
        <f t="array" ref="CE37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0" s="9" cm="1">
        <f t="array" ref="CF370">IFERROR(_xlfn.AGGREGATE(14,6,(tbl_Case_mins[Rank_AnaEnd])/((tbl_Case_mins[Surgery Start Date]=tbl_Case_mins[[#This Row],[Surgery Start Date]])*(tbl_Case_mins[Theatre]=tbl_Case_mins[[#This Row],[Theatre]])*(tbl_Case_mins[NoInCoreTime]=0)),1),-1)</f>
        <v>-1</v>
      </c>
      <c r="CG370" s="9" cm="1">
        <f t="array" ref="CG370">IFERROR(_xlfn.AGGREGATE(15,6,(tbl_Case_mins[Rank_AnaSt])/((tbl_Case_mins[Surgery Start Date]=tbl_Case_mins[[#This Row],[Surgery Start Date]])*(tbl_Case_mins[Theatre]=tbl_Case_mins[[#This Row],[Theatre]])*(tbl_Case_mins[NoInCoreTime]=0)),1),-1)</f>
        <v>-1</v>
      </c>
      <c r="CH37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0" t="e" cm="1">
        <f t="array" ref="CJ37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0" s="9" cm="1">
        <f t="array" ref="CO3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0" s="9" cm="1">
        <f t="array" ref="CP37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0" s="9" cm="1">
        <f t="array" ref="CQ370">IFERROR(IF(AND(tbl_Case_mins[[#This Row],[FirstAMCase]]=0,tbl_Case_mins[[#This Row],[Rank]]=_xlfn.AGGREGATE(14,6,(tbl_Case_mins[Rank])/((tbl_Case_mins[Surgery Start Date]=tbl_Case_mins[[#This Row],[Surgery Start Date]])*(tbl_Case_mins[Theatre]=tbl_Case_mins[[#This Row],[Theatre]])*(tbl_Case_mins[AmCase]=1)),1)),1,0),0)</f>
        <v>0</v>
      </c>
      <c r="CR370" s="9" cm="1">
        <f t="array" ref="CR37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0" s="9" t="e" cm="1">
        <f t="array" ref="CS37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0" s="9" cm="1">
        <f t="array" ref="CT370">IFERROR(IF(tbl_Case_mins[[#This Row],[Rank]]=_xlfn.AGGREGATE(15,6,(tbl_Case_mins[Rank])/((tbl_Case_mins[Surgery Start Date]=tbl_Case_mins[[#This Row],[Surgery Start Date]])*(tbl_Case_mins[Theatre]=tbl_Case_mins[[#This Row],[Theatre]])*(tbl_Case_mins[PmCase]=1)),1),1,0),0)</f>
        <v>0</v>
      </c>
      <c r="CU370">
        <f>IFERROR(#REF!,0)</f>
        <v>0</v>
      </c>
      <c r="CV370" s="9" t="e" cm="1">
        <f t="array" ref="CV37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0" s="9">
        <f>IFERROR(IF(ISBLANK(INDEX(Bay_AmClose,MATCH(1,INDEX((tbl_Case_mins[[#This Row],[Bay]]=BayNo)*(tbl_Case_mins[[#This Row],[Surgery Start Date]]=BDate),0,1),0))*1440),0,INDEX(Bay_AmClose,MATCH(1,INDEX((tbl_Case_mins[[#This Row],[Bay]]=BayNo)*(tbl_Case_mins[[#This Row],[Surgery Start Date]]=BDate),0,1),0))*1440),0)</f>
        <v>0</v>
      </c>
      <c r="CX370" s="9" cm="1">
        <f t="array" ref="CX370">IFERROR(IF(ISBLANK(INDEX(Bay_PmOpen,MATCH(1,INDEX((tbl_Case_mins[[#This Row],[Bay]]=BayNo)*(tbl_Case_mins[[#This Row],[Surgery Start Date]]=BDate),0,1),0))*1440),0,INDEX(Bay_PmOpen,MATCH(1,INDEX((tbl_Case_mins[[#This Row],[Bay]]=BayNo)*(tbl_Case_mins[[#This Row],[Surgery Start Date]]=BDate),0,1),0))*1440),0)</f>
        <v>0</v>
      </c>
      <c r="CY37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0" s="9"/>
    </row>
    <row r="371" spans="1:104" x14ac:dyDescent="0.2">
      <c r="A371">
        <v>370</v>
      </c>
      <c r="B371" t="e">
        <f>#REF!</f>
        <v>#REF!</v>
      </c>
      <c r="C371" t="e">
        <f>#REF!</f>
        <v>#REF!</v>
      </c>
      <c r="D371" t="e">
        <f>#REF!</f>
        <v>#REF!</v>
      </c>
      <c r="E371" t="e">
        <f>#REF!</f>
        <v>#REF!</v>
      </c>
      <c r="F371" t="e">
        <f>#REF!</f>
        <v>#REF!</v>
      </c>
      <c r="G371" t="e">
        <f>#REF!</f>
        <v>#REF!</v>
      </c>
      <c r="H371" t="e">
        <f>#REF!</f>
        <v>#REF!</v>
      </c>
      <c r="I371" t="e">
        <f>IF(#REF!="Case Cancelled",1,IF(#REF!="No Cases",2,0))</f>
        <v>#REF!</v>
      </c>
      <c r="J371" t="e">
        <f>#REF!</f>
        <v>#REF!</v>
      </c>
      <c r="K371" s="4" t="e">
        <f>#REF!</f>
        <v>#REF!</v>
      </c>
      <c r="L371" t="e">
        <f>"Wk "&amp;WEEKNUM(tbl_Case_mins[[#This Row],[Surgery Start Date]],21)</f>
        <v>#REF!</v>
      </c>
      <c r="M371" t="e">
        <f>TEXT(tbl_Case_mins[[#This Row],[Surgery Start Date]],"ddd")</f>
        <v>#REF!</v>
      </c>
      <c r="N371" s="9" t="e">
        <f>(#REF!-TIME(0,0,0))*1440</f>
        <v>#REF!</v>
      </c>
      <c r="O371" t="e">
        <f>IF(AND(ROUND((#REF!-TIME(0,0,0))*1440,0)&gt;0,ROUND((#REF!-TIME(0,0,0))*1440,0)&lt;tbl_Case_mins[[#This Row],[Patient Called]],tbl_Case_mins[[#This Row],[Surgery End Date]]&gt;tbl_Case_mins[[#This Row],[Surgery Start Date]]),ROUND((#REF!-TIME(0,0,0))*1440,0)+1440,ROUND((#REF!-TIME(0,0,0))*1440,0))</f>
        <v>#REF!</v>
      </c>
      <c r="P371" s="9" t="e">
        <f>IF(AND(ROUND((#REF!-TIME(0,0,0))*1440,0)&gt;0,ROUND((#REF!-TIME(0,0,0))*1440,0)&lt;tbl_Case_mins[[#This Row],[Arrival]],tbl_Case_mins[[#This Row],[Surgery End Date]]&gt;tbl_Case_mins[[#This Row],[Surgery Start Date]]),ROUND((#REF!-TIME(0,0,0))*1440,0)+1440,ROUND((#REF!-TIME(0,0,0))*1440,0))</f>
        <v>#REF!</v>
      </c>
      <c r="Q371" s="9" t="e">
        <f>IF(AND(ROUND((#REF!-TIME(0,0,0))*1440,0)&gt;0,ROUND((#REF!-TIME(0,0,0))*1440,0)&lt;tbl_Case_mins[[#This Row],[Into Th or AR]],tbl_Case_mins[[#This Row],[Surgery End Date]]&gt;tbl_Case_mins[[#This Row],[Surgery Start Date]]),ROUND((#REF!-TIME(0,0,0))*1440,0)+1440,ROUND((#REF!-TIME(0,0,0))*1440,0))</f>
        <v>#REF!</v>
      </c>
      <c r="R371" s="9" t="e">
        <f>IF(AND(ROUND((#REF!-TIME(0,0,0))*1440,0)&gt;0,ROUND((#REF!-TIME(0,0,0))*1440,0)&lt;tbl_Case_mins[[#This Row],[AnaesthStart]],tbl_Case_mins[[#This Row],[Surgery End Date]]&gt;tbl_Case_mins[[#This Row],[Surgery Start Date]]),ROUND((#REF!-TIME(0,0,0))*1440,0)+1440,ROUND((#REF!-TIME(0,0,0))*1440,0))</f>
        <v>#REF!</v>
      </c>
      <c r="S371" s="9" t="e">
        <f>IF(AND(ROUND((#REF!-TIME(0,0,0))*1440,0),ROUND((#REF!-TIME(0,0,0))*1440,0)&lt;tbl_Case_mins[[#This Row],[Surgery Start]],tbl_Case_mins[[#This Row],[Surgery End Date]]&gt;tbl_Case_mins[[#This Row],[Surgery Start Date]]),ROUND((#REF!-TIME(0,0,0))*1440,0)+1440,ROUND((#REF!-TIME(0,0,0))*1440,0))</f>
        <v>#REF!</v>
      </c>
      <c r="T371" s="9" t="e">
        <f>IF(AND(ROUND((#REF!-TIME(0,0,0))*1440,0)&gt;0,ROUND((#REF!-TIME(0,0,0))*1440,0)&lt;tbl_Case_mins[[#This Row],[Surgery Finish]],tbl_Case_mins[[#This Row],[Surgery End Date]]&gt;tbl_Case_mins[[#This Row],[Surgery Start Date]]),ROUND((#REF!-TIME(0,0,0))*1440,0)+1440,ROUND((#REF!-TIME(0,0,0))*1440,0))</f>
        <v>#REF!</v>
      </c>
      <c r="U371" s="9" t="e">
        <f>IF(AND(ROUND((#REF!-TIME(0,0,0))*1440,0)&gt;0,ROUND((#REF!-TIME(0,0,0))*1440,0)&lt;tbl_Case_mins[[#This Row],[Anaesth End]],tbl_Case_mins[[#This Row],[Surgery End Date]]&gt;tbl_Case_mins[[#This Row],[Surgery Start Date]]),ROUND((#REF!-TIME(0,0,0))*1440,0)+1440,ROUND((#REF!-TIME(0,0,0))*1440,0))</f>
        <v>#REF!</v>
      </c>
      <c r="V371" s="9" t="e">
        <f>IF(AND(ROUND((#REF!-TIME(0,0,0))*1440,0)&gt;0,ROUND((#REF!-TIME(0,0,0))*1440,0)&lt;tbl_Case_mins[[#This Row],[Into Recov]],tbl_Case_mins[[#This Row],[Surgery End Date]]&gt;tbl_Case_mins[[#This Row],[Surgery Start Date]]),ROUND((#REF!-TIME(0,0,0))*1440,0)+1440,ROUND((#REF!-TIME(0,0,0))*1440,0))</f>
        <v>#REF!</v>
      </c>
      <c r="W371" s="9" t="e">
        <f>IF(AND(ROUND((#REF!-TIME(0,0,0))*1440,0)&gt;0,ROUND((#REF!-TIME(0,0,0))*1440,0)&lt;tbl_Case_mins[[#This Row],[Ward Called]],tbl_Case_mins[[#This Row],[Surgery End Date]]&gt;tbl_Case_mins[[#This Row],[Surgery Start Date]]),ROUND((#REF!-TIME(0,0,0))*1440,0)+1440,ROUND((#REF!-TIME(0,0,0))*1440,0))</f>
        <v>#REF!</v>
      </c>
      <c r="X371" s="4" t="e">
        <f>IF(ISBLANK(#REF!),tbl_Case_mins[[#This Row],[Surgery Start Date]],#REF!)</f>
        <v>#REF!</v>
      </c>
      <c r="Y371">
        <f>IFERROR(IF(VLOOKUP(tbl_Case_mins[[#This Row],[Theatre]],'Mng Theatres'!$C$7:$G$12,3,FALSE)="Yes","Yes","No"),0)</f>
        <v>0</v>
      </c>
      <c r="Z371" s="9" t="e" cm="1">
        <f t="array" ref="Z37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1" s="9" t="e" cm="1">
        <f t="array" ref="AA37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1" s="9" t="e">
        <f>IF(tbl_Case_mins[[#This Row],[Case Type]]="Unsch",1,0)</f>
        <v>#REF!</v>
      </c>
      <c r="AD371" s="9" t="e">
        <f>IF(tbl_Case_mins[[#This Row],[Case Type]]="Sch",1,0)</f>
        <v>#REF!</v>
      </c>
      <c r="AE37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1" s="9">
        <f>IFERROR(IF(ISBLANK(INDEX(Am_Close,MATCH(1,INDEX((tbl_Case_mins[[#This Row],[Theatre]]=Theatre_No)*(tbl_Case_mins[[#This Row],[Surgery Start Date]]=Date),0,1),0))*1440),0,INDEX(Am_Close,MATCH(1,INDEX((tbl_Case_mins[[#This Row],[Theatre]]=Theatre_No)*(tbl_Case_mins[[#This Row],[Surgery Start Date]]=Date),0,1),0))*1440),0)</f>
        <v>0</v>
      </c>
      <c r="AG371" s="9">
        <f>IFERROR(IF(ISBLANK(INDEX(PM_Open,MATCH(1,INDEX((tbl_Case_mins[[#This Row],[Theatre]]=Theatre_No)*(tbl_Case_mins[[#This Row],[Surgery Start Date]]=Date),0,1),0))*1440),0,INDEX(PM_Open,MATCH(1,INDEX((tbl_Case_mins[[#This Row],[Theatre]]=Theatre_No)*(tbl_Case_mins[[#This Row],[Surgery Start Date]]=Date),0,1),0))*1440),0)</f>
        <v>0</v>
      </c>
      <c r="AH37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1" s="9" t="e">
        <f>IF(tbl_Case_mins[[#This Row],[ThOpenAm]]=0,tbl_Case_mins[[#This Row],[ThOpenPM]],tbl_Case_mins[[#This Row],[ThOpenAm]])</f>
        <v>#REF!</v>
      </c>
      <c r="AJ371" s="9" t="e">
        <f>IF(tbl_Case_mins[[#This Row],[ThCloseAm]]&gt;0,IF(tbl_Case_mins[[#This Row],[ThOpenPM]]&gt;0,tbl_Case_mins[[#This Row],[ThClosePm]],tbl_Case_mins[[#This Row],[ThCloseAm]]),tbl_Case_mins[[#This Row],[ThClosePm]])</f>
        <v>#REF!</v>
      </c>
      <c r="AK371" s="9" t="e">
        <f>IF(tbl_Case_mins[[#This Row],[TOT]]&gt;0,1,0)</f>
        <v>#REF!</v>
      </c>
      <c r="AL37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1" s="9" t="e">
        <f>IF(AND(tbl_Case_mins[[#This Row],[Surgery Status]]&lt;&gt;2,tbl_Case_mins[[#This Row],[InCoreCase]]=0,tbl_Case_mins[[#This Row],[CancelledCase]]=0),1,0)</f>
        <v>#REF!</v>
      </c>
      <c r="AN371" s="9" t="e">
        <f>IF(tbl_Case_mins[[#This Row],[Surgery Status]]=1,1,0)</f>
        <v>#REF!</v>
      </c>
      <c r="AO37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1" s="9" t="e">
        <f>IF(AND(tbl_Case_mins[[#This Row],[NonCoreCase]]=1,tbl_Case_mins[[#This Row],[NoInCoreTime]]=0),1,0)</f>
        <v>#REF!</v>
      </c>
      <c r="AQ371" s="9" t="e">
        <f>IF(tbl_Case_mins[[#This Row],[Rank_AnaEnd]]&lt;tbl_Case_mins[[#This Row],[Rank_AnaSt]],1,0)</f>
        <v>#REF!</v>
      </c>
      <c r="AR371" s="9" t="e">
        <f>IF(AND(tbl_Case_mins[[#This Row],[InCoreCase]]=1,tbl_Case_mins[[#This Row],[Sch]]=1),1,0)</f>
        <v>#REF!</v>
      </c>
      <c r="AS371" s="9" t="e">
        <f>IF(AND(tbl_Case_mins[[#This Row],[InCoreCase]]=1,tbl_Case_mins[[#This Row],[Unsch]]=1),1,0)</f>
        <v>#REF!</v>
      </c>
      <c r="AT37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1" s="9" t="e">
        <f>IF(tbl_Case_mins[[#This Row],[Surgery Status]]=0,(tbl_Case_mins[[#This Row],[Anaesth End]]-tbl_Case_mins[[#This Row],[AnaesthStart]]),0)</f>
        <v>#REF!</v>
      </c>
      <c r="AX371" s="9" t="e">
        <f>IF(tbl_Case_mins[[#This Row],[Surgery Status]]=0,(tbl_Case_mins[[#This Row],[Surgery Finish]]-tbl_Case_mins[[#This Row],[Surgery Start]]),0)</f>
        <v>#REF!</v>
      </c>
      <c r="AY371" s="9" t="e">
        <f>tbl_Case_mins[[#This Row],[Surgery Start]]-tbl_Case_mins[[#This Row],[AnaesthStart]]</f>
        <v>#REF!</v>
      </c>
      <c r="AZ371" s="9" t="e">
        <f>tbl_Case_mins[[#This Row],[Anaesth End]]-tbl_Case_mins[[#This Row],[Surgery Finish]]</f>
        <v>#REF!</v>
      </c>
      <c r="BA37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1" s="16" cm="1">
        <f t="array" ref="BC37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1" s="16" t="e">
        <f>IF(AND(tbl_Case_mins[[#This Row],[FirstAMCase]]=1,tbl_Case_mins[[#This Row],[CancelledCase]]=0,OR(tbl_Case_mins[[#This Row],[EarlyStartAM]]&gt;0,tbl_Case_mins[[#This Row],[AnaesthStart]]=tbl_Case_mins[[#This Row],[ThOpenAm]])),1,0)</f>
        <v>#REF!</v>
      </c>
      <c r="BE371" s="16" t="e">
        <f>IF(AND(tbl_Case_mins[[#This Row],[Rank_AnaSt]]=tbl_Case_mins[[#This Row],[Min_RankAnaSt]],tbl_Case_mins[[#This Row],[Anaesth End]]&gt;=tbl_Case_mins[[#This Row],[ThOpenAm]],tbl_Case_mins[[#This Row],[PmCase]]=0),1,0)</f>
        <v>#REF!</v>
      </c>
      <c r="BF37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1" s="9" t="e" cm="1">
        <f t="array" ref="BH37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1" s="9" t="e">
        <f>IF(AND(tbl_Case_mins[[#This Row],[ThOpenPM]]&gt;0,tbl_Case_mins[[#This Row],[AnaesthStart]]&gt;tbl_Case_mins[[#This Row],[ThOpenPM]],tbl_Case_mins[[#This Row],[First PM Case]]=1),tbl_Case_mins[[#This Row],[AnaesthStart]]-tbl_Case_mins[[#This Row],[ThOpenPM]],0)</f>
        <v>#REF!</v>
      </c>
      <c r="BL37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1" s="9" t="e" cm="1">
        <f t="array" ref="BN37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1" s="9" t="e">
        <f>IF(AND(tbl_Case_mins[[#This Row],[ThClosePm]]&gt;0,tbl_Case_mins[[#This Row],[Anaesth End]]&gt;tbl_Case_mins[[#This Row],[ThClosePm]],tbl_Case_mins[[#This Row],[AnaesthStart]]&gt;tbl_Case_mins[[#This Row],[ThClosePm]]),tbl_Case_mins[[#This Row],[Into Recov]]-tbl_Case_mins[[#This Row],[AnaesthStart]],0)</f>
        <v>#REF!</v>
      </c>
      <c r="BP371" s="9" t="e">
        <f>IF(AND(tbl_Case_mins[[#This Row],[AnaesthStart]]&lt;tbl_Case_mins[[#This Row],[ThClosePm]],tbl_Case_mins[[#This Row],[Anaesth End]]&gt;tbl_Case_mins[[#This Row],[ThClosePm]]),tbl_Case_mins[[#This Row],[Anaesth End]]-tbl_Case_mins[[#This Row],[ThClosePm]],0)</f>
        <v>#REF!</v>
      </c>
      <c r="BQ371" s="9" t="e" cm="1">
        <f t="array" ref="BQ37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1" s="9" t="e" cm="1">
        <f t="array" ref="BR371">IF(tbl_Case_mins[[#This Row],[Rank_Adjust]]=SUMPRODUCT(-(tbl_Case_mins[Surgery Start Date]=tbl_Case_mins[[#This Row],[Surgery Start Date]]),-(tbl_Case_mins[Theatre]=tbl_Case_mins[[#This Row],[Theatre]])),INDEX(Poss_Time,MATCH(TEXT(tbl_Case_mins[[#This Row],[Surgery Start Date]],"ddd"),Day,0)),0)</f>
        <v>#REF!</v>
      </c>
      <c r="BS371" s="9" t="e">
        <f>tbl_Case_mins[[#This Row],[Core_Time]]*Util_Goal</f>
        <v>#REF!</v>
      </c>
      <c r="BT371" s="9" t="e" cm="1">
        <f t="array" ref="BT3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1" s="9" t="e" cm="1">
        <f t="array" ref="BU37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1" s="9" t="e">
        <f>IF(tbl_Case_mins[[#This Row],[Surgery End Date]]&gt;tbl_Case_mins[[#This Row],[Surgery Start Date]],tbl_Case_mins[[#This Row],[Anaesth End]]-1440,0)</f>
        <v>#REF!</v>
      </c>
      <c r="BY371" s="9" t="e">
        <f>tbl_Case_mins[[#This Row],[Total_NonCore]]-tbl_Case_mins[[#This Row],[NextDay_NonCore]]</f>
        <v>#REF!</v>
      </c>
      <c r="BZ371" s="10" t="e">
        <f>tbl_Case_mins[[#This Row],[InCoreUse]]/60</f>
        <v>#REF!</v>
      </c>
      <c r="CA371" s="10" t="e">
        <f>tbl_Case_mins[[#This Row],[Total_NonCore]]/60</f>
        <v>#REF!</v>
      </c>
      <c r="CB371" t="e" cm="1">
        <f t="array" ref="CB3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1" s="9" t="e" cm="1">
        <f t="array" ref="CC37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1" s="9" t="e" cm="1">
        <f t="array" ref="CD37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1" s="9" t="e" cm="1">
        <f t="array" ref="CE37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1" s="9" cm="1">
        <f t="array" ref="CF371">IFERROR(_xlfn.AGGREGATE(14,6,(tbl_Case_mins[Rank_AnaEnd])/((tbl_Case_mins[Surgery Start Date]=tbl_Case_mins[[#This Row],[Surgery Start Date]])*(tbl_Case_mins[Theatre]=tbl_Case_mins[[#This Row],[Theatre]])*(tbl_Case_mins[NoInCoreTime]=0)),1),-1)</f>
        <v>-1</v>
      </c>
      <c r="CG371" s="9" cm="1">
        <f t="array" ref="CG371">IFERROR(_xlfn.AGGREGATE(15,6,(tbl_Case_mins[Rank_AnaSt])/((tbl_Case_mins[Surgery Start Date]=tbl_Case_mins[[#This Row],[Surgery Start Date]])*(tbl_Case_mins[Theatre]=tbl_Case_mins[[#This Row],[Theatre]])*(tbl_Case_mins[NoInCoreTime]=0)),1),-1)</f>
        <v>-1</v>
      </c>
      <c r="CH37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1" t="e" cm="1">
        <f t="array" ref="CJ37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1" s="9" cm="1">
        <f t="array" ref="CO3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1" s="9" cm="1">
        <f t="array" ref="CP37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1" s="9" cm="1">
        <f t="array" ref="CQ371">IFERROR(IF(AND(tbl_Case_mins[[#This Row],[FirstAMCase]]=0,tbl_Case_mins[[#This Row],[Rank]]=_xlfn.AGGREGATE(14,6,(tbl_Case_mins[Rank])/((tbl_Case_mins[Surgery Start Date]=tbl_Case_mins[[#This Row],[Surgery Start Date]])*(tbl_Case_mins[Theatre]=tbl_Case_mins[[#This Row],[Theatre]])*(tbl_Case_mins[AmCase]=1)),1)),1,0),0)</f>
        <v>0</v>
      </c>
      <c r="CR371" s="9" cm="1">
        <f t="array" ref="CR37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1" s="9" t="e" cm="1">
        <f t="array" ref="CS37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1" s="9" cm="1">
        <f t="array" ref="CT371">IFERROR(IF(tbl_Case_mins[[#This Row],[Rank]]=_xlfn.AGGREGATE(15,6,(tbl_Case_mins[Rank])/((tbl_Case_mins[Surgery Start Date]=tbl_Case_mins[[#This Row],[Surgery Start Date]])*(tbl_Case_mins[Theatre]=tbl_Case_mins[[#This Row],[Theatre]])*(tbl_Case_mins[PmCase]=1)),1),1,0),0)</f>
        <v>0</v>
      </c>
      <c r="CU371">
        <f>IFERROR(#REF!,0)</f>
        <v>0</v>
      </c>
      <c r="CV371" s="9" t="e" cm="1">
        <f t="array" ref="CV37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1" s="9">
        <f>IFERROR(IF(ISBLANK(INDEX(Bay_AmClose,MATCH(1,INDEX((tbl_Case_mins[[#This Row],[Bay]]=BayNo)*(tbl_Case_mins[[#This Row],[Surgery Start Date]]=BDate),0,1),0))*1440),0,INDEX(Bay_AmClose,MATCH(1,INDEX((tbl_Case_mins[[#This Row],[Bay]]=BayNo)*(tbl_Case_mins[[#This Row],[Surgery Start Date]]=BDate),0,1),0))*1440),0)</f>
        <v>0</v>
      </c>
      <c r="CX371" s="9" cm="1">
        <f t="array" ref="CX371">IFERROR(IF(ISBLANK(INDEX(Bay_PmOpen,MATCH(1,INDEX((tbl_Case_mins[[#This Row],[Bay]]=BayNo)*(tbl_Case_mins[[#This Row],[Surgery Start Date]]=BDate),0,1),0))*1440),0,INDEX(Bay_PmOpen,MATCH(1,INDEX((tbl_Case_mins[[#This Row],[Bay]]=BayNo)*(tbl_Case_mins[[#This Row],[Surgery Start Date]]=BDate),0,1),0))*1440),0)</f>
        <v>0</v>
      </c>
      <c r="CY37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1" s="9"/>
    </row>
    <row r="372" spans="1:104" x14ac:dyDescent="0.2">
      <c r="A372">
        <v>371</v>
      </c>
      <c r="B372" t="e">
        <f>#REF!</f>
        <v>#REF!</v>
      </c>
      <c r="C372" t="e">
        <f>#REF!</f>
        <v>#REF!</v>
      </c>
      <c r="D372" t="e">
        <f>#REF!</f>
        <v>#REF!</v>
      </c>
      <c r="E372" t="e">
        <f>#REF!</f>
        <v>#REF!</v>
      </c>
      <c r="F372" t="e">
        <f>#REF!</f>
        <v>#REF!</v>
      </c>
      <c r="G372" t="e">
        <f>#REF!</f>
        <v>#REF!</v>
      </c>
      <c r="H372" t="e">
        <f>#REF!</f>
        <v>#REF!</v>
      </c>
      <c r="I372" t="e">
        <f>IF(#REF!="Case Cancelled",1,IF(#REF!="No Cases",2,0))</f>
        <v>#REF!</v>
      </c>
      <c r="J372" t="e">
        <f>#REF!</f>
        <v>#REF!</v>
      </c>
      <c r="K372" s="4" t="e">
        <f>#REF!</f>
        <v>#REF!</v>
      </c>
      <c r="L372" t="e">
        <f>"Wk "&amp;WEEKNUM(tbl_Case_mins[[#This Row],[Surgery Start Date]],21)</f>
        <v>#REF!</v>
      </c>
      <c r="M372" t="e">
        <f>TEXT(tbl_Case_mins[[#This Row],[Surgery Start Date]],"ddd")</f>
        <v>#REF!</v>
      </c>
      <c r="N372" s="9" t="e">
        <f>(#REF!-TIME(0,0,0))*1440</f>
        <v>#REF!</v>
      </c>
      <c r="O372" t="e">
        <f>IF(AND(ROUND((#REF!-TIME(0,0,0))*1440,0)&gt;0,ROUND((#REF!-TIME(0,0,0))*1440,0)&lt;tbl_Case_mins[[#This Row],[Patient Called]],tbl_Case_mins[[#This Row],[Surgery End Date]]&gt;tbl_Case_mins[[#This Row],[Surgery Start Date]]),ROUND((#REF!-TIME(0,0,0))*1440,0)+1440,ROUND((#REF!-TIME(0,0,0))*1440,0))</f>
        <v>#REF!</v>
      </c>
      <c r="P372" s="9" t="e">
        <f>IF(AND(ROUND((#REF!-TIME(0,0,0))*1440,0)&gt;0,ROUND((#REF!-TIME(0,0,0))*1440,0)&lt;tbl_Case_mins[[#This Row],[Arrival]],tbl_Case_mins[[#This Row],[Surgery End Date]]&gt;tbl_Case_mins[[#This Row],[Surgery Start Date]]),ROUND((#REF!-TIME(0,0,0))*1440,0)+1440,ROUND((#REF!-TIME(0,0,0))*1440,0))</f>
        <v>#REF!</v>
      </c>
      <c r="Q372" s="9" t="e">
        <f>IF(AND(ROUND((#REF!-TIME(0,0,0))*1440,0)&gt;0,ROUND((#REF!-TIME(0,0,0))*1440,0)&lt;tbl_Case_mins[[#This Row],[Into Th or AR]],tbl_Case_mins[[#This Row],[Surgery End Date]]&gt;tbl_Case_mins[[#This Row],[Surgery Start Date]]),ROUND((#REF!-TIME(0,0,0))*1440,0)+1440,ROUND((#REF!-TIME(0,0,0))*1440,0))</f>
        <v>#REF!</v>
      </c>
      <c r="R372" s="9" t="e">
        <f>IF(AND(ROUND((#REF!-TIME(0,0,0))*1440,0)&gt;0,ROUND((#REF!-TIME(0,0,0))*1440,0)&lt;tbl_Case_mins[[#This Row],[AnaesthStart]],tbl_Case_mins[[#This Row],[Surgery End Date]]&gt;tbl_Case_mins[[#This Row],[Surgery Start Date]]),ROUND((#REF!-TIME(0,0,0))*1440,0)+1440,ROUND((#REF!-TIME(0,0,0))*1440,0))</f>
        <v>#REF!</v>
      </c>
      <c r="S372" s="9" t="e">
        <f>IF(AND(ROUND((#REF!-TIME(0,0,0))*1440,0),ROUND((#REF!-TIME(0,0,0))*1440,0)&lt;tbl_Case_mins[[#This Row],[Surgery Start]],tbl_Case_mins[[#This Row],[Surgery End Date]]&gt;tbl_Case_mins[[#This Row],[Surgery Start Date]]),ROUND((#REF!-TIME(0,0,0))*1440,0)+1440,ROUND((#REF!-TIME(0,0,0))*1440,0))</f>
        <v>#REF!</v>
      </c>
      <c r="T372" s="9" t="e">
        <f>IF(AND(ROUND((#REF!-TIME(0,0,0))*1440,0)&gt;0,ROUND((#REF!-TIME(0,0,0))*1440,0)&lt;tbl_Case_mins[[#This Row],[Surgery Finish]],tbl_Case_mins[[#This Row],[Surgery End Date]]&gt;tbl_Case_mins[[#This Row],[Surgery Start Date]]),ROUND((#REF!-TIME(0,0,0))*1440,0)+1440,ROUND((#REF!-TIME(0,0,0))*1440,0))</f>
        <v>#REF!</v>
      </c>
      <c r="U372" s="9" t="e">
        <f>IF(AND(ROUND((#REF!-TIME(0,0,0))*1440,0)&gt;0,ROUND((#REF!-TIME(0,0,0))*1440,0)&lt;tbl_Case_mins[[#This Row],[Anaesth End]],tbl_Case_mins[[#This Row],[Surgery End Date]]&gt;tbl_Case_mins[[#This Row],[Surgery Start Date]]),ROUND((#REF!-TIME(0,0,0))*1440,0)+1440,ROUND((#REF!-TIME(0,0,0))*1440,0))</f>
        <v>#REF!</v>
      </c>
      <c r="V372" s="9" t="e">
        <f>IF(AND(ROUND((#REF!-TIME(0,0,0))*1440,0)&gt;0,ROUND((#REF!-TIME(0,0,0))*1440,0)&lt;tbl_Case_mins[[#This Row],[Into Recov]],tbl_Case_mins[[#This Row],[Surgery End Date]]&gt;tbl_Case_mins[[#This Row],[Surgery Start Date]]),ROUND((#REF!-TIME(0,0,0))*1440,0)+1440,ROUND((#REF!-TIME(0,0,0))*1440,0))</f>
        <v>#REF!</v>
      </c>
      <c r="W372" s="9" t="e">
        <f>IF(AND(ROUND((#REF!-TIME(0,0,0))*1440,0)&gt;0,ROUND((#REF!-TIME(0,0,0))*1440,0)&lt;tbl_Case_mins[[#This Row],[Ward Called]],tbl_Case_mins[[#This Row],[Surgery End Date]]&gt;tbl_Case_mins[[#This Row],[Surgery Start Date]]),ROUND((#REF!-TIME(0,0,0))*1440,0)+1440,ROUND((#REF!-TIME(0,0,0))*1440,0))</f>
        <v>#REF!</v>
      </c>
      <c r="X372" s="4" t="e">
        <f>IF(ISBLANK(#REF!),tbl_Case_mins[[#This Row],[Surgery Start Date]],#REF!)</f>
        <v>#REF!</v>
      </c>
      <c r="Y372">
        <f>IFERROR(IF(VLOOKUP(tbl_Case_mins[[#This Row],[Theatre]],'Mng Theatres'!$C$7:$G$12,3,FALSE)="Yes","Yes","No"),0)</f>
        <v>0</v>
      </c>
      <c r="Z372" s="9" t="e" cm="1">
        <f t="array" ref="Z37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2" s="9" t="e" cm="1">
        <f t="array" ref="AA37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2" s="9" t="e">
        <f>IF(tbl_Case_mins[[#This Row],[Case Type]]="Unsch",1,0)</f>
        <v>#REF!</v>
      </c>
      <c r="AD372" s="9" t="e">
        <f>IF(tbl_Case_mins[[#This Row],[Case Type]]="Sch",1,0)</f>
        <v>#REF!</v>
      </c>
      <c r="AE37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2" s="9">
        <f>IFERROR(IF(ISBLANK(INDEX(Am_Close,MATCH(1,INDEX((tbl_Case_mins[[#This Row],[Theatre]]=Theatre_No)*(tbl_Case_mins[[#This Row],[Surgery Start Date]]=Date),0,1),0))*1440),0,INDEX(Am_Close,MATCH(1,INDEX((tbl_Case_mins[[#This Row],[Theatre]]=Theatre_No)*(tbl_Case_mins[[#This Row],[Surgery Start Date]]=Date),0,1),0))*1440),0)</f>
        <v>0</v>
      </c>
      <c r="AG372" s="9">
        <f>IFERROR(IF(ISBLANK(INDEX(PM_Open,MATCH(1,INDEX((tbl_Case_mins[[#This Row],[Theatre]]=Theatre_No)*(tbl_Case_mins[[#This Row],[Surgery Start Date]]=Date),0,1),0))*1440),0,INDEX(PM_Open,MATCH(1,INDEX((tbl_Case_mins[[#This Row],[Theatre]]=Theatre_No)*(tbl_Case_mins[[#This Row],[Surgery Start Date]]=Date),0,1),0))*1440),0)</f>
        <v>0</v>
      </c>
      <c r="AH37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2" s="9" t="e">
        <f>IF(tbl_Case_mins[[#This Row],[ThOpenAm]]=0,tbl_Case_mins[[#This Row],[ThOpenPM]],tbl_Case_mins[[#This Row],[ThOpenAm]])</f>
        <v>#REF!</v>
      </c>
      <c r="AJ372" s="9" t="e">
        <f>IF(tbl_Case_mins[[#This Row],[ThCloseAm]]&gt;0,IF(tbl_Case_mins[[#This Row],[ThOpenPM]]&gt;0,tbl_Case_mins[[#This Row],[ThClosePm]],tbl_Case_mins[[#This Row],[ThCloseAm]]),tbl_Case_mins[[#This Row],[ThClosePm]])</f>
        <v>#REF!</v>
      </c>
      <c r="AK372" s="9" t="e">
        <f>IF(tbl_Case_mins[[#This Row],[TOT]]&gt;0,1,0)</f>
        <v>#REF!</v>
      </c>
      <c r="AL37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2" s="9" t="e">
        <f>IF(AND(tbl_Case_mins[[#This Row],[Surgery Status]]&lt;&gt;2,tbl_Case_mins[[#This Row],[InCoreCase]]=0,tbl_Case_mins[[#This Row],[CancelledCase]]=0),1,0)</f>
        <v>#REF!</v>
      </c>
      <c r="AN372" s="9" t="e">
        <f>IF(tbl_Case_mins[[#This Row],[Surgery Status]]=1,1,0)</f>
        <v>#REF!</v>
      </c>
      <c r="AO37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2" s="9" t="e">
        <f>IF(AND(tbl_Case_mins[[#This Row],[NonCoreCase]]=1,tbl_Case_mins[[#This Row],[NoInCoreTime]]=0),1,0)</f>
        <v>#REF!</v>
      </c>
      <c r="AQ372" s="9" t="e">
        <f>IF(tbl_Case_mins[[#This Row],[Rank_AnaEnd]]&lt;tbl_Case_mins[[#This Row],[Rank_AnaSt]],1,0)</f>
        <v>#REF!</v>
      </c>
      <c r="AR372" s="9" t="e">
        <f>IF(AND(tbl_Case_mins[[#This Row],[InCoreCase]]=1,tbl_Case_mins[[#This Row],[Sch]]=1),1,0)</f>
        <v>#REF!</v>
      </c>
      <c r="AS372" s="9" t="e">
        <f>IF(AND(tbl_Case_mins[[#This Row],[InCoreCase]]=1,tbl_Case_mins[[#This Row],[Unsch]]=1),1,0)</f>
        <v>#REF!</v>
      </c>
      <c r="AT37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2" s="9" t="e">
        <f>IF(tbl_Case_mins[[#This Row],[Surgery Status]]=0,(tbl_Case_mins[[#This Row],[Anaesth End]]-tbl_Case_mins[[#This Row],[AnaesthStart]]),0)</f>
        <v>#REF!</v>
      </c>
      <c r="AX372" s="9" t="e">
        <f>IF(tbl_Case_mins[[#This Row],[Surgery Status]]=0,(tbl_Case_mins[[#This Row],[Surgery Finish]]-tbl_Case_mins[[#This Row],[Surgery Start]]),0)</f>
        <v>#REF!</v>
      </c>
      <c r="AY372" s="9" t="e">
        <f>tbl_Case_mins[[#This Row],[Surgery Start]]-tbl_Case_mins[[#This Row],[AnaesthStart]]</f>
        <v>#REF!</v>
      </c>
      <c r="AZ372" s="9" t="e">
        <f>tbl_Case_mins[[#This Row],[Anaesth End]]-tbl_Case_mins[[#This Row],[Surgery Finish]]</f>
        <v>#REF!</v>
      </c>
      <c r="BA37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2" s="16" cm="1">
        <f t="array" ref="BC37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2" s="16" t="e">
        <f>IF(AND(tbl_Case_mins[[#This Row],[FirstAMCase]]=1,tbl_Case_mins[[#This Row],[CancelledCase]]=0,OR(tbl_Case_mins[[#This Row],[EarlyStartAM]]&gt;0,tbl_Case_mins[[#This Row],[AnaesthStart]]=tbl_Case_mins[[#This Row],[ThOpenAm]])),1,0)</f>
        <v>#REF!</v>
      </c>
      <c r="BE372" s="16" t="e">
        <f>IF(AND(tbl_Case_mins[[#This Row],[Rank_AnaSt]]=tbl_Case_mins[[#This Row],[Min_RankAnaSt]],tbl_Case_mins[[#This Row],[Anaesth End]]&gt;=tbl_Case_mins[[#This Row],[ThOpenAm]],tbl_Case_mins[[#This Row],[PmCase]]=0),1,0)</f>
        <v>#REF!</v>
      </c>
      <c r="BF37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2" s="9" t="e" cm="1">
        <f t="array" ref="BH37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2" s="9" t="e">
        <f>IF(AND(tbl_Case_mins[[#This Row],[ThOpenPM]]&gt;0,tbl_Case_mins[[#This Row],[AnaesthStart]]&gt;tbl_Case_mins[[#This Row],[ThOpenPM]],tbl_Case_mins[[#This Row],[First PM Case]]=1),tbl_Case_mins[[#This Row],[AnaesthStart]]-tbl_Case_mins[[#This Row],[ThOpenPM]],0)</f>
        <v>#REF!</v>
      </c>
      <c r="BL37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2" s="9" t="e" cm="1">
        <f t="array" ref="BN37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2" s="9" t="e">
        <f>IF(AND(tbl_Case_mins[[#This Row],[ThClosePm]]&gt;0,tbl_Case_mins[[#This Row],[Anaesth End]]&gt;tbl_Case_mins[[#This Row],[ThClosePm]],tbl_Case_mins[[#This Row],[AnaesthStart]]&gt;tbl_Case_mins[[#This Row],[ThClosePm]]),tbl_Case_mins[[#This Row],[Into Recov]]-tbl_Case_mins[[#This Row],[AnaesthStart]],0)</f>
        <v>#REF!</v>
      </c>
      <c r="BP372" s="9" t="e">
        <f>IF(AND(tbl_Case_mins[[#This Row],[AnaesthStart]]&lt;tbl_Case_mins[[#This Row],[ThClosePm]],tbl_Case_mins[[#This Row],[Anaesth End]]&gt;tbl_Case_mins[[#This Row],[ThClosePm]]),tbl_Case_mins[[#This Row],[Anaesth End]]-tbl_Case_mins[[#This Row],[ThClosePm]],0)</f>
        <v>#REF!</v>
      </c>
      <c r="BQ372" s="9" t="e" cm="1">
        <f t="array" ref="BQ37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2" s="9" t="e" cm="1">
        <f t="array" ref="BR372">IF(tbl_Case_mins[[#This Row],[Rank_Adjust]]=SUMPRODUCT(-(tbl_Case_mins[Surgery Start Date]=tbl_Case_mins[[#This Row],[Surgery Start Date]]),-(tbl_Case_mins[Theatre]=tbl_Case_mins[[#This Row],[Theatre]])),INDEX(Poss_Time,MATCH(TEXT(tbl_Case_mins[[#This Row],[Surgery Start Date]],"ddd"),Day,0)),0)</f>
        <v>#REF!</v>
      </c>
      <c r="BS372" s="9" t="e">
        <f>tbl_Case_mins[[#This Row],[Core_Time]]*Util_Goal</f>
        <v>#REF!</v>
      </c>
      <c r="BT372" s="9" t="e" cm="1">
        <f t="array" ref="BT3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2" s="9" t="e" cm="1">
        <f t="array" ref="BU37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2" s="9" t="e">
        <f>IF(tbl_Case_mins[[#This Row],[Surgery End Date]]&gt;tbl_Case_mins[[#This Row],[Surgery Start Date]],tbl_Case_mins[[#This Row],[Anaesth End]]-1440,0)</f>
        <v>#REF!</v>
      </c>
      <c r="BY372" s="9" t="e">
        <f>tbl_Case_mins[[#This Row],[Total_NonCore]]-tbl_Case_mins[[#This Row],[NextDay_NonCore]]</f>
        <v>#REF!</v>
      </c>
      <c r="BZ372" s="10" t="e">
        <f>tbl_Case_mins[[#This Row],[InCoreUse]]/60</f>
        <v>#REF!</v>
      </c>
      <c r="CA372" s="10" t="e">
        <f>tbl_Case_mins[[#This Row],[Total_NonCore]]/60</f>
        <v>#REF!</v>
      </c>
      <c r="CB372" t="e" cm="1">
        <f t="array" ref="CB3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2" s="9" t="e" cm="1">
        <f t="array" ref="CC37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2" s="9" t="e" cm="1">
        <f t="array" ref="CD37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2" s="9" t="e" cm="1">
        <f t="array" ref="CE37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2" s="9" cm="1">
        <f t="array" ref="CF372">IFERROR(_xlfn.AGGREGATE(14,6,(tbl_Case_mins[Rank_AnaEnd])/((tbl_Case_mins[Surgery Start Date]=tbl_Case_mins[[#This Row],[Surgery Start Date]])*(tbl_Case_mins[Theatre]=tbl_Case_mins[[#This Row],[Theatre]])*(tbl_Case_mins[NoInCoreTime]=0)),1),-1)</f>
        <v>-1</v>
      </c>
      <c r="CG372" s="9" cm="1">
        <f t="array" ref="CG372">IFERROR(_xlfn.AGGREGATE(15,6,(tbl_Case_mins[Rank_AnaSt])/((tbl_Case_mins[Surgery Start Date]=tbl_Case_mins[[#This Row],[Surgery Start Date]])*(tbl_Case_mins[Theatre]=tbl_Case_mins[[#This Row],[Theatre]])*(tbl_Case_mins[NoInCoreTime]=0)),1),-1)</f>
        <v>-1</v>
      </c>
      <c r="CH37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2" t="e" cm="1">
        <f t="array" ref="CJ37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2" s="9" cm="1">
        <f t="array" ref="CO3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2" s="9" cm="1">
        <f t="array" ref="CP37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2" s="9" cm="1">
        <f t="array" ref="CQ372">IFERROR(IF(AND(tbl_Case_mins[[#This Row],[FirstAMCase]]=0,tbl_Case_mins[[#This Row],[Rank]]=_xlfn.AGGREGATE(14,6,(tbl_Case_mins[Rank])/((tbl_Case_mins[Surgery Start Date]=tbl_Case_mins[[#This Row],[Surgery Start Date]])*(tbl_Case_mins[Theatre]=tbl_Case_mins[[#This Row],[Theatre]])*(tbl_Case_mins[AmCase]=1)),1)),1,0),0)</f>
        <v>0</v>
      </c>
      <c r="CR372" s="9" cm="1">
        <f t="array" ref="CR37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2" s="9" t="e" cm="1">
        <f t="array" ref="CS37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2" s="9" cm="1">
        <f t="array" ref="CT372">IFERROR(IF(tbl_Case_mins[[#This Row],[Rank]]=_xlfn.AGGREGATE(15,6,(tbl_Case_mins[Rank])/((tbl_Case_mins[Surgery Start Date]=tbl_Case_mins[[#This Row],[Surgery Start Date]])*(tbl_Case_mins[Theatre]=tbl_Case_mins[[#This Row],[Theatre]])*(tbl_Case_mins[PmCase]=1)),1),1,0),0)</f>
        <v>0</v>
      </c>
      <c r="CU372">
        <f>IFERROR(#REF!,0)</f>
        <v>0</v>
      </c>
      <c r="CV372" s="9" t="e" cm="1">
        <f t="array" ref="CV37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2" s="9">
        <f>IFERROR(IF(ISBLANK(INDEX(Bay_AmClose,MATCH(1,INDEX((tbl_Case_mins[[#This Row],[Bay]]=BayNo)*(tbl_Case_mins[[#This Row],[Surgery Start Date]]=BDate),0,1),0))*1440),0,INDEX(Bay_AmClose,MATCH(1,INDEX((tbl_Case_mins[[#This Row],[Bay]]=BayNo)*(tbl_Case_mins[[#This Row],[Surgery Start Date]]=BDate),0,1),0))*1440),0)</f>
        <v>0</v>
      </c>
      <c r="CX372" s="9" cm="1">
        <f t="array" ref="CX372">IFERROR(IF(ISBLANK(INDEX(Bay_PmOpen,MATCH(1,INDEX((tbl_Case_mins[[#This Row],[Bay]]=BayNo)*(tbl_Case_mins[[#This Row],[Surgery Start Date]]=BDate),0,1),0))*1440),0,INDEX(Bay_PmOpen,MATCH(1,INDEX((tbl_Case_mins[[#This Row],[Bay]]=BayNo)*(tbl_Case_mins[[#This Row],[Surgery Start Date]]=BDate),0,1),0))*1440),0)</f>
        <v>0</v>
      </c>
      <c r="CY37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2" s="9"/>
    </row>
    <row r="373" spans="1:104" x14ac:dyDescent="0.2">
      <c r="A373">
        <v>372</v>
      </c>
      <c r="B373" t="e">
        <f>#REF!</f>
        <v>#REF!</v>
      </c>
      <c r="C373" t="e">
        <f>#REF!</f>
        <v>#REF!</v>
      </c>
      <c r="D373" t="e">
        <f>#REF!</f>
        <v>#REF!</v>
      </c>
      <c r="E373" t="e">
        <f>#REF!</f>
        <v>#REF!</v>
      </c>
      <c r="F373" t="e">
        <f>#REF!</f>
        <v>#REF!</v>
      </c>
      <c r="G373" t="e">
        <f>#REF!</f>
        <v>#REF!</v>
      </c>
      <c r="H373" t="e">
        <f>#REF!</f>
        <v>#REF!</v>
      </c>
      <c r="I373" t="e">
        <f>IF(#REF!="Case Cancelled",1,IF(#REF!="No Cases",2,0))</f>
        <v>#REF!</v>
      </c>
      <c r="J373" t="e">
        <f>#REF!</f>
        <v>#REF!</v>
      </c>
      <c r="K373" s="4" t="e">
        <f>#REF!</f>
        <v>#REF!</v>
      </c>
      <c r="L373" t="e">
        <f>"Wk "&amp;WEEKNUM(tbl_Case_mins[[#This Row],[Surgery Start Date]],21)</f>
        <v>#REF!</v>
      </c>
      <c r="M373" t="e">
        <f>TEXT(tbl_Case_mins[[#This Row],[Surgery Start Date]],"ddd")</f>
        <v>#REF!</v>
      </c>
      <c r="N373" s="9" t="e">
        <f>(#REF!-TIME(0,0,0))*1440</f>
        <v>#REF!</v>
      </c>
      <c r="O373" t="e">
        <f>IF(AND(ROUND((#REF!-TIME(0,0,0))*1440,0)&gt;0,ROUND((#REF!-TIME(0,0,0))*1440,0)&lt;tbl_Case_mins[[#This Row],[Patient Called]],tbl_Case_mins[[#This Row],[Surgery End Date]]&gt;tbl_Case_mins[[#This Row],[Surgery Start Date]]),ROUND((#REF!-TIME(0,0,0))*1440,0)+1440,ROUND((#REF!-TIME(0,0,0))*1440,0))</f>
        <v>#REF!</v>
      </c>
      <c r="P373" s="9" t="e">
        <f>IF(AND(ROUND((#REF!-TIME(0,0,0))*1440,0)&gt;0,ROUND((#REF!-TIME(0,0,0))*1440,0)&lt;tbl_Case_mins[[#This Row],[Arrival]],tbl_Case_mins[[#This Row],[Surgery End Date]]&gt;tbl_Case_mins[[#This Row],[Surgery Start Date]]),ROUND((#REF!-TIME(0,0,0))*1440,0)+1440,ROUND((#REF!-TIME(0,0,0))*1440,0))</f>
        <v>#REF!</v>
      </c>
      <c r="Q373" s="9" t="e">
        <f>IF(AND(ROUND((#REF!-TIME(0,0,0))*1440,0)&gt;0,ROUND((#REF!-TIME(0,0,0))*1440,0)&lt;tbl_Case_mins[[#This Row],[Into Th or AR]],tbl_Case_mins[[#This Row],[Surgery End Date]]&gt;tbl_Case_mins[[#This Row],[Surgery Start Date]]),ROUND((#REF!-TIME(0,0,0))*1440,0)+1440,ROUND((#REF!-TIME(0,0,0))*1440,0))</f>
        <v>#REF!</v>
      </c>
      <c r="R373" s="9" t="e">
        <f>IF(AND(ROUND((#REF!-TIME(0,0,0))*1440,0)&gt;0,ROUND((#REF!-TIME(0,0,0))*1440,0)&lt;tbl_Case_mins[[#This Row],[AnaesthStart]],tbl_Case_mins[[#This Row],[Surgery End Date]]&gt;tbl_Case_mins[[#This Row],[Surgery Start Date]]),ROUND((#REF!-TIME(0,0,0))*1440,0)+1440,ROUND((#REF!-TIME(0,0,0))*1440,0))</f>
        <v>#REF!</v>
      </c>
      <c r="S373" s="9" t="e">
        <f>IF(AND(ROUND((#REF!-TIME(0,0,0))*1440,0),ROUND((#REF!-TIME(0,0,0))*1440,0)&lt;tbl_Case_mins[[#This Row],[Surgery Start]],tbl_Case_mins[[#This Row],[Surgery End Date]]&gt;tbl_Case_mins[[#This Row],[Surgery Start Date]]),ROUND((#REF!-TIME(0,0,0))*1440,0)+1440,ROUND((#REF!-TIME(0,0,0))*1440,0))</f>
        <v>#REF!</v>
      </c>
      <c r="T373" s="9" t="e">
        <f>IF(AND(ROUND((#REF!-TIME(0,0,0))*1440,0)&gt;0,ROUND((#REF!-TIME(0,0,0))*1440,0)&lt;tbl_Case_mins[[#This Row],[Surgery Finish]],tbl_Case_mins[[#This Row],[Surgery End Date]]&gt;tbl_Case_mins[[#This Row],[Surgery Start Date]]),ROUND((#REF!-TIME(0,0,0))*1440,0)+1440,ROUND((#REF!-TIME(0,0,0))*1440,0))</f>
        <v>#REF!</v>
      </c>
      <c r="U373" s="9" t="e">
        <f>IF(AND(ROUND((#REF!-TIME(0,0,0))*1440,0)&gt;0,ROUND((#REF!-TIME(0,0,0))*1440,0)&lt;tbl_Case_mins[[#This Row],[Anaesth End]],tbl_Case_mins[[#This Row],[Surgery End Date]]&gt;tbl_Case_mins[[#This Row],[Surgery Start Date]]),ROUND((#REF!-TIME(0,0,0))*1440,0)+1440,ROUND((#REF!-TIME(0,0,0))*1440,0))</f>
        <v>#REF!</v>
      </c>
      <c r="V373" s="9" t="e">
        <f>IF(AND(ROUND((#REF!-TIME(0,0,0))*1440,0)&gt;0,ROUND((#REF!-TIME(0,0,0))*1440,0)&lt;tbl_Case_mins[[#This Row],[Into Recov]],tbl_Case_mins[[#This Row],[Surgery End Date]]&gt;tbl_Case_mins[[#This Row],[Surgery Start Date]]),ROUND((#REF!-TIME(0,0,0))*1440,0)+1440,ROUND((#REF!-TIME(0,0,0))*1440,0))</f>
        <v>#REF!</v>
      </c>
      <c r="W373" s="9" t="e">
        <f>IF(AND(ROUND((#REF!-TIME(0,0,0))*1440,0)&gt;0,ROUND((#REF!-TIME(0,0,0))*1440,0)&lt;tbl_Case_mins[[#This Row],[Ward Called]],tbl_Case_mins[[#This Row],[Surgery End Date]]&gt;tbl_Case_mins[[#This Row],[Surgery Start Date]]),ROUND((#REF!-TIME(0,0,0))*1440,0)+1440,ROUND((#REF!-TIME(0,0,0))*1440,0))</f>
        <v>#REF!</v>
      </c>
      <c r="X373" s="4" t="e">
        <f>IF(ISBLANK(#REF!),tbl_Case_mins[[#This Row],[Surgery Start Date]],#REF!)</f>
        <v>#REF!</v>
      </c>
      <c r="Y373">
        <f>IFERROR(IF(VLOOKUP(tbl_Case_mins[[#This Row],[Theatre]],'Mng Theatres'!$C$7:$G$12,3,FALSE)="Yes","Yes","No"),0)</f>
        <v>0</v>
      </c>
      <c r="Z373" s="9" t="e" cm="1">
        <f t="array" ref="Z37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3" s="9" t="e" cm="1">
        <f t="array" ref="AA37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3" s="9" t="e">
        <f>IF(tbl_Case_mins[[#This Row],[Case Type]]="Unsch",1,0)</f>
        <v>#REF!</v>
      </c>
      <c r="AD373" s="9" t="e">
        <f>IF(tbl_Case_mins[[#This Row],[Case Type]]="Sch",1,0)</f>
        <v>#REF!</v>
      </c>
      <c r="AE37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3" s="9">
        <f>IFERROR(IF(ISBLANK(INDEX(Am_Close,MATCH(1,INDEX((tbl_Case_mins[[#This Row],[Theatre]]=Theatre_No)*(tbl_Case_mins[[#This Row],[Surgery Start Date]]=Date),0,1),0))*1440),0,INDEX(Am_Close,MATCH(1,INDEX((tbl_Case_mins[[#This Row],[Theatre]]=Theatre_No)*(tbl_Case_mins[[#This Row],[Surgery Start Date]]=Date),0,1),0))*1440),0)</f>
        <v>0</v>
      </c>
      <c r="AG373" s="9">
        <f>IFERROR(IF(ISBLANK(INDEX(PM_Open,MATCH(1,INDEX((tbl_Case_mins[[#This Row],[Theatre]]=Theatre_No)*(tbl_Case_mins[[#This Row],[Surgery Start Date]]=Date),0,1),0))*1440),0,INDEX(PM_Open,MATCH(1,INDEX((tbl_Case_mins[[#This Row],[Theatre]]=Theatre_No)*(tbl_Case_mins[[#This Row],[Surgery Start Date]]=Date),0,1),0))*1440),0)</f>
        <v>0</v>
      </c>
      <c r="AH37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3" s="9" t="e">
        <f>IF(tbl_Case_mins[[#This Row],[ThOpenAm]]=0,tbl_Case_mins[[#This Row],[ThOpenPM]],tbl_Case_mins[[#This Row],[ThOpenAm]])</f>
        <v>#REF!</v>
      </c>
      <c r="AJ373" s="9" t="e">
        <f>IF(tbl_Case_mins[[#This Row],[ThCloseAm]]&gt;0,IF(tbl_Case_mins[[#This Row],[ThOpenPM]]&gt;0,tbl_Case_mins[[#This Row],[ThClosePm]],tbl_Case_mins[[#This Row],[ThCloseAm]]),tbl_Case_mins[[#This Row],[ThClosePm]])</f>
        <v>#REF!</v>
      </c>
      <c r="AK373" s="9" t="e">
        <f>IF(tbl_Case_mins[[#This Row],[TOT]]&gt;0,1,0)</f>
        <v>#REF!</v>
      </c>
      <c r="AL37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3" s="9" t="e">
        <f>IF(AND(tbl_Case_mins[[#This Row],[Surgery Status]]&lt;&gt;2,tbl_Case_mins[[#This Row],[InCoreCase]]=0,tbl_Case_mins[[#This Row],[CancelledCase]]=0),1,0)</f>
        <v>#REF!</v>
      </c>
      <c r="AN373" s="9" t="e">
        <f>IF(tbl_Case_mins[[#This Row],[Surgery Status]]=1,1,0)</f>
        <v>#REF!</v>
      </c>
      <c r="AO37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3" s="9" t="e">
        <f>IF(AND(tbl_Case_mins[[#This Row],[NonCoreCase]]=1,tbl_Case_mins[[#This Row],[NoInCoreTime]]=0),1,0)</f>
        <v>#REF!</v>
      </c>
      <c r="AQ373" s="9" t="e">
        <f>IF(tbl_Case_mins[[#This Row],[Rank_AnaEnd]]&lt;tbl_Case_mins[[#This Row],[Rank_AnaSt]],1,0)</f>
        <v>#REF!</v>
      </c>
      <c r="AR373" s="9" t="e">
        <f>IF(AND(tbl_Case_mins[[#This Row],[InCoreCase]]=1,tbl_Case_mins[[#This Row],[Sch]]=1),1,0)</f>
        <v>#REF!</v>
      </c>
      <c r="AS373" s="9" t="e">
        <f>IF(AND(tbl_Case_mins[[#This Row],[InCoreCase]]=1,tbl_Case_mins[[#This Row],[Unsch]]=1),1,0)</f>
        <v>#REF!</v>
      </c>
      <c r="AT37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3" s="9" t="e">
        <f>IF(tbl_Case_mins[[#This Row],[Surgery Status]]=0,(tbl_Case_mins[[#This Row],[Anaesth End]]-tbl_Case_mins[[#This Row],[AnaesthStart]]),0)</f>
        <v>#REF!</v>
      </c>
      <c r="AX373" s="9" t="e">
        <f>IF(tbl_Case_mins[[#This Row],[Surgery Status]]=0,(tbl_Case_mins[[#This Row],[Surgery Finish]]-tbl_Case_mins[[#This Row],[Surgery Start]]),0)</f>
        <v>#REF!</v>
      </c>
      <c r="AY373" s="9" t="e">
        <f>tbl_Case_mins[[#This Row],[Surgery Start]]-tbl_Case_mins[[#This Row],[AnaesthStart]]</f>
        <v>#REF!</v>
      </c>
      <c r="AZ373" s="9" t="e">
        <f>tbl_Case_mins[[#This Row],[Anaesth End]]-tbl_Case_mins[[#This Row],[Surgery Finish]]</f>
        <v>#REF!</v>
      </c>
      <c r="BA37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3" s="16" cm="1">
        <f t="array" ref="BC37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3" s="16" t="e">
        <f>IF(AND(tbl_Case_mins[[#This Row],[FirstAMCase]]=1,tbl_Case_mins[[#This Row],[CancelledCase]]=0,OR(tbl_Case_mins[[#This Row],[EarlyStartAM]]&gt;0,tbl_Case_mins[[#This Row],[AnaesthStart]]=tbl_Case_mins[[#This Row],[ThOpenAm]])),1,0)</f>
        <v>#REF!</v>
      </c>
      <c r="BE373" s="16" t="e">
        <f>IF(AND(tbl_Case_mins[[#This Row],[Rank_AnaSt]]=tbl_Case_mins[[#This Row],[Min_RankAnaSt]],tbl_Case_mins[[#This Row],[Anaesth End]]&gt;=tbl_Case_mins[[#This Row],[ThOpenAm]],tbl_Case_mins[[#This Row],[PmCase]]=0),1,0)</f>
        <v>#REF!</v>
      </c>
      <c r="BF37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3" s="9" t="e" cm="1">
        <f t="array" ref="BH37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3" s="9" t="e">
        <f>IF(AND(tbl_Case_mins[[#This Row],[ThOpenPM]]&gt;0,tbl_Case_mins[[#This Row],[AnaesthStart]]&gt;tbl_Case_mins[[#This Row],[ThOpenPM]],tbl_Case_mins[[#This Row],[First PM Case]]=1),tbl_Case_mins[[#This Row],[AnaesthStart]]-tbl_Case_mins[[#This Row],[ThOpenPM]],0)</f>
        <v>#REF!</v>
      </c>
      <c r="BL37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3" s="9" t="e" cm="1">
        <f t="array" ref="BN37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3" s="9" t="e">
        <f>IF(AND(tbl_Case_mins[[#This Row],[ThClosePm]]&gt;0,tbl_Case_mins[[#This Row],[Anaesth End]]&gt;tbl_Case_mins[[#This Row],[ThClosePm]],tbl_Case_mins[[#This Row],[AnaesthStart]]&gt;tbl_Case_mins[[#This Row],[ThClosePm]]),tbl_Case_mins[[#This Row],[Into Recov]]-tbl_Case_mins[[#This Row],[AnaesthStart]],0)</f>
        <v>#REF!</v>
      </c>
      <c r="BP373" s="9" t="e">
        <f>IF(AND(tbl_Case_mins[[#This Row],[AnaesthStart]]&lt;tbl_Case_mins[[#This Row],[ThClosePm]],tbl_Case_mins[[#This Row],[Anaesth End]]&gt;tbl_Case_mins[[#This Row],[ThClosePm]]),tbl_Case_mins[[#This Row],[Anaesth End]]-tbl_Case_mins[[#This Row],[ThClosePm]],0)</f>
        <v>#REF!</v>
      </c>
      <c r="BQ373" s="9" t="e" cm="1">
        <f t="array" ref="BQ37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3" s="9" t="e" cm="1">
        <f t="array" ref="BR373">IF(tbl_Case_mins[[#This Row],[Rank_Adjust]]=SUMPRODUCT(-(tbl_Case_mins[Surgery Start Date]=tbl_Case_mins[[#This Row],[Surgery Start Date]]),-(tbl_Case_mins[Theatre]=tbl_Case_mins[[#This Row],[Theatre]])),INDEX(Poss_Time,MATCH(TEXT(tbl_Case_mins[[#This Row],[Surgery Start Date]],"ddd"),Day,0)),0)</f>
        <v>#REF!</v>
      </c>
      <c r="BS373" s="9" t="e">
        <f>tbl_Case_mins[[#This Row],[Core_Time]]*Util_Goal</f>
        <v>#REF!</v>
      </c>
      <c r="BT373" s="9" t="e" cm="1">
        <f t="array" ref="BT3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3" s="9" t="e" cm="1">
        <f t="array" ref="BU37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3" s="9" t="e">
        <f>IF(tbl_Case_mins[[#This Row],[Surgery End Date]]&gt;tbl_Case_mins[[#This Row],[Surgery Start Date]],tbl_Case_mins[[#This Row],[Anaesth End]]-1440,0)</f>
        <v>#REF!</v>
      </c>
      <c r="BY373" s="9" t="e">
        <f>tbl_Case_mins[[#This Row],[Total_NonCore]]-tbl_Case_mins[[#This Row],[NextDay_NonCore]]</f>
        <v>#REF!</v>
      </c>
      <c r="BZ373" s="10" t="e">
        <f>tbl_Case_mins[[#This Row],[InCoreUse]]/60</f>
        <v>#REF!</v>
      </c>
      <c r="CA373" s="10" t="e">
        <f>tbl_Case_mins[[#This Row],[Total_NonCore]]/60</f>
        <v>#REF!</v>
      </c>
      <c r="CB373" t="e" cm="1">
        <f t="array" ref="CB3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3" s="9" t="e" cm="1">
        <f t="array" ref="CC37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3" s="9" t="e" cm="1">
        <f t="array" ref="CD37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3" s="9" t="e" cm="1">
        <f t="array" ref="CE37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3" s="9" cm="1">
        <f t="array" ref="CF373">IFERROR(_xlfn.AGGREGATE(14,6,(tbl_Case_mins[Rank_AnaEnd])/((tbl_Case_mins[Surgery Start Date]=tbl_Case_mins[[#This Row],[Surgery Start Date]])*(tbl_Case_mins[Theatre]=tbl_Case_mins[[#This Row],[Theatre]])*(tbl_Case_mins[NoInCoreTime]=0)),1),-1)</f>
        <v>-1</v>
      </c>
      <c r="CG373" s="9" cm="1">
        <f t="array" ref="CG373">IFERROR(_xlfn.AGGREGATE(15,6,(tbl_Case_mins[Rank_AnaSt])/((tbl_Case_mins[Surgery Start Date]=tbl_Case_mins[[#This Row],[Surgery Start Date]])*(tbl_Case_mins[Theatre]=tbl_Case_mins[[#This Row],[Theatre]])*(tbl_Case_mins[NoInCoreTime]=0)),1),-1)</f>
        <v>-1</v>
      </c>
      <c r="CH37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3" t="e" cm="1">
        <f t="array" ref="CJ37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3" s="9" cm="1">
        <f t="array" ref="CO3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3" s="9" cm="1">
        <f t="array" ref="CP37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3" s="9" cm="1">
        <f t="array" ref="CQ373">IFERROR(IF(AND(tbl_Case_mins[[#This Row],[FirstAMCase]]=0,tbl_Case_mins[[#This Row],[Rank]]=_xlfn.AGGREGATE(14,6,(tbl_Case_mins[Rank])/((tbl_Case_mins[Surgery Start Date]=tbl_Case_mins[[#This Row],[Surgery Start Date]])*(tbl_Case_mins[Theatre]=tbl_Case_mins[[#This Row],[Theatre]])*(tbl_Case_mins[AmCase]=1)),1)),1,0),0)</f>
        <v>0</v>
      </c>
      <c r="CR373" s="9" cm="1">
        <f t="array" ref="CR37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3" s="9" t="e" cm="1">
        <f t="array" ref="CS37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3" s="9" cm="1">
        <f t="array" ref="CT373">IFERROR(IF(tbl_Case_mins[[#This Row],[Rank]]=_xlfn.AGGREGATE(15,6,(tbl_Case_mins[Rank])/((tbl_Case_mins[Surgery Start Date]=tbl_Case_mins[[#This Row],[Surgery Start Date]])*(tbl_Case_mins[Theatre]=tbl_Case_mins[[#This Row],[Theatre]])*(tbl_Case_mins[PmCase]=1)),1),1,0),0)</f>
        <v>0</v>
      </c>
      <c r="CU373">
        <f>IFERROR(#REF!,0)</f>
        <v>0</v>
      </c>
      <c r="CV373" s="9" t="e" cm="1">
        <f t="array" ref="CV37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3" s="9">
        <f>IFERROR(IF(ISBLANK(INDEX(Bay_AmClose,MATCH(1,INDEX((tbl_Case_mins[[#This Row],[Bay]]=BayNo)*(tbl_Case_mins[[#This Row],[Surgery Start Date]]=BDate),0,1),0))*1440),0,INDEX(Bay_AmClose,MATCH(1,INDEX((tbl_Case_mins[[#This Row],[Bay]]=BayNo)*(tbl_Case_mins[[#This Row],[Surgery Start Date]]=BDate),0,1),0))*1440),0)</f>
        <v>0</v>
      </c>
      <c r="CX373" s="9" cm="1">
        <f t="array" ref="CX373">IFERROR(IF(ISBLANK(INDEX(Bay_PmOpen,MATCH(1,INDEX((tbl_Case_mins[[#This Row],[Bay]]=BayNo)*(tbl_Case_mins[[#This Row],[Surgery Start Date]]=BDate),0,1),0))*1440),0,INDEX(Bay_PmOpen,MATCH(1,INDEX((tbl_Case_mins[[#This Row],[Bay]]=BayNo)*(tbl_Case_mins[[#This Row],[Surgery Start Date]]=BDate),0,1),0))*1440),0)</f>
        <v>0</v>
      </c>
      <c r="CY37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3" s="9"/>
    </row>
    <row r="374" spans="1:104" x14ac:dyDescent="0.2">
      <c r="A374">
        <v>373</v>
      </c>
      <c r="B374" t="e">
        <f>#REF!</f>
        <v>#REF!</v>
      </c>
      <c r="C374" t="e">
        <f>#REF!</f>
        <v>#REF!</v>
      </c>
      <c r="D374" t="e">
        <f>#REF!</f>
        <v>#REF!</v>
      </c>
      <c r="E374" t="e">
        <f>#REF!</f>
        <v>#REF!</v>
      </c>
      <c r="F374" t="e">
        <f>#REF!</f>
        <v>#REF!</v>
      </c>
      <c r="G374" t="e">
        <f>#REF!</f>
        <v>#REF!</v>
      </c>
      <c r="H374" t="e">
        <f>#REF!</f>
        <v>#REF!</v>
      </c>
      <c r="I374" t="e">
        <f>IF(#REF!="Case Cancelled",1,IF(#REF!="No Cases",2,0))</f>
        <v>#REF!</v>
      </c>
      <c r="J374" t="e">
        <f>#REF!</f>
        <v>#REF!</v>
      </c>
      <c r="K374" s="4" t="e">
        <f>#REF!</f>
        <v>#REF!</v>
      </c>
      <c r="L374" t="e">
        <f>"Wk "&amp;WEEKNUM(tbl_Case_mins[[#This Row],[Surgery Start Date]],21)</f>
        <v>#REF!</v>
      </c>
      <c r="M374" t="e">
        <f>TEXT(tbl_Case_mins[[#This Row],[Surgery Start Date]],"ddd")</f>
        <v>#REF!</v>
      </c>
      <c r="N374" s="9" t="e">
        <f>(#REF!-TIME(0,0,0))*1440</f>
        <v>#REF!</v>
      </c>
      <c r="O374" t="e">
        <f>IF(AND(ROUND((#REF!-TIME(0,0,0))*1440,0)&gt;0,ROUND((#REF!-TIME(0,0,0))*1440,0)&lt;tbl_Case_mins[[#This Row],[Patient Called]],tbl_Case_mins[[#This Row],[Surgery End Date]]&gt;tbl_Case_mins[[#This Row],[Surgery Start Date]]),ROUND((#REF!-TIME(0,0,0))*1440,0)+1440,ROUND((#REF!-TIME(0,0,0))*1440,0))</f>
        <v>#REF!</v>
      </c>
      <c r="P374" s="9" t="e">
        <f>IF(AND(ROUND((#REF!-TIME(0,0,0))*1440,0)&gt;0,ROUND((#REF!-TIME(0,0,0))*1440,0)&lt;tbl_Case_mins[[#This Row],[Arrival]],tbl_Case_mins[[#This Row],[Surgery End Date]]&gt;tbl_Case_mins[[#This Row],[Surgery Start Date]]),ROUND((#REF!-TIME(0,0,0))*1440,0)+1440,ROUND((#REF!-TIME(0,0,0))*1440,0))</f>
        <v>#REF!</v>
      </c>
      <c r="Q374" s="9" t="e">
        <f>IF(AND(ROUND((#REF!-TIME(0,0,0))*1440,0)&gt;0,ROUND((#REF!-TIME(0,0,0))*1440,0)&lt;tbl_Case_mins[[#This Row],[Into Th or AR]],tbl_Case_mins[[#This Row],[Surgery End Date]]&gt;tbl_Case_mins[[#This Row],[Surgery Start Date]]),ROUND((#REF!-TIME(0,0,0))*1440,0)+1440,ROUND((#REF!-TIME(0,0,0))*1440,0))</f>
        <v>#REF!</v>
      </c>
      <c r="R374" s="9" t="e">
        <f>IF(AND(ROUND((#REF!-TIME(0,0,0))*1440,0)&gt;0,ROUND((#REF!-TIME(0,0,0))*1440,0)&lt;tbl_Case_mins[[#This Row],[AnaesthStart]],tbl_Case_mins[[#This Row],[Surgery End Date]]&gt;tbl_Case_mins[[#This Row],[Surgery Start Date]]),ROUND((#REF!-TIME(0,0,0))*1440,0)+1440,ROUND((#REF!-TIME(0,0,0))*1440,0))</f>
        <v>#REF!</v>
      </c>
      <c r="S374" s="9" t="e">
        <f>IF(AND(ROUND((#REF!-TIME(0,0,0))*1440,0),ROUND((#REF!-TIME(0,0,0))*1440,0)&lt;tbl_Case_mins[[#This Row],[Surgery Start]],tbl_Case_mins[[#This Row],[Surgery End Date]]&gt;tbl_Case_mins[[#This Row],[Surgery Start Date]]),ROUND((#REF!-TIME(0,0,0))*1440,0)+1440,ROUND((#REF!-TIME(0,0,0))*1440,0))</f>
        <v>#REF!</v>
      </c>
      <c r="T374" s="9" t="e">
        <f>IF(AND(ROUND((#REF!-TIME(0,0,0))*1440,0)&gt;0,ROUND((#REF!-TIME(0,0,0))*1440,0)&lt;tbl_Case_mins[[#This Row],[Surgery Finish]],tbl_Case_mins[[#This Row],[Surgery End Date]]&gt;tbl_Case_mins[[#This Row],[Surgery Start Date]]),ROUND((#REF!-TIME(0,0,0))*1440,0)+1440,ROUND((#REF!-TIME(0,0,0))*1440,0))</f>
        <v>#REF!</v>
      </c>
      <c r="U374" s="9" t="e">
        <f>IF(AND(ROUND((#REF!-TIME(0,0,0))*1440,0)&gt;0,ROUND((#REF!-TIME(0,0,0))*1440,0)&lt;tbl_Case_mins[[#This Row],[Anaesth End]],tbl_Case_mins[[#This Row],[Surgery End Date]]&gt;tbl_Case_mins[[#This Row],[Surgery Start Date]]),ROUND((#REF!-TIME(0,0,0))*1440,0)+1440,ROUND((#REF!-TIME(0,0,0))*1440,0))</f>
        <v>#REF!</v>
      </c>
      <c r="V374" s="9" t="e">
        <f>IF(AND(ROUND((#REF!-TIME(0,0,0))*1440,0)&gt;0,ROUND((#REF!-TIME(0,0,0))*1440,0)&lt;tbl_Case_mins[[#This Row],[Into Recov]],tbl_Case_mins[[#This Row],[Surgery End Date]]&gt;tbl_Case_mins[[#This Row],[Surgery Start Date]]),ROUND((#REF!-TIME(0,0,0))*1440,0)+1440,ROUND((#REF!-TIME(0,0,0))*1440,0))</f>
        <v>#REF!</v>
      </c>
      <c r="W374" s="9" t="e">
        <f>IF(AND(ROUND((#REF!-TIME(0,0,0))*1440,0)&gt;0,ROUND((#REF!-TIME(0,0,0))*1440,0)&lt;tbl_Case_mins[[#This Row],[Ward Called]],tbl_Case_mins[[#This Row],[Surgery End Date]]&gt;tbl_Case_mins[[#This Row],[Surgery Start Date]]),ROUND((#REF!-TIME(0,0,0))*1440,0)+1440,ROUND((#REF!-TIME(0,0,0))*1440,0))</f>
        <v>#REF!</v>
      </c>
      <c r="X374" s="4" t="e">
        <f>IF(ISBLANK(#REF!),tbl_Case_mins[[#This Row],[Surgery Start Date]],#REF!)</f>
        <v>#REF!</v>
      </c>
      <c r="Y374">
        <f>IFERROR(IF(VLOOKUP(tbl_Case_mins[[#This Row],[Theatre]],'Mng Theatres'!$C$7:$G$12,3,FALSE)="Yes","Yes","No"),0)</f>
        <v>0</v>
      </c>
      <c r="Z374" s="9" t="e" cm="1">
        <f t="array" ref="Z37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4" s="9" t="e" cm="1">
        <f t="array" ref="AA37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4" s="9" t="e">
        <f>IF(tbl_Case_mins[[#This Row],[Case Type]]="Unsch",1,0)</f>
        <v>#REF!</v>
      </c>
      <c r="AD374" s="9" t="e">
        <f>IF(tbl_Case_mins[[#This Row],[Case Type]]="Sch",1,0)</f>
        <v>#REF!</v>
      </c>
      <c r="AE37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4" s="9">
        <f>IFERROR(IF(ISBLANK(INDEX(Am_Close,MATCH(1,INDEX((tbl_Case_mins[[#This Row],[Theatre]]=Theatre_No)*(tbl_Case_mins[[#This Row],[Surgery Start Date]]=Date),0,1),0))*1440),0,INDEX(Am_Close,MATCH(1,INDEX((tbl_Case_mins[[#This Row],[Theatre]]=Theatre_No)*(tbl_Case_mins[[#This Row],[Surgery Start Date]]=Date),0,1),0))*1440),0)</f>
        <v>0</v>
      </c>
      <c r="AG374" s="9">
        <f>IFERROR(IF(ISBLANK(INDEX(PM_Open,MATCH(1,INDEX((tbl_Case_mins[[#This Row],[Theatre]]=Theatre_No)*(tbl_Case_mins[[#This Row],[Surgery Start Date]]=Date),0,1),0))*1440),0,INDEX(PM_Open,MATCH(1,INDEX((tbl_Case_mins[[#This Row],[Theatre]]=Theatre_No)*(tbl_Case_mins[[#This Row],[Surgery Start Date]]=Date),0,1),0))*1440),0)</f>
        <v>0</v>
      </c>
      <c r="AH37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4" s="9" t="e">
        <f>IF(tbl_Case_mins[[#This Row],[ThOpenAm]]=0,tbl_Case_mins[[#This Row],[ThOpenPM]],tbl_Case_mins[[#This Row],[ThOpenAm]])</f>
        <v>#REF!</v>
      </c>
      <c r="AJ374" s="9" t="e">
        <f>IF(tbl_Case_mins[[#This Row],[ThCloseAm]]&gt;0,IF(tbl_Case_mins[[#This Row],[ThOpenPM]]&gt;0,tbl_Case_mins[[#This Row],[ThClosePm]],tbl_Case_mins[[#This Row],[ThCloseAm]]),tbl_Case_mins[[#This Row],[ThClosePm]])</f>
        <v>#REF!</v>
      </c>
      <c r="AK374" s="9" t="e">
        <f>IF(tbl_Case_mins[[#This Row],[TOT]]&gt;0,1,0)</f>
        <v>#REF!</v>
      </c>
      <c r="AL37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4" s="9" t="e">
        <f>IF(AND(tbl_Case_mins[[#This Row],[Surgery Status]]&lt;&gt;2,tbl_Case_mins[[#This Row],[InCoreCase]]=0,tbl_Case_mins[[#This Row],[CancelledCase]]=0),1,0)</f>
        <v>#REF!</v>
      </c>
      <c r="AN374" s="9" t="e">
        <f>IF(tbl_Case_mins[[#This Row],[Surgery Status]]=1,1,0)</f>
        <v>#REF!</v>
      </c>
      <c r="AO37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4" s="9" t="e">
        <f>IF(AND(tbl_Case_mins[[#This Row],[NonCoreCase]]=1,tbl_Case_mins[[#This Row],[NoInCoreTime]]=0),1,0)</f>
        <v>#REF!</v>
      </c>
      <c r="AQ374" s="9" t="e">
        <f>IF(tbl_Case_mins[[#This Row],[Rank_AnaEnd]]&lt;tbl_Case_mins[[#This Row],[Rank_AnaSt]],1,0)</f>
        <v>#REF!</v>
      </c>
      <c r="AR374" s="9" t="e">
        <f>IF(AND(tbl_Case_mins[[#This Row],[InCoreCase]]=1,tbl_Case_mins[[#This Row],[Sch]]=1),1,0)</f>
        <v>#REF!</v>
      </c>
      <c r="AS374" s="9" t="e">
        <f>IF(AND(tbl_Case_mins[[#This Row],[InCoreCase]]=1,tbl_Case_mins[[#This Row],[Unsch]]=1),1,0)</f>
        <v>#REF!</v>
      </c>
      <c r="AT37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4" s="9" t="e">
        <f>IF(tbl_Case_mins[[#This Row],[Surgery Status]]=0,(tbl_Case_mins[[#This Row],[Anaesth End]]-tbl_Case_mins[[#This Row],[AnaesthStart]]),0)</f>
        <v>#REF!</v>
      </c>
      <c r="AX374" s="9" t="e">
        <f>IF(tbl_Case_mins[[#This Row],[Surgery Status]]=0,(tbl_Case_mins[[#This Row],[Surgery Finish]]-tbl_Case_mins[[#This Row],[Surgery Start]]),0)</f>
        <v>#REF!</v>
      </c>
      <c r="AY374" s="9" t="e">
        <f>tbl_Case_mins[[#This Row],[Surgery Start]]-tbl_Case_mins[[#This Row],[AnaesthStart]]</f>
        <v>#REF!</v>
      </c>
      <c r="AZ374" s="9" t="e">
        <f>tbl_Case_mins[[#This Row],[Anaesth End]]-tbl_Case_mins[[#This Row],[Surgery Finish]]</f>
        <v>#REF!</v>
      </c>
      <c r="BA37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4" s="16" cm="1">
        <f t="array" ref="BC37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4" s="16" t="e">
        <f>IF(AND(tbl_Case_mins[[#This Row],[FirstAMCase]]=1,tbl_Case_mins[[#This Row],[CancelledCase]]=0,OR(tbl_Case_mins[[#This Row],[EarlyStartAM]]&gt;0,tbl_Case_mins[[#This Row],[AnaesthStart]]=tbl_Case_mins[[#This Row],[ThOpenAm]])),1,0)</f>
        <v>#REF!</v>
      </c>
      <c r="BE374" s="16" t="e">
        <f>IF(AND(tbl_Case_mins[[#This Row],[Rank_AnaSt]]=tbl_Case_mins[[#This Row],[Min_RankAnaSt]],tbl_Case_mins[[#This Row],[Anaesth End]]&gt;=tbl_Case_mins[[#This Row],[ThOpenAm]],tbl_Case_mins[[#This Row],[PmCase]]=0),1,0)</f>
        <v>#REF!</v>
      </c>
      <c r="BF37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4" s="9" t="e" cm="1">
        <f t="array" ref="BH37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4" s="9" t="e">
        <f>IF(AND(tbl_Case_mins[[#This Row],[ThOpenPM]]&gt;0,tbl_Case_mins[[#This Row],[AnaesthStart]]&gt;tbl_Case_mins[[#This Row],[ThOpenPM]],tbl_Case_mins[[#This Row],[First PM Case]]=1),tbl_Case_mins[[#This Row],[AnaesthStart]]-tbl_Case_mins[[#This Row],[ThOpenPM]],0)</f>
        <v>#REF!</v>
      </c>
      <c r="BL37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4" s="9" t="e" cm="1">
        <f t="array" ref="BN37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4" s="9" t="e">
        <f>IF(AND(tbl_Case_mins[[#This Row],[ThClosePm]]&gt;0,tbl_Case_mins[[#This Row],[Anaesth End]]&gt;tbl_Case_mins[[#This Row],[ThClosePm]],tbl_Case_mins[[#This Row],[AnaesthStart]]&gt;tbl_Case_mins[[#This Row],[ThClosePm]]),tbl_Case_mins[[#This Row],[Into Recov]]-tbl_Case_mins[[#This Row],[AnaesthStart]],0)</f>
        <v>#REF!</v>
      </c>
      <c r="BP374" s="9" t="e">
        <f>IF(AND(tbl_Case_mins[[#This Row],[AnaesthStart]]&lt;tbl_Case_mins[[#This Row],[ThClosePm]],tbl_Case_mins[[#This Row],[Anaesth End]]&gt;tbl_Case_mins[[#This Row],[ThClosePm]]),tbl_Case_mins[[#This Row],[Anaesth End]]-tbl_Case_mins[[#This Row],[ThClosePm]],0)</f>
        <v>#REF!</v>
      </c>
      <c r="BQ374" s="9" t="e" cm="1">
        <f t="array" ref="BQ37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4" s="9" t="e" cm="1">
        <f t="array" ref="BR374">IF(tbl_Case_mins[[#This Row],[Rank_Adjust]]=SUMPRODUCT(-(tbl_Case_mins[Surgery Start Date]=tbl_Case_mins[[#This Row],[Surgery Start Date]]),-(tbl_Case_mins[Theatre]=tbl_Case_mins[[#This Row],[Theatre]])),INDEX(Poss_Time,MATCH(TEXT(tbl_Case_mins[[#This Row],[Surgery Start Date]],"ddd"),Day,0)),0)</f>
        <v>#REF!</v>
      </c>
      <c r="BS374" s="9" t="e">
        <f>tbl_Case_mins[[#This Row],[Core_Time]]*Util_Goal</f>
        <v>#REF!</v>
      </c>
      <c r="BT374" s="9" t="e" cm="1">
        <f t="array" ref="BT3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4" s="9" t="e" cm="1">
        <f t="array" ref="BU37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4" s="9" t="e">
        <f>IF(tbl_Case_mins[[#This Row],[Surgery End Date]]&gt;tbl_Case_mins[[#This Row],[Surgery Start Date]],tbl_Case_mins[[#This Row],[Anaesth End]]-1440,0)</f>
        <v>#REF!</v>
      </c>
      <c r="BY374" s="9" t="e">
        <f>tbl_Case_mins[[#This Row],[Total_NonCore]]-tbl_Case_mins[[#This Row],[NextDay_NonCore]]</f>
        <v>#REF!</v>
      </c>
      <c r="BZ374" s="10" t="e">
        <f>tbl_Case_mins[[#This Row],[InCoreUse]]/60</f>
        <v>#REF!</v>
      </c>
      <c r="CA374" s="10" t="e">
        <f>tbl_Case_mins[[#This Row],[Total_NonCore]]/60</f>
        <v>#REF!</v>
      </c>
      <c r="CB374" t="e" cm="1">
        <f t="array" ref="CB3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4" s="9" t="e" cm="1">
        <f t="array" ref="CC37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4" s="9" t="e" cm="1">
        <f t="array" ref="CD37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4" s="9" t="e" cm="1">
        <f t="array" ref="CE37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4" s="9" cm="1">
        <f t="array" ref="CF374">IFERROR(_xlfn.AGGREGATE(14,6,(tbl_Case_mins[Rank_AnaEnd])/((tbl_Case_mins[Surgery Start Date]=tbl_Case_mins[[#This Row],[Surgery Start Date]])*(tbl_Case_mins[Theatre]=tbl_Case_mins[[#This Row],[Theatre]])*(tbl_Case_mins[NoInCoreTime]=0)),1),-1)</f>
        <v>-1</v>
      </c>
      <c r="CG374" s="9" cm="1">
        <f t="array" ref="CG374">IFERROR(_xlfn.AGGREGATE(15,6,(tbl_Case_mins[Rank_AnaSt])/((tbl_Case_mins[Surgery Start Date]=tbl_Case_mins[[#This Row],[Surgery Start Date]])*(tbl_Case_mins[Theatre]=tbl_Case_mins[[#This Row],[Theatre]])*(tbl_Case_mins[NoInCoreTime]=0)),1),-1)</f>
        <v>-1</v>
      </c>
      <c r="CH37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4" t="e" cm="1">
        <f t="array" ref="CJ37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4" s="9" cm="1">
        <f t="array" ref="CO3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4" s="9" cm="1">
        <f t="array" ref="CP37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4" s="9" cm="1">
        <f t="array" ref="CQ374">IFERROR(IF(AND(tbl_Case_mins[[#This Row],[FirstAMCase]]=0,tbl_Case_mins[[#This Row],[Rank]]=_xlfn.AGGREGATE(14,6,(tbl_Case_mins[Rank])/((tbl_Case_mins[Surgery Start Date]=tbl_Case_mins[[#This Row],[Surgery Start Date]])*(tbl_Case_mins[Theatre]=tbl_Case_mins[[#This Row],[Theatre]])*(tbl_Case_mins[AmCase]=1)),1)),1,0),0)</f>
        <v>0</v>
      </c>
      <c r="CR374" s="9" cm="1">
        <f t="array" ref="CR37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4" s="9" t="e" cm="1">
        <f t="array" ref="CS37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4" s="9" cm="1">
        <f t="array" ref="CT374">IFERROR(IF(tbl_Case_mins[[#This Row],[Rank]]=_xlfn.AGGREGATE(15,6,(tbl_Case_mins[Rank])/((tbl_Case_mins[Surgery Start Date]=tbl_Case_mins[[#This Row],[Surgery Start Date]])*(tbl_Case_mins[Theatre]=tbl_Case_mins[[#This Row],[Theatre]])*(tbl_Case_mins[PmCase]=1)),1),1,0),0)</f>
        <v>0</v>
      </c>
      <c r="CU374">
        <f>IFERROR(#REF!,0)</f>
        <v>0</v>
      </c>
      <c r="CV374" s="9" t="e" cm="1">
        <f t="array" ref="CV37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4" s="9">
        <f>IFERROR(IF(ISBLANK(INDEX(Bay_AmClose,MATCH(1,INDEX((tbl_Case_mins[[#This Row],[Bay]]=BayNo)*(tbl_Case_mins[[#This Row],[Surgery Start Date]]=BDate),0,1),0))*1440),0,INDEX(Bay_AmClose,MATCH(1,INDEX((tbl_Case_mins[[#This Row],[Bay]]=BayNo)*(tbl_Case_mins[[#This Row],[Surgery Start Date]]=BDate),0,1),0))*1440),0)</f>
        <v>0</v>
      </c>
      <c r="CX374" s="9" cm="1">
        <f t="array" ref="CX374">IFERROR(IF(ISBLANK(INDEX(Bay_PmOpen,MATCH(1,INDEX((tbl_Case_mins[[#This Row],[Bay]]=BayNo)*(tbl_Case_mins[[#This Row],[Surgery Start Date]]=BDate),0,1),0))*1440),0,INDEX(Bay_PmOpen,MATCH(1,INDEX((tbl_Case_mins[[#This Row],[Bay]]=BayNo)*(tbl_Case_mins[[#This Row],[Surgery Start Date]]=BDate),0,1),0))*1440),0)</f>
        <v>0</v>
      </c>
      <c r="CY37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4" s="9"/>
    </row>
    <row r="375" spans="1:104" x14ac:dyDescent="0.2">
      <c r="A375">
        <v>374</v>
      </c>
      <c r="B375" t="e">
        <f>#REF!</f>
        <v>#REF!</v>
      </c>
      <c r="C375" t="e">
        <f>#REF!</f>
        <v>#REF!</v>
      </c>
      <c r="D375" t="e">
        <f>#REF!</f>
        <v>#REF!</v>
      </c>
      <c r="E375" t="e">
        <f>#REF!</f>
        <v>#REF!</v>
      </c>
      <c r="F375" t="e">
        <f>#REF!</f>
        <v>#REF!</v>
      </c>
      <c r="G375" t="e">
        <f>#REF!</f>
        <v>#REF!</v>
      </c>
      <c r="H375" t="e">
        <f>#REF!</f>
        <v>#REF!</v>
      </c>
      <c r="I375" t="e">
        <f>IF(#REF!="Case Cancelled",1,IF(#REF!="No Cases",2,0))</f>
        <v>#REF!</v>
      </c>
      <c r="J375" t="e">
        <f>#REF!</f>
        <v>#REF!</v>
      </c>
      <c r="K375" s="4" t="e">
        <f>#REF!</f>
        <v>#REF!</v>
      </c>
      <c r="L375" t="e">
        <f>"Wk "&amp;WEEKNUM(tbl_Case_mins[[#This Row],[Surgery Start Date]],21)</f>
        <v>#REF!</v>
      </c>
      <c r="M375" t="e">
        <f>TEXT(tbl_Case_mins[[#This Row],[Surgery Start Date]],"ddd")</f>
        <v>#REF!</v>
      </c>
      <c r="N375" s="9" t="e">
        <f>(#REF!-TIME(0,0,0))*1440</f>
        <v>#REF!</v>
      </c>
      <c r="O375" t="e">
        <f>IF(AND(ROUND((#REF!-TIME(0,0,0))*1440,0)&gt;0,ROUND((#REF!-TIME(0,0,0))*1440,0)&lt;tbl_Case_mins[[#This Row],[Patient Called]],tbl_Case_mins[[#This Row],[Surgery End Date]]&gt;tbl_Case_mins[[#This Row],[Surgery Start Date]]),ROUND((#REF!-TIME(0,0,0))*1440,0)+1440,ROUND((#REF!-TIME(0,0,0))*1440,0))</f>
        <v>#REF!</v>
      </c>
      <c r="P375" s="9" t="e">
        <f>IF(AND(ROUND((#REF!-TIME(0,0,0))*1440,0)&gt;0,ROUND((#REF!-TIME(0,0,0))*1440,0)&lt;tbl_Case_mins[[#This Row],[Arrival]],tbl_Case_mins[[#This Row],[Surgery End Date]]&gt;tbl_Case_mins[[#This Row],[Surgery Start Date]]),ROUND((#REF!-TIME(0,0,0))*1440,0)+1440,ROUND((#REF!-TIME(0,0,0))*1440,0))</f>
        <v>#REF!</v>
      </c>
      <c r="Q375" s="9" t="e">
        <f>IF(AND(ROUND((#REF!-TIME(0,0,0))*1440,0)&gt;0,ROUND((#REF!-TIME(0,0,0))*1440,0)&lt;tbl_Case_mins[[#This Row],[Into Th or AR]],tbl_Case_mins[[#This Row],[Surgery End Date]]&gt;tbl_Case_mins[[#This Row],[Surgery Start Date]]),ROUND((#REF!-TIME(0,0,0))*1440,0)+1440,ROUND((#REF!-TIME(0,0,0))*1440,0))</f>
        <v>#REF!</v>
      </c>
      <c r="R375" s="9" t="e">
        <f>IF(AND(ROUND((#REF!-TIME(0,0,0))*1440,0)&gt;0,ROUND((#REF!-TIME(0,0,0))*1440,0)&lt;tbl_Case_mins[[#This Row],[AnaesthStart]],tbl_Case_mins[[#This Row],[Surgery End Date]]&gt;tbl_Case_mins[[#This Row],[Surgery Start Date]]),ROUND((#REF!-TIME(0,0,0))*1440,0)+1440,ROUND((#REF!-TIME(0,0,0))*1440,0))</f>
        <v>#REF!</v>
      </c>
      <c r="S375" s="9" t="e">
        <f>IF(AND(ROUND((#REF!-TIME(0,0,0))*1440,0),ROUND((#REF!-TIME(0,0,0))*1440,0)&lt;tbl_Case_mins[[#This Row],[Surgery Start]],tbl_Case_mins[[#This Row],[Surgery End Date]]&gt;tbl_Case_mins[[#This Row],[Surgery Start Date]]),ROUND((#REF!-TIME(0,0,0))*1440,0)+1440,ROUND((#REF!-TIME(0,0,0))*1440,0))</f>
        <v>#REF!</v>
      </c>
      <c r="T375" s="9" t="e">
        <f>IF(AND(ROUND((#REF!-TIME(0,0,0))*1440,0)&gt;0,ROUND((#REF!-TIME(0,0,0))*1440,0)&lt;tbl_Case_mins[[#This Row],[Surgery Finish]],tbl_Case_mins[[#This Row],[Surgery End Date]]&gt;tbl_Case_mins[[#This Row],[Surgery Start Date]]),ROUND((#REF!-TIME(0,0,0))*1440,0)+1440,ROUND((#REF!-TIME(0,0,0))*1440,0))</f>
        <v>#REF!</v>
      </c>
      <c r="U375" s="9" t="e">
        <f>IF(AND(ROUND((#REF!-TIME(0,0,0))*1440,0)&gt;0,ROUND((#REF!-TIME(0,0,0))*1440,0)&lt;tbl_Case_mins[[#This Row],[Anaesth End]],tbl_Case_mins[[#This Row],[Surgery End Date]]&gt;tbl_Case_mins[[#This Row],[Surgery Start Date]]),ROUND((#REF!-TIME(0,0,0))*1440,0)+1440,ROUND((#REF!-TIME(0,0,0))*1440,0))</f>
        <v>#REF!</v>
      </c>
      <c r="V375" s="9" t="e">
        <f>IF(AND(ROUND((#REF!-TIME(0,0,0))*1440,0)&gt;0,ROUND((#REF!-TIME(0,0,0))*1440,0)&lt;tbl_Case_mins[[#This Row],[Into Recov]],tbl_Case_mins[[#This Row],[Surgery End Date]]&gt;tbl_Case_mins[[#This Row],[Surgery Start Date]]),ROUND((#REF!-TIME(0,0,0))*1440,0)+1440,ROUND((#REF!-TIME(0,0,0))*1440,0))</f>
        <v>#REF!</v>
      </c>
      <c r="W375" s="9" t="e">
        <f>IF(AND(ROUND((#REF!-TIME(0,0,0))*1440,0)&gt;0,ROUND((#REF!-TIME(0,0,0))*1440,0)&lt;tbl_Case_mins[[#This Row],[Ward Called]],tbl_Case_mins[[#This Row],[Surgery End Date]]&gt;tbl_Case_mins[[#This Row],[Surgery Start Date]]),ROUND((#REF!-TIME(0,0,0))*1440,0)+1440,ROUND((#REF!-TIME(0,0,0))*1440,0))</f>
        <v>#REF!</v>
      </c>
      <c r="X375" s="4" t="e">
        <f>IF(ISBLANK(#REF!),tbl_Case_mins[[#This Row],[Surgery Start Date]],#REF!)</f>
        <v>#REF!</v>
      </c>
      <c r="Y375">
        <f>IFERROR(IF(VLOOKUP(tbl_Case_mins[[#This Row],[Theatre]],'Mng Theatres'!$C$7:$G$12,3,FALSE)="Yes","Yes","No"),0)</f>
        <v>0</v>
      </c>
      <c r="Z375" s="9" t="e" cm="1">
        <f t="array" ref="Z37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5" s="9" t="e" cm="1">
        <f t="array" ref="AA37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5" s="9" t="e">
        <f>IF(tbl_Case_mins[[#This Row],[Case Type]]="Unsch",1,0)</f>
        <v>#REF!</v>
      </c>
      <c r="AD375" s="9" t="e">
        <f>IF(tbl_Case_mins[[#This Row],[Case Type]]="Sch",1,0)</f>
        <v>#REF!</v>
      </c>
      <c r="AE37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5" s="9">
        <f>IFERROR(IF(ISBLANK(INDEX(Am_Close,MATCH(1,INDEX((tbl_Case_mins[[#This Row],[Theatre]]=Theatre_No)*(tbl_Case_mins[[#This Row],[Surgery Start Date]]=Date),0,1),0))*1440),0,INDEX(Am_Close,MATCH(1,INDEX((tbl_Case_mins[[#This Row],[Theatre]]=Theatre_No)*(tbl_Case_mins[[#This Row],[Surgery Start Date]]=Date),0,1),0))*1440),0)</f>
        <v>0</v>
      </c>
      <c r="AG375" s="9">
        <f>IFERROR(IF(ISBLANK(INDEX(PM_Open,MATCH(1,INDEX((tbl_Case_mins[[#This Row],[Theatre]]=Theatre_No)*(tbl_Case_mins[[#This Row],[Surgery Start Date]]=Date),0,1),0))*1440),0,INDEX(PM_Open,MATCH(1,INDEX((tbl_Case_mins[[#This Row],[Theatre]]=Theatre_No)*(tbl_Case_mins[[#This Row],[Surgery Start Date]]=Date),0,1),0))*1440),0)</f>
        <v>0</v>
      </c>
      <c r="AH37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5" s="9" t="e">
        <f>IF(tbl_Case_mins[[#This Row],[ThOpenAm]]=0,tbl_Case_mins[[#This Row],[ThOpenPM]],tbl_Case_mins[[#This Row],[ThOpenAm]])</f>
        <v>#REF!</v>
      </c>
      <c r="AJ375" s="9" t="e">
        <f>IF(tbl_Case_mins[[#This Row],[ThCloseAm]]&gt;0,IF(tbl_Case_mins[[#This Row],[ThOpenPM]]&gt;0,tbl_Case_mins[[#This Row],[ThClosePm]],tbl_Case_mins[[#This Row],[ThCloseAm]]),tbl_Case_mins[[#This Row],[ThClosePm]])</f>
        <v>#REF!</v>
      </c>
      <c r="AK375" s="9" t="e">
        <f>IF(tbl_Case_mins[[#This Row],[TOT]]&gt;0,1,0)</f>
        <v>#REF!</v>
      </c>
      <c r="AL37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5" s="9" t="e">
        <f>IF(AND(tbl_Case_mins[[#This Row],[Surgery Status]]&lt;&gt;2,tbl_Case_mins[[#This Row],[InCoreCase]]=0,tbl_Case_mins[[#This Row],[CancelledCase]]=0),1,0)</f>
        <v>#REF!</v>
      </c>
      <c r="AN375" s="9" t="e">
        <f>IF(tbl_Case_mins[[#This Row],[Surgery Status]]=1,1,0)</f>
        <v>#REF!</v>
      </c>
      <c r="AO37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5" s="9" t="e">
        <f>IF(AND(tbl_Case_mins[[#This Row],[NonCoreCase]]=1,tbl_Case_mins[[#This Row],[NoInCoreTime]]=0),1,0)</f>
        <v>#REF!</v>
      </c>
      <c r="AQ375" s="9" t="e">
        <f>IF(tbl_Case_mins[[#This Row],[Rank_AnaEnd]]&lt;tbl_Case_mins[[#This Row],[Rank_AnaSt]],1,0)</f>
        <v>#REF!</v>
      </c>
      <c r="AR375" s="9" t="e">
        <f>IF(AND(tbl_Case_mins[[#This Row],[InCoreCase]]=1,tbl_Case_mins[[#This Row],[Sch]]=1),1,0)</f>
        <v>#REF!</v>
      </c>
      <c r="AS375" s="9" t="e">
        <f>IF(AND(tbl_Case_mins[[#This Row],[InCoreCase]]=1,tbl_Case_mins[[#This Row],[Unsch]]=1),1,0)</f>
        <v>#REF!</v>
      </c>
      <c r="AT37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5" s="9" t="e">
        <f>IF(tbl_Case_mins[[#This Row],[Surgery Status]]=0,(tbl_Case_mins[[#This Row],[Anaesth End]]-tbl_Case_mins[[#This Row],[AnaesthStart]]),0)</f>
        <v>#REF!</v>
      </c>
      <c r="AX375" s="9" t="e">
        <f>IF(tbl_Case_mins[[#This Row],[Surgery Status]]=0,(tbl_Case_mins[[#This Row],[Surgery Finish]]-tbl_Case_mins[[#This Row],[Surgery Start]]),0)</f>
        <v>#REF!</v>
      </c>
      <c r="AY375" s="9" t="e">
        <f>tbl_Case_mins[[#This Row],[Surgery Start]]-tbl_Case_mins[[#This Row],[AnaesthStart]]</f>
        <v>#REF!</v>
      </c>
      <c r="AZ375" s="9" t="e">
        <f>tbl_Case_mins[[#This Row],[Anaesth End]]-tbl_Case_mins[[#This Row],[Surgery Finish]]</f>
        <v>#REF!</v>
      </c>
      <c r="BA37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5" s="16" cm="1">
        <f t="array" ref="BC37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5" s="16" t="e">
        <f>IF(AND(tbl_Case_mins[[#This Row],[FirstAMCase]]=1,tbl_Case_mins[[#This Row],[CancelledCase]]=0,OR(tbl_Case_mins[[#This Row],[EarlyStartAM]]&gt;0,tbl_Case_mins[[#This Row],[AnaesthStart]]=tbl_Case_mins[[#This Row],[ThOpenAm]])),1,0)</f>
        <v>#REF!</v>
      </c>
      <c r="BE375" s="16" t="e">
        <f>IF(AND(tbl_Case_mins[[#This Row],[Rank_AnaSt]]=tbl_Case_mins[[#This Row],[Min_RankAnaSt]],tbl_Case_mins[[#This Row],[Anaesth End]]&gt;=tbl_Case_mins[[#This Row],[ThOpenAm]],tbl_Case_mins[[#This Row],[PmCase]]=0),1,0)</f>
        <v>#REF!</v>
      </c>
      <c r="BF37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5" s="9" t="e" cm="1">
        <f t="array" ref="BH37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5" s="9" t="e">
        <f>IF(AND(tbl_Case_mins[[#This Row],[ThOpenPM]]&gt;0,tbl_Case_mins[[#This Row],[AnaesthStart]]&gt;tbl_Case_mins[[#This Row],[ThOpenPM]],tbl_Case_mins[[#This Row],[First PM Case]]=1),tbl_Case_mins[[#This Row],[AnaesthStart]]-tbl_Case_mins[[#This Row],[ThOpenPM]],0)</f>
        <v>#REF!</v>
      </c>
      <c r="BL37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5" s="9" t="e" cm="1">
        <f t="array" ref="BN37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5" s="9" t="e">
        <f>IF(AND(tbl_Case_mins[[#This Row],[ThClosePm]]&gt;0,tbl_Case_mins[[#This Row],[Anaesth End]]&gt;tbl_Case_mins[[#This Row],[ThClosePm]],tbl_Case_mins[[#This Row],[AnaesthStart]]&gt;tbl_Case_mins[[#This Row],[ThClosePm]]),tbl_Case_mins[[#This Row],[Into Recov]]-tbl_Case_mins[[#This Row],[AnaesthStart]],0)</f>
        <v>#REF!</v>
      </c>
      <c r="BP375" s="9" t="e">
        <f>IF(AND(tbl_Case_mins[[#This Row],[AnaesthStart]]&lt;tbl_Case_mins[[#This Row],[ThClosePm]],tbl_Case_mins[[#This Row],[Anaesth End]]&gt;tbl_Case_mins[[#This Row],[ThClosePm]]),tbl_Case_mins[[#This Row],[Anaesth End]]-tbl_Case_mins[[#This Row],[ThClosePm]],0)</f>
        <v>#REF!</v>
      </c>
      <c r="BQ375" s="9" t="e" cm="1">
        <f t="array" ref="BQ37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5" s="9" t="e" cm="1">
        <f t="array" ref="BR375">IF(tbl_Case_mins[[#This Row],[Rank_Adjust]]=SUMPRODUCT(-(tbl_Case_mins[Surgery Start Date]=tbl_Case_mins[[#This Row],[Surgery Start Date]]),-(tbl_Case_mins[Theatre]=tbl_Case_mins[[#This Row],[Theatre]])),INDEX(Poss_Time,MATCH(TEXT(tbl_Case_mins[[#This Row],[Surgery Start Date]],"ddd"),Day,0)),0)</f>
        <v>#REF!</v>
      </c>
      <c r="BS375" s="9" t="e">
        <f>tbl_Case_mins[[#This Row],[Core_Time]]*Util_Goal</f>
        <v>#REF!</v>
      </c>
      <c r="BT375" s="9" t="e" cm="1">
        <f t="array" ref="BT3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5" s="9" t="e" cm="1">
        <f t="array" ref="BU37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5" s="9" t="e">
        <f>IF(tbl_Case_mins[[#This Row],[Surgery End Date]]&gt;tbl_Case_mins[[#This Row],[Surgery Start Date]],tbl_Case_mins[[#This Row],[Anaesth End]]-1440,0)</f>
        <v>#REF!</v>
      </c>
      <c r="BY375" s="9" t="e">
        <f>tbl_Case_mins[[#This Row],[Total_NonCore]]-tbl_Case_mins[[#This Row],[NextDay_NonCore]]</f>
        <v>#REF!</v>
      </c>
      <c r="BZ375" s="10" t="e">
        <f>tbl_Case_mins[[#This Row],[InCoreUse]]/60</f>
        <v>#REF!</v>
      </c>
      <c r="CA375" s="10" t="e">
        <f>tbl_Case_mins[[#This Row],[Total_NonCore]]/60</f>
        <v>#REF!</v>
      </c>
      <c r="CB375" t="e" cm="1">
        <f t="array" ref="CB3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5" s="9" t="e" cm="1">
        <f t="array" ref="CC37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5" s="9" t="e" cm="1">
        <f t="array" ref="CD37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5" s="9" t="e" cm="1">
        <f t="array" ref="CE37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5" s="9" cm="1">
        <f t="array" ref="CF375">IFERROR(_xlfn.AGGREGATE(14,6,(tbl_Case_mins[Rank_AnaEnd])/((tbl_Case_mins[Surgery Start Date]=tbl_Case_mins[[#This Row],[Surgery Start Date]])*(tbl_Case_mins[Theatre]=tbl_Case_mins[[#This Row],[Theatre]])*(tbl_Case_mins[NoInCoreTime]=0)),1),-1)</f>
        <v>-1</v>
      </c>
      <c r="CG375" s="9" cm="1">
        <f t="array" ref="CG375">IFERROR(_xlfn.AGGREGATE(15,6,(tbl_Case_mins[Rank_AnaSt])/((tbl_Case_mins[Surgery Start Date]=tbl_Case_mins[[#This Row],[Surgery Start Date]])*(tbl_Case_mins[Theatre]=tbl_Case_mins[[#This Row],[Theatre]])*(tbl_Case_mins[NoInCoreTime]=0)),1),-1)</f>
        <v>-1</v>
      </c>
      <c r="CH37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5" t="e" cm="1">
        <f t="array" ref="CJ37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5" s="9" cm="1">
        <f t="array" ref="CO3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5" s="9" cm="1">
        <f t="array" ref="CP37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5" s="9" cm="1">
        <f t="array" ref="CQ375">IFERROR(IF(AND(tbl_Case_mins[[#This Row],[FirstAMCase]]=0,tbl_Case_mins[[#This Row],[Rank]]=_xlfn.AGGREGATE(14,6,(tbl_Case_mins[Rank])/((tbl_Case_mins[Surgery Start Date]=tbl_Case_mins[[#This Row],[Surgery Start Date]])*(tbl_Case_mins[Theatre]=tbl_Case_mins[[#This Row],[Theatre]])*(tbl_Case_mins[AmCase]=1)),1)),1,0),0)</f>
        <v>0</v>
      </c>
      <c r="CR375" s="9" cm="1">
        <f t="array" ref="CR37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5" s="9" t="e" cm="1">
        <f t="array" ref="CS37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5" s="9" cm="1">
        <f t="array" ref="CT375">IFERROR(IF(tbl_Case_mins[[#This Row],[Rank]]=_xlfn.AGGREGATE(15,6,(tbl_Case_mins[Rank])/((tbl_Case_mins[Surgery Start Date]=tbl_Case_mins[[#This Row],[Surgery Start Date]])*(tbl_Case_mins[Theatre]=tbl_Case_mins[[#This Row],[Theatre]])*(tbl_Case_mins[PmCase]=1)),1),1,0),0)</f>
        <v>0</v>
      </c>
      <c r="CU375">
        <f>IFERROR(#REF!,0)</f>
        <v>0</v>
      </c>
      <c r="CV375" s="9" t="e" cm="1">
        <f t="array" ref="CV37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5" s="9">
        <f>IFERROR(IF(ISBLANK(INDEX(Bay_AmClose,MATCH(1,INDEX((tbl_Case_mins[[#This Row],[Bay]]=BayNo)*(tbl_Case_mins[[#This Row],[Surgery Start Date]]=BDate),0,1),0))*1440),0,INDEX(Bay_AmClose,MATCH(1,INDEX((tbl_Case_mins[[#This Row],[Bay]]=BayNo)*(tbl_Case_mins[[#This Row],[Surgery Start Date]]=BDate),0,1),0))*1440),0)</f>
        <v>0</v>
      </c>
      <c r="CX375" s="9" cm="1">
        <f t="array" ref="CX375">IFERROR(IF(ISBLANK(INDEX(Bay_PmOpen,MATCH(1,INDEX((tbl_Case_mins[[#This Row],[Bay]]=BayNo)*(tbl_Case_mins[[#This Row],[Surgery Start Date]]=BDate),0,1),0))*1440),0,INDEX(Bay_PmOpen,MATCH(1,INDEX((tbl_Case_mins[[#This Row],[Bay]]=BayNo)*(tbl_Case_mins[[#This Row],[Surgery Start Date]]=BDate),0,1),0))*1440),0)</f>
        <v>0</v>
      </c>
      <c r="CY37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5" s="9"/>
    </row>
    <row r="376" spans="1:104" x14ac:dyDescent="0.2">
      <c r="A376">
        <v>375</v>
      </c>
      <c r="B376" t="e">
        <f>#REF!</f>
        <v>#REF!</v>
      </c>
      <c r="C376" t="e">
        <f>#REF!</f>
        <v>#REF!</v>
      </c>
      <c r="D376" t="e">
        <f>#REF!</f>
        <v>#REF!</v>
      </c>
      <c r="E376" t="e">
        <f>#REF!</f>
        <v>#REF!</v>
      </c>
      <c r="F376" t="e">
        <f>#REF!</f>
        <v>#REF!</v>
      </c>
      <c r="G376" t="e">
        <f>#REF!</f>
        <v>#REF!</v>
      </c>
      <c r="H376" t="e">
        <f>#REF!</f>
        <v>#REF!</v>
      </c>
      <c r="I376" t="e">
        <f>IF(#REF!="Case Cancelled",1,IF(#REF!="No Cases",2,0))</f>
        <v>#REF!</v>
      </c>
      <c r="J376" t="e">
        <f>#REF!</f>
        <v>#REF!</v>
      </c>
      <c r="K376" s="4" t="e">
        <f>#REF!</f>
        <v>#REF!</v>
      </c>
      <c r="L376" t="e">
        <f>"Wk "&amp;WEEKNUM(tbl_Case_mins[[#This Row],[Surgery Start Date]],21)</f>
        <v>#REF!</v>
      </c>
      <c r="M376" t="e">
        <f>TEXT(tbl_Case_mins[[#This Row],[Surgery Start Date]],"ddd")</f>
        <v>#REF!</v>
      </c>
      <c r="N376" s="9" t="e">
        <f>(#REF!-TIME(0,0,0))*1440</f>
        <v>#REF!</v>
      </c>
      <c r="O376" t="e">
        <f>IF(AND(ROUND((#REF!-TIME(0,0,0))*1440,0)&gt;0,ROUND((#REF!-TIME(0,0,0))*1440,0)&lt;tbl_Case_mins[[#This Row],[Patient Called]],tbl_Case_mins[[#This Row],[Surgery End Date]]&gt;tbl_Case_mins[[#This Row],[Surgery Start Date]]),ROUND((#REF!-TIME(0,0,0))*1440,0)+1440,ROUND((#REF!-TIME(0,0,0))*1440,0))</f>
        <v>#REF!</v>
      </c>
      <c r="P376" s="9" t="e">
        <f>IF(AND(ROUND((#REF!-TIME(0,0,0))*1440,0)&gt;0,ROUND((#REF!-TIME(0,0,0))*1440,0)&lt;tbl_Case_mins[[#This Row],[Arrival]],tbl_Case_mins[[#This Row],[Surgery End Date]]&gt;tbl_Case_mins[[#This Row],[Surgery Start Date]]),ROUND((#REF!-TIME(0,0,0))*1440,0)+1440,ROUND((#REF!-TIME(0,0,0))*1440,0))</f>
        <v>#REF!</v>
      </c>
      <c r="Q376" s="9" t="e">
        <f>IF(AND(ROUND((#REF!-TIME(0,0,0))*1440,0)&gt;0,ROUND((#REF!-TIME(0,0,0))*1440,0)&lt;tbl_Case_mins[[#This Row],[Into Th or AR]],tbl_Case_mins[[#This Row],[Surgery End Date]]&gt;tbl_Case_mins[[#This Row],[Surgery Start Date]]),ROUND((#REF!-TIME(0,0,0))*1440,0)+1440,ROUND((#REF!-TIME(0,0,0))*1440,0))</f>
        <v>#REF!</v>
      </c>
      <c r="R376" s="9" t="e">
        <f>IF(AND(ROUND((#REF!-TIME(0,0,0))*1440,0)&gt;0,ROUND((#REF!-TIME(0,0,0))*1440,0)&lt;tbl_Case_mins[[#This Row],[AnaesthStart]],tbl_Case_mins[[#This Row],[Surgery End Date]]&gt;tbl_Case_mins[[#This Row],[Surgery Start Date]]),ROUND((#REF!-TIME(0,0,0))*1440,0)+1440,ROUND((#REF!-TIME(0,0,0))*1440,0))</f>
        <v>#REF!</v>
      </c>
      <c r="S376" s="9" t="e">
        <f>IF(AND(ROUND((#REF!-TIME(0,0,0))*1440,0),ROUND((#REF!-TIME(0,0,0))*1440,0)&lt;tbl_Case_mins[[#This Row],[Surgery Start]],tbl_Case_mins[[#This Row],[Surgery End Date]]&gt;tbl_Case_mins[[#This Row],[Surgery Start Date]]),ROUND((#REF!-TIME(0,0,0))*1440,0)+1440,ROUND((#REF!-TIME(0,0,0))*1440,0))</f>
        <v>#REF!</v>
      </c>
      <c r="T376" s="9" t="e">
        <f>IF(AND(ROUND((#REF!-TIME(0,0,0))*1440,0)&gt;0,ROUND((#REF!-TIME(0,0,0))*1440,0)&lt;tbl_Case_mins[[#This Row],[Surgery Finish]],tbl_Case_mins[[#This Row],[Surgery End Date]]&gt;tbl_Case_mins[[#This Row],[Surgery Start Date]]),ROUND((#REF!-TIME(0,0,0))*1440,0)+1440,ROUND((#REF!-TIME(0,0,0))*1440,0))</f>
        <v>#REF!</v>
      </c>
      <c r="U376" s="9" t="e">
        <f>IF(AND(ROUND((#REF!-TIME(0,0,0))*1440,0)&gt;0,ROUND((#REF!-TIME(0,0,0))*1440,0)&lt;tbl_Case_mins[[#This Row],[Anaesth End]],tbl_Case_mins[[#This Row],[Surgery End Date]]&gt;tbl_Case_mins[[#This Row],[Surgery Start Date]]),ROUND((#REF!-TIME(0,0,0))*1440,0)+1440,ROUND((#REF!-TIME(0,0,0))*1440,0))</f>
        <v>#REF!</v>
      </c>
      <c r="V376" s="9" t="e">
        <f>IF(AND(ROUND((#REF!-TIME(0,0,0))*1440,0)&gt;0,ROUND((#REF!-TIME(0,0,0))*1440,0)&lt;tbl_Case_mins[[#This Row],[Into Recov]],tbl_Case_mins[[#This Row],[Surgery End Date]]&gt;tbl_Case_mins[[#This Row],[Surgery Start Date]]),ROUND((#REF!-TIME(0,0,0))*1440,0)+1440,ROUND((#REF!-TIME(0,0,0))*1440,0))</f>
        <v>#REF!</v>
      </c>
      <c r="W376" s="9" t="e">
        <f>IF(AND(ROUND((#REF!-TIME(0,0,0))*1440,0)&gt;0,ROUND((#REF!-TIME(0,0,0))*1440,0)&lt;tbl_Case_mins[[#This Row],[Ward Called]],tbl_Case_mins[[#This Row],[Surgery End Date]]&gt;tbl_Case_mins[[#This Row],[Surgery Start Date]]),ROUND((#REF!-TIME(0,0,0))*1440,0)+1440,ROUND((#REF!-TIME(0,0,0))*1440,0))</f>
        <v>#REF!</v>
      </c>
      <c r="X376" s="4" t="e">
        <f>IF(ISBLANK(#REF!),tbl_Case_mins[[#This Row],[Surgery Start Date]],#REF!)</f>
        <v>#REF!</v>
      </c>
      <c r="Y376">
        <f>IFERROR(IF(VLOOKUP(tbl_Case_mins[[#This Row],[Theatre]],'Mng Theatres'!$C$7:$G$12,3,FALSE)="Yes","Yes","No"),0)</f>
        <v>0</v>
      </c>
      <c r="Z376" s="9" t="e" cm="1">
        <f t="array" ref="Z37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6" s="9" t="e" cm="1">
        <f t="array" ref="AA37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6" s="9" t="e">
        <f>IF(tbl_Case_mins[[#This Row],[Case Type]]="Unsch",1,0)</f>
        <v>#REF!</v>
      </c>
      <c r="AD376" s="9" t="e">
        <f>IF(tbl_Case_mins[[#This Row],[Case Type]]="Sch",1,0)</f>
        <v>#REF!</v>
      </c>
      <c r="AE37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6" s="9">
        <f>IFERROR(IF(ISBLANK(INDEX(Am_Close,MATCH(1,INDEX((tbl_Case_mins[[#This Row],[Theatre]]=Theatre_No)*(tbl_Case_mins[[#This Row],[Surgery Start Date]]=Date),0,1),0))*1440),0,INDEX(Am_Close,MATCH(1,INDEX((tbl_Case_mins[[#This Row],[Theatre]]=Theatre_No)*(tbl_Case_mins[[#This Row],[Surgery Start Date]]=Date),0,1),0))*1440),0)</f>
        <v>0</v>
      </c>
      <c r="AG376" s="9">
        <f>IFERROR(IF(ISBLANK(INDEX(PM_Open,MATCH(1,INDEX((tbl_Case_mins[[#This Row],[Theatre]]=Theatre_No)*(tbl_Case_mins[[#This Row],[Surgery Start Date]]=Date),0,1),0))*1440),0,INDEX(PM_Open,MATCH(1,INDEX((tbl_Case_mins[[#This Row],[Theatre]]=Theatre_No)*(tbl_Case_mins[[#This Row],[Surgery Start Date]]=Date),0,1),0))*1440),0)</f>
        <v>0</v>
      </c>
      <c r="AH37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6" s="9" t="e">
        <f>IF(tbl_Case_mins[[#This Row],[ThOpenAm]]=0,tbl_Case_mins[[#This Row],[ThOpenPM]],tbl_Case_mins[[#This Row],[ThOpenAm]])</f>
        <v>#REF!</v>
      </c>
      <c r="AJ376" s="9" t="e">
        <f>IF(tbl_Case_mins[[#This Row],[ThCloseAm]]&gt;0,IF(tbl_Case_mins[[#This Row],[ThOpenPM]]&gt;0,tbl_Case_mins[[#This Row],[ThClosePm]],tbl_Case_mins[[#This Row],[ThCloseAm]]),tbl_Case_mins[[#This Row],[ThClosePm]])</f>
        <v>#REF!</v>
      </c>
      <c r="AK376" s="9" t="e">
        <f>IF(tbl_Case_mins[[#This Row],[TOT]]&gt;0,1,0)</f>
        <v>#REF!</v>
      </c>
      <c r="AL37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6" s="9" t="e">
        <f>IF(AND(tbl_Case_mins[[#This Row],[Surgery Status]]&lt;&gt;2,tbl_Case_mins[[#This Row],[InCoreCase]]=0,tbl_Case_mins[[#This Row],[CancelledCase]]=0),1,0)</f>
        <v>#REF!</v>
      </c>
      <c r="AN376" s="9" t="e">
        <f>IF(tbl_Case_mins[[#This Row],[Surgery Status]]=1,1,0)</f>
        <v>#REF!</v>
      </c>
      <c r="AO37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6" s="9" t="e">
        <f>IF(AND(tbl_Case_mins[[#This Row],[NonCoreCase]]=1,tbl_Case_mins[[#This Row],[NoInCoreTime]]=0),1,0)</f>
        <v>#REF!</v>
      </c>
      <c r="AQ376" s="9" t="e">
        <f>IF(tbl_Case_mins[[#This Row],[Rank_AnaEnd]]&lt;tbl_Case_mins[[#This Row],[Rank_AnaSt]],1,0)</f>
        <v>#REF!</v>
      </c>
      <c r="AR376" s="9" t="e">
        <f>IF(AND(tbl_Case_mins[[#This Row],[InCoreCase]]=1,tbl_Case_mins[[#This Row],[Sch]]=1),1,0)</f>
        <v>#REF!</v>
      </c>
      <c r="AS376" s="9" t="e">
        <f>IF(AND(tbl_Case_mins[[#This Row],[InCoreCase]]=1,tbl_Case_mins[[#This Row],[Unsch]]=1),1,0)</f>
        <v>#REF!</v>
      </c>
      <c r="AT37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6" s="9" t="e">
        <f>IF(tbl_Case_mins[[#This Row],[Surgery Status]]=0,(tbl_Case_mins[[#This Row],[Anaesth End]]-tbl_Case_mins[[#This Row],[AnaesthStart]]),0)</f>
        <v>#REF!</v>
      </c>
      <c r="AX376" s="9" t="e">
        <f>IF(tbl_Case_mins[[#This Row],[Surgery Status]]=0,(tbl_Case_mins[[#This Row],[Surgery Finish]]-tbl_Case_mins[[#This Row],[Surgery Start]]),0)</f>
        <v>#REF!</v>
      </c>
      <c r="AY376" s="9" t="e">
        <f>tbl_Case_mins[[#This Row],[Surgery Start]]-tbl_Case_mins[[#This Row],[AnaesthStart]]</f>
        <v>#REF!</v>
      </c>
      <c r="AZ376" s="9" t="e">
        <f>tbl_Case_mins[[#This Row],[Anaesth End]]-tbl_Case_mins[[#This Row],[Surgery Finish]]</f>
        <v>#REF!</v>
      </c>
      <c r="BA37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6" s="16" cm="1">
        <f t="array" ref="BC37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6" s="16" t="e">
        <f>IF(AND(tbl_Case_mins[[#This Row],[FirstAMCase]]=1,tbl_Case_mins[[#This Row],[CancelledCase]]=0,OR(tbl_Case_mins[[#This Row],[EarlyStartAM]]&gt;0,tbl_Case_mins[[#This Row],[AnaesthStart]]=tbl_Case_mins[[#This Row],[ThOpenAm]])),1,0)</f>
        <v>#REF!</v>
      </c>
      <c r="BE376" s="16" t="e">
        <f>IF(AND(tbl_Case_mins[[#This Row],[Rank_AnaSt]]=tbl_Case_mins[[#This Row],[Min_RankAnaSt]],tbl_Case_mins[[#This Row],[Anaesth End]]&gt;=tbl_Case_mins[[#This Row],[ThOpenAm]],tbl_Case_mins[[#This Row],[PmCase]]=0),1,0)</f>
        <v>#REF!</v>
      </c>
      <c r="BF37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6" s="9" t="e" cm="1">
        <f t="array" ref="BH37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6" s="9" t="e">
        <f>IF(AND(tbl_Case_mins[[#This Row],[ThOpenPM]]&gt;0,tbl_Case_mins[[#This Row],[AnaesthStart]]&gt;tbl_Case_mins[[#This Row],[ThOpenPM]],tbl_Case_mins[[#This Row],[First PM Case]]=1),tbl_Case_mins[[#This Row],[AnaesthStart]]-tbl_Case_mins[[#This Row],[ThOpenPM]],0)</f>
        <v>#REF!</v>
      </c>
      <c r="BL37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6" s="9" t="e" cm="1">
        <f t="array" ref="BN37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6" s="9" t="e">
        <f>IF(AND(tbl_Case_mins[[#This Row],[ThClosePm]]&gt;0,tbl_Case_mins[[#This Row],[Anaesth End]]&gt;tbl_Case_mins[[#This Row],[ThClosePm]],tbl_Case_mins[[#This Row],[AnaesthStart]]&gt;tbl_Case_mins[[#This Row],[ThClosePm]]),tbl_Case_mins[[#This Row],[Into Recov]]-tbl_Case_mins[[#This Row],[AnaesthStart]],0)</f>
        <v>#REF!</v>
      </c>
      <c r="BP376" s="9" t="e">
        <f>IF(AND(tbl_Case_mins[[#This Row],[AnaesthStart]]&lt;tbl_Case_mins[[#This Row],[ThClosePm]],tbl_Case_mins[[#This Row],[Anaesth End]]&gt;tbl_Case_mins[[#This Row],[ThClosePm]]),tbl_Case_mins[[#This Row],[Anaesth End]]-tbl_Case_mins[[#This Row],[ThClosePm]],0)</f>
        <v>#REF!</v>
      </c>
      <c r="BQ376" s="9" t="e" cm="1">
        <f t="array" ref="BQ37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6" s="9" t="e" cm="1">
        <f t="array" ref="BR376">IF(tbl_Case_mins[[#This Row],[Rank_Adjust]]=SUMPRODUCT(-(tbl_Case_mins[Surgery Start Date]=tbl_Case_mins[[#This Row],[Surgery Start Date]]),-(tbl_Case_mins[Theatre]=tbl_Case_mins[[#This Row],[Theatre]])),INDEX(Poss_Time,MATCH(TEXT(tbl_Case_mins[[#This Row],[Surgery Start Date]],"ddd"),Day,0)),0)</f>
        <v>#REF!</v>
      </c>
      <c r="BS376" s="9" t="e">
        <f>tbl_Case_mins[[#This Row],[Core_Time]]*Util_Goal</f>
        <v>#REF!</v>
      </c>
      <c r="BT376" s="9" t="e" cm="1">
        <f t="array" ref="BT3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6" s="9" t="e" cm="1">
        <f t="array" ref="BU37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6" s="9" t="e">
        <f>IF(tbl_Case_mins[[#This Row],[Surgery End Date]]&gt;tbl_Case_mins[[#This Row],[Surgery Start Date]],tbl_Case_mins[[#This Row],[Anaesth End]]-1440,0)</f>
        <v>#REF!</v>
      </c>
      <c r="BY376" s="9" t="e">
        <f>tbl_Case_mins[[#This Row],[Total_NonCore]]-tbl_Case_mins[[#This Row],[NextDay_NonCore]]</f>
        <v>#REF!</v>
      </c>
      <c r="BZ376" s="10" t="e">
        <f>tbl_Case_mins[[#This Row],[InCoreUse]]/60</f>
        <v>#REF!</v>
      </c>
      <c r="CA376" s="10" t="e">
        <f>tbl_Case_mins[[#This Row],[Total_NonCore]]/60</f>
        <v>#REF!</v>
      </c>
      <c r="CB376" t="e" cm="1">
        <f t="array" ref="CB3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6" s="9" t="e" cm="1">
        <f t="array" ref="CC37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6" s="9" t="e" cm="1">
        <f t="array" ref="CD37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6" s="9" t="e" cm="1">
        <f t="array" ref="CE37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6" s="9" cm="1">
        <f t="array" ref="CF376">IFERROR(_xlfn.AGGREGATE(14,6,(tbl_Case_mins[Rank_AnaEnd])/((tbl_Case_mins[Surgery Start Date]=tbl_Case_mins[[#This Row],[Surgery Start Date]])*(tbl_Case_mins[Theatre]=tbl_Case_mins[[#This Row],[Theatre]])*(tbl_Case_mins[NoInCoreTime]=0)),1),-1)</f>
        <v>-1</v>
      </c>
      <c r="CG376" s="9" cm="1">
        <f t="array" ref="CG376">IFERROR(_xlfn.AGGREGATE(15,6,(tbl_Case_mins[Rank_AnaSt])/((tbl_Case_mins[Surgery Start Date]=tbl_Case_mins[[#This Row],[Surgery Start Date]])*(tbl_Case_mins[Theatre]=tbl_Case_mins[[#This Row],[Theatre]])*(tbl_Case_mins[NoInCoreTime]=0)),1),-1)</f>
        <v>-1</v>
      </c>
      <c r="CH37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6" t="e" cm="1">
        <f t="array" ref="CJ37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6" s="9" cm="1">
        <f t="array" ref="CO3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6" s="9" cm="1">
        <f t="array" ref="CP37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6" s="9" cm="1">
        <f t="array" ref="CQ376">IFERROR(IF(AND(tbl_Case_mins[[#This Row],[FirstAMCase]]=0,tbl_Case_mins[[#This Row],[Rank]]=_xlfn.AGGREGATE(14,6,(tbl_Case_mins[Rank])/((tbl_Case_mins[Surgery Start Date]=tbl_Case_mins[[#This Row],[Surgery Start Date]])*(tbl_Case_mins[Theatre]=tbl_Case_mins[[#This Row],[Theatre]])*(tbl_Case_mins[AmCase]=1)),1)),1,0),0)</f>
        <v>0</v>
      </c>
      <c r="CR376" s="9" cm="1">
        <f t="array" ref="CR37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6" s="9" t="e" cm="1">
        <f t="array" ref="CS37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6" s="9" cm="1">
        <f t="array" ref="CT376">IFERROR(IF(tbl_Case_mins[[#This Row],[Rank]]=_xlfn.AGGREGATE(15,6,(tbl_Case_mins[Rank])/((tbl_Case_mins[Surgery Start Date]=tbl_Case_mins[[#This Row],[Surgery Start Date]])*(tbl_Case_mins[Theatre]=tbl_Case_mins[[#This Row],[Theatre]])*(tbl_Case_mins[PmCase]=1)),1),1,0),0)</f>
        <v>0</v>
      </c>
      <c r="CU376">
        <f>IFERROR(#REF!,0)</f>
        <v>0</v>
      </c>
      <c r="CV376" s="9" t="e" cm="1">
        <f t="array" ref="CV37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6" s="9">
        <f>IFERROR(IF(ISBLANK(INDEX(Bay_AmClose,MATCH(1,INDEX((tbl_Case_mins[[#This Row],[Bay]]=BayNo)*(tbl_Case_mins[[#This Row],[Surgery Start Date]]=BDate),0,1),0))*1440),0,INDEX(Bay_AmClose,MATCH(1,INDEX((tbl_Case_mins[[#This Row],[Bay]]=BayNo)*(tbl_Case_mins[[#This Row],[Surgery Start Date]]=BDate),0,1),0))*1440),0)</f>
        <v>0</v>
      </c>
      <c r="CX376" s="9" cm="1">
        <f t="array" ref="CX376">IFERROR(IF(ISBLANK(INDEX(Bay_PmOpen,MATCH(1,INDEX((tbl_Case_mins[[#This Row],[Bay]]=BayNo)*(tbl_Case_mins[[#This Row],[Surgery Start Date]]=BDate),0,1),0))*1440),0,INDEX(Bay_PmOpen,MATCH(1,INDEX((tbl_Case_mins[[#This Row],[Bay]]=BayNo)*(tbl_Case_mins[[#This Row],[Surgery Start Date]]=BDate),0,1),0))*1440),0)</f>
        <v>0</v>
      </c>
      <c r="CY37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6" s="9"/>
    </row>
    <row r="377" spans="1:104" x14ac:dyDescent="0.2">
      <c r="A377">
        <v>376</v>
      </c>
      <c r="B377" t="e">
        <f>#REF!</f>
        <v>#REF!</v>
      </c>
      <c r="C377" t="e">
        <f>#REF!</f>
        <v>#REF!</v>
      </c>
      <c r="D377" t="e">
        <f>#REF!</f>
        <v>#REF!</v>
      </c>
      <c r="E377" t="e">
        <f>#REF!</f>
        <v>#REF!</v>
      </c>
      <c r="F377" t="e">
        <f>#REF!</f>
        <v>#REF!</v>
      </c>
      <c r="G377" t="e">
        <f>#REF!</f>
        <v>#REF!</v>
      </c>
      <c r="H377" t="e">
        <f>#REF!</f>
        <v>#REF!</v>
      </c>
      <c r="I377" t="e">
        <f>IF(#REF!="Case Cancelled",1,IF(#REF!="No Cases",2,0))</f>
        <v>#REF!</v>
      </c>
      <c r="J377" t="e">
        <f>#REF!</f>
        <v>#REF!</v>
      </c>
      <c r="K377" s="4" t="e">
        <f>#REF!</f>
        <v>#REF!</v>
      </c>
      <c r="L377" t="e">
        <f>"Wk "&amp;WEEKNUM(tbl_Case_mins[[#This Row],[Surgery Start Date]],21)</f>
        <v>#REF!</v>
      </c>
      <c r="M377" t="e">
        <f>TEXT(tbl_Case_mins[[#This Row],[Surgery Start Date]],"ddd")</f>
        <v>#REF!</v>
      </c>
      <c r="N377" s="9" t="e">
        <f>(#REF!-TIME(0,0,0))*1440</f>
        <v>#REF!</v>
      </c>
      <c r="O377" t="e">
        <f>IF(AND(ROUND((#REF!-TIME(0,0,0))*1440,0)&gt;0,ROUND((#REF!-TIME(0,0,0))*1440,0)&lt;tbl_Case_mins[[#This Row],[Patient Called]],tbl_Case_mins[[#This Row],[Surgery End Date]]&gt;tbl_Case_mins[[#This Row],[Surgery Start Date]]),ROUND((#REF!-TIME(0,0,0))*1440,0)+1440,ROUND((#REF!-TIME(0,0,0))*1440,0))</f>
        <v>#REF!</v>
      </c>
      <c r="P377" s="9" t="e">
        <f>IF(AND(ROUND((#REF!-TIME(0,0,0))*1440,0)&gt;0,ROUND((#REF!-TIME(0,0,0))*1440,0)&lt;tbl_Case_mins[[#This Row],[Arrival]],tbl_Case_mins[[#This Row],[Surgery End Date]]&gt;tbl_Case_mins[[#This Row],[Surgery Start Date]]),ROUND((#REF!-TIME(0,0,0))*1440,0)+1440,ROUND((#REF!-TIME(0,0,0))*1440,0))</f>
        <v>#REF!</v>
      </c>
      <c r="Q377" s="9" t="e">
        <f>IF(AND(ROUND((#REF!-TIME(0,0,0))*1440,0)&gt;0,ROUND((#REF!-TIME(0,0,0))*1440,0)&lt;tbl_Case_mins[[#This Row],[Into Th or AR]],tbl_Case_mins[[#This Row],[Surgery End Date]]&gt;tbl_Case_mins[[#This Row],[Surgery Start Date]]),ROUND((#REF!-TIME(0,0,0))*1440,0)+1440,ROUND((#REF!-TIME(0,0,0))*1440,0))</f>
        <v>#REF!</v>
      </c>
      <c r="R377" s="9" t="e">
        <f>IF(AND(ROUND((#REF!-TIME(0,0,0))*1440,0)&gt;0,ROUND((#REF!-TIME(0,0,0))*1440,0)&lt;tbl_Case_mins[[#This Row],[AnaesthStart]],tbl_Case_mins[[#This Row],[Surgery End Date]]&gt;tbl_Case_mins[[#This Row],[Surgery Start Date]]),ROUND((#REF!-TIME(0,0,0))*1440,0)+1440,ROUND((#REF!-TIME(0,0,0))*1440,0))</f>
        <v>#REF!</v>
      </c>
      <c r="S377" s="9" t="e">
        <f>IF(AND(ROUND((#REF!-TIME(0,0,0))*1440,0),ROUND((#REF!-TIME(0,0,0))*1440,0)&lt;tbl_Case_mins[[#This Row],[Surgery Start]],tbl_Case_mins[[#This Row],[Surgery End Date]]&gt;tbl_Case_mins[[#This Row],[Surgery Start Date]]),ROUND((#REF!-TIME(0,0,0))*1440,0)+1440,ROUND((#REF!-TIME(0,0,0))*1440,0))</f>
        <v>#REF!</v>
      </c>
      <c r="T377" s="9" t="e">
        <f>IF(AND(ROUND((#REF!-TIME(0,0,0))*1440,0)&gt;0,ROUND((#REF!-TIME(0,0,0))*1440,0)&lt;tbl_Case_mins[[#This Row],[Surgery Finish]],tbl_Case_mins[[#This Row],[Surgery End Date]]&gt;tbl_Case_mins[[#This Row],[Surgery Start Date]]),ROUND((#REF!-TIME(0,0,0))*1440,0)+1440,ROUND((#REF!-TIME(0,0,0))*1440,0))</f>
        <v>#REF!</v>
      </c>
      <c r="U377" s="9" t="e">
        <f>IF(AND(ROUND((#REF!-TIME(0,0,0))*1440,0)&gt;0,ROUND((#REF!-TIME(0,0,0))*1440,0)&lt;tbl_Case_mins[[#This Row],[Anaesth End]],tbl_Case_mins[[#This Row],[Surgery End Date]]&gt;tbl_Case_mins[[#This Row],[Surgery Start Date]]),ROUND((#REF!-TIME(0,0,0))*1440,0)+1440,ROUND((#REF!-TIME(0,0,0))*1440,0))</f>
        <v>#REF!</v>
      </c>
      <c r="V377" s="9" t="e">
        <f>IF(AND(ROUND((#REF!-TIME(0,0,0))*1440,0)&gt;0,ROUND((#REF!-TIME(0,0,0))*1440,0)&lt;tbl_Case_mins[[#This Row],[Into Recov]],tbl_Case_mins[[#This Row],[Surgery End Date]]&gt;tbl_Case_mins[[#This Row],[Surgery Start Date]]),ROUND((#REF!-TIME(0,0,0))*1440,0)+1440,ROUND((#REF!-TIME(0,0,0))*1440,0))</f>
        <v>#REF!</v>
      </c>
      <c r="W377" s="9" t="e">
        <f>IF(AND(ROUND((#REF!-TIME(0,0,0))*1440,0)&gt;0,ROUND((#REF!-TIME(0,0,0))*1440,0)&lt;tbl_Case_mins[[#This Row],[Ward Called]],tbl_Case_mins[[#This Row],[Surgery End Date]]&gt;tbl_Case_mins[[#This Row],[Surgery Start Date]]),ROUND((#REF!-TIME(0,0,0))*1440,0)+1440,ROUND((#REF!-TIME(0,0,0))*1440,0))</f>
        <v>#REF!</v>
      </c>
      <c r="X377" s="4" t="e">
        <f>IF(ISBLANK(#REF!),tbl_Case_mins[[#This Row],[Surgery Start Date]],#REF!)</f>
        <v>#REF!</v>
      </c>
      <c r="Y377">
        <f>IFERROR(IF(VLOOKUP(tbl_Case_mins[[#This Row],[Theatre]],'Mng Theatres'!$C$7:$G$12,3,FALSE)="Yes","Yes","No"),0)</f>
        <v>0</v>
      </c>
      <c r="Z377" s="9" t="e" cm="1">
        <f t="array" ref="Z37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7" s="9" t="e" cm="1">
        <f t="array" ref="AA37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7" s="9" t="e">
        <f>IF(tbl_Case_mins[[#This Row],[Case Type]]="Unsch",1,0)</f>
        <v>#REF!</v>
      </c>
      <c r="AD377" s="9" t="e">
        <f>IF(tbl_Case_mins[[#This Row],[Case Type]]="Sch",1,0)</f>
        <v>#REF!</v>
      </c>
      <c r="AE37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7" s="9">
        <f>IFERROR(IF(ISBLANK(INDEX(Am_Close,MATCH(1,INDEX((tbl_Case_mins[[#This Row],[Theatre]]=Theatre_No)*(tbl_Case_mins[[#This Row],[Surgery Start Date]]=Date),0,1),0))*1440),0,INDEX(Am_Close,MATCH(1,INDEX((tbl_Case_mins[[#This Row],[Theatre]]=Theatre_No)*(tbl_Case_mins[[#This Row],[Surgery Start Date]]=Date),0,1),0))*1440),0)</f>
        <v>0</v>
      </c>
      <c r="AG377" s="9">
        <f>IFERROR(IF(ISBLANK(INDEX(PM_Open,MATCH(1,INDEX((tbl_Case_mins[[#This Row],[Theatre]]=Theatre_No)*(tbl_Case_mins[[#This Row],[Surgery Start Date]]=Date),0,1),0))*1440),0,INDEX(PM_Open,MATCH(1,INDEX((tbl_Case_mins[[#This Row],[Theatre]]=Theatre_No)*(tbl_Case_mins[[#This Row],[Surgery Start Date]]=Date),0,1),0))*1440),0)</f>
        <v>0</v>
      </c>
      <c r="AH37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7" s="9" t="e">
        <f>IF(tbl_Case_mins[[#This Row],[ThOpenAm]]=0,tbl_Case_mins[[#This Row],[ThOpenPM]],tbl_Case_mins[[#This Row],[ThOpenAm]])</f>
        <v>#REF!</v>
      </c>
      <c r="AJ377" s="9" t="e">
        <f>IF(tbl_Case_mins[[#This Row],[ThCloseAm]]&gt;0,IF(tbl_Case_mins[[#This Row],[ThOpenPM]]&gt;0,tbl_Case_mins[[#This Row],[ThClosePm]],tbl_Case_mins[[#This Row],[ThCloseAm]]),tbl_Case_mins[[#This Row],[ThClosePm]])</f>
        <v>#REF!</v>
      </c>
      <c r="AK377" s="9" t="e">
        <f>IF(tbl_Case_mins[[#This Row],[TOT]]&gt;0,1,0)</f>
        <v>#REF!</v>
      </c>
      <c r="AL37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7" s="9" t="e">
        <f>IF(AND(tbl_Case_mins[[#This Row],[Surgery Status]]&lt;&gt;2,tbl_Case_mins[[#This Row],[InCoreCase]]=0,tbl_Case_mins[[#This Row],[CancelledCase]]=0),1,0)</f>
        <v>#REF!</v>
      </c>
      <c r="AN377" s="9" t="e">
        <f>IF(tbl_Case_mins[[#This Row],[Surgery Status]]=1,1,0)</f>
        <v>#REF!</v>
      </c>
      <c r="AO37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7" s="9" t="e">
        <f>IF(AND(tbl_Case_mins[[#This Row],[NonCoreCase]]=1,tbl_Case_mins[[#This Row],[NoInCoreTime]]=0),1,0)</f>
        <v>#REF!</v>
      </c>
      <c r="AQ377" s="9" t="e">
        <f>IF(tbl_Case_mins[[#This Row],[Rank_AnaEnd]]&lt;tbl_Case_mins[[#This Row],[Rank_AnaSt]],1,0)</f>
        <v>#REF!</v>
      </c>
      <c r="AR377" s="9" t="e">
        <f>IF(AND(tbl_Case_mins[[#This Row],[InCoreCase]]=1,tbl_Case_mins[[#This Row],[Sch]]=1),1,0)</f>
        <v>#REF!</v>
      </c>
      <c r="AS377" s="9" t="e">
        <f>IF(AND(tbl_Case_mins[[#This Row],[InCoreCase]]=1,tbl_Case_mins[[#This Row],[Unsch]]=1),1,0)</f>
        <v>#REF!</v>
      </c>
      <c r="AT37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7" s="9" t="e">
        <f>IF(tbl_Case_mins[[#This Row],[Surgery Status]]=0,(tbl_Case_mins[[#This Row],[Anaesth End]]-tbl_Case_mins[[#This Row],[AnaesthStart]]),0)</f>
        <v>#REF!</v>
      </c>
      <c r="AX377" s="9" t="e">
        <f>IF(tbl_Case_mins[[#This Row],[Surgery Status]]=0,(tbl_Case_mins[[#This Row],[Surgery Finish]]-tbl_Case_mins[[#This Row],[Surgery Start]]),0)</f>
        <v>#REF!</v>
      </c>
      <c r="AY377" s="9" t="e">
        <f>tbl_Case_mins[[#This Row],[Surgery Start]]-tbl_Case_mins[[#This Row],[AnaesthStart]]</f>
        <v>#REF!</v>
      </c>
      <c r="AZ377" s="9" t="e">
        <f>tbl_Case_mins[[#This Row],[Anaesth End]]-tbl_Case_mins[[#This Row],[Surgery Finish]]</f>
        <v>#REF!</v>
      </c>
      <c r="BA37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7" s="16" cm="1">
        <f t="array" ref="BC37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7" s="16" t="e">
        <f>IF(AND(tbl_Case_mins[[#This Row],[FirstAMCase]]=1,tbl_Case_mins[[#This Row],[CancelledCase]]=0,OR(tbl_Case_mins[[#This Row],[EarlyStartAM]]&gt;0,tbl_Case_mins[[#This Row],[AnaesthStart]]=tbl_Case_mins[[#This Row],[ThOpenAm]])),1,0)</f>
        <v>#REF!</v>
      </c>
      <c r="BE377" s="16" t="e">
        <f>IF(AND(tbl_Case_mins[[#This Row],[Rank_AnaSt]]=tbl_Case_mins[[#This Row],[Min_RankAnaSt]],tbl_Case_mins[[#This Row],[Anaesth End]]&gt;=tbl_Case_mins[[#This Row],[ThOpenAm]],tbl_Case_mins[[#This Row],[PmCase]]=0),1,0)</f>
        <v>#REF!</v>
      </c>
      <c r="BF37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7" s="9" t="e" cm="1">
        <f t="array" ref="BH37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7" s="9" t="e">
        <f>IF(AND(tbl_Case_mins[[#This Row],[ThOpenPM]]&gt;0,tbl_Case_mins[[#This Row],[AnaesthStart]]&gt;tbl_Case_mins[[#This Row],[ThOpenPM]],tbl_Case_mins[[#This Row],[First PM Case]]=1),tbl_Case_mins[[#This Row],[AnaesthStart]]-tbl_Case_mins[[#This Row],[ThOpenPM]],0)</f>
        <v>#REF!</v>
      </c>
      <c r="BL37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7" s="9" t="e" cm="1">
        <f t="array" ref="BN37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7" s="9" t="e">
        <f>IF(AND(tbl_Case_mins[[#This Row],[ThClosePm]]&gt;0,tbl_Case_mins[[#This Row],[Anaesth End]]&gt;tbl_Case_mins[[#This Row],[ThClosePm]],tbl_Case_mins[[#This Row],[AnaesthStart]]&gt;tbl_Case_mins[[#This Row],[ThClosePm]]),tbl_Case_mins[[#This Row],[Into Recov]]-tbl_Case_mins[[#This Row],[AnaesthStart]],0)</f>
        <v>#REF!</v>
      </c>
      <c r="BP377" s="9" t="e">
        <f>IF(AND(tbl_Case_mins[[#This Row],[AnaesthStart]]&lt;tbl_Case_mins[[#This Row],[ThClosePm]],tbl_Case_mins[[#This Row],[Anaesth End]]&gt;tbl_Case_mins[[#This Row],[ThClosePm]]),tbl_Case_mins[[#This Row],[Anaesth End]]-tbl_Case_mins[[#This Row],[ThClosePm]],0)</f>
        <v>#REF!</v>
      </c>
      <c r="BQ377" s="9" t="e" cm="1">
        <f t="array" ref="BQ37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7" s="9" t="e" cm="1">
        <f t="array" ref="BR377">IF(tbl_Case_mins[[#This Row],[Rank_Adjust]]=SUMPRODUCT(-(tbl_Case_mins[Surgery Start Date]=tbl_Case_mins[[#This Row],[Surgery Start Date]]),-(tbl_Case_mins[Theatre]=tbl_Case_mins[[#This Row],[Theatre]])),INDEX(Poss_Time,MATCH(TEXT(tbl_Case_mins[[#This Row],[Surgery Start Date]],"ddd"),Day,0)),0)</f>
        <v>#REF!</v>
      </c>
      <c r="BS377" s="9" t="e">
        <f>tbl_Case_mins[[#This Row],[Core_Time]]*Util_Goal</f>
        <v>#REF!</v>
      </c>
      <c r="BT377" s="9" t="e" cm="1">
        <f t="array" ref="BT3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7" s="9" t="e" cm="1">
        <f t="array" ref="BU37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7" s="9" t="e">
        <f>IF(tbl_Case_mins[[#This Row],[Surgery End Date]]&gt;tbl_Case_mins[[#This Row],[Surgery Start Date]],tbl_Case_mins[[#This Row],[Anaesth End]]-1440,0)</f>
        <v>#REF!</v>
      </c>
      <c r="BY377" s="9" t="e">
        <f>tbl_Case_mins[[#This Row],[Total_NonCore]]-tbl_Case_mins[[#This Row],[NextDay_NonCore]]</f>
        <v>#REF!</v>
      </c>
      <c r="BZ377" s="10" t="e">
        <f>tbl_Case_mins[[#This Row],[InCoreUse]]/60</f>
        <v>#REF!</v>
      </c>
      <c r="CA377" s="10" t="e">
        <f>tbl_Case_mins[[#This Row],[Total_NonCore]]/60</f>
        <v>#REF!</v>
      </c>
      <c r="CB377" t="e" cm="1">
        <f t="array" ref="CB3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7" s="9" t="e" cm="1">
        <f t="array" ref="CC37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7" s="9" t="e" cm="1">
        <f t="array" ref="CD37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7" s="9" t="e" cm="1">
        <f t="array" ref="CE37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7" s="9" cm="1">
        <f t="array" ref="CF377">IFERROR(_xlfn.AGGREGATE(14,6,(tbl_Case_mins[Rank_AnaEnd])/((tbl_Case_mins[Surgery Start Date]=tbl_Case_mins[[#This Row],[Surgery Start Date]])*(tbl_Case_mins[Theatre]=tbl_Case_mins[[#This Row],[Theatre]])*(tbl_Case_mins[NoInCoreTime]=0)),1),-1)</f>
        <v>-1</v>
      </c>
      <c r="CG377" s="9" cm="1">
        <f t="array" ref="CG377">IFERROR(_xlfn.AGGREGATE(15,6,(tbl_Case_mins[Rank_AnaSt])/((tbl_Case_mins[Surgery Start Date]=tbl_Case_mins[[#This Row],[Surgery Start Date]])*(tbl_Case_mins[Theatre]=tbl_Case_mins[[#This Row],[Theatre]])*(tbl_Case_mins[NoInCoreTime]=0)),1),-1)</f>
        <v>-1</v>
      </c>
      <c r="CH37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7" t="e" cm="1">
        <f t="array" ref="CJ37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7" s="9" cm="1">
        <f t="array" ref="CO3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7" s="9" cm="1">
        <f t="array" ref="CP37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7" s="9" cm="1">
        <f t="array" ref="CQ377">IFERROR(IF(AND(tbl_Case_mins[[#This Row],[FirstAMCase]]=0,tbl_Case_mins[[#This Row],[Rank]]=_xlfn.AGGREGATE(14,6,(tbl_Case_mins[Rank])/((tbl_Case_mins[Surgery Start Date]=tbl_Case_mins[[#This Row],[Surgery Start Date]])*(tbl_Case_mins[Theatre]=tbl_Case_mins[[#This Row],[Theatre]])*(tbl_Case_mins[AmCase]=1)),1)),1,0),0)</f>
        <v>0</v>
      </c>
      <c r="CR377" s="9" cm="1">
        <f t="array" ref="CR37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7" s="9" t="e" cm="1">
        <f t="array" ref="CS37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7" s="9" cm="1">
        <f t="array" ref="CT377">IFERROR(IF(tbl_Case_mins[[#This Row],[Rank]]=_xlfn.AGGREGATE(15,6,(tbl_Case_mins[Rank])/((tbl_Case_mins[Surgery Start Date]=tbl_Case_mins[[#This Row],[Surgery Start Date]])*(tbl_Case_mins[Theatre]=tbl_Case_mins[[#This Row],[Theatre]])*(tbl_Case_mins[PmCase]=1)),1),1,0),0)</f>
        <v>0</v>
      </c>
      <c r="CU377">
        <f>IFERROR(#REF!,0)</f>
        <v>0</v>
      </c>
      <c r="CV377" s="9" t="e" cm="1">
        <f t="array" ref="CV37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7" s="9">
        <f>IFERROR(IF(ISBLANK(INDEX(Bay_AmClose,MATCH(1,INDEX((tbl_Case_mins[[#This Row],[Bay]]=BayNo)*(tbl_Case_mins[[#This Row],[Surgery Start Date]]=BDate),0,1),0))*1440),0,INDEX(Bay_AmClose,MATCH(1,INDEX((tbl_Case_mins[[#This Row],[Bay]]=BayNo)*(tbl_Case_mins[[#This Row],[Surgery Start Date]]=BDate),0,1),0))*1440),0)</f>
        <v>0</v>
      </c>
      <c r="CX377" s="9" cm="1">
        <f t="array" ref="CX377">IFERROR(IF(ISBLANK(INDEX(Bay_PmOpen,MATCH(1,INDEX((tbl_Case_mins[[#This Row],[Bay]]=BayNo)*(tbl_Case_mins[[#This Row],[Surgery Start Date]]=BDate),0,1),0))*1440),0,INDEX(Bay_PmOpen,MATCH(1,INDEX((tbl_Case_mins[[#This Row],[Bay]]=BayNo)*(tbl_Case_mins[[#This Row],[Surgery Start Date]]=BDate),0,1),0))*1440),0)</f>
        <v>0</v>
      </c>
      <c r="CY37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7" s="9"/>
    </row>
    <row r="378" spans="1:104" x14ac:dyDescent="0.2">
      <c r="A378">
        <v>377</v>
      </c>
      <c r="B378" t="e">
        <f>#REF!</f>
        <v>#REF!</v>
      </c>
      <c r="C378" t="e">
        <f>#REF!</f>
        <v>#REF!</v>
      </c>
      <c r="D378" t="e">
        <f>#REF!</f>
        <v>#REF!</v>
      </c>
      <c r="E378" t="e">
        <f>#REF!</f>
        <v>#REF!</v>
      </c>
      <c r="F378" t="e">
        <f>#REF!</f>
        <v>#REF!</v>
      </c>
      <c r="G378" t="e">
        <f>#REF!</f>
        <v>#REF!</v>
      </c>
      <c r="H378" t="e">
        <f>#REF!</f>
        <v>#REF!</v>
      </c>
      <c r="I378" t="e">
        <f>IF(#REF!="Case Cancelled",1,IF(#REF!="No Cases",2,0))</f>
        <v>#REF!</v>
      </c>
      <c r="J378" t="e">
        <f>#REF!</f>
        <v>#REF!</v>
      </c>
      <c r="K378" s="4" t="e">
        <f>#REF!</f>
        <v>#REF!</v>
      </c>
      <c r="L378" t="e">
        <f>"Wk "&amp;WEEKNUM(tbl_Case_mins[[#This Row],[Surgery Start Date]],21)</f>
        <v>#REF!</v>
      </c>
      <c r="M378" t="e">
        <f>TEXT(tbl_Case_mins[[#This Row],[Surgery Start Date]],"ddd")</f>
        <v>#REF!</v>
      </c>
      <c r="N378" s="9" t="e">
        <f>(#REF!-TIME(0,0,0))*1440</f>
        <v>#REF!</v>
      </c>
      <c r="O378" t="e">
        <f>IF(AND(ROUND((#REF!-TIME(0,0,0))*1440,0)&gt;0,ROUND((#REF!-TIME(0,0,0))*1440,0)&lt;tbl_Case_mins[[#This Row],[Patient Called]],tbl_Case_mins[[#This Row],[Surgery End Date]]&gt;tbl_Case_mins[[#This Row],[Surgery Start Date]]),ROUND((#REF!-TIME(0,0,0))*1440,0)+1440,ROUND((#REF!-TIME(0,0,0))*1440,0))</f>
        <v>#REF!</v>
      </c>
      <c r="P378" s="9" t="e">
        <f>IF(AND(ROUND((#REF!-TIME(0,0,0))*1440,0)&gt;0,ROUND((#REF!-TIME(0,0,0))*1440,0)&lt;tbl_Case_mins[[#This Row],[Arrival]],tbl_Case_mins[[#This Row],[Surgery End Date]]&gt;tbl_Case_mins[[#This Row],[Surgery Start Date]]),ROUND((#REF!-TIME(0,0,0))*1440,0)+1440,ROUND((#REF!-TIME(0,0,0))*1440,0))</f>
        <v>#REF!</v>
      </c>
      <c r="Q378" s="9" t="e">
        <f>IF(AND(ROUND((#REF!-TIME(0,0,0))*1440,0)&gt;0,ROUND((#REF!-TIME(0,0,0))*1440,0)&lt;tbl_Case_mins[[#This Row],[Into Th or AR]],tbl_Case_mins[[#This Row],[Surgery End Date]]&gt;tbl_Case_mins[[#This Row],[Surgery Start Date]]),ROUND((#REF!-TIME(0,0,0))*1440,0)+1440,ROUND((#REF!-TIME(0,0,0))*1440,0))</f>
        <v>#REF!</v>
      </c>
      <c r="R378" s="9" t="e">
        <f>IF(AND(ROUND((#REF!-TIME(0,0,0))*1440,0)&gt;0,ROUND((#REF!-TIME(0,0,0))*1440,0)&lt;tbl_Case_mins[[#This Row],[AnaesthStart]],tbl_Case_mins[[#This Row],[Surgery End Date]]&gt;tbl_Case_mins[[#This Row],[Surgery Start Date]]),ROUND((#REF!-TIME(0,0,0))*1440,0)+1440,ROUND((#REF!-TIME(0,0,0))*1440,0))</f>
        <v>#REF!</v>
      </c>
      <c r="S378" s="9" t="e">
        <f>IF(AND(ROUND((#REF!-TIME(0,0,0))*1440,0),ROUND((#REF!-TIME(0,0,0))*1440,0)&lt;tbl_Case_mins[[#This Row],[Surgery Start]],tbl_Case_mins[[#This Row],[Surgery End Date]]&gt;tbl_Case_mins[[#This Row],[Surgery Start Date]]),ROUND((#REF!-TIME(0,0,0))*1440,0)+1440,ROUND((#REF!-TIME(0,0,0))*1440,0))</f>
        <v>#REF!</v>
      </c>
      <c r="T378" s="9" t="e">
        <f>IF(AND(ROUND((#REF!-TIME(0,0,0))*1440,0)&gt;0,ROUND((#REF!-TIME(0,0,0))*1440,0)&lt;tbl_Case_mins[[#This Row],[Surgery Finish]],tbl_Case_mins[[#This Row],[Surgery End Date]]&gt;tbl_Case_mins[[#This Row],[Surgery Start Date]]),ROUND((#REF!-TIME(0,0,0))*1440,0)+1440,ROUND((#REF!-TIME(0,0,0))*1440,0))</f>
        <v>#REF!</v>
      </c>
      <c r="U378" s="9" t="e">
        <f>IF(AND(ROUND((#REF!-TIME(0,0,0))*1440,0)&gt;0,ROUND((#REF!-TIME(0,0,0))*1440,0)&lt;tbl_Case_mins[[#This Row],[Anaesth End]],tbl_Case_mins[[#This Row],[Surgery End Date]]&gt;tbl_Case_mins[[#This Row],[Surgery Start Date]]),ROUND((#REF!-TIME(0,0,0))*1440,0)+1440,ROUND((#REF!-TIME(0,0,0))*1440,0))</f>
        <v>#REF!</v>
      </c>
      <c r="V378" s="9" t="e">
        <f>IF(AND(ROUND((#REF!-TIME(0,0,0))*1440,0)&gt;0,ROUND((#REF!-TIME(0,0,0))*1440,0)&lt;tbl_Case_mins[[#This Row],[Into Recov]],tbl_Case_mins[[#This Row],[Surgery End Date]]&gt;tbl_Case_mins[[#This Row],[Surgery Start Date]]),ROUND((#REF!-TIME(0,0,0))*1440,0)+1440,ROUND((#REF!-TIME(0,0,0))*1440,0))</f>
        <v>#REF!</v>
      </c>
      <c r="W378" s="9" t="e">
        <f>IF(AND(ROUND((#REF!-TIME(0,0,0))*1440,0)&gt;0,ROUND((#REF!-TIME(0,0,0))*1440,0)&lt;tbl_Case_mins[[#This Row],[Ward Called]],tbl_Case_mins[[#This Row],[Surgery End Date]]&gt;tbl_Case_mins[[#This Row],[Surgery Start Date]]),ROUND((#REF!-TIME(0,0,0))*1440,0)+1440,ROUND((#REF!-TIME(0,0,0))*1440,0))</f>
        <v>#REF!</v>
      </c>
      <c r="X378" s="4" t="e">
        <f>IF(ISBLANK(#REF!),tbl_Case_mins[[#This Row],[Surgery Start Date]],#REF!)</f>
        <v>#REF!</v>
      </c>
      <c r="Y378">
        <f>IFERROR(IF(VLOOKUP(tbl_Case_mins[[#This Row],[Theatre]],'Mng Theatres'!$C$7:$G$12,3,FALSE)="Yes","Yes","No"),0)</f>
        <v>0</v>
      </c>
      <c r="Z378" s="9" t="e" cm="1">
        <f t="array" ref="Z37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8" s="9" t="e" cm="1">
        <f t="array" ref="AA37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8" s="9" t="e">
        <f>IF(tbl_Case_mins[[#This Row],[Case Type]]="Unsch",1,0)</f>
        <v>#REF!</v>
      </c>
      <c r="AD378" s="9" t="e">
        <f>IF(tbl_Case_mins[[#This Row],[Case Type]]="Sch",1,0)</f>
        <v>#REF!</v>
      </c>
      <c r="AE37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8" s="9">
        <f>IFERROR(IF(ISBLANK(INDEX(Am_Close,MATCH(1,INDEX((tbl_Case_mins[[#This Row],[Theatre]]=Theatre_No)*(tbl_Case_mins[[#This Row],[Surgery Start Date]]=Date),0,1),0))*1440),0,INDEX(Am_Close,MATCH(1,INDEX((tbl_Case_mins[[#This Row],[Theatre]]=Theatre_No)*(tbl_Case_mins[[#This Row],[Surgery Start Date]]=Date),0,1),0))*1440),0)</f>
        <v>0</v>
      </c>
      <c r="AG378" s="9">
        <f>IFERROR(IF(ISBLANK(INDEX(PM_Open,MATCH(1,INDEX((tbl_Case_mins[[#This Row],[Theatre]]=Theatre_No)*(tbl_Case_mins[[#This Row],[Surgery Start Date]]=Date),0,1),0))*1440),0,INDEX(PM_Open,MATCH(1,INDEX((tbl_Case_mins[[#This Row],[Theatre]]=Theatre_No)*(tbl_Case_mins[[#This Row],[Surgery Start Date]]=Date),0,1),0))*1440),0)</f>
        <v>0</v>
      </c>
      <c r="AH37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8" s="9" t="e">
        <f>IF(tbl_Case_mins[[#This Row],[ThOpenAm]]=0,tbl_Case_mins[[#This Row],[ThOpenPM]],tbl_Case_mins[[#This Row],[ThOpenAm]])</f>
        <v>#REF!</v>
      </c>
      <c r="AJ378" s="9" t="e">
        <f>IF(tbl_Case_mins[[#This Row],[ThCloseAm]]&gt;0,IF(tbl_Case_mins[[#This Row],[ThOpenPM]]&gt;0,tbl_Case_mins[[#This Row],[ThClosePm]],tbl_Case_mins[[#This Row],[ThCloseAm]]),tbl_Case_mins[[#This Row],[ThClosePm]])</f>
        <v>#REF!</v>
      </c>
      <c r="AK378" s="9" t="e">
        <f>IF(tbl_Case_mins[[#This Row],[TOT]]&gt;0,1,0)</f>
        <v>#REF!</v>
      </c>
      <c r="AL37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8" s="9" t="e">
        <f>IF(AND(tbl_Case_mins[[#This Row],[Surgery Status]]&lt;&gt;2,tbl_Case_mins[[#This Row],[InCoreCase]]=0,tbl_Case_mins[[#This Row],[CancelledCase]]=0),1,0)</f>
        <v>#REF!</v>
      </c>
      <c r="AN378" s="9" t="e">
        <f>IF(tbl_Case_mins[[#This Row],[Surgery Status]]=1,1,0)</f>
        <v>#REF!</v>
      </c>
      <c r="AO37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8" s="9" t="e">
        <f>IF(AND(tbl_Case_mins[[#This Row],[NonCoreCase]]=1,tbl_Case_mins[[#This Row],[NoInCoreTime]]=0),1,0)</f>
        <v>#REF!</v>
      </c>
      <c r="AQ378" s="9" t="e">
        <f>IF(tbl_Case_mins[[#This Row],[Rank_AnaEnd]]&lt;tbl_Case_mins[[#This Row],[Rank_AnaSt]],1,0)</f>
        <v>#REF!</v>
      </c>
      <c r="AR378" s="9" t="e">
        <f>IF(AND(tbl_Case_mins[[#This Row],[InCoreCase]]=1,tbl_Case_mins[[#This Row],[Sch]]=1),1,0)</f>
        <v>#REF!</v>
      </c>
      <c r="AS378" s="9" t="e">
        <f>IF(AND(tbl_Case_mins[[#This Row],[InCoreCase]]=1,tbl_Case_mins[[#This Row],[Unsch]]=1),1,0)</f>
        <v>#REF!</v>
      </c>
      <c r="AT37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8" s="9" t="e">
        <f>IF(tbl_Case_mins[[#This Row],[Surgery Status]]=0,(tbl_Case_mins[[#This Row],[Anaesth End]]-tbl_Case_mins[[#This Row],[AnaesthStart]]),0)</f>
        <v>#REF!</v>
      </c>
      <c r="AX378" s="9" t="e">
        <f>IF(tbl_Case_mins[[#This Row],[Surgery Status]]=0,(tbl_Case_mins[[#This Row],[Surgery Finish]]-tbl_Case_mins[[#This Row],[Surgery Start]]),0)</f>
        <v>#REF!</v>
      </c>
      <c r="AY378" s="9" t="e">
        <f>tbl_Case_mins[[#This Row],[Surgery Start]]-tbl_Case_mins[[#This Row],[AnaesthStart]]</f>
        <v>#REF!</v>
      </c>
      <c r="AZ378" s="9" t="e">
        <f>tbl_Case_mins[[#This Row],[Anaesth End]]-tbl_Case_mins[[#This Row],[Surgery Finish]]</f>
        <v>#REF!</v>
      </c>
      <c r="BA37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8" s="16" cm="1">
        <f t="array" ref="BC37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8" s="16" t="e">
        <f>IF(AND(tbl_Case_mins[[#This Row],[FirstAMCase]]=1,tbl_Case_mins[[#This Row],[CancelledCase]]=0,OR(tbl_Case_mins[[#This Row],[EarlyStartAM]]&gt;0,tbl_Case_mins[[#This Row],[AnaesthStart]]=tbl_Case_mins[[#This Row],[ThOpenAm]])),1,0)</f>
        <v>#REF!</v>
      </c>
      <c r="BE378" s="16" t="e">
        <f>IF(AND(tbl_Case_mins[[#This Row],[Rank_AnaSt]]=tbl_Case_mins[[#This Row],[Min_RankAnaSt]],tbl_Case_mins[[#This Row],[Anaesth End]]&gt;=tbl_Case_mins[[#This Row],[ThOpenAm]],tbl_Case_mins[[#This Row],[PmCase]]=0),1,0)</f>
        <v>#REF!</v>
      </c>
      <c r="BF37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8" s="9" t="e" cm="1">
        <f t="array" ref="BH37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8" s="9" t="e">
        <f>IF(AND(tbl_Case_mins[[#This Row],[ThOpenPM]]&gt;0,tbl_Case_mins[[#This Row],[AnaesthStart]]&gt;tbl_Case_mins[[#This Row],[ThOpenPM]],tbl_Case_mins[[#This Row],[First PM Case]]=1),tbl_Case_mins[[#This Row],[AnaesthStart]]-tbl_Case_mins[[#This Row],[ThOpenPM]],0)</f>
        <v>#REF!</v>
      </c>
      <c r="BL37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8" s="9" t="e" cm="1">
        <f t="array" ref="BN37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8" s="9" t="e">
        <f>IF(AND(tbl_Case_mins[[#This Row],[ThClosePm]]&gt;0,tbl_Case_mins[[#This Row],[Anaesth End]]&gt;tbl_Case_mins[[#This Row],[ThClosePm]],tbl_Case_mins[[#This Row],[AnaesthStart]]&gt;tbl_Case_mins[[#This Row],[ThClosePm]]),tbl_Case_mins[[#This Row],[Into Recov]]-tbl_Case_mins[[#This Row],[AnaesthStart]],0)</f>
        <v>#REF!</v>
      </c>
      <c r="BP378" s="9" t="e">
        <f>IF(AND(tbl_Case_mins[[#This Row],[AnaesthStart]]&lt;tbl_Case_mins[[#This Row],[ThClosePm]],tbl_Case_mins[[#This Row],[Anaesth End]]&gt;tbl_Case_mins[[#This Row],[ThClosePm]]),tbl_Case_mins[[#This Row],[Anaesth End]]-tbl_Case_mins[[#This Row],[ThClosePm]],0)</f>
        <v>#REF!</v>
      </c>
      <c r="BQ378" s="9" t="e" cm="1">
        <f t="array" ref="BQ37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8" s="9" t="e" cm="1">
        <f t="array" ref="BR378">IF(tbl_Case_mins[[#This Row],[Rank_Adjust]]=SUMPRODUCT(-(tbl_Case_mins[Surgery Start Date]=tbl_Case_mins[[#This Row],[Surgery Start Date]]),-(tbl_Case_mins[Theatre]=tbl_Case_mins[[#This Row],[Theatre]])),INDEX(Poss_Time,MATCH(TEXT(tbl_Case_mins[[#This Row],[Surgery Start Date]],"ddd"),Day,0)),0)</f>
        <v>#REF!</v>
      </c>
      <c r="BS378" s="9" t="e">
        <f>tbl_Case_mins[[#This Row],[Core_Time]]*Util_Goal</f>
        <v>#REF!</v>
      </c>
      <c r="BT378" s="9" t="e" cm="1">
        <f t="array" ref="BT3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8" s="9" t="e" cm="1">
        <f t="array" ref="BU37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8" s="9" t="e">
        <f>IF(tbl_Case_mins[[#This Row],[Surgery End Date]]&gt;tbl_Case_mins[[#This Row],[Surgery Start Date]],tbl_Case_mins[[#This Row],[Anaesth End]]-1440,0)</f>
        <v>#REF!</v>
      </c>
      <c r="BY378" s="9" t="e">
        <f>tbl_Case_mins[[#This Row],[Total_NonCore]]-tbl_Case_mins[[#This Row],[NextDay_NonCore]]</f>
        <v>#REF!</v>
      </c>
      <c r="BZ378" s="10" t="e">
        <f>tbl_Case_mins[[#This Row],[InCoreUse]]/60</f>
        <v>#REF!</v>
      </c>
      <c r="CA378" s="10" t="e">
        <f>tbl_Case_mins[[#This Row],[Total_NonCore]]/60</f>
        <v>#REF!</v>
      </c>
      <c r="CB378" t="e" cm="1">
        <f t="array" ref="CB3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8" s="9" t="e" cm="1">
        <f t="array" ref="CC37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8" s="9" t="e" cm="1">
        <f t="array" ref="CD37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8" s="9" t="e" cm="1">
        <f t="array" ref="CE37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8" s="9" cm="1">
        <f t="array" ref="CF378">IFERROR(_xlfn.AGGREGATE(14,6,(tbl_Case_mins[Rank_AnaEnd])/((tbl_Case_mins[Surgery Start Date]=tbl_Case_mins[[#This Row],[Surgery Start Date]])*(tbl_Case_mins[Theatre]=tbl_Case_mins[[#This Row],[Theatre]])*(tbl_Case_mins[NoInCoreTime]=0)),1),-1)</f>
        <v>-1</v>
      </c>
      <c r="CG378" s="9" cm="1">
        <f t="array" ref="CG378">IFERROR(_xlfn.AGGREGATE(15,6,(tbl_Case_mins[Rank_AnaSt])/((tbl_Case_mins[Surgery Start Date]=tbl_Case_mins[[#This Row],[Surgery Start Date]])*(tbl_Case_mins[Theatre]=tbl_Case_mins[[#This Row],[Theatre]])*(tbl_Case_mins[NoInCoreTime]=0)),1),-1)</f>
        <v>-1</v>
      </c>
      <c r="CH37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8" t="e" cm="1">
        <f t="array" ref="CJ37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8" s="9" cm="1">
        <f t="array" ref="CO3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8" s="9" cm="1">
        <f t="array" ref="CP37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8" s="9" cm="1">
        <f t="array" ref="CQ378">IFERROR(IF(AND(tbl_Case_mins[[#This Row],[FirstAMCase]]=0,tbl_Case_mins[[#This Row],[Rank]]=_xlfn.AGGREGATE(14,6,(tbl_Case_mins[Rank])/((tbl_Case_mins[Surgery Start Date]=tbl_Case_mins[[#This Row],[Surgery Start Date]])*(tbl_Case_mins[Theatre]=tbl_Case_mins[[#This Row],[Theatre]])*(tbl_Case_mins[AmCase]=1)),1)),1,0),0)</f>
        <v>0</v>
      </c>
      <c r="CR378" s="9" cm="1">
        <f t="array" ref="CR37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8" s="9" t="e" cm="1">
        <f t="array" ref="CS37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8" s="9" cm="1">
        <f t="array" ref="CT378">IFERROR(IF(tbl_Case_mins[[#This Row],[Rank]]=_xlfn.AGGREGATE(15,6,(tbl_Case_mins[Rank])/((tbl_Case_mins[Surgery Start Date]=tbl_Case_mins[[#This Row],[Surgery Start Date]])*(tbl_Case_mins[Theatre]=tbl_Case_mins[[#This Row],[Theatre]])*(tbl_Case_mins[PmCase]=1)),1),1,0),0)</f>
        <v>0</v>
      </c>
      <c r="CU378">
        <f>IFERROR(#REF!,0)</f>
        <v>0</v>
      </c>
      <c r="CV378" s="9" t="e" cm="1">
        <f t="array" ref="CV37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8" s="9">
        <f>IFERROR(IF(ISBLANK(INDEX(Bay_AmClose,MATCH(1,INDEX((tbl_Case_mins[[#This Row],[Bay]]=BayNo)*(tbl_Case_mins[[#This Row],[Surgery Start Date]]=BDate),0,1),0))*1440),0,INDEX(Bay_AmClose,MATCH(1,INDEX((tbl_Case_mins[[#This Row],[Bay]]=BayNo)*(tbl_Case_mins[[#This Row],[Surgery Start Date]]=BDate),0,1),0))*1440),0)</f>
        <v>0</v>
      </c>
      <c r="CX378" s="9" cm="1">
        <f t="array" ref="CX378">IFERROR(IF(ISBLANK(INDEX(Bay_PmOpen,MATCH(1,INDEX((tbl_Case_mins[[#This Row],[Bay]]=BayNo)*(tbl_Case_mins[[#This Row],[Surgery Start Date]]=BDate),0,1),0))*1440),0,INDEX(Bay_PmOpen,MATCH(1,INDEX((tbl_Case_mins[[#This Row],[Bay]]=BayNo)*(tbl_Case_mins[[#This Row],[Surgery Start Date]]=BDate),0,1),0))*1440),0)</f>
        <v>0</v>
      </c>
      <c r="CY37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8" s="9"/>
    </row>
    <row r="379" spans="1:104" x14ac:dyDescent="0.2">
      <c r="A379">
        <v>378</v>
      </c>
      <c r="B379" t="e">
        <f>#REF!</f>
        <v>#REF!</v>
      </c>
      <c r="C379" t="e">
        <f>#REF!</f>
        <v>#REF!</v>
      </c>
      <c r="D379" t="e">
        <f>#REF!</f>
        <v>#REF!</v>
      </c>
      <c r="E379" t="e">
        <f>#REF!</f>
        <v>#REF!</v>
      </c>
      <c r="F379" t="e">
        <f>#REF!</f>
        <v>#REF!</v>
      </c>
      <c r="G379" t="e">
        <f>#REF!</f>
        <v>#REF!</v>
      </c>
      <c r="H379" t="e">
        <f>#REF!</f>
        <v>#REF!</v>
      </c>
      <c r="I379" t="e">
        <f>IF(#REF!="Case Cancelled",1,IF(#REF!="No Cases",2,0))</f>
        <v>#REF!</v>
      </c>
      <c r="J379" t="e">
        <f>#REF!</f>
        <v>#REF!</v>
      </c>
      <c r="K379" s="4" t="e">
        <f>#REF!</f>
        <v>#REF!</v>
      </c>
      <c r="L379" t="e">
        <f>"Wk "&amp;WEEKNUM(tbl_Case_mins[[#This Row],[Surgery Start Date]],21)</f>
        <v>#REF!</v>
      </c>
      <c r="M379" t="e">
        <f>TEXT(tbl_Case_mins[[#This Row],[Surgery Start Date]],"ddd")</f>
        <v>#REF!</v>
      </c>
      <c r="N379" s="9" t="e">
        <f>(#REF!-TIME(0,0,0))*1440</f>
        <v>#REF!</v>
      </c>
      <c r="O379" t="e">
        <f>IF(AND(ROUND((#REF!-TIME(0,0,0))*1440,0)&gt;0,ROUND((#REF!-TIME(0,0,0))*1440,0)&lt;tbl_Case_mins[[#This Row],[Patient Called]],tbl_Case_mins[[#This Row],[Surgery End Date]]&gt;tbl_Case_mins[[#This Row],[Surgery Start Date]]),ROUND((#REF!-TIME(0,0,0))*1440,0)+1440,ROUND((#REF!-TIME(0,0,0))*1440,0))</f>
        <v>#REF!</v>
      </c>
      <c r="P379" s="9" t="e">
        <f>IF(AND(ROUND((#REF!-TIME(0,0,0))*1440,0)&gt;0,ROUND((#REF!-TIME(0,0,0))*1440,0)&lt;tbl_Case_mins[[#This Row],[Arrival]],tbl_Case_mins[[#This Row],[Surgery End Date]]&gt;tbl_Case_mins[[#This Row],[Surgery Start Date]]),ROUND((#REF!-TIME(0,0,0))*1440,0)+1440,ROUND((#REF!-TIME(0,0,0))*1440,0))</f>
        <v>#REF!</v>
      </c>
      <c r="Q379" s="9" t="e">
        <f>IF(AND(ROUND((#REF!-TIME(0,0,0))*1440,0)&gt;0,ROUND((#REF!-TIME(0,0,0))*1440,0)&lt;tbl_Case_mins[[#This Row],[Into Th or AR]],tbl_Case_mins[[#This Row],[Surgery End Date]]&gt;tbl_Case_mins[[#This Row],[Surgery Start Date]]),ROUND((#REF!-TIME(0,0,0))*1440,0)+1440,ROUND((#REF!-TIME(0,0,0))*1440,0))</f>
        <v>#REF!</v>
      </c>
      <c r="R379" s="9" t="e">
        <f>IF(AND(ROUND((#REF!-TIME(0,0,0))*1440,0)&gt;0,ROUND((#REF!-TIME(0,0,0))*1440,0)&lt;tbl_Case_mins[[#This Row],[AnaesthStart]],tbl_Case_mins[[#This Row],[Surgery End Date]]&gt;tbl_Case_mins[[#This Row],[Surgery Start Date]]),ROUND((#REF!-TIME(0,0,0))*1440,0)+1440,ROUND((#REF!-TIME(0,0,0))*1440,0))</f>
        <v>#REF!</v>
      </c>
      <c r="S379" s="9" t="e">
        <f>IF(AND(ROUND((#REF!-TIME(0,0,0))*1440,0),ROUND((#REF!-TIME(0,0,0))*1440,0)&lt;tbl_Case_mins[[#This Row],[Surgery Start]],tbl_Case_mins[[#This Row],[Surgery End Date]]&gt;tbl_Case_mins[[#This Row],[Surgery Start Date]]),ROUND((#REF!-TIME(0,0,0))*1440,0)+1440,ROUND((#REF!-TIME(0,0,0))*1440,0))</f>
        <v>#REF!</v>
      </c>
      <c r="T379" s="9" t="e">
        <f>IF(AND(ROUND((#REF!-TIME(0,0,0))*1440,0)&gt;0,ROUND((#REF!-TIME(0,0,0))*1440,0)&lt;tbl_Case_mins[[#This Row],[Surgery Finish]],tbl_Case_mins[[#This Row],[Surgery End Date]]&gt;tbl_Case_mins[[#This Row],[Surgery Start Date]]),ROUND((#REF!-TIME(0,0,0))*1440,0)+1440,ROUND((#REF!-TIME(0,0,0))*1440,0))</f>
        <v>#REF!</v>
      </c>
      <c r="U379" s="9" t="e">
        <f>IF(AND(ROUND((#REF!-TIME(0,0,0))*1440,0)&gt;0,ROUND((#REF!-TIME(0,0,0))*1440,0)&lt;tbl_Case_mins[[#This Row],[Anaesth End]],tbl_Case_mins[[#This Row],[Surgery End Date]]&gt;tbl_Case_mins[[#This Row],[Surgery Start Date]]),ROUND((#REF!-TIME(0,0,0))*1440,0)+1440,ROUND((#REF!-TIME(0,0,0))*1440,0))</f>
        <v>#REF!</v>
      </c>
      <c r="V379" s="9" t="e">
        <f>IF(AND(ROUND((#REF!-TIME(0,0,0))*1440,0)&gt;0,ROUND((#REF!-TIME(0,0,0))*1440,0)&lt;tbl_Case_mins[[#This Row],[Into Recov]],tbl_Case_mins[[#This Row],[Surgery End Date]]&gt;tbl_Case_mins[[#This Row],[Surgery Start Date]]),ROUND((#REF!-TIME(0,0,0))*1440,0)+1440,ROUND((#REF!-TIME(0,0,0))*1440,0))</f>
        <v>#REF!</v>
      </c>
      <c r="W379" s="9" t="e">
        <f>IF(AND(ROUND((#REF!-TIME(0,0,0))*1440,0)&gt;0,ROUND((#REF!-TIME(0,0,0))*1440,0)&lt;tbl_Case_mins[[#This Row],[Ward Called]],tbl_Case_mins[[#This Row],[Surgery End Date]]&gt;tbl_Case_mins[[#This Row],[Surgery Start Date]]),ROUND((#REF!-TIME(0,0,0))*1440,0)+1440,ROUND((#REF!-TIME(0,0,0))*1440,0))</f>
        <v>#REF!</v>
      </c>
      <c r="X379" s="4" t="e">
        <f>IF(ISBLANK(#REF!),tbl_Case_mins[[#This Row],[Surgery Start Date]],#REF!)</f>
        <v>#REF!</v>
      </c>
      <c r="Y379">
        <f>IFERROR(IF(VLOOKUP(tbl_Case_mins[[#This Row],[Theatre]],'Mng Theatres'!$C$7:$G$12,3,FALSE)="Yes","Yes","No"),0)</f>
        <v>0</v>
      </c>
      <c r="Z379" s="9" t="e" cm="1">
        <f t="array" ref="Z37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79" s="9" t="e" cm="1">
        <f t="array" ref="AA37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7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79" s="9" t="e">
        <f>IF(tbl_Case_mins[[#This Row],[Case Type]]="Unsch",1,0)</f>
        <v>#REF!</v>
      </c>
      <c r="AD379" s="9" t="e">
        <f>IF(tbl_Case_mins[[#This Row],[Case Type]]="Sch",1,0)</f>
        <v>#REF!</v>
      </c>
      <c r="AE37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79" s="9">
        <f>IFERROR(IF(ISBLANK(INDEX(Am_Close,MATCH(1,INDEX((tbl_Case_mins[[#This Row],[Theatre]]=Theatre_No)*(tbl_Case_mins[[#This Row],[Surgery Start Date]]=Date),0,1),0))*1440),0,INDEX(Am_Close,MATCH(1,INDEX((tbl_Case_mins[[#This Row],[Theatre]]=Theatre_No)*(tbl_Case_mins[[#This Row],[Surgery Start Date]]=Date),0,1),0))*1440),0)</f>
        <v>0</v>
      </c>
      <c r="AG379" s="9">
        <f>IFERROR(IF(ISBLANK(INDEX(PM_Open,MATCH(1,INDEX((tbl_Case_mins[[#This Row],[Theatre]]=Theatre_No)*(tbl_Case_mins[[#This Row],[Surgery Start Date]]=Date),0,1),0))*1440),0,INDEX(PM_Open,MATCH(1,INDEX((tbl_Case_mins[[#This Row],[Theatre]]=Theatre_No)*(tbl_Case_mins[[#This Row],[Surgery Start Date]]=Date),0,1),0))*1440),0)</f>
        <v>0</v>
      </c>
      <c r="AH37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79" s="9" t="e">
        <f>IF(tbl_Case_mins[[#This Row],[ThOpenAm]]=0,tbl_Case_mins[[#This Row],[ThOpenPM]],tbl_Case_mins[[#This Row],[ThOpenAm]])</f>
        <v>#REF!</v>
      </c>
      <c r="AJ379" s="9" t="e">
        <f>IF(tbl_Case_mins[[#This Row],[ThCloseAm]]&gt;0,IF(tbl_Case_mins[[#This Row],[ThOpenPM]]&gt;0,tbl_Case_mins[[#This Row],[ThClosePm]],tbl_Case_mins[[#This Row],[ThCloseAm]]),tbl_Case_mins[[#This Row],[ThClosePm]])</f>
        <v>#REF!</v>
      </c>
      <c r="AK379" s="9" t="e">
        <f>IF(tbl_Case_mins[[#This Row],[TOT]]&gt;0,1,0)</f>
        <v>#REF!</v>
      </c>
      <c r="AL37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79" s="9" t="e">
        <f>IF(AND(tbl_Case_mins[[#This Row],[Surgery Status]]&lt;&gt;2,tbl_Case_mins[[#This Row],[InCoreCase]]=0,tbl_Case_mins[[#This Row],[CancelledCase]]=0),1,0)</f>
        <v>#REF!</v>
      </c>
      <c r="AN379" s="9" t="e">
        <f>IF(tbl_Case_mins[[#This Row],[Surgery Status]]=1,1,0)</f>
        <v>#REF!</v>
      </c>
      <c r="AO37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79" s="9" t="e">
        <f>IF(AND(tbl_Case_mins[[#This Row],[NonCoreCase]]=1,tbl_Case_mins[[#This Row],[NoInCoreTime]]=0),1,0)</f>
        <v>#REF!</v>
      </c>
      <c r="AQ379" s="9" t="e">
        <f>IF(tbl_Case_mins[[#This Row],[Rank_AnaEnd]]&lt;tbl_Case_mins[[#This Row],[Rank_AnaSt]],1,0)</f>
        <v>#REF!</v>
      </c>
      <c r="AR379" s="9" t="e">
        <f>IF(AND(tbl_Case_mins[[#This Row],[InCoreCase]]=1,tbl_Case_mins[[#This Row],[Sch]]=1),1,0)</f>
        <v>#REF!</v>
      </c>
      <c r="AS379" s="9" t="e">
        <f>IF(AND(tbl_Case_mins[[#This Row],[InCoreCase]]=1,tbl_Case_mins[[#This Row],[Unsch]]=1),1,0)</f>
        <v>#REF!</v>
      </c>
      <c r="AT37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7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7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79" s="9" t="e">
        <f>IF(tbl_Case_mins[[#This Row],[Surgery Status]]=0,(tbl_Case_mins[[#This Row],[Anaesth End]]-tbl_Case_mins[[#This Row],[AnaesthStart]]),0)</f>
        <v>#REF!</v>
      </c>
      <c r="AX379" s="9" t="e">
        <f>IF(tbl_Case_mins[[#This Row],[Surgery Status]]=0,(tbl_Case_mins[[#This Row],[Surgery Finish]]-tbl_Case_mins[[#This Row],[Surgery Start]]),0)</f>
        <v>#REF!</v>
      </c>
      <c r="AY379" s="9" t="e">
        <f>tbl_Case_mins[[#This Row],[Surgery Start]]-tbl_Case_mins[[#This Row],[AnaesthStart]]</f>
        <v>#REF!</v>
      </c>
      <c r="AZ379" s="9" t="e">
        <f>tbl_Case_mins[[#This Row],[Anaesth End]]-tbl_Case_mins[[#This Row],[Surgery Finish]]</f>
        <v>#REF!</v>
      </c>
      <c r="BA37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7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79" s="16" cm="1">
        <f t="array" ref="BC37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79" s="16" t="e">
        <f>IF(AND(tbl_Case_mins[[#This Row],[FirstAMCase]]=1,tbl_Case_mins[[#This Row],[CancelledCase]]=0,OR(tbl_Case_mins[[#This Row],[EarlyStartAM]]&gt;0,tbl_Case_mins[[#This Row],[AnaesthStart]]=tbl_Case_mins[[#This Row],[ThOpenAm]])),1,0)</f>
        <v>#REF!</v>
      </c>
      <c r="BE379" s="16" t="e">
        <f>IF(AND(tbl_Case_mins[[#This Row],[Rank_AnaSt]]=tbl_Case_mins[[#This Row],[Min_RankAnaSt]],tbl_Case_mins[[#This Row],[Anaesth End]]&gt;=tbl_Case_mins[[#This Row],[ThOpenAm]],tbl_Case_mins[[#This Row],[PmCase]]=0),1,0)</f>
        <v>#REF!</v>
      </c>
      <c r="BF37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7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79" s="9" t="e" cm="1">
        <f t="array" ref="BH37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7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7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79" s="9" t="e">
        <f>IF(AND(tbl_Case_mins[[#This Row],[ThOpenPM]]&gt;0,tbl_Case_mins[[#This Row],[AnaesthStart]]&gt;tbl_Case_mins[[#This Row],[ThOpenPM]],tbl_Case_mins[[#This Row],[First PM Case]]=1),tbl_Case_mins[[#This Row],[AnaesthStart]]-tbl_Case_mins[[#This Row],[ThOpenPM]],0)</f>
        <v>#REF!</v>
      </c>
      <c r="BL37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7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79" s="9" t="e" cm="1">
        <f t="array" ref="BN37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79" s="9" t="e">
        <f>IF(AND(tbl_Case_mins[[#This Row],[ThClosePm]]&gt;0,tbl_Case_mins[[#This Row],[Anaesth End]]&gt;tbl_Case_mins[[#This Row],[ThClosePm]],tbl_Case_mins[[#This Row],[AnaesthStart]]&gt;tbl_Case_mins[[#This Row],[ThClosePm]]),tbl_Case_mins[[#This Row],[Into Recov]]-tbl_Case_mins[[#This Row],[AnaesthStart]],0)</f>
        <v>#REF!</v>
      </c>
      <c r="BP379" s="9" t="e">
        <f>IF(AND(tbl_Case_mins[[#This Row],[AnaesthStart]]&lt;tbl_Case_mins[[#This Row],[ThClosePm]],tbl_Case_mins[[#This Row],[Anaesth End]]&gt;tbl_Case_mins[[#This Row],[ThClosePm]]),tbl_Case_mins[[#This Row],[Anaesth End]]-tbl_Case_mins[[#This Row],[ThClosePm]],0)</f>
        <v>#REF!</v>
      </c>
      <c r="BQ379" s="9" t="e" cm="1">
        <f t="array" ref="BQ37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79" s="9" t="e" cm="1">
        <f t="array" ref="BR379">IF(tbl_Case_mins[[#This Row],[Rank_Adjust]]=SUMPRODUCT(-(tbl_Case_mins[Surgery Start Date]=tbl_Case_mins[[#This Row],[Surgery Start Date]]),-(tbl_Case_mins[Theatre]=tbl_Case_mins[[#This Row],[Theatre]])),INDEX(Poss_Time,MATCH(TEXT(tbl_Case_mins[[#This Row],[Surgery Start Date]],"ddd"),Day,0)),0)</f>
        <v>#REF!</v>
      </c>
      <c r="BS379" s="9" t="e">
        <f>tbl_Case_mins[[#This Row],[Core_Time]]*Util_Goal</f>
        <v>#REF!</v>
      </c>
      <c r="BT379" s="9" t="e" cm="1">
        <f t="array" ref="BT3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79" s="9" t="e" cm="1">
        <f t="array" ref="BU37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7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7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79" s="9" t="e">
        <f>IF(tbl_Case_mins[[#This Row],[Surgery End Date]]&gt;tbl_Case_mins[[#This Row],[Surgery Start Date]],tbl_Case_mins[[#This Row],[Anaesth End]]-1440,0)</f>
        <v>#REF!</v>
      </c>
      <c r="BY379" s="9" t="e">
        <f>tbl_Case_mins[[#This Row],[Total_NonCore]]-tbl_Case_mins[[#This Row],[NextDay_NonCore]]</f>
        <v>#REF!</v>
      </c>
      <c r="BZ379" s="10" t="e">
        <f>tbl_Case_mins[[#This Row],[InCoreUse]]/60</f>
        <v>#REF!</v>
      </c>
      <c r="CA379" s="10" t="e">
        <f>tbl_Case_mins[[#This Row],[Total_NonCore]]/60</f>
        <v>#REF!</v>
      </c>
      <c r="CB379" t="e" cm="1">
        <f t="array" ref="CB3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79" s="9" t="e" cm="1">
        <f t="array" ref="CC37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79" s="9" t="e" cm="1">
        <f t="array" ref="CD37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79" s="9" t="e" cm="1">
        <f t="array" ref="CE37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79" s="9" cm="1">
        <f t="array" ref="CF379">IFERROR(_xlfn.AGGREGATE(14,6,(tbl_Case_mins[Rank_AnaEnd])/((tbl_Case_mins[Surgery Start Date]=tbl_Case_mins[[#This Row],[Surgery Start Date]])*(tbl_Case_mins[Theatre]=tbl_Case_mins[[#This Row],[Theatre]])*(tbl_Case_mins[NoInCoreTime]=0)),1),-1)</f>
        <v>-1</v>
      </c>
      <c r="CG379" s="9" cm="1">
        <f t="array" ref="CG379">IFERROR(_xlfn.AGGREGATE(15,6,(tbl_Case_mins[Rank_AnaSt])/((tbl_Case_mins[Surgery Start Date]=tbl_Case_mins[[#This Row],[Surgery Start Date]])*(tbl_Case_mins[Theatre]=tbl_Case_mins[[#This Row],[Theatre]])*(tbl_Case_mins[NoInCoreTime]=0)),1),-1)</f>
        <v>-1</v>
      </c>
      <c r="CH37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7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79" t="e" cm="1">
        <f t="array" ref="CJ37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7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7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7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79" s="9" cm="1">
        <f t="array" ref="CO3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79" s="9" cm="1">
        <f t="array" ref="CP37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79" s="9" cm="1">
        <f t="array" ref="CQ379">IFERROR(IF(AND(tbl_Case_mins[[#This Row],[FirstAMCase]]=0,tbl_Case_mins[[#This Row],[Rank]]=_xlfn.AGGREGATE(14,6,(tbl_Case_mins[Rank])/((tbl_Case_mins[Surgery Start Date]=tbl_Case_mins[[#This Row],[Surgery Start Date]])*(tbl_Case_mins[Theatre]=tbl_Case_mins[[#This Row],[Theatre]])*(tbl_Case_mins[AmCase]=1)),1)),1,0),0)</f>
        <v>0</v>
      </c>
      <c r="CR379" s="9" cm="1">
        <f t="array" ref="CR37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79" s="9" t="e" cm="1">
        <f t="array" ref="CS37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79" s="9" cm="1">
        <f t="array" ref="CT379">IFERROR(IF(tbl_Case_mins[[#This Row],[Rank]]=_xlfn.AGGREGATE(15,6,(tbl_Case_mins[Rank])/((tbl_Case_mins[Surgery Start Date]=tbl_Case_mins[[#This Row],[Surgery Start Date]])*(tbl_Case_mins[Theatre]=tbl_Case_mins[[#This Row],[Theatre]])*(tbl_Case_mins[PmCase]=1)),1),1,0),0)</f>
        <v>0</v>
      </c>
      <c r="CU379">
        <f>IFERROR(#REF!,0)</f>
        <v>0</v>
      </c>
      <c r="CV379" s="9" t="e" cm="1">
        <f t="array" ref="CV37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79" s="9">
        <f>IFERROR(IF(ISBLANK(INDEX(Bay_AmClose,MATCH(1,INDEX((tbl_Case_mins[[#This Row],[Bay]]=BayNo)*(tbl_Case_mins[[#This Row],[Surgery Start Date]]=BDate),0,1),0))*1440),0,INDEX(Bay_AmClose,MATCH(1,INDEX((tbl_Case_mins[[#This Row],[Bay]]=BayNo)*(tbl_Case_mins[[#This Row],[Surgery Start Date]]=BDate),0,1),0))*1440),0)</f>
        <v>0</v>
      </c>
      <c r="CX379" s="9" cm="1">
        <f t="array" ref="CX379">IFERROR(IF(ISBLANK(INDEX(Bay_PmOpen,MATCH(1,INDEX((tbl_Case_mins[[#This Row],[Bay]]=BayNo)*(tbl_Case_mins[[#This Row],[Surgery Start Date]]=BDate),0,1),0))*1440),0,INDEX(Bay_PmOpen,MATCH(1,INDEX((tbl_Case_mins[[#This Row],[Bay]]=BayNo)*(tbl_Case_mins[[#This Row],[Surgery Start Date]]=BDate),0,1),0))*1440),0)</f>
        <v>0</v>
      </c>
      <c r="CY37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79" s="9"/>
    </row>
    <row r="380" spans="1:104" x14ac:dyDescent="0.2">
      <c r="A380">
        <v>379</v>
      </c>
      <c r="B380" t="e">
        <f>#REF!</f>
        <v>#REF!</v>
      </c>
      <c r="C380" t="e">
        <f>#REF!</f>
        <v>#REF!</v>
      </c>
      <c r="D380" t="e">
        <f>#REF!</f>
        <v>#REF!</v>
      </c>
      <c r="E380" t="e">
        <f>#REF!</f>
        <v>#REF!</v>
      </c>
      <c r="F380" t="e">
        <f>#REF!</f>
        <v>#REF!</v>
      </c>
      <c r="G380" t="e">
        <f>#REF!</f>
        <v>#REF!</v>
      </c>
      <c r="H380" t="e">
        <f>#REF!</f>
        <v>#REF!</v>
      </c>
      <c r="I380" t="e">
        <f>IF(#REF!="Case Cancelled",1,IF(#REF!="No Cases",2,0))</f>
        <v>#REF!</v>
      </c>
      <c r="J380" t="e">
        <f>#REF!</f>
        <v>#REF!</v>
      </c>
      <c r="K380" s="4" t="e">
        <f>#REF!</f>
        <v>#REF!</v>
      </c>
      <c r="L380" t="e">
        <f>"Wk "&amp;WEEKNUM(tbl_Case_mins[[#This Row],[Surgery Start Date]],21)</f>
        <v>#REF!</v>
      </c>
      <c r="M380" t="e">
        <f>TEXT(tbl_Case_mins[[#This Row],[Surgery Start Date]],"ddd")</f>
        <v>#REF!</v>
      </c>
      <c r="N380" s="9" t="e">
        <f>(#REF!-TIME(0,0,0))*1440</f>
        <v>#REF!</v>
      </c>
      <c r="O380" t="e">
        <f>IF(AND(ROUND((#REF!-TIME(0,0,0))*1440,0)&gt;0,ROUND((#REF!-TIME(0,0,0))*1440,0)&lt;tbl_Case_mins[[#This Row],[Patient Called]],tbl_Case_mins[[#This Row],[Surgery End Date]]&gt;tbl_Case_mins[[#This Row],[Surgery Start Date]]),ROUND((#REF!-TIME(0,0,0))*1440,0)+1440,ROUND((#REF!-TIME(0,0,0))*1440,0))</f>
        <v>#REF!</v>
      </c>
      <c r="P380" s="9" t="e">
        <f>IF(AND(ROUND((#REF!-TIME(0,0,0))*1440,0)&gt;0,ROUND((#REF!-TIME(0,0,0))*1440,0)&lt;tbl_Case_mins[[#This Row],[Arrival]],tbl_Case_mins[[#This Row],[Surgery End Date]]&gt;tbl_Case_mins[[#This Row],[Surgery Start Date]]),ROUND((#REF!-TIME(0,0,0))*1440,0)+1440,ROUND((#REF!-TIME(0,0,0))*1440,0))</f>
        <v>#REF!</v>
      </c>
      <c r="Q380" s="9" t="e">
        <f>IF(AND(ROUND((#REF!-TIME(0,0,0))*1440,0)&gt;0,ROUND((#REF!-TIME(0,0,0))*1440,0)&lt;tbl_Case_mins[[#This Row],[Into Th or AR]],tbl_Case_mins[[#This Row],[Surgery End Date]]&gt;tbl_Case_mins[[#This Row],[Surgery Start Date]]),ROUND((#REF!-TIME(0,0,0))*1440,0)+1440,ROUND((#REF!-TIME(0,0,0))*1440,0))</f>
        <v>#REF!</v>
      </c>
      <c r="R380" s="9" t="e">
        <f>IF(AND(ROUND((#REF!-TIME(0,0,0))*1440,0)&gt;0,ROUND((#REF!-TIME(0,0,0))*1440,0)&lt;tbl_Case_mins[[#This Row],[AnaesthStart]],tbl_Case_mins[[#This Row],[Surgery End Date]]&gt;tbl_Case_mins[[#This Row],[Surgery Start Date]]),ROUND((#REF!-TIME(0,0,0))*1440,0)+1440,ROUND((#REF!-TIME(0,0,0))*1440,0))</f>
        <v>#REF!</v>
      </c>
      <c r="S380" s="9" t="e">
        <f>IF(AND(ROUND((#REF!-TIME(0,0,0))*1440,0),ROUND((#REF!-TIME(0,0,0))*1440,0)&lt;tbl_Case_mins[[#This Row],[Surgery Start]],tbl_Case_mins[[#This Row],[Surgery End Date]]&gt;tbl_Case_mins[[#This Row],[Surgery Start Date]]),ROUND((#REF!-TIME(0,0,0))*1440,0)+1440,ROUND((#REF!-TIME(0,0,0))*1440,0))</f>
        <v>#REF!</v>
      </c>
      <c r="T380" s="9" t="e">
        <f>IF(AND(ROUND((#REF!-TIME(0,0,0))*1440,0)&gt;0,ROUND((#REF!-TIME(0,0,0))*1440,0)&lt;tbl_Case_mins[[#This Row],[Surgery Finish]],tbl_Case_mins[[#This Row],[Surgery End Date]]&gt;tbl_Case_mins[[#This Row],[Surgery Start Date]]),ROUND((#REF!-TIME(0,0,0))*1440,0)+1440,ROUND((#REF!-TIME(0,0,0))*1440,0))</f>
        <v>#REF!</v>
      </c>
      <c r="U380" s="9" t="e">
        <f>IF(AND(ROUND((#REF!-TIME(0,0,0))*1440,0)&gt;0,ROUND((#REF!-TIME(0,0,0))*1440,0)&lt;tbl_Case_mins[[#This Row],[Anaesth End]],tbl_Case_mins[[#This Row],[Surgery End Date]]&gt;tbl_Case_mins[[#This Row],[Surgery Start Date]]),ROUND((#REF!-TIME(0,0,0))*1440,0)+1440,ROUND((#REF!-TIME(0,0,0))*1440,0))</f>
        <v>#REF!</v>
      </c>
      <c r="V380" s="9" t="e">
        <f>IF(AND(ROUND((#REF!-TIME(0,0,0))*1440,0)&gt;0,ROUND((#REF!-TIME(0,0,0))*1440,0)&lt;tbl_Case_mins[[#This Row],[Into Recov]],tbl_Case_mins[[#This Row],[Surgery End Date]]&gt;tbl_Case_mins[[#This Row],[Surgery Start Date]]),ROUND((#REF!-TIME(0,0,0))*1440,0)+1440,ROUND((#REF!-TIME(0,0,0))*1440,0))</f>
        <v>#REF!</v>
      </c>
      <c r="W380" s="9" t="e">
        <f>IF(AND(ROUND((#REF!-TIME(0,0,0))*1440,0)&gt;0,ROUND((#REF!-TIME(0,0,0))*1440,0)&lt;tbl_Case_mins[[#This Row],[Ward Called]],tbl_Case_mins[[#This Row],[Surgery End Date]]&gt;tbl_Case_mins[[#This Row],[Surgery Start Date]]),ROUND((#REF!-TIME(0,0,0))*1440,0)+1440,ROUND((#REF!-TIME(0,0,0))*1440,0))</f>
        <v>#REF!</v>
      </c>
      <c r="X380" s="4" t="e">
        <f>IF(ISBLANK(#REF!),tbl_Case_mins[[#This Row],[Surgery Start Date]],#REF!)</f>
        <v>#REF!</v>
      </c>
      <c r="Y380">
        <f>IFERROR(IF(VLOOKUP(tbl_Case_mins[[#This Row],[Theatre]],'Mng Theatres'!$C$7:$G$12,3,FALSE)="Yes","Yes","No"),0)</f>
        <v>0</v>
      </c>
      <c r="Z380" s="9" t="e" cm="1">
        <f t="array" ref="Z38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0" s="9" t="e" cm="1">
        <f t="array" ref="AA38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0" s="9" t="e">
        <f>IF(tbl_Case_mins[[#This Row],[Case Type]]="Unsch",1,0)</f>
        <v>#REF!</v>
      </c>
      <c r="AD380" s="9" t="e">
        <f>IF(tbl_Case_mins[[#This Row],[Case Type]]="Sch",1,0)</f>
        <v>#REF!</v>
      </c>
      <c r="AE38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0" s="9">
        <f>IFERROR(IF(ISBLANK(INDEX(Am_Close,MATCH(1,INDEX((tbl_Case_mins[[#This Row],[Theatre]]=Theatre_No)*(tbl_Case_mins[[#This Row],[Surgery Start Date]]=Date),0,1),0))*1440),0,INDEX(Am_Close,MATCH(1,INDEX((tbl_Case_mins[[#This Row],[Theatre]]=Theatre_No)*(tbl_Case_mins[[#This Row],[Surgery Start Date]]=Date),0,1),0))*1440),0)</f>
        <v>0</v>
      </c>
      <c r="AG380" s="9">
        <f>IFERROR(IF(ISBLANK(INDEX(PM_Open,MATCH(1,INDEX((tbl_Case_mins[[#This Row],[Theatre]]=Theatre_No)*(tbl_Case_mins[[#This Row],[Surgery Start Date]]=Date),0,1),0))*1440),0,INDEX(PM_Open,MATCH(1,INDEX((tbl_Case_mins[[#This Row],[Theatre]]=Theatre_No)*(tbl_Case_mins[[#This Row],[Surgery Start Date]]=Date),0,1),0))*1440),0)</f>
        <v>0</v>
      </c>
      <c r="AH38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0" s="9" t="e">
        <f>IF(tbl_Case_mins[[#This Row],[ThOpenAm]]=0,tbl_Case_mins[[#This Row],[ThOpenPM]],tbl_Case_mins[[#This Row],[ThOpenAm]])</f>
        <v>#REF!</v>
      </c>
      <c r="AJ380" s="9" t="e">
        <f>IF(tbl_Case_mins[[#This Row],[ThCloseAm]]&gt;0,IF(tbl_Case_mins[[#This Row],[ThOpenPM]]&gt;0,tbl_Case_mins[[#This Row],[ThClosePm]],tbl_Case_mins[[#This Row],[ThCloseAm]]),tbl_Case_mins[[#This Row],[ThClosePm]])</f>
        <v>#REF!</v>
      </c>
      <c r="AK380" s="9" t="e">
        <f>IF(tbl_Case_mins[[#This Row],[TOT]]&gt;0,1,0)</f>
        <v>#REF!</v>
      </c>
      <c r="AL38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0" s="9" t="e">
        <f>IF(AND(tbl_Case_mins[[#This Row],[Surgery Status]]&lt;&gt;2,tbl_Case_mins[[#This Row],[InCoreCase]]=0,tbl_Case_mins[[#This Row],[CancelledCase]]=0),1,0)</f>
        <v>#REF!</v>
      </c>
      <c r="AN380" s="9" t="e">
        <f>IF(tbl_Case_mins[[#This Row],[Surgery Status]]=1,1,0)</f>
        <v>#REF!</v>
      </c>
      <c r="AO38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0" s="9" t="e">
        <f>IF(AND(tbl_Case_mins[[#This Row],[NonCoreCase]]=1,tbl_Case_mins[[#This Row],[NoInCoreTime]]=0),1,0)</f>
        <v>#REF!</v>
      </c>
      <c r="AQ380" s="9" t="e">
        <f>IF(tbl_Case_mins[[#This Row],[Rank_AnaEnd]]&lt;tbl_Case_mins[[#This Row],[Rank_AnaSt]],1,0)</f>
        <v>#REF!</v>
      </c>
      <c r="AR380" s="9" t="e">
        <f>IF(AND(tbl_Case_mins[[#This Row],[InCoreCase]]=1,tbl_Case_mins[[#This Row],[Sch]]=1),1,0)</f>
        <v>#REF!</v>
      </c>
      <c r="AS380" s="9" t="e">
        <f>IF(AND(tbl_Case_mins[[#This Row],[InCoreCase]]=1,tbl_Case_mins[[#This Row],[Unsch]]=1),1,0)</f>
        <v>#REF!</v>
      </c>
      <c r="AT38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0" s="9" t="e">
        <f>IF(tbl_Case_mins[[#This Row],[Surgery Status]]=0,(tbl_Case_mins[[#This Row],[Anaesth End]]-tbl_Case_mins[[#This Row],[AnaesthStart]]),0)</f>
        <v>#REF!</v>
      </c>
      <c r="AX380" s="9" t="e">
        <f>IF(tbl_Case_mins[[#This Row],[Surgery Status]]=0,(tbl_Case_mins[[#This Row],[Surgery Finish]]-tbl_Case_mins[[#This Row],[Surgery Start]]),0)</f>
        <v>#REF!</v>
      </c>
      <c r="AY380" s="9" t="e">
        <f>tbl_Case_mins[[#This Row],[Surgery Start]]-tbl_Case_mins[[#This Row],[AnaesthStart]]</f>
        <v>#REF!</v>
      </c>
      <c r="AZ380" s="9" t="e">
        <f>tbl_Case_mins[[#This Row],[Anaesth End]]-tbl_Case_mins[[#This Row],[Surgery Finish]]</f>
        <v>#REF!</v>
      </c>
      <c r="BA38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0" s="16" cm="1">
        <f t="array" ref="BC38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0" s="16" t="e">
        <f>IF(AND(tbl_Case_mins[[#This Row],[FirstAMCase]]=1,tbl_Case_mins[[#This Row],[CancelledCase]]=0,OR(tbl_Case_mins[[#This Row],[EarlyStartAM]]&gt;0,tbl_Case_mins[[#This Row],[AnaesthStart]]=tbl_Case_mins[[#This Row],[ThOpenAm]])),1,0)</f>
        <v>#REF!</v>
      </c>
      <c r="BE380" s="16" t="e">
        <f>IF(AND(tbl_Case_mins[[#This Row],[Rank_AnaSt]]=tbl_Case_mins[[#This Row],[Min_RankAnaSt]],tbl_Case_mins[[#This Row],[Anaesth End]]&gt;=tbl_Case_mins[[#This Row],[ThOpenAm]],tbl_Case_mins[[#This Row],[PmCase]]=0),1,0)</f>
        <v>#REF!</v>
      </c>
      <c r="BF38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0" s="9" t="e" cm="1">
        <f t="array" ref="BH38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0" s="9" t="e">
        <f>IF(AND(tbl_Case_mins[[#This Row],[ThOpenPM]]&gt;0,tbl_Case_mins[[#This Row],[AnaesthStart]]&gt;tbl_Case_mins[[#This Row],[ThOpenPM]],tbl_Case_mins[[#This Row],[First PM Case]]=1),tbl_Case_mins[[#This Row],[AnaesthStart]]-tbl_Case_mins[[#This Row],[ThOpenPM]],0)</f>
        <v>#REF!</v>
      </c>
      <c r="BL38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0" s="9" t="e" cm="1">
        <f t="array" ref="BN38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0" s="9" t="e">
        <f>IF(AND(tbl_Case_mins[[#This Row],[ThClosePm]]&gt;0,tbl_Case_mins[[#This Row],[Anaesth End]]&gt;tbl_Case_mins[[#This Row],[ThClosePm]],tbl_Case_mins[[#This Row],[AnaesthStart]]&gt;tbl_Case_mins[[#This Row],[ThClosePm]]),tbl_Case_mins[[#This Row],[Into Recov]]-tbl_Case_mins[[#This Row],[AnaesthStart]],0)</f>
        <v>#REF!</v>
      </c>
      <c r="BP380" s="9" t="e">
        <f>IF(AND(tbl_Case_mins[[#This Row],[AnaesthStart]]&lt;tbl_Case_mins[[#This Row],[ThClosePm]],tbl_Case_mins[[#This Row],[Anaesth End]]&gt;tbl_Case_mins[[#This Row],[ThClosePm]]),tbl_Case_mins[[#This Row],[Anaesth End]]-tbl_Case_mins[[#This Row],[ThClosePm]],0)</f>
        <v>#REF!</v>
      </c>
      <c r="BQ380" s="9" t="e" cm="1">
        <f t="array" ref="BQ38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0" s="9" t="e" cm="1">
        <f t="array" ref="BR380">IF(tbl_Case_mins[[#This Row],[Rank_Adjust]]=SUMPRODUCT(-(tbl_Case_mins[Surgery Start Date]=tbl_Case_mins[[#This Row],[Surgery Start Date]]),-(tbl_Case_mins[Theatre]=tbl_Case_mins[[#This Row],[Theatre]])),INDEX(Poss_Time,MATCH(TEXT(tbl_Case_mins[[#This Row],[Surgery Start Date]],"ddd"),Day,0)),0)</f>
        <v>#REF!</v>
      </c>
      <c r="BS380" s="9" t="e">
        <f>tbl_Case_mins[[#This Row],[Core_Time]]*Util_Goal</f>
        <v>#REF!</v>
      </c>
      <c r="BT380" s="9" t="e" cm="1">
        <f t="array" ref="BT3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0" s="9" t="e" cm="1">
        <f t="array" ref="BU38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0" s="9" t="e">
        <f>IF(tbl_Case_mins[[#This Row],[Surgery End Date]]&gt;tbl_Case_mins[[#This Row],[Surgery Start Date]],tbl_Case_mins[[#This Row],[Anaesth End]]-1440,0)</f>
        <v>#REF!</v>
      </c>
      <c r="BY380" s="9" t="e">
        <f>tbl_Case_mins[[#This Row],[Total_NonCore]]-tbl_Case_mins[[#This Row],[NextDay_NonCore]]</f>
        <v>#REF!</v>
      </c>
      <c r="BZ380" s="10" t="e">
        <f>tbl_Case_mins[[#This Row],[InCoreUse]]/60</f>
        <v>#REF!</v>
      </c>
      <c r="CA380" s="10" t="e">
        <f>tbl_Case_mins[[#This Row],[Total_NonCore]]/60</f>
        <v>#REF!</v>
      </c>
      <c r="CB380" t="e" cm="1">
        <f t="array" ref="CB3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0" s="9" t="e" cm="1">
        <f t="array" ref="CC38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0" s="9" t="e" cm="1">
        <f t="array" ref="CD38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0" s="9" t="e" cm="1">
        <f t="array" ref="CE38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0" s="9" cm="1">
        <f t="array" ref="CF380">IFERROR(_xlfn.AGGREGATE(14,6,(tbl_Case_mins[Rank_AnaEnd])/((tbl_Case_mins[Surgery Start Date]=tbl_Case_mins[[#This Row],[Surgery Start Date]])*(tbl_Case_mins[Theatre]=tbl_Case_mins[[#This Row],[Theatre]])*(tbl_Case_mins[NoInCoreTime]=0)),1),-1)</f>
        <v>-1</v>
      </c>
      <c r="CG380" s="9" cm="1">
        <f t="array" ref="CG380">IFERROR(_xlfn.AGGREGATE(15,6,(tbl_Case_mins[Rank_AnaSt])/((tbl_Case_mins[Surgery Start Date]=tbl_Case_mins[[#This Row],[Surgery Start Date]])*(tbl_Case_mins[Theatre]=tbl_Case_mins[[#This Row],[Theatre]])*(tbl_Case_mins[NoInCoreTime]=0)),1),-1)</f>
        <v>-1</v>
      </c>
      <c r="CH38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0" t="e" cm="1">
        <f t="array" ref="CJ38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0" s="9" cm="1">
        <f t="array" ref="CO3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0" s="9" cm="1">
        <f t="array" ref="CP38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0" s="9" cm="1">
        <f t="array" ref="CQ380">IFERROR(IF(AND(tbl_Case_mins[[#This Row],[FirstAMCase]]=0,tbl_Case_mins[[#This Row],[Rank]]=_xlfn.AGGREGATE(14,6,(tbl_Case_mins[Rank])/((tbl_Case_mins[Surgery Start Date]=tbl_Case_mins[[#This Row],[Surgery Start Date]])*(tbl_Case_mins[Theatre]=tbl_Case_mins[[#This Row],[Theatre]])*(tbl_Case_mins[AmCase]=1)),1)),1,0),0)</f>
        <v>0</v>
      </c>
      <c r="CR380" s="9" cm="1">
        <f t="array" ref="CR38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0" s="9" t="e" cm="1">
        <f t="array" ref="CS38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0" s="9" cm="1">
        <f t="array" ref="CT380">IFERROR(IF(tbl_Case_mins[[#This Row],[Rank]]=_xlfn.AGGREGATE(15,6,(tbl_Case_mins[Rank])/((tbl_Case_mins[Surgery Start Date]=tbl_Case_mins[[#This Row],[Surgery Start Date]])*(tbl_Case_mins[Theatre]=tbl_Case_mins[[#This Row],[Theatre]])*(tbl_Case_mins[PmCase]=1)),1),1,0),0)</f>
        <v>0</v>
      </c>
      <c r="CU380">
        <f>IFERROR(#REF!,0)</f>
        <v>0</v>
      </c>
      <c r="CV380" s="9" t="e" cm="1">
        <f t="array" ref="CV38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0" s="9">
        <f>IFERROR(IF(ISBLANK(INDEX(Bay_AmClose,MATCH(1,INDEX((tbl_Case_mins[[#This Row],[Bay]]=BayNo)*(tbl_Case_mins[[#This Row],[Surgery Start Date]]=BDate),0,1),0))*1440),0,INDEX(Bay_AmClose,MATCH(1,INDEX((tbl_Case_mins[[#This Row],[Bay]]=BayNo)*(tbl_Case_mins[[#This Row],[Surgery Start Date]]=BDate),0,1),0))*1440),0)</f>
        <v>0</v>
      </c>
      <c r="CX380" s="9" cm="1">
        <f t="array" ref="CX380">IFERROR(IF(ISBLANK(INDEX(Bay_PmOpen,MATCH(1,INDEX((tbl_Case_mins[[#This Row],[Bay]]=BayNo)*(tbl_Case_mins[[#This Row],[Surgery Start Date]]=BDate),0,1),0))*1440),0,INDEX(Bay_PmOpen,MATCH(1,INDEX((tbl_Case_mins[[#This Row],[Bay]]=BayNo)*(tbl_Case_mins[[#This Row],[Surgery Start Date]]=BDate),0,1),0))*1440),0)</f>
        <v>0</v>
      </c>
      <c r="CY38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0" s="9"/>
    </row>
    <row r="381" spans="1:104" x14ac:dyDescent="0.2">
      <c r="A381">
        <v>380</v>
      </c>
      <c r="B381" t="e">
        <f>#REF!</f>
        <v>#REF!</v>
      </c>
      <c r="C381" t="e">
        <f>#REF!</f>
        <v>#REF!</v>
      </c>
      <c r="D381" t="e">
        <f>#REF!</f>
        <v>#REF!</v>
      </c>
      <c r="E381" t="e">
        <f>#REF!</f>
        <v>#REF!</v>
      </c>
      <c r="F381" t="e">
        <f>#REF!</f>
        <v>#REF!</v>
      </c>
      <c r="G381" t="e">
        <f>#REF!</f>
        <v>#REF!</v>
      </c>
      <c r="H381" t="e">
        <f>#REF!</f>
        <v>#REF!</v>
      </c>
      <c r="I381" t="e">
        <f>IF(#REF!="Case Cancelled",1,IF(#REF!="No Cases",2,0))</f>
        <v>#REF!</v>
      </c>
      <c r="J381" t="e">
        <f>#REF!</f>
        <v>#REF!</v>
      </c>
      <c r="K381" s="4" t="e">
        <f>#REF!</f>
        <v>#REF!</v>
      </c>
      <c r="L381" t="e">
        <f>"Wk "&amp;WEEKNUM(tbl_Case_mins[[#This Row],[Surgery Start Date]],21)</f>
        <v>#REF!</v>
      </c>
      <c r="M381" t="e">
        <f>TEXT(tbl_Case_mins[[#This Row],[Surgery Start Date]],"ddd")</f>
        <v>#REF!</v>
      </c>
      <c r="N381" s="9" t="e">
        <f>(#REF!-TIME(0,0,0))*1440</f>
        <v>#REF!</v>
      </c>
      <c r="O381" t="e">
        <f>IF(AND(ROUND((#REF!-TIME(0,0,0))*1440,0)&gt;0,ROUND((#REF!-TIME(0,0,0))*1440,0)&lt;tbl_Case_mins[[#This Row],[Patient Called]],tbl_Case_mins[[#This Row],[Surgery End Date]]&gt;tbl_Case_mins[[#This Row],[Surgery Start Date]]),ROUND((#REF!-TIME(0,0,0))*1440,0)+1440,ROUND((#REF!-TIME(0,0,0))*1440,0))</f>
        <v>#REF!</v>
      </c>
      <c r="P381" s="9" t="e">
        <f>IF(AND(ROUND((#REF!-TIME(0,0,0))*1440,0)&gt;0,ROUND((#REF!-TIME(0,0,0))*1440,0)&lt;tbl_Case_mins[[#This Row],[Arrival]],tbl_Case_mins[[#This Row],[Surgery End Date]]&gt;tbl_Case_mins[[#This Row],[Surgery Start Date]]),ROUND((#REF!-TIME(0,0,0))*1440,0)+1440,ROUND((#REF!-TIME(0,0,0))*1440,0))</f>
        <v>#REF!</v>
      </c>
      <c r="Q381" s="9" t="e">
        <f>IF(AND(ROUND((#REF!-TIME(0,0,0))*1440,0)&gt;0,ROUND((#REF!-TIME(0,0,0))*1440,0)&lt;tbl_Case_mins[[#This Row],[Into Th or AR]],tbl_Case_mins[[#This Row],[Surgery End Date]]&gt;tbl_Case_mins[[#This Row],[Surgery Start Date]]),ROUND((#REF!-TIME(0,0,0))*1440,0)+1440,ROUND((#REF!-TIME(0,0,0))*1440,0))</f>
        <v>#REF!</v>
      </c>
      <c r="R381" s="9" t="e">
        <f>IF(AND(ROUND((#REF!-TIME(0,0,0))*1440,0)&gt;0,ROUND((#REF!-TIME(0,0,0))*1440,0)&lt;tbl_Case_mins[[#This Row],[AnaesthStart]],tbl_Case_mins[[#This Row],[Surgery End Date]]&gt;tbl_Case_mins[[#This Row],[Surgery Start Date]]),ROUND((#REF!-TIME(0,0,0))*1440,0)+1440,ROUND((#REF!-TIME(0,0,0))*1440,0))</f>
        <v>#REF!</v>
      </c>
      <c r="S381" s="9" t="e">
        <f>IF(AND(ROUND((#REF!-TIME(0,0,0))*1440,0),ROUND((#REF!-TIME(0,0,0))*1440,0)&lt;tbl_Case_mins[[#This Row],[Surgery Start]],tbl_Case_mins[[#This Row],[Surgery End Date]]&gt;tbl_Case_mins[[#This Row],[Surgery Start Date]]),ROUND((#REF!-TIME(0,0,0))*1440,0)+1440,ROUND((#REF!-TIME(0,0,0))*1440,0))</f>
        <v>#REF!</v>
      </c>
      <c r="T381" s="9" t="e">
        <f>IF(AND(ROUND((#REF!-TIME(0,0,0))*1440,0)&gt;0,ROUND((#REF!-TIME(0,0,0))*1440,0)&lt;tbl_Case_mins[[#This Row],[Surgery Finish]],tbl_Case_mins[[#This Row],[Surgery End Date]]&gt;tbl_Case_mins[[#This Row],[Surgery Start Date]]),ROUND((#REF!-TIME(0,0,0))*1440,0)+1440,ROUND((#REF!-TIME(0,0,0))*1440,0))</f>
        <v>#REF!</v>
      </c>
      <c r="U381" s="9" t="e">
        <f>IF(AND(ROUND((#REF!-TIME(0,0,0))*1440,0)&gt;0,ROUND((#REF!-TIME(0,0,0))*1440,0)&lt;tbl_Case_mins[[#This Row],[Anaesth End]],tbl_Case_mins[[#This Row],[Surgery End Date]]&gt;tbl_Case_mins[[#This Row],[Surgery Start Date]]),ROUND((#REF!-TIME(0,0,0))*1440,0)+1440,ROUND((#REF!-TIME(0,0,0))*1440,0))</f>
        <v>#REF!</v>
      </c>
      <c r="V381" s="9" t="e">
        <f>IF(AND(ROUND((#REF!-TIME(0,0,0))*1440,0)&gt;0,ROUND((#REF!-TIME(0,0,0))*1440,0)&lt;tbl_Case_mins[[#This Row],[Into Recov]],tbl_Case_mins[[#This Row],[Surgery End Date]]&gt;tbl_Case_mins[[#This Row],[Surgery Start Date]]),ROUND((#REF!-TIME(0,0,0))*1440,0)+1440,ROUND((#REF!-TIME(0,0,0))*1440,0))</f>
        <v>#REF!</v>
      </c>
      <c r="W381" s="9" t="e">
        <f>IF(AND(ROUND((#REF!-TIME(0,0,0))*1440,0)&gt;0,ROUND((#REF!-TIME(0,0,0))*1440,0)&lt;tbl_Case_mins[[#This Row],[Ward Called]],tbl_Case_mins[[#This Row],[Surgery End Date]]&gt;tbl_Case_mins[[#This Row],[Surgery Start Date]]),ROUND((#REF!-TIME(0,0,0))*1440,0)+1440,ROUND((#REF!-TIME(0,0,0))*1440,0))</f>
        <v>#REF!</v>
      </c>
      <c r="X381" s="4" t="e">
        <f>IF(ISBLANK(#REF!),tbl_Case_mins[[#This Row],[Surgery Start Date]],#REF!)</f>
        <v>#REF!</v>
      </c>
      <c r="Y381">
        <f>IFERROR(IF(VLOOKUP(tbl_Case_mins[[#This Row],[Theatre]],'Mng Theatres'!$C$7:$G$12,3,FALSE)="Yes","Yes","No"),0)</f>
        <v>0</v>
      </c>
      <c r="Z381" s="9" t="e" cm="1">
        <f t="array" ref="Z38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1" s="9" t="e" cm="1">
        <f t="array" ref="AA38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1" s="9" t="e">
        <f>IF(tbl_Case_mins[[#This Row],[Case Type]]="Unsch",1,0)</f>
        <v>#REF!</v>
      </c>
      <c r="AD381" s="9" t="e">
        <f>IF(tbl_Case_mins[[#This Row],[Case Type]]="Sch",1,0)</f>
        <v>#REF!</v>
      </c>
      <c r="AE38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1" s="9">
        <f>IFERROR(IF(ISBLANK(INDEX(Am_Close,MATCH(1,INDEX((tbl_Case_mins[[#This Row],[Theatre]]=Theatre_No)*(tbl_Case_mins[[#This Row],[Surgery Start Date]]=Date),0,1),0))*1440),0,INDEX(Am_Close,MATCH(1,INDEX((tbl_Case_mins[[#This Row],[Theatre]]=Theatre_No)*(tbl_Case_mins[[#This Row],[Surgery Start Date]]=Date),0,1),0))*1440),0)</f>
        <v>0</v>
      </c>
      <c r="AG381" s="9">
        <f>IFERROR(IF(ISBLANK(INDEX(PM_Open,MATCH(1,INDEX((tbl_Case_mins[[#This Row],[Theatre]]=Theatre_No)*(tbl_Case_mins[[#This Row],[Surgery Start Date]]=Date),0,1),0))*1440),0,INDEX(PM_Open,MATCH(1,INDEX((tbl_Case_mins[[#This Row],[Theatre]]=Theatre_No)*(tbl_Case_mins[[#This Row],[Surgery Start Date]]=Date),0,1),0))*1440),0)</f>
        <v>0</v>
      </c>
      <c r="AH38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1" s="9" t="e">
        <f>IF(tbl_Case_mins[[#This Row],[ThOpenAm]]=0,tbl_Case_mins[[#This Row],[ThOpenPM]],tbl_Case_mins[[#This Row],[ThOpenAm]])</f>
        <v>#REF!</v>
      </c>
      <c r="AJ381" s="9" t="e">
        <f>IF(tbl_Case_mins[[#This Row],[ThCloseAm]]&gt;0,IF(tbl_Case_mins[[#This Row],[ThOpenPM]]&gt;0,tbl_Case_mins[[#This Row],[ThClosePm]],tbl_Case_mins[[#This Row],[ThCloseAm]]),tbl_Case_mins[[#This Row],[ThClosePm]])</f>
        <v>#REF!</v>
      </c>
      <c r="AK381" s="9" t="e">
        <f>IF(tbl_Case_mins[[#This Row],[TOT]]&gt;0,1,0)</f>
        <v>#REF!</v>
      </c>
      <c r="AL38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1" s="9" t="e">
        <f>IF(AND(tbl_Case_mins[[#This Row],[Surgery Status]]&lt;&gt;2,tbl_Case_mins[[#This Row],[InCoreCase]]=0,tbl_Case_mins[[#This Row],[CancelledCase]]=0),1,0)</f>
        <v>#REF!</v>
      </c>
      <c r="AN381" s="9" t="e">
        <f>IF(tbl_Case_mins[[#This Row],[Surgery Status]]=1,1,0)</f>
        <v>#REF!</v>
      </c>
      <c r="AO38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1" s="9" t="e">
        <f>IF(AND(tbl_Case_mins[[#This Row],[NonCoreCase]]=1,tbl_Case_mins[[#This Row],[NoInCoreTime]]=0),1,0)</f>
        <v>#REF!</v>
      </c>
      <c r="AQ381" s="9" t="e">
        <f>IF(tbl_Case_mins[[#This Row],[Rank_AnaEnd]]&lt;tbl_Case_mins[[#This Row],[Rank_AnaSt]],1,0)</f>
        <v>#REF!</v>
      </c>
      <c r="AR381" s="9" t="e">
        <f>IF(AND(tbl_Case_mins[[#This Row],[InCoreCase]]=1,tbl_Case_mins[[#This Row],[Sch]]=1),1,0)</f>
        <v>#REF!</v>
      </c>
      <c r="AS381" s="9" t="e">
        <f>IF(AND(tbl_Case_mins[[#This Row],[InCoreCase]]=1,tbl_Case_mins[[#This Row],[Unsch]]=1),1,0)</f>
        <v>#REF!</v>
      </c>
      <c r="AT38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1" s="9" t="e">
        <f>IF(tbl_Case_mins[[#This Row],[Surgery Status]]=0,(tbl_Case_mins[[#This Row],[Anaesth End]]-tbl_Case_mins[[#This Row],[AnaesthStart]]),0)</f>
        <v>#REF!</v>
      </c>
      <c r="AX381" s="9" t="e">
        <f>IF(tbl_Case_mins[[#This Row],[Surgery Status]]=0,(tbl_Case_mins[[#This Row],[Surgery Finish]]-tbl_Case_mins[[#This Row],[Surgery Start]]),0)</f>
        <v>#REF!</v>
      </c>
      <c r="AY381" s="9" t="e">
        <f>tbl_Case_mins[[#This Row],[Surgery Start]]-tbl_Case_mins[[#This Row],[AnaesthStart]]</f>
        <v>#REF!</v>
      </c>
      <c r="AZ381" s="9" t="e">
        <f>tbl_Case_mins[[#This Row],[Anaesth End]]-tbl_Case_mins[[#This Row],[Surgery Finish]]</f>
        <v>#REF!</v>
      </c>
      <c r="BA38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1" s="16" cm="1">
        <f t="array" ref="BC38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1" s="16" t="e">
        <f>IF(AND(tbl_Case_mins[[#This Row],[FirstAMCase]]=1,tbl_Case_mins[[#This Row],[CancelledCase]]=0,OR(tbl_Case_mins[[#This Row],[EarlyStartAM]]&gt;0,tbl_Case_mins[[#This Row],[AnaesthStart]]=tbl_Case_mins[[#This Row],[ThOpenAm]])),1,0)</f>
        <v>#REF!</v>
      </c>
      <c r="BE381" s="16" t="e">
        <f>IF(AND(tbl_Case_mins[[#This Row],[Rank_AnaSt]]=tbl_Case_mins[[#This Row],[Min_RankAnaSt]],tbl_Case_mins[[#This Row],[Anaesth End]]&gt;=tbl_Case_mins[[#This Row],[ThOpenAm]],tbl_Case_mins[[#This Row],[PmCase]]=0),1,0)</f>
        <v>#REF!</v>
      </c>
      <c r="BF38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1" s="9" t="e" cm="1">
        <f t="array" ref="BH38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1" s="9" t="e">
        <f>IF(AND(tbl_Case_mins[[#This Row],[ThOpenPM]]&gt;0,tbl_Case_mins[[#This Row],[AnaesthStart]]&gt;tbl_Case_mins[[#This Row],[ThOpenPM]],tbl_Case_mins[[#This Row],[First PM Case]]=1),tbl_Case_mins[[#This Row],[AnaesthStart]]-tbl_Case_mins[[#This Row],[ThOpenPM]],0)</f>
        <v>#REF!</v>
      </c>
      <c r="BL38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1" s="9" t="e" cm="1">
        <f t="array" ref="BN38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1" s="9" t="e">
        <f>IF(AND(tbl_Case_mins[[#This Row],[ThClosePm]]&gt;0,tbl_Case_mins[[#This Row],[Anaesth End]]&gt;tbl_Case_mins[[#This Row],[ThClosePm]],tbl_Case_mins[[#This Row],[AnaesthStart]]&gt;tbl_Case_mins[[#This Row],[ThClosePm]]),tbl_Case_mins[[#This Row],[Into Recov]]-tbl_Case_mins[[#This Row],[AnaesthStart]],0)</f>
        <v>#REF!</v>
      </c>
      <c r="BP381" s="9" t="e">
        <f>IF(AND(tbl_Case_mins[[#This Row],[AnaesthStart]]&lt;tbl_Case_mins[[#This Row],[ThClosePm]],tbl_Case_mins[[#This Row],[Anaesth End]]&gt;tbl_Case_mins[[#This Row],[ThClosePm]]),tbl_Case_mins[[#This Row],[Anaesth End]]-tbl_Case_mins[[#This Row],[ThClosePm]],0)</f>
        <v>#REF!</v>
      </c>
      <c r="BQ381" s="9" t="e" cm="1">
        <f t="array" ref="BQ38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1" s="9" t="e" cm="1">
        <f t="array" ref="BR381">IF(tbl_Case_mins[[#This Row],[Rank_Adjust]]=SUMPRODUCT(-(tbl_Case_mins[Surgery Start Date]=tbl_Case_mins[[#This Row],[Surgery Start Date]]),-(tbl_Case_mins[Theatre]=tbl_Case_mins[[#This Row],[Theatre]])),INDEX(Poss_Time,MATCH(TEXT(tbl_Case_mins[[#This Row],[Surgery Start Date]],"ddd"),Day,0)),0)</f>
        <v>#REF!</v>
      </c>
      <c r="BS381" s="9" t="e">
        <f>tbl_Case_mins[[#This Row],[Core_Time]]*Util_Goal</f>
        <v>#REF!</v>
      </c>
      <c r="BT381" s="9" t="e" cm="1">
        <f t="array" ref="BT3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1" s="9" t="e" cm="1">
        <f t="array" ref="BU38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1" s="9" t="e">
        <f>IF(tbl_Case_mins[[#This Row],[Surgery End Date]]&gt;tbl_Case_mins[[#This Row],[Surgery Start Date]],tbl_Case_mins[[#This Row],[Anaesth End]]-1440,0)</f>
        <v>#REF!</v>
      </c>
      <c r="BY381" s="9" t="e">
        <f>tbl_Case_mins[[#This Row],[Total_NonCore]]-tbl_Case_mins[[#This Row],[NextDay_NonCore]]</f>
        <v>#REF!</v>
      </c>
      <c r="BZ381" s="10" t="e">
        <f>tbl_Case_mins[[#This Row],[InCoreUse]]/60</f>
        <v>#REF!</v>
      </c>
      <c r="CA381" s="10" t="e">
        <f>tbl_Case_mins[[#This Row],[Total_NonCore]]/60</f>
        <v>#REF!</v>
      </c>
      <c r="CB381" t="e" cm="1">
        <f t="array" ref="CB3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1" s="9" t="e" cm="1">
        <f t="array" ref="CC38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1" s="9" t="e" cm="1">
        <f t="array" ref="CD38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1" s="9" t="e" cm="1">
        <f t="array" ref="CE38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1" s="9" cm="1">
        <f t="array" ref="CF381">IFERROR(_xlfn.AGGREGATE(14,6,(tbl_Case_mins[Rank_AnaEnd])/((tbl_Case_mins[Surgery Start Date]=tbl_Case_mins[[#This Row],[Surgery Start Date]])*(tbl_Case_mins[Theatre]=tbl_Case_mins[[#This Row],[Theatre]])*(tbl_Case_mins[NoInCoreTime]=0)),1),-1)</f>
        <v>-1</v>
      </c>
      <c r="CG381" s="9" cm="1">
        <f t="array" ref="CG381">IFERROR(_xlfn.AGGREGATE(15,6,(tbl_Case_mins[Rank_AnaSt])/((tbl_Case_mins[Surgery Start Date]=tbl_Case_mins[[#This Row],[Surgery Start Date]])*(tbl_Case_mins[Theatre]=tbl_Case_mins[[#This Row],[Theatre]])*(tbl_Case_mins[NoInCoreTime]=0)),1),-1)</f>
        <v>-1</v>
      </c>
      <c r="CH38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1" t="e" cm="1">
        <f t="array" ref="CJ38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1" s="9" cm="1">
        <f t="array" ref="CO3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1" s="9" cm="1">
        <f t="array" ref="CP38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1" s="9" cm="1">
        <f t="array" ref="CQ381">IFERROR(IF(AND(tbl_Case_mins[[#This Row],[FirstAMCase]]=0,tbl_Case_mins[[#This Row],[Rank]]=_xlfn.AGGREGATE(14,6,(tbl_Case_mins[Rank])/((tbl_Case_mins[Surgery Start Date]=tbl_Case_mins[[#This Row],[Surgery Start Date]])*(tbl_Case_mins[Theatre]=tbl_Case_mins[[#This Row],[Theatre]])*(tbl_Case_mins[AmCase]=1)),1)),1,0),0)</f>
        <v>0</v>
      </c>
      <c r="CR381" s="9" cm="1">
        <f t="array" ref="CR38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1" s="9" t="e" cm="1">
        <f t="array" ref="CS38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1" s="9" cm="1">
        <f t="array" ref="CT381">IFERROR(IF(tbl_Case_mins[[#This Row],[Rank]]=_xlfn.AGGREGATE(15,6,(tbl_Case_mins[Rank])/((tbl_Case_mins[Surgery Start Date]=tbl_Case_mins[[#This Row],[Surgery Start Date]])*(tbl_Case_mins[Theatre]=tbl_Case_mins[[#This Row],[Theatre]])*(tbl_Case_mins[PmCase]=1)),1),1,0),0)</f>
        <v>0</v>
      </c>
      <c r="CU381">
        <f>IFERROR(#REF!,0)</f>
        <v>0</v>
      </c>
      <c r="CV381" s="9" t="e" cm="1">
        <f t="array" ref="CV38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1" s="9">
        <f>IFERROR(IF(ISBLANK(INDEX(Bay_AmClose,MATCH(1,INDEX((tbl_Case_mins[[#This Row],[Bay]]=BayNo)*(tbl_Case_mins[[#This Row],[Surgery Start Date]]=BDate),0,1),0))*1440),0,INDEX(Bay_AmClose,MATCH(1,INDEX((tbl_Case_mins[[#This Row],[Bay]]=BayNo)*(tbl_Case_mins[[#This Row],[Surgery Start Date]]=BDate),0,1),0))*1440),0)</f>
        <v>0</v>
      </c>
      <c r="CX381" s="9" cm="1">
        <f t="array" ref="CX381">IFERROR(IF(ISBLANK(INDEX(Bay_PmOpen,MATCH(1,INDEX((tbl_Case_mins[[#This Row],[Bay]]=BayNo)*(tbl_Case_mins[[#This Row],[Surgery Start Date]]=BDate),0,1),0))*1440),0,INDEX(Bay_PmOpen,MATCH(1,INDEX((tbl_Case_mins[[#This Row],[Bay]]=BayNo)*(tbl_Case_mins[[#This Row],[Surgery Start Date]]=BDate),0,1),0))*1440),0)</f>
        <v>0</v>
      </c>
      <c r="CY38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1" s="9"/>
    </row>
    <row r="382" spans="1:104" x14ac:dyDescent="0.2">
      <c r="A382">
        <v>381</v>
      </c>
      <c r="B382" t="e">
        <f>#REF!</f>
        <v>#REF!</v>
      </c>
      <c r="C382" t="e">
        <f>#REF!</f>
        <v>#REF!</v>
      </c>
      <c r="D382" t="e">
        <f>#REF!</f>
        <v>#REF!</v>
      </c>
      <c r="E382" t="e">
        <f>#REF!</f>
        <v>#REF!</v>
      </c>
      <c r="F382" t="e">
        <f>#REF!</f>
        <v>#REF!</v>
      </c>
      <c r="G382" t="e">
        <f>#REF!</f>
        <v>#REF!</v>
      </c>
      <c r="H382" t="e">
        <f>#REF!</f>
        <v>#REF!</v>
      </c>
      <c r="I382" t="e">
        <f>IF(#REF!="Case Cancelled",1,IF(#REF!="No Cases",2,0))</f>
        <v>#REF!</v>
      </c>
      <c r="J382" t="e">
        <f>#REF!</f>
        <v>#REF!</v>
      </c>
      <c r="K382" s="4" t="e">
        <f>#REF!</f>
        <v>#REF!</v>
      </c>
      <c r="L382" t="e">
        <f>"Wk "&amp;WEEKNUM(tbl_Case_mins[[#This Row],[Surgery Start Date]],21)</f>
        <v>#REF!</v>
      </c>
      <c r="M382" t="e">
        <f>TEXT(tbl_Case_mins[[#This Row],[Surgery Start Date]],"ddd")</f>
        <v>#REF!</v>
      </c>
      <c r="N382" s="9" t="e">
        <f>(#REF!-TIME(0,0,0))*1440</f>
        <v>#REF!</v>
      </c>
      <c r="O382" t="e">
        <f>IF(AND(ROUND((#REF!-TIME(0,0,0))*1440,0)&gt;0,ROUND((#REF!-TIME(0,0,0))*1440,0)&lt;tbl_Case_mins[[#This Row],[Patient Called]],tbl_Case_mins[[#This Row],[Surgery End Date]]&gt;tbl_Case_mins[[#This Row],[Surgery Start Date]]),ROUND((#REF!-TIME(0,0,0))*1440,0)+1440,ROUND((#REF!-TIME(0,0,0))*1440,0))</f>
        <v>#REF!</v>
      </c>
      <c r="P382" s="9" t="e">
        <f>IF(AND(ROUND((#REF!-TIME(0,0,0))*1440,0)&gt;0,ROUND((#REF!-TIME(0,0,0))*1440,0)&lt;tbl_Case_mins[[#This Row],[Arrival]],tbl_Case_mins[[#This Row],[Surgery End Date]]&gt;tbl_Case_mins[[#This Row],[Surgery Start Date]]),ROUND((#REF!-TIME(0,0,0))*1440,0)+1440,ROUND((#REF!-TIME(0,0,0))*1440,0))</f>
        <v>#REF!</v>
      </c>
      <c r="Q382" s="9" t="e">
        <f>IF(AND(ROUND((#REF!-TIME(0,0,0))*1440,0)&gt;0,ROUND((#REF!-TIME(0,0,0))*1440,0)&lt;tbl_Case_mins[[#This Row],[Into Th or AR]],tbl_Case_mins[[#This Row],[Surgery End Date]]&gt;tbl_Case_mins[[#This Row],[Surgery Start Date]]),ROUND((#REF!-TIME(0,0,0))*1440,0)+1440,ROUND((#REF!-TIME(0,0,0))*1440,0))</f>
        <v>#REF!</v>
      </c>
      <c r="R382" s="9" t="e">
        <f>IF(AND(ROUND((#REF!-TIME(0,0,0))*1440,0)&gt;0,ROUND((#REF!-TIME(0,0,0))*1440,0)&lt;tbl_Case_mins[[#This Row],[AnaesthStart]],tbl_Case_mins[[#This Row],[Surgery End Date]]&gt;tbl_Case_mins[[#This Row],[Surgery Start Date]]),ROUND((#REF!-TIME(0,0,0))*1440,0)+1440,ROUND((#REF!-TIME(0,0,0))*1440,0))</f>
        <v>#REF!</v>
      </c>
      <c r="S382" s="9" t="e">
        <f>IF(AND(ROUND((#REF!-TIME(0,0,0))*1440,0),ROUND((#REF!-TIME(0,0,0))*1440,0)&lt;tbl_Case_mins[[#This Row],[Surgery Start]],tbl_Case_mins[[#This Row],[Surgery End Date]]&gt;tbl_Case_mins[[#This Row],[Surgery Start Date]]),ROUND((#REF!-TIME(0,0,0))*1440,0)+1440,ROUND((#REF!-TIME(0,0,0))*1440,0))</f>
        <v>#REF!</v>
      </c>
      <c r="T382" s="9" t="e">
        <f>IF(AND(ROUND((#REF!-TIME(0,0,0))*1440,0)&gt;0,ROUND((#REF!-TIME(0,0,0))*1440,0)&lt;tbl_Case_mins[[#This Row],[Surgery Finish]],tbl_Case_mins[[#This Row],[Surgery End Date]]&gt;tbl_Case_mins[[#This Row],[Surgery Start Date]]),ROUND((#REF!-TIME(0,0,0))*1440,0)+1440,ROUND((#REF!-TIME(0,0,0))*1440,0))</f>
        <v>#REF!</v>
      </c>
      <c r="U382" s="9" t="e">
        <f>IF(AND(ROUND((#REF!-TIME(0,0,0))*1440,0)&gt;0,ROUND((#REF!-TIME(0,0,0))*1440,0)&lt;tbl_Case_mins[[#This Row],[Anaesth End]],tbl_Case_mins[[#This Row],[Surgery End Date]]&gt;tbl_Case_mins[[#This Row],[Surgery Start Date]]),ROUND((#REF!-TIME(0,0,0))*1440,0)+1440,ROUND((#REF!-TIME(0,0,0))*1440,0))</f>
        <v>#REF!</v>
      </c>
      <c r="V382" s="9" t="e">
        <f>IF(AND(ROUND((#REF!-TIME(0,0,0))*1440,0)&gt;0,ROUND((#REF!-TIME(0,0,0))*1440,0)&lt;tbl_Case_mins[[#This Row],[Into Recov]],tbl_Case_mins[[#This Row],[Surgery End Date]]&gt;tbl_Case_mins[[#This Row],[Surgery Start Date]]),ROUND((#REF!-TIME(0,0,0))*1440,0)+1440,ROUND((#REF!-TIME(0,0,0))*1440,0))</f>
        <v>#REF!</v>
      </c>
      <c r="W382" s="9" t="e">
        <f>IF(AND(ROUND((#REF!-TIME(0,0,0))*1440,0)&gt;0,ROUND((#REF!-TIME(0,0,0))*1440,0)&lt;tbl_Case_mins[[#This Row],[Ward Called]],tbl_Case_mins[[#This Row],[Surgery End Date]]&gt;tbl_Case_mins[[#This Row],[Surgery Start Date]]),ROUND((#REF!-TIME(0,0,0))*1440,0)+1440,ROUND((#REF!-TIME(0,0,0))*1440,0))</f>
        <v>#REF!</v>
      </c>
      <c r="X382" s="4" t="e">
        <f>IF(ISBLANK(#REF!),tbl_Case_mins[[#This Row],[Surgery Start Date]],#REF!)</f>
        <v>#REF!</v>
      </c>
      <c r="Y382">
        <f>IFERROR(IF(VLOOKUP(tbl_Case_mins[[#This Row],[Theatre]],'Mng Theatres'!$C$7:$G$12,3,FALSE)="Yes","Yes","No"),0)</f>
        <v>0</v>
      </c>
      <c r="Z382" s="9" t="e" cm="1">
        <f t="array" ref="Z38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2" s="9" t="e" cm="1">
        <f t="array" ref="AA38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2" s="9" t="e">
        <f>IF(tbl_Case_mins[[#This Row],[Case Type]]="Unsch",1,0)</f>
        <v>#REF!</v>
      </c>
      <c r="AD382" s="9" t="e">
        <f>IF(tbl_Case_mins[[#This Row],[Case Type]]="Sch",1,0)</f>
        <v>#REF!</v>
      </c>
      <c r="AE38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2" s="9">
        <f>IFERROR(IF(ISBLANK(INDEX(Am_Close,MATCH(1,INDEX((tbl_Case_mins[[#This Row],[Theatre]]=Theatre_No)*(tbl_Case_mins[[#This Row],[Surgery Start Date]]=Date),0,1),0))*1440),0,INDEX(Am_Close,MATCH(1,INDEX((tbl_Case_mins[[#This Row],[Theatre]]=Theatre_No)*(tbl_Case_mins[[#This Row],[Surgery Start Date]]=Date),0,1),0))*1440),0)</f>
        <v>0</v>
      </c>
      <c r="AG382" s="9">
        <f>IFERROR(IF(ISBLANK(INDEX(PM_Open,MATCH(1,INDEX((tbl_Case_mins[[#This Row],[Theatre]]=Theatre_No)*(tbl_Case_mins[[#This Row],[Surgery Start Date]]=Date),0,1),0))*1440),0,INDEX(PM_Open,MATCH(1,INDEX((tbl_Case_mins[[#This Row],[Theatre]]=Theatre_No)*(tbl_Case_mins[[#This Row],[Surgery Start Date]]=Date),0,1),0))*1440),0)</f>
        <v>0</v>
      </c>
      <c r="AH38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2" s="9" t="e">
        <f>IF(tbl_Case_mins[[#This Row],[ThOpenAm]]=0,tbl_Case_mins[[#This Row],[ThOpenPM]],tbl_Case_mins[[#This Row],[ThOpenAm]])</f>
        <v>#REF!</v>
      </c>
      <c r="AJ382" s="9" t="e">
        <f>IF(tbl_Case_mins[[#This Row],[ThCloseAm]]&gt;0,IF(tbl_Case_mins[[#This Row],[ThOpenPM]]&gt;0,tbl_Case_mins[[#This Row],[ThClosePm]],tbl_Case_mins[[#This Row],[ThCloseAm]]),tbl_Case_mins[[#This Row],[ThClosePm]])</f>
        <v>#REF!</v>
      </c>
      <c r="AK382" s="9" t="e">
        <f>IF(tbl_Case_mins[[#This Row],[TOT]]&gt;0,1,0)</f>
        <v>#REF!</v>
      </c>
      <c r="AL38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2" s="9" t="e">
        <f>IF(AND(tbl_Case_mins[[#This Row],[Surgery Status]]&lt;&gt;2,tbl_Case_mins[[#This Row],[InCoreCase]]=0,tbl_Case_mins[[#This Row],[CancelledCase]]=0),1,0)</f>
        <v>#REF!</v>
      </c>
      <c r="AN382" s="9" t="e">
        <f>IF(tbl_Case_mins[[#This Row],[Surgery Status]]=1,1,0)</f>
        <v>#REF!</v>
      </c>
      <c r="AO38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2" s="9" t="e">
        <f>IF(AND(tbl_Case_mins[[#This Row],[NonCoreCase]]=1,tbl_Case_mins[[#This Row],[NoInCoreTime]]=0),1,0)</f>
        <v>#REF!</v>
      </c>
      <c r="AQ382" s="9" t="e">
        <f>IF(tbl_Case_mins[[#This Row],[Rank_AnaEnd]]&lt;tbl_Case_mins[[#This Row],[Rank_AnaSt]],1,0)</f>
        <v>#REF!</v>
      </c>
      <c r="AR382" s="9" t="e">
        <f>IF(AND(tbl_Case_mins[[#This Row],[InCoreCase]]=1,tbl_Case_mins[[#This Row],[Sch]]=1),1,0)</f>
        <v>#REF!</v>
      </c>
      <c r="AS382" s="9" t="e">
        <f>IF(AND(tbl_Case_mins[[#This Row],[InCoreCase]]=1,tbl_Case_mins[[#This Row],[Unsch]]=1),1,0)</f>
        <v>#REF!</v>
      </c>
      <c r="AT38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2" s="9" t="e">
        <f>IF(tbl_Case_mins[[#This Row],[Surgery Status]]=0,(tbl_Case_mins[[#This Row],[Anaesth End]]-tbl_Case_mins[[#This Row],[AnaesthStart]]),0)</f>
        <v>#REF!</v>
      </c>
      <c r="AX382" s="9" t="e">
        <f>IF(tbl_Case_mins[[#This Row],[Surgery Status]]=0,(tbl_Case_mins[[#This Row],[Surgery Finish]]-tbl_Case_mins[[#This Row],[Surgery Start]]),0)</f>
        <v>#REF!</v>
      </c>
      <c r="AY382" s="9" t="e">
        <f>tbl_Case_mins[[#This Row],[Surgery Start]]-tbl_Case_mins[[#This Row],[AnaesthStart]]</f>
        <v>#REF!</v>
      </c>
      <c r="AZ382" s="9" t="e">
        <f>tbl_Case_mins[[#This Row],[Anaesth End]]-tbl_Case_mins[[#This Row],[Surgery Finish]]</f>
        <v>#REF!</v>
      </c>
      <c r="BA38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2" s="16" cm="1">
        <f t="array" ref="BC38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2" s="16" t="e">
        <f>IF(AND(tbl_Case_mins[[#This Row],[FirstAMCase]]=1,tbl_Case_mins[[#This Row],[CancelledCase]]=0,OR(tbl_Case_mins[[#This Row],[EarlyStartAM]]&gt;0,tbl_Case_mins[[#This Row],[AnaesthStart]]=tbl_Case_mins[[#This Row],[ThOpenAm]])),1,0)</f>
        <v>#REF!</v>
      </c>
      <c r="BE382" s="16" t="e">
        <f>IF(AND(tbl_Case_mins[[#This Row],[Rank_AnaSt]]=tbl_Case_mins[[#This Row],[Min_RankAnaSt]],tbl_Case_mins[[#This Row],[Anaesth End]]&gt;=tbl_Case_mins[[#This Row],[ThOpenAm]],tbl_Case_mins[[#This Row],[PmCase]]=0),1,0)</f>
        <v>#REF!</v>
      </c>
      <c r="BF38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2" s="9" t="e" cm="1">
        <f t="array" ref="BH38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2" s="9" t="e">
        <f>IF(AND(tbl_Case_mins[[#This Row],[ThOpenPM]]&gt;0,tbl_Case_mins[[#This Row],[AnaesthStart]]&gt;tbl_Case_mins[[#This Row],[ThOpenPM]],tbl_Case_mins[[#This Row],[First PM Case]]=1),tbl_Case_mins[[#This Row],[AnaesthStart]]-tbl_Case_mins[[#This Row],[ThOpenPM]],0)</f>
        <v>#REF!</v>
      </c>
      <c r="BL38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2" s="9" t="e" cm="1">
        <f t="array" ref="BN38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2" s="9" t="e">
        <f>IF(AND(tbl_Case_mins[[#This Row],[ThClosePm]]&gt;0,tbl_Case_mins[[#This Row],[Anaesth End]]&gt;tbl_Case_mins[[#This Row],[ThClosePm]],tbl_Case_mins[[#This Row],[AnaesthStart]]&gt;tbl_Case_mins[[#This Row],[ThClosePm]]),tbl_Case_mins[[#This Row],[Into Recov]]-tbl_Case_mins[[#This Row],[AnaesthStart]],0)</f>
        <v>#REF!</v>
      </c>
      <c r="BP382" s="9" t="e">
        <f>IF(AND(tbl_Case_mins[[#This Row],[AnaesthStart]]&lt;tbl_Case_mins[[#This Row],[ThClosePm]],tbl_Case_mins[[#This Row],[Anaesth End]]&gt;tbl_Case_mins[[#This Row],[ThClosePm]]),tbl_Case_mins[[#This Row],[Anaesth End]]-tbl_Case_mins[[#This Row],[ThClosePm]],0)</f>
        <v>#REF!</v>
      </c>
      <c r="BQ382" s="9" t="e" cm="1">
        <f t="array" ref="BQ38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2" s="9" t="e" cm="1">
        <f t="array" ref="BR382">IF(tbl_Case_mins[[#This Row],[Rank_Adjust]]=SUMPRODUCT(-(tbl_Case_mins[Surgery Start Date]=tbl_Case_mins[[#This Row],[Surgery Start Date]]),-(tbl_Case_mins[Theatre]=tbl_Case_mins[[#This Row],[Theatre]])),INDEX(Poss_Time,MATCH(TEXT(tbl_Case_mins[[#This Row],[Surgery Start Date]],"ddd"),Day,0)),0)</f>
        <v>#REF!</v>
      </c>
      <c r="BS382" s="9" t="e">
        <f>tbl_Case_mins[[#This Row],[Core_Time]]*Util_Goal</f>
        <v>#REF!</v>
      </c>
      <c r="BT382" s="9" t="e" cm="1">
        <f t="array" ref="BT3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2" s="9" t="e" cm="1">
        <f t="array" ref="BU38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2" s="9" t="e">
        <f>IF(tbl_Case_mins[[#This Row],[Surgery End Date]]&gt;tbl_Case_mins[[#This Row],[Surgery Start Date]],tbl_Case_mins[[#This Row],[Anaesth End]]-1440,0)</f>
        <v>#REF!</v>
      </c>
      <c r="BY382" s="9" t="e">
        <f>tbl_Case_mins[[#This Row],[Total_NonCore]]-tbl_Case_mins[[#This Row],[NextDay_NonCore]]</f>
        <v>#REF!</v>
      </c>
      <c r="BZ382" s="10" t="e">
        <f>tbl_Case_mins[[#This Row],[InCoreUse]]/60</f>
        <v>#REF!</v>
      </c>
      <c r="CA382" s="10" t="e">
        <f>tbl_Case_mins[[#This Row],[Total_NonCore]]/60</f>
        <v>#REF!</v>
      </c>
      <c r="CB382" t="e" cm="1">
        <f t="array" ref="CB3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2" s="9" t="e" cm="1">
        <f t="array" ref="CC38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2" s="9" t="e" cm="1">
        <f t="array" ref="CD38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2" s="9" t="e" cm="1">
        <f t="array" ref="CE38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2" s="9" cm="1">
        <f t="array" ref="CF382">IFERROR(_xlfn.AGGREGATE(14,6,(tbl_Case_mins[Rank_AnaEnd])/((tbl_Case_mins[Surgery Start Date]=tbl_Case_mins[[#This Row],[Surgery Start Date]])*(tbl_Case_mins[Theatre]=tbl_Case_mins[[#This Row],[Theatre]])*(tbl_Case_mins[NoInCoreTime]=0)),1),-1)</f>
        <v>-1</v>
      </c>
      <c r="CG382" s="9" cm="1">
        <f t="array" ref="CG382">IFERROR(_xlfn.AGGREGATE(15,6,(tbl_Case_mins[Rank_AnaSt])/((tbl_Case_mins[Surgery Start Date]=tbl_Case_mins[[#This Row],[Surgery Start Date]])*(tbl_Case_mins[Theatre]=tbl_Case_mins[[#This Row],[Theatre]])*(tbl_Case_mins[NoInCoreTime]=0)),1),-1)</f>
        <v>-1</v>
      </c>
      <c r="CH38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2" t="e" cm="1">
        <f t="array" ref="CJ38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2" s="9" cm="1">
        <f t="array" ref="CO3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2" s="9" cm="1">
        <f t="array" ref="CP38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2" s="9" cm="1">
        <f t="array" ref="CQ382">IFERROR(IF(AND(tbl_Case_mins[[#This Row],[FirstAMCase]]=0,tbl_Case_mins[[#This Row],[Rank]]=_xlfn.AGGREGATE(14,6,(tbl_Case_mins[Rank])/((tbl_Case_mins[Surgery Start Date]=tbl_Case_mins[[#This Row],[Surgery Start Date]])*(tbl_Case_mins[Theatre]=tbl_Case_mins[[#This Row],[Theatre]])*(tbl_Case_mins[AmCase]=1)),1)),1,0),0)</f>
        <v>0</v>
      </c>
      <c r="CR382" s="9" cm="1">
        <f t="array" ref="CR38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2" s="9" t="e" cm="1">
        <f t="array" ref="CS38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2" s="9" cm="1">
        <f t="array" ref="CT382">IFERROR(IF(tbl_Case_mins[[#This Row],[Rank]]=_xlfn.AGGREGATE(15,6,(tbl_Case_mins[Rank])/((tbl_Case_mins[Surgery Start Date]=tbl_Case_mins[[#This Row],[Surgery Start Date]])*(tbl_Case_mins[Theatre]=tbl_Case_mins[[#This Row],[Theatre]])*(tbl_Case_mins[PmCase]=1)),1),1,0),0)</f>
        <v>0</v>
      </c>
      <c r="CU382">
        <f>IFERROR(#REF!,0)</f>
        <v>0</v>
      </c>
      <c r="CV382" s="9" t="e" cm="1">
        <f t="array" ref="CV38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2" s="9">
        <f>IFERROR(IF(ISBLANK(INDEX(Bay_AmClose,MATCH(1,INDEX((tbl_Case_mins[[#This Row],[Bay]]=BayNo)*(tbl_Case_mins[[#This Row],[Surgery Start Date]]=BDate),0,1),0))*1440),0,INDEX(Bay_AmClose,MATCH(1,INDEX((tbl_Case_mins[[#This Row],[Bay]]=BayNo)*(tbl_Case_mins[[#This Row],[Surgery Start Date]]=BDate),0,1),0))*1440),0)</f>
        <v>0</v>
      </c>
      <c r="CX382" s="9" cm="1">
        <f t="array" ref="CX382">IFERROR(IF(ISBLANK(INDEX(Bay_PmOpen,MATCH(1,INDEX((tbl_Case_mins[[#This Row],[Bay]]=BayNo)*(tbl_Case_mins[[#This Row],[Surgery Start Date]]=BDate),0,1),0))*1440),0,INDEX(Bay_PmOpen,MATCH(1,INDEX((tbl_Case_mins[[#This Row],[Bay]]=BayNo)*(tbl_Case_mins[[#This Row],[Surgery Start Date]]=BDate),0,1),0))*1440),0)</f>
        <v>0</v>
      </c>
      <c r="CY38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2" s="9"/>
    </row>
    <row r="383" spans="1:104" x14ac:dyDescent="0.2">
      <c r="A383">
        <v>382</v>
      </c>
      <c r="B383" t="e">
        <f>#REF!</f>
        <v>#REF!</v>
      </c>
      <c r="C383" t="e">
        <f>#REF!</f>
        <v>#REF!</v>
      </c>
      <c r="D383" t="e">
        <f>#REF!</f>
        <v>#REF!</v>
      </c>
      <c r="E383" t="e">
        <f>#REF!</f>
        <v>#REF!</v>
      </c>
      <c r="F383" t="e">
        <f>#REF!</f>
        <v>#REF!</v>
      </c>
      <c r="G383" t="e">
        <f>#REF!</f>
        <v>#REF!</v>
      </c>
      <c r="H383" t="e">
        <f>#REF!</f>
        <v>#REF!</v>
      </c>
      <c r="I383" t="e">
        <f>IF(#REF!="Case Cancelled",1,IF(#REF!="No Cases",2,0))</f>
        <v>#REF!</v>
      </c>
      <c r="J383" t="e">
        <f>#REF!</f>
        <v>#REF!</v>
      </c>
      <c r="K383" s="4" t="e">
        <f>#REF!</f>
        <v>#REF!</v>
      </c>
      <c r="L383" t="e">
        <f>"Wk "&amp;WEEKNUM(tbl_Case_mins[[#This Row],[Surgery Start Date]],21)</f>
        <v>#REF!</v>
      </c>
      <c r="M383" t="e">
        <f>TEXT(tbl_Case_mins[[#This Row],[Surgery Start Date]],"ddd")</f>
        <v>#REF!</v>
      </c>
      <c r="N383" s="9" t="e">
        <f>(#REF!-TIME(0,0,0))*1440</f>
        <v>#REF!</v>
      </c>
      <c r="O383" t="e">
        <f>IF(AND(ROUND((#REF!-TIME(0,0,0))*1440,0)&gt;0,ROUND((#REF!-TIME(0,0,0))*1440,0)&lt;tbl_Case_mins[[#This Row],[Patient Called]],tbl_Case_mins[[#This Row],[Surgery End Date]]&gt;tbl_Case_mins[[#This Row],[Surgery Start Date]]),ROUND((#REF!-TIME(0,0,0))*1440,0)+1440,ROUND((#REF!-TIME(0,0,0))*1440,0))</f>
        <v>#REF!</v>
      </c>
      <c r="P383" s="9" t="e">
        <f>IF(AND(ROUND((#REF!-TIME(0,0,0))*1440,0)&gt;0,ROUND((#REF!-TIME(0,0,0))*1440,0)&lt;tbl_Case_mins[[#This Row],[Arrival]],tbl_Case_mins[[#This Row],[Surgery End Date]]&gt;tbl_Case_mins[[#This Row],[Surgery Start Date]]),ROUND((#REF!-TIME(0,0,0))*1440,0)+1440,ROUND((#REF!-TIME(0,0,0))*1440,0))</f>
        <v>#REF!</v>
      </c>
      <c r="Q383" s="9" t="e">
        <f>IF(AND(ROUND((#REF!-TIME(0,0,0))*1440,0)&gt;0,ROUND((#REF!-TIME(0,0,0))*1440,0)&lt;tbl_Case_mins[[#This Row],[Into Th or AR]],tbl_Case_mins[[#This Row],[Surgery End Date]]&gt;tbl_Case_mins[[#This Row],[Surgery Start Date]]),ROUND((#REF!-TIME(0,0,0))*1440,0)+1440,ROUND((#REF!-TIME(0,0,0))*1440,0))</f>
        <v>#REF!</v>
      </c>
      <c r="R383" s="9" t="e">
        <f>IF(AND(ROUND((#REF!-TIME(0,0,0))*1440,0)&gt;0,ROUND((#REF!-TIME(0,0,0))*1440,0)&lt;tbl_Case_mins[[#This Row],[AnaesthStart]],tbl_Case_mins[[#This Row],[Surgery End Date]]&gt;tbl_Case_mins[[#This Row],[Surgery Start Date]]),ROUND((#REF!-TIME(0,0,0))*1440,0)+1440,ROUND((#REF!-TIME(0,0,0))*1440,0))</f>
        <v>#REF!</v>
      </c>
      <c r="S383" s="9" t="e">
        <f>IF(AND(ROUND((#REF!-TIME(0,0,0))*1440,0),ROUND((#REF!-TIME(0,0,0))*1440,0)&lt;tbl_Case_mins[[#This Row],[Surgery Start]],tbl_Case_mins[[#This Row],[Surgery End Date]]&gt;tbl_Case_mins[[#This Row],[Surgery Start Date]]),ROUND((#REF!-TIME(0,0,0))*1440,0)+1440,ROUND((#REF!-TIME(0,0,0))*1440,0))</f>
        <v>#REF!</v>
      </c>
      <c r="T383" s="9" t="e">
        <f>IF(AND(ROUND((#REF!-TIME(0,0,0))*1440,0)&gt;0,ROUND((#REF!-TIME(0,0,0))*1440,0)&lt;tbl_Case_mins[[#This Row],[Surgery Finish]],tbl_Case_mins[[#This Row],[Surgery End Date]]&gt;tbl_Case_mins[[#This Row],[Surgery Start Date]]),ROUND((#REF!-TIME(0,0,0))*1440,0)+1440,ROUND((#REF!-TIME(0,0,0))*1440,0))</f>
        <v>#REF!</v>
      </c>
      <c r="U383" s="9" t="e">
        <f>IF(AND(ROUND((#REF!-TIME(0,0,0))*1440,0)&gt;0,ROUND((#REF!-TIME(0,0,0))*1440,0)&lt;tbl_Case_mins[[#This Row],[Anaesth End]],tbl_Case_mins[[#This Row],[Surgery End Date]]&gt;tbl_Case_mins[[#This Row],[Surgery Start Date]]),ROUND((#REF!-TIME(0,0,0))*1440,0)+1440,ROUND((#REF!-TIME(0,0,0))*1440,0))</f>
        <v>#REF!</v>
      </c>
      <c r="V383" s="9" t="e">
        <f>IF(AND(ROUND((#REF!-TIME(0,0,0))*1440,0)&gt;0,ROUND((#REF!-TIME(0,0,0))*1440,0)&lt;tbl_Case_mins[[#This Row],[Into Recov]],tbl_Case_mins[[#This Row],[Surgery End Date]]&gt;tbl_Case_mins[[#This Row],[Surgery Start Date]]),ROUND((#REF!-TIME(0,0,0))*1440,0)+1440,ROUND((#REF!-TIME(0,0,0))*1440,0))</f>
        <v>#REF!</v>
      </c>
      <c r="W383" s="9" t="e">
        <f>IF(AND(ROUND((#REF!-TIME(0,0,0))*1440,0)&gt;0,ROUND((#REF!-TIME(0,0,0))*1440,0)&lt;tbl_Case_mins[[#This Row],[Ward Called]],tbl_Case_mins[[#This Row],[Surgery End Date]]&gt;tbl_Case_mins[[#This Row],[Surgery Start Date]]),ROUND((#REF!-TIME(0,0,0))*1440,0)+1440,ROUND((#REF!-TIME(0,0,0))*1440,0))</f>
        <v>#REF!</v>
      </c>
      <c r="X383" s="4" t="e">
        <f>IF(ISBLANK(#REF!),tbl_Case_mins[[#This Row],[Surgery Start Date]],#REF!)</f>
        <v>#REF!</v>
      </c>
      <c r="Y383">
        <f>IFERROR(IF(VLOOKUP(tbl_Case_mins[[#This Row],[Theatre]],'Mng Theatres'!$C$7:$G$12,3,FALSE)="Yes","Yes","No"),0)</f>
        <v>0</v>
      </c>
      <c r="Z383" s="9" t="e" cm="1">
        <f t="array" ref="Z38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3" s="9" t="e" cm="1">
        <f t="array" ref="AA38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3" s="9" t="e">
        <f>IF(tbl_Case_mins[[#This Row],[Case Type]]="Unsch",1,0)</f>
        <v>#REF!</v>
      </c>
      <c r="AD383" s="9" t="e">
        <f>IF(tbl_Case_mins[[#This Row],[Case Type]]="Sch",1,0)</f>
        <v>#REF!</v>
      </c>
      <c r="AE38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3" s="9">
        <f>IFERROR(IF(ISBLANK(INDEX(Am_Close,MATCH(1,INDEX((tbl_Case_mins[[#This Row],[Theatre]]=Theatre_No)*(tbl_Case_mins[[#This Row],[Surgery Start Date]]=Date),0,1),0))*1440),0,INDEX(Am_Close,MATCH(1,INDEX((tbl_Case_mins[[#This Row],[Theatre]]=Theatre_No)*(tbl_Case_mins[[#This Row],[Surgery Start Date]]=Date),0,1),0))*1440),0)</f>
        <v>0</v>
      </c>
      <c r="AG383" s="9">
        <f>IFERROR(IF(ISBLANK(INDEX(PM_Open,MATCH(1,INDEX((tbl_Case_mins[[#This Row],[Theatre]]=Theatre_No)*(tbl_Case_mins[[#This Row],[Surgery Start Date]]=Date),0,1),0))*1440),0,INDEX(PM_Open,MATCH(1,INDEX((tbl_Case_mins[[#This Row],[Theatre]]=Theatre_No)*(tbl_Case_mins[[#This Row],[Surgery Start Date]]=Date),0,1),0))*1440),0)</f>
        <v>0</v>
      </c>
      <c r="AH38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3" s="9" t="e">
        <f>IF(tbl_Case_mins[[#This Row],[ThOpenAm]]=0,tbl_Case_mins[[#This Row],[ThOpenPM]],tbl_Case_mins[[#This Row],[ThOpenAm]])</f>
        <v>#REF!</v>
      </c>
      <c r="AJ383" s="9" t="e">
        <f>IF(tbl_Case_mins[[#This Row],[ThCloseAm]]&gt;0,IF(tbl_Case_mins[[#This Row],[ThOpenPM]]&gt;0,tbl_Case_mins[[#This Row],[ThClosePm]],tbl_Case_mins[[#This Row],[ThCloseAm]]),tbl_Case_mins[[#This Row],[ThClosePm]])</f>
        <v>#REF!</v>
      </c>
      <c r="AK383" s="9" t="e">
        <f>IF(tbl_Case_mins[[#This Row],[TOT]]&gt;0,1,0)</f>
        <v>#REF!</v>
      </c>
      <c r="AL38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3" s="9" t="e">
        <f>IF(AND(tbl_Case_mins[[#This Row],[Surgery Status]]&lt;&gt;2,tbl_Case_mins[[#This Row],[InCoreCase]]=0,tbl_Case_mins[[#This Row],[CancelledCase]]=0),1,0)</f>
        <v>#REF!</v>
      </c>
      <c r="AN383" s="9" t="e">
        <f>IF(tbl_Case_mins[[#This Row],[Surgery Status]]=1,1,0)</f>
        <v>#REF!</v>
      </c>
      <c r="AO38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3" s="9" t="e">
        <f>IF(AND(tbl_Case_mins[[#This Row],[NonCoreCase]]=1,tbl_Case_mins[[#This Row],[NoInCoreTime]]=0),1,0)</f>
        <v>#REF!</v>
      </c>
      <c r="AQ383" s="9" t="e">
        <f>IF(tbl_Case_mins[[#This Row],[Rank_AnaEnd]]&lt;tbl_Case_mins[[#This Row],[Rank_AnaSt]],1,0)</f>
        <v>#REF!</v>
      </c>
      <c r="AR383" s="9" t="e">
        <f>IF(AND(tbl_Case_mins[[#This Row],[InCoreCase]]=1,tbl_Case_mins[[#This Row],[Sch]]=1),1,0)</f>
        <v>#REF!</v>
      </c>
      <c r="AS383" s="9" t="e">
        <f>IF(AND(tbl_Case_mins[[#This Row],[InCoreCase]]=1,tbl_Case_mins[[#This Row],[Unsch]]=1),1,0)</f>
        <v>#REF!</v>
      </c>
      <c r="AT38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3" s="9" t="e">
        <f>IF(tbl_Case_mins[[#This Row],[Surgery Status]]=0,(tbl_Case_mins[[#This Row],[Anaesth End]]-tbl_Case_mins[[#This Row],[AnaesthStart]]),0)</f>
        <v>#REF!</v>
      </c>
      <c r="AX383" s="9" t="e">
        <f>IF(tbl_Case_mins[[#This Row],[Surgery Status]]=0,(tbl_Case_mins[[#This Row],[Surgery Finish]]-tbl_Case_mins[[#This Row],[Surgery Start]]),0)</f>
        <v>#REF!</v>
      </c>
      <c r="AY383" s="9" t="e">
        <f>tbl_Case_mins[[#This Row],[Surgery Start]]-tbl_Case_mins[[#This Row],[AnaesthStart]]</f>
        <v>#REF!</v>
      </c>
      <c r="AZ383" s="9" t="e">
        <f>tbl_Case_mins[[#This Row],[Anaesth End]]-tbl_Case_mins[[#This Row],[Surgery Finish]]</f>
        <v>#REF!</v>
      </c>
      <c r="BA38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3" s="16" cm="1">
        <f t="array" ref="BC38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3" s="16" t="e">
        <f>IF(AND(tbl_Case_mins[[#This Row],[FirstAMCase]]=1,tbl_Case_mins[[#This Row],[CancelledCase]]=0,OR(tbl_Case_mins[[#This Row],[EarlyStartAM]]&gt;0,tbl_Case_mins[[#This Row],[AnaesthStart]]=tbl_Case_mins[[#This Row],[ThOpenAm]])),1,0)</f>
        <v>#REF!</v>
      </c>
      <c r="BE383" s="16" t="e">
        <f>IF(AND(tbl_Case_mins[[#This Row],[Rank_AnaSt]]=tbl_Case_mins[[#This Row],[Min_RankAnaSt]],tbl_Case_mins[[#This Row],[Anaesth End]]&gt;=tbl_Case_mins[[#This Row],[ThOpenAm]],tbl_Case_mins[[#This Row],[PmCase]]=0),1,0)</f>
        <v>#REF!</v>
      </c>
      <c r="BF38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3" s="9" t="e" cm="1">
        <f t="array" ref="BH38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3" s="9" t="e">
        <f>IF(AND(tbl_Case_mins[[#This Row],[ThOpenPM]]&gt;0,tbl_Case_mins[[#This Row],[AnaesthStart]]&gt;tbl_Case_mins[[#This Row],[ThOpenPM]],tbl_Case_mins[[#This Row],[First PM Case]]=1),tbl_Case_mins[[#This Row],[AnaesthStart]]-tbl_Case_mins[[#This Row],[ThOpenPM]],0)</f>
        <v>#REF!</v>
      </c>
      <c r="BL38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3" s="9" t="e" cm="1">
        <f t="array" ref="BN38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3" s="9" t="e">
        <f>IF(AND(tbl_Case_mins[[#This Row],[ThClosePm]]&gt;0,tbl_Case_mins[[#This Row],[Anaesth End]]&gt;tbl_Case_mins[[#This Row],[ThClosePm]],tbl_Case_mins[[#This Row],[AnaesthStart]]&gt;tbl_Case_mins[[#This Row],[ThClosePm]]),tbl_Case_mins[[#This Row],[Into Recov]]-tbl_Case_mins[[#This Row],[AnaesthStart]],0)</f>
        <v>#REF!</v>
      </c>
      <c r="BP383" s="9" t="e">
        <f>IF(AND(tbl_Case_mins[[#This Row],[AnaesthStart]]&lt;tbl_Case_mins[[#This Row],[ThClosePm]],tbl_Case_mins[[#This Row],[Anaesth End]]&gt;tbl_Case_mins[[#This Row],[ThClosePm]]),tbl_Case_mins[[#This Row],[Anaesth End]]-tbl_Case_mins[[#This Row],[ThClosePm]],0)</f>
        <v>#REF!</v>
      </c>
      <c r="BQ383" s="9" t="e" cm="1">
        <f t="array" ref="BQ38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3" s="9" t="e" cm="1">
        <f t="array" ref="BR383">IF(tbl_Case_mins[[#This Row],[Rank_Adjust]]=SUMPRODUCT(-(tbl_Case_mins[Surgery Start Date]=tbl_Case_mins[[#This Row],[Surgery Start Date]]),-(tbl_Case_mins[Theatre]=tbl_Case_mins[[#This Row],[Theatre]])),INDEX(Poss_Time,MATCH(TEXT(tbl_Case_mins[[#This Row],[Surgery Start Date]],"ddd"),Day,0)),0)</f>
        <v>#REF!</v>
      </c>
      <c r="BS383" s="9" t="e">
        <f>tbl_Case_mins[[#This Row],[Core_Time]]*Util_Goal</f>
        <v>#REF!</v>
      </c>
      <c r="BT383" s="9" t="e" cm="1">
        <f t="array" ref="BT3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3" s="9" t="e" cm="1">
        <f t="array" ref="BU38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3" s="9" t="e">
        <f>IF(tbl_Case_mins[[#This Row],[Surgery End Date]]&gt;tbl_Case_mins[[#This Row],[Surgery Start Date]],tbl_Case_mins[[#This Row],[Anaesth End]]-1440,0)</f>
        <v>#REF!</v>
      </c>
      <c r="BY383" s="9" t="e">
        <f>tbl_Case_mins[[#This Row],[Total_NonCore]]-tbl_Case_mins[[#This Row],[NextDay_NonCore]]</f>
        <v>#REF!</v>
      </c>
      <c r="BZ383" s="10" t="e">
        <f>tbl_Case_mins[[#This Row],[InCoreUse]]/60</f>
        <v>#REF!</v>
      </c>
      <c r="CA383" s="10" t="e">
        <f>tbl_Case_mins[[#This Row],[Total_NonCore]]/60</f>
        <v>#REF!</v>
      </c>
      <c r="CB383" t="e" cm="1">
        <f t="array" ref="CB3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3" s="9" t="e" cm="1">
        <f t="array" ref="CC38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3" s="9" t="e" cm="1">
        <f t="array" ref="CD38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3" s="9" t="e" cm="1">
        <f t="array" ref="CE38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3" s="9" cm="1">
        <f t="array" ref="CF383">IFERROR(_xlfn.AGGREGATE(14,6,(tbl_Case_mins[Rank_AnaEnd])/((tbl_Case_mins[Surgery Start Date]=tbl_Case_mins[[#This Row],[Surgery Start Date]])*(tbl_Case_mins[Theatre]=tbl_Case_mins[[#This Row],[Theatre]])*(tbl_Case_mins[NoInCoreTime]=0)),1),-1)</f>
        <v>-1</v>
      </c>
      <c r="CG383" s="9" cm="1">
        <f t="array" ref="CG383">IFERROR(_xlfn.AGGREGATE(15,6,(tbl_Case_mins[Rank_AnaSt])/((tbl_Case_mins[Surgery Start Date]=tbl_Case_mins[[#This Row],[Surgery Start Date]])*(tbl_Case_mins[Theatre]=tbl_Case_mins[[#This Row],[Theatre]])*(tbl_Case_mins[NoInCoreTime]=0)),1),-1)</f>
        <v>-1</v>
      </c>
      <c r="CH38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3" t="e" cm="1">
        <f t="array" ref="CJ38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3" s="9" cm="1">
        <f t="array" ref="CO3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3" s="9" cm="1">
        <f t="array" ref="CP38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3" s="9" cm="1">
        <f t="array" ref="CQ383">IFERROR(IF(AND(tbl_Case_mins[[#This Row],[FirstAMCase]]=0,tbl_Case_mins[[#This Row],[Rank]]=_xlfn.AGGREGATE(14,6,(tbl_Case_mins[Rank])/((tbl_Case_mins[Surgery Start Date]=tbl_Case_mins[[#This Row],[Surgery Start Date]])*(tbl_Case_mins[Theatre]=tbl_Case_mins[[#This Row],[Theatre]])*(tbl_Case_mins[AmCase]=1)),1)),1,0),0)</f>
        <v>0</v>
      </c>
      <c r="CR383" s="9" cm="1">
        <f t="array" ref="CR38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3" s="9" t="e" cm="1">
        <f t="array" ref="CS38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3" s="9" cm="1">
        <f t="array" ref="CT383">IFERROR(IF(tbl_Case_mins[[#This Row],[Rank]]=_xlfn.AGGREGATE(15,6,(tbl_Case_mins[Rank])/((tbl_Case_mins[Surgery Start Date]=tbl_Case_mins[[#This Row],[Surgery Start Date]])*(tbl_Case_mins[Theatre]=tbl_Case_mins[[#This Row],[Theatre]])*(tbl_Case_mins[PmCase]=1)),1),1,0),0)</f>
        <v>0</v>
      </c>
      <c r="CU383">
        <f>IFERROR(#REF!,0)</f>
        <v>0</v>
      </c>
      <c r="CV383" s="9" t="e" cm="1">
        <f t="array" ref="CV38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3" s="9">
        <f>IFERROR(IF(ISBLANK(INDEX(Bay_AmClose,MATCH(1,INDEX((tbl_Case_mins[[#This Row],[Bay]]=BayNo)*(tbl_Case_mins[[#This Row],[Surgery Start Date]]=BDate),0,1),0))*1440),0,INDEX(Bay_AmClose,MATCH(1,INDEX((tbl_Case_mins[[#This Row],[Bay]]=BayNo)*(tbl_Case_mins[[#This Row],[Surgery Start Date]]=BDate),0,1),0))*1440),0)</f>
        <v>0</v>
      </c>
      <c r="CX383" s="9" cm="1">
        <f t="array" ref="CX383">IFERROR(IF(ISBLANK(INDEX(Bay_PmOpen,MATCH(1,INDEX((tbl_Case_mins[[#This Row],[Bay]]=BayNo)*(tbl_Case_mins[[#This Row],[Surgery Start Date]]=BDate),0,1),0))*1440),0,INDEX(Bay_PmOpen,MATCH(1,INDEX((tbl_Case_mins[[#This Row],[Bay]]=BayNo)*(tbl_Case_mins[[#This Row],[Surgery Start Date]]=BDate),0,1),0))*1440),0)</f>
        <v>0</v>
      </c>
      <c r="CY38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3" s="9"/>
    </row>
    <row r="384" spans="1:104" x14ac:dyDescent="0.2">
      <c r="A384">
        <v>383</v>
      </c>
      <c r="B384" t="e">
        <f>#REF!</f>
        <v>#REF!</v>
      </c>
      <c r="C384" t="e">
        <f>#REF!</f>
        <v>#REF!</v>
      </c>
      <c r="D384" t="e">
        <f>#REF!</f>
        <v>#REF!</v>
      </c>
      <c r="E384" t="e">
        <f>#REF!</f>
        <v>#REF!</v>
      </c>
      <c r="F384" t="e">
        <f>#REF!</f>
        <v>#REF!</v>
      </c>
      <c r="G384" t="e">
        <f>#REF!</f>
        <v>#REF!</v>
      </c>
      <c r="H384" t="e">
        <f>#REF!</f>
        <v>#REF!</v>
      </c>
      <c r="I384" t="e">
        <f>IF(#REF!="Case Cancelled",1,IF(#REF!="No Cases",2,0))</f>
        <v>#REF!</v>
      </c>
      <c r="J384" t="e">
        <f>#REF!</f>
        <v>#REF!</v>
      </c>
      <c r="K384" s="4" t="e">
        <f>#REF!</f>
        <v>#REF!</v>
      </c>
      <c r="L384" t="e">
        <f>"Wk "&amp;WEEKNUM(tbl_Case_mins[[#This Row],[Surgery Start Date]],21)</f>
        <v>#REF!</v>
      </c>
      <c r="M384" t="e">
        <f>TEXT(tbl_Case_mins[[#This Row],[Surgery Start Date]],"ddd")</f>
        <v>#REF!</v>
      </c>
      <c r="N384" s="9" t="e">
        <f>(#REF!-TIME(0,0,0))*1440</f>
        <v>#REF!</v>
      </c>
      <c r="O384" t="e">
        <f>IF(AND(ROUND((#REF!-TIME(0,0,0))*1440,0)&gt;0,ROUND((#REF!-TIME(0,0,0))*1440,0)&lt;tbl_Case_mins[[#This Row],[Patient Called]],tbl_Case_mins[[#This Row],[Surgery End Date]]&gt;tbl_Case_mins[[#This Row],[Surgery Start Date]]),ROUND((#REF!-TIME(0,0,0))*1440,0)+1440,ROUND((#REF!-TIME(0,0,0))*1440,0))</f>
        <v>#REF!</v>
      </c>
      <c r="P384" s="9" t="e">
        <f>IF(AND(ROUND((#REF!-TIME(0,0,0))*1440,0)&gt;0,ROUND((#REF!-TIME(0,0,0))*1440,0)&lt;tbl_Case_mins[[#This Row],[Arrival]],tbl_Case_mins[[#This Row],[Surgery End Date]]&gt;tbl_Case_mins[[#This Row],[Surgery Start Date]]),ROUND((#REF!-TIME(0,0,0))*1440,0)+1440,ROUND((#REF!-TIME(0,0,0))*1440,0))</f>
        <v>#REF!</v>
      </c>
      <c r="Q384" s="9" t="e">
        <f>IF(AND(ROUND((#REF!-TIME(0,0,0))*1440,0)&gt;0,ROUND((#REF!-TIME(0,0,0))*1440,0)&lt;tbl_Case_mins[[#This Row],[Into Th or AR]],tbl_Case_mins[[#This Row],[Surgery End Date]]&gt;tbl_Case_mins[[#This Row],[Surgery Start Date]]),ROUND((#REF!-TIME(0,0,0))*1440,0)+1440,ROUND((#REF!-TIME(0,0,0))*1440,0))</f>
        <v>#REF!</v>
      </c>
      <c r="R384" s="9" t="e">
        <f>IF(AND(ROUND((#REF!-TIME(0,0,0))*1440,0)&gt;0,ROUND((#REF!-TIME(0,0,0))*1440,0)&lt;tbl_Case_mins[[#This Row],[AnaesthStart]],tbl_Case_mins[[#This Row],[Surgery End Date]]&gt;tbl_Case_mins[[#This Row],[Surgery Start Date]]),ROUND((#REF!-TIME(0,0,0))*1440,0)+1440,ROUND((#REF!-TIME(0,0,0))*1440,0))</f>
        <v>#REF!</v>
      </c>
      <c r="S384" s="9" t="e">
        <f>IF(AND(ROUND((#REF!-TIME(0,0,0))*1440,0),ROUND((#REF!-TIME(0,0,0))*1440,0)&lt;tbl_Case_mins[[#This Row],[Surgery Start]],tbl_Case_mins[[#This Row],[Surgery End Date]]&gt;tbl_Case_mins[[#This Row],[Surgery Start Date]]),ROUND((#REF!-TIME(0,0,0))*1440,0)+1440,ROUND((#REF!-TIME(0,0,0))*1440,0))</f>
        <v>#REF!</v>
      </c>
      <c r="T384" s="9" t="e">
        <f>IF(AND(ROUND((#REF!-TIME(0,0,0))*1440,0)&gt;0,ROUND((#REF!-TIME(0,0,0))*1440,0)&lt;tbl_Case_mins[[#This Row],[Surgery Finish]],tbl_Case_mins[[#This Row],[Surgery End Date]]&gt;tbl_Case_mins[[#This Row],[Surgery Start Date]]),ROUND((#REF!-TIME(0,0,0))*1440,0)+1440,ROUND((#REF!-TIME(0,0,0))*1440,0))</f>
        <v>#REF!</v>
      </c>
      <c r="U384" s="9" t="e">
        <f>IF(AND(ROUND((#REF!-TIME(0,0,0))*1440,0)&gt;0,ROUND((#REF!-TIME(0,0,0))*1440,0)&lt;tbl_Case_mins[[#This Row],[Anaesth End]],tbl_Case_mins[[#This Row],[Surgery End Date]]&gt;tbl_Case_mins[[#This Row],[Surgery Start Date]]),ROUND((#REF!-TIME(0,0,0))*1440,0)+1440,ROUND((#REF!-TIME(0,0,0))*1440,0))</f>
        <v>#REF!</v>
      </c>
      <c r="V384" s="9" t="e">
        <f>IF(AND(ROUND((#REF!-TIME(0,0,0))*1440,0)&gt;0,ROUND((#REF!-TIME(0,0,0))*1440,0)&lt;tbl_Case_mins[[#This Row],[Into Recov]],tbl_Case_mins[[#This Row],[Surgery End Date]]&gt;tbl_Case_mins[[#This Row],[Surgery Start Date]]),ROUND((#REF!-TIME(0,0,0))*1440,0)+1440,ROUND((#REF!-TIME(0,0,0))*1440,0))</f>
        <v>#REF!</v>
      </c>
      <c r="W384" s="9" t="e">
        <f>IF(AND(ROUND((#REF!-TIME(0,0,0))*1440,0)&gt;0,ROUND((#REF!-TIME(0,0,0))*1440,0)&lt;tbl_Case_mins[[#This Row],[Ward Called]],tbl_Case_mins[[#This Row],[Surgery End Date]]&gt;tbl_Case_mins[[#This Row],[Surgery Start Date]]),ROUND((#REF!-TIME(0,0,0))*1440,0)+1440,ROUND((#REF!-TIME(0,0,0))*1440,0))</f>
        <v>#REF!</v>
      </c>
      <c r="X384" s="4" t="e">
        <f>IF(ISBLANK(#REF!),tbl_Case_mins[[#This Row],[Surgery Start Date]],#REF!)</f>
        <v>#REF!</v>
      </c>
      <c r="Y384">
        <f>IFERROR(IF(VLOOKUP(tbl_Case_mins[[#This Row],[Theatre]],'Mng Theatres'!$C$7:$G$12,3,FALSE)="Yes","Yes","No"),0)</f>
        <v>0</v>
      </c>
      <c r="Z384" s="9" t="e" cm="1">
        <f t="array" ref="Z38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4" s="9" t="e" cm="1">
        <f t="array" ref="AA38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4" s="9" t="e">
        <f>IF(tbl_Case_mins[[#This Row],[Case Type]]="Unsch",1,0)</f>
        <v>#REF!</v>
      </c>
      <c r="AD384" s="9" t="e">
        <f>IF(tbl_Case_mins[[#This Row],[Case Type]]="Sch",1,0)</f>
        <v>#REF!</v>
      </c>
      <c r="AE38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4" s="9">
        <f>IFERROR(IF(ISBLANK(INDEX(Am_Close,MATCH(1,INDEX((tbl_Case_mins[[#This Row],[Theatre]]=Theatre_No)*(tbl_Case_mins[[#This Row],[Surgery Start Date]]=Date),0,1),0))*1440),0,INDEX(Am_Close,MATCH(1,INDEX((tbl_Case_mins[[#This Row],[Theatre]]=Theatre_No)*(tbl_Case_mins[[#This Row],[Surgery Start Date]]=Date),0,1),0))*1440),0)</f>
        <v>0</v>
      </c>
      <c r="AG384" s="9">
        <f>IFERROR(IF(ISBLANK(INDEX(PM_Open,MATCH(1,INDEX((tbl_Case_mins[[#This Row],[Theatre]]=Theatre_No)*(tbl_Case_mins[[#This Row],[Surgery Start Date]]=Date),0,1),0))*1440),0,INDEX(PM_Open,MATCH(1,INDEX((tbl_Case_mins[[#This Row],[Theatre]]=Theatre_No)*(tbl_Case_mins[[#This Row],[Surgery Start Date]]=Date),0,1),0))*1440),0)</f>
        <v>0</v>
      </c>
      <c r="AH38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4" s="9" t="e">
        <f>IF(tbl_Case_mins[[#This Row],[ThOpenAm]]=0,tbl_Case_mins[[#This Row],[ThOpenPM]],tbl_Case_mins[[#This Row],[ThOpenAm]])</f>
        <v>#REF!</v>
      </c>
      <c r="AJ384" s="9" t="e">
        <f>IF(tbl_Case_mins[[#This Row],[ThCloseAm]]&gt;0,IF(tbl_Case_mins[[#This Row],[ThOpenPM]]&gt;0,tbl_Case_mins[[#This Row],[ThClosePm]],tbl_Case_mins[[#This Row],[ThCloseAm]]),tbl_Case_mins[[#This Row],[ThClosePm]])</f>
        <v>#REF!</v>
      </c>
      <c r="AK384" s="9" t="e">
        <f>IF(tbl_Case_mins[[#This Row],[TOT]]&gt;0,1,0)</f>
        <v>#REF!</v>
      </c>
      <c r="AL38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4" s="9" t="e">
        <f>IF(AND(tbl_Case_mins[[#This Row],[Surgery Status]]&lt;&gt;2,tbl_Case_mins[[#This Row],[InCoreCase]]=0,tbl_Case_mins[[#This Row],[CancelledCase]]=0),1,0)</f>
        <v>#REF!</v>
      </c>
      <c r="AN384" s="9" t="e">
        <f>IF(tbl_Case_mins[[#This Row],[Surgery Status]]=1,1,0)</f>
        <v>#REF!</v>
      </c>
      <c r="AO38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4" s="9" t="e">
        <f>IF(AND(tbl_Case_mins[[#This Row],[NonCoreCase]]=1,tbl_Case_mins[[#This Row],[NoInCoreTime]]=0),1,0)</f>
        <v>#REF!</v>
      </c>
      <c r="AQ384" s="9" t="e">
        <f>IF(tbl_Case_mins[[#This Row],[Rank_AnaEnd]]&lt;tbl_Case_mins[[#This Row],[Rank_AnaSt]],1,0)</f>
        <v>#REF!</v>
      </c>
      <c r="AR384" s="9" t="e">
        <f>IF(AND(tbl_Case_mins[[#This Row],[InCoreCase]]=1,tbl_Case_mins[[#This Row],[Sch]]=1),1,0)</f>
        <v>#REF!</v>
      </c>
      <c r="AS384" s="9" t="e">
        <f>IF(AND(tbl_Case_mins[[#This Row],[InCoreCase]]=1,tbl_Case_mins[[#This Row],[Unsch]]=1),1,0)</f>
        <v>#REF!</v>
      </c>
      <c r="AT38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4" s="9" t="e">
        <f>IF(tbl_Case_mins[[#This Row],[Surgery Status]]=0,(tbl_Case_mins[[#This Row],[Anaesth End]]-tbl_Case_mins[[#This Row],[AnaesthStart]]),0)</f>
        <v>#REF!</v>
      </c>
      <c r="AX384" s="9" t="e">
        <f>IF(tbl_Case_mins[[#This Row],[Surgery Status]]=0,(tbl_Case_mins[[#This Row],[Surgery Finish]]-tbl_Case_mins[[#This Row],[Surgery Start]]),0)</f>
        <v>#REF!</v>
      </c>
      <c r="AY384" s="9" t="e">
        <f>tbl_Case_mins[[#This Row],[Surgery Start]]-tbl_Case_mins[[#This Row],[AnaesthStart]]</f>
        <v>#REF!</v>
      </c>
      <c r="AZ384" s="9" t="e">
        <f>tbl_Case_mins[[#This Row],[Anaesth End]]-tbl_Case_mins[[#This Row],[Surgery Finish]]</f>
        <v>#REF!</v>
      </c>
      <c r="BA38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4" s="16" cm="1">
        <f t="array" ref="BC38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4" s="16" t="e">
        <f>IF(AND(tbl_Case_mins[[#This Row],[FirstAMCase]]=1,tbl_Case_mins[[#This Row],[CancelledCase]]=0,OR(tbl_Case_mins[[#This Row],[EarlyStartAM]]&gt;0,tbl_Case_mins[[#This Row],[AnaesthStart]]=tbl_Case_mins[[#This Row],[ThOpenAm]])),1,0)</f>
        <v>#REF!</v>
      </c>
      <c r="BE384" s="16" t="e">
        <f>IF(AND(tbl_Case_mins[[#This Row],[Rank_AnaSt]]=tbl_Case_mins[[#This Row],[Min_RankAnaSt]],tbl_Case_mins[[#This Row],[Anaesth End]]&gt;=tbl_Case_mins[[#This Row],[ThOpenAm]],tbl_Case_mins[[#This Row],[PmCase]]=0),1,0)</f>
        <v>#REF!</v>
      </c>
      <c r="BF38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4" s="9" t="e" cm="1">
        <f t="array" ref="BH38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4" s="9" t="e">
        <f>IF(AND(tbl_Case_mins[[#This Row],[ThOpenPM]]&gt;0,tbl_Case_mins[[#This Row],[AnaesthStart]]&gt;tbl_Case_mins[[#This Row],[ThOpenPM]],tbl_Case_mins[[#This Row],[First PM Case]]=1),tbl_Case_mins[[#This Row],[AnaesthStart]]-tbl_Case_mins[[#This Row],[ThOpenPM]],0)</f>
        <v>#REF!</v>
      </c>
      <c r="BL38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4" s="9" t="e" cm="1">
        <f t="array" ref="BN38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4" s="9" t="e">
        <f>IF(AND(tbl_Case_mins[[#This Row],[ThClosePm]]&gt;0,tbl_Case_mins[[#This Row],[Anaesth End]]&gt;tbl_Case_mins[[#This Row],[ThClosePm]],tbl_Case_mins[[#This Row],[AnaesthStart]]&gt;tbl_Case_mins[[#This Row],[ThClosePm]]),tbl_Case_mins[[#This Row],[Into Recov]]-tbl_Case_mins[[#This Row],[AnaesthStart]],0)</f>
        <v>#REF!</v>
      </c>
      <c r="BP384" s="9" t="e">
        <f>IF(AND(tbl_Case_mins[[#This Row],[AnaesthStart]]&lt;tbl_Case_mins[[#This Row],[ThClosePm]],tbl_Case_mins[[#This Row],[Anaesth End]]&gt;tbl_Case_mins[[#This Row],[ThClosePm]]),tbl_Case_mins[[#This Row],[Anaesth End]]-tbl_Case_mins[[#This Row],[ThClosePm]],0)</f>
        <v>#REF!</v>
      </c>
      <c r="BQ384" s="9" t="e" cm="1">
        <f t="array" ref="BQ38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4" s="9" t="e" cm="1">
        <f t="array" ref="BR384">IF(tbl_Case_mins[[#This Row],[Rank_Adjust]]=SUMPRODUCT(-(tbl_Case_mins[Surgery Start Date]=tbl_Case_mins[[#This Row],[Surgery Start Date]]),-(tbl_Case_mins[Theatre]=tbl_Case_mins[[#This Row],[Theatre]])),INDEX(Poss_Time,MATCH(TEXT(tbl_Case_mins[[#This Row],[Surgery Start Date]],"ddd"),Day,0)),0)</f>
        <v>#REF!</v>
      </c>
      <c r="BS384" s="9" t="e">
        <f>tbl_Case_mins[[#This Row],[Core_Time]]*Util_Goal</f>
        <v>#REF!</v>
      </c>
      <c r="BT384" s="9" t="e" cm="1">
        <f t="array" ref="BT3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4" s="9" t="e" cm="1">
        <f t="array" ref="BU38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4" s="9" t="e">
        <f>IF(tbl_Case_mins[[#This Row],[Surgery End Date]]&gt;tbl_Case_mins[[#This Row],[Surgery Start Date]],tbl_Case_mins[[#This Row],[Anaesth End]]-1440,0)</f>
        <v>#REF!</v>
      </c>
      <c r="BY384" s="9" t="e">
        <f>tbl_Case_mins[[#This Row],[Total_NonCore]]-tbl_Case_mins[[#This Row],[NextDay_NonCore]]</f>
        <v>#REF!</v>
      </c>
      <c r="BZ384" s="10" t="e">
        <f>tbl_Case_mins[[#This Row],[InCoreUse]]/60</f>
        <v>#REF!</v>
      </c>
      <c r="CA384" s="10" t="e">
        <f>tbl_Case_mins[[#This Row],[Total_NonCore]]/60</f>
        <v>#REF!</v>
      </c>
      <c r="CB384" t="e" cm="1">
        <f t="array" ref="CB3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4" s="9" t="e" cm="1">
        <f t="array" ref="CC38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4" s="9" t="e" cm="1">
        <f t="array" ref="CD38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4" s="9" t="e" cm="1">
        <f t="array" ref="CE38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4" s="9" cm="1">
        <f t="array" ref="CF384">IFERROR(_xlfn.AGGREGATE(14,6,(tbl_Case_mins[Rank_AnaEnd])/((tbl_Case_mins[Surgery Start Date]=tbl_Case_mins[[#This Row],[Surgery Start Date]])*(tbl_Case_mins[Theatre]=tbl_Case_mins[[#This Row],[Theatre]])*(tbl_Case_mins[NoInCoreTime]=0)),1),-1)</f>
        <v>-1</v>
      </c>
      <c r="CG384" s="9" cm="1">
        <f t="array" ref="CG384">IFERROR(_xlfn.AGGREGATE(15,6,(tbl_Case_mins[Rank_AnaSt])/((tbl_Case_mins[Surgery Start Date]=tbl_Case_mins[[#This Row],[Surgery Start Date]])*(tbl_Case_mins[Theatre]=tbl_Case_mins[[#This Row],[Theatre]])*(tbl_Case_mins[NoInCoreTime]=0)),1),-1)</f>
        <v>-1</v>
      </c>
      <c r="CH38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4" t="e" cm="1">
        <f t="array" ref="CJ38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4" s="9" cm="1">
        <f t="array" ref="CO3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4" s="9" cm="1">
        <f t="array" ref="CP38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4" s="9" cm="1">
        <f t="array" ref="CQ384">IFERROR(IF(AND(tbl_Case_mins[[#This Row],[FirstAMCase]]=0,tbl_Case_mins[[#This Row],[Rank]]=_xlfn.AGGREGATE(14,6,(tbl_Case_mins[Rank])/((tbl_Case_mins[Surgery Start Date]=tbl_Case_mins[[#This Row],[Surgery Start Date]])*(tbl_Case_mins[Theatre]=tbl_Case_mins[[#This Row],[Theatre]])*(tbl_Case_mins[AmCase]=1)),1)),1,0),0)</f>
        <v>0</v>
      </c>
      <c r="CR384" s="9" cm="1">
        <f t="array" ref="CR38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4" s="9" t="e" cm="1">
        <f t="array" ref="CS38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4" s="9" cm="1">
        <f t="array" ref="CT384">IFERROR(IF(tbl_Case_mins[[#This Row],[Rank]]=_xlfn.AGGREGATE(15,6,(tbl_Case_mins[Rank])/((tbl_Case_mins[Surgery Start Date]=tbl_Case_mins[[#This Row],[Surgery Start Date]])*(tbl_Case_mins[Theatre]=tbl_Case_mins[[#This Row],[Theatre]])*(tbl_Case_mins[PmCase]=1)),1),1,0),0)</f>
        <v>0</v>
      </c>
      <c r="CU384">
        <f>IFERROR(#REF!,0)</f>
        <v>0</v>
      </c>
      <c r="CV384" s="9" t="e" cm="1">
        <f t="array" ref="CV38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4" s="9">
        <f>IFERROR(IF(ISBLANK(INDEX(Bay_AmClose,MATCH(1,INDEX((tbl_Case_mins[[#This Row],[Bay]]=BayNo)*(tbl_Case_mins[[#This Row],[Surgery Start Date]]=BDate),0,1),0))*1440),0,INDEX(Bay_AmClose,MATCH(1,INDEX((tbl_Case_mins[[#This Row],[Bay]]=BayNo)*(tbl_Case_mins[[#This Row],[Surgery Start Date]]=BDate),0,1),0))*1440),0)</f>
        <v>0</v>
      </c>
      <c r="CX384" s="9" cm="1">
        <f t="array" ref="CX384">IFERROR(IF(ISBLANK(INDEX(Bay_PmOpen,MATCH(1,INDEX((tbl_Case_mins[[#This Row],[Bay]]=BayNo)*(tbl_Case_mins[[#This Row],[Surgery Start Date]]=BDate),0,1),0))*1440),0,INDEX(Bay_PmOpen,MATCH(1,INDEX((tbl_Case_mins[[#This Row],[Bay]]=BayNo)*(tbl_Case_mins[[#This Row],[Surgery Start Date]]=BDate),0,1),0))*1440),0)</f>
        <v>0</v>
      </c>
      <c r="CY38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4" s="9"/>
    </row>
    <row r="385" spans="1:104" x14ac:dyDescent="0.2">
      <c r="A385">
        <v>384</v>
      </c>
      <c r="B385" t="e">
        <f>#REF!</f>
        <v>#REF!</v>
      </c>
      <c r="C385" t="e">
        <f>#REF!</f>
        <v>#REF!</v>
      </c>
      <c r="D385" t="e">
        <f>#REF!</f>
        <v>#REF!</v>
      </c>
      <c r="E385" t="e">
        <f>#REF!</f>
        <v>#REF!</v>
      </c>
      <c r="F385" t="e">
        <f>#REF!</f>
        <v>#REF!</v>
      </c>
      <c r="G385" t="e">
        <f>#REF!</f>
        <v>#REF!</v>
      </c>
      <c r="H385" t="e">
        <f>#REF!</f>
        <v>#REF!</v>
      </c>
      <c r="I385" t="e">
        <f>IF(#REF!="Case Cancelled",1,IF(#REF!="No Cases",2,0))</f>
        <v>#REF!</v>
      </c>
      <c r="J385" t="e">
        <f>#REF!</f>
        <v>#REF!</v>
      </c>
      <c r="K385" s="4" t="e">
        <f>#REF!</f>
        <v>#REF!</v>
      </c>
      <c r="L385" t="e">
        <f>"Wk "&amp;WEEKNUM(tbl_Case_mins[[#This Row],[Surgery Start Date]],21)</f>
        <v>#REF!</v>
      </c>
      <c r="M385" t="e">
        <f>TEXT(tbl_Case_mins[[#This Row],[Surgery Start Date]],"ddd")</f>
        <v>#REF!</v>
      </c>
      <c r="N385" s="9" t="e">
        <f>(#REF!-TIME(0,0,0))*1440</f>
        <v>#REF!</v>
      </c>
      <c r="O385" t="e">
        <f>IF(AND(ROUND((#REF!-TIME(0,0,0))*1440,0)&gt;0,ROUND((#REF!-TIME(0,0,0))*1440,0)&lt;tbl_Case_mins[[#This Row],[Patient Called]],tbl_Case_mins[[#This Row],[Surgery End Date]]&gt;tbl_Case_mins[[#This Row],[Surgery Start Date]]),ROUND((#REF!-TIME(0,0,0))*1440,0)+1440,ROUND((#REF!-TIME(0,0,0))*1440,0))</f>
        <v>#REF!</v>
      </c>
      <c r="P385" s="9" t="e">
        <f>IF(AND(ROUND((#REF!-TIME(0,0,0))*1440,0)&gt;0,ROUND((#REF!-TIME(0,0,0))*1440,0)&lt;tbl_Case_mins[[#This Row],[Arrival]],tbl_Case_mins[[#This Row],[Surgery End Date]]&gt;tbl_Case_mins[[#This Row],[Surgery Start Date]]),ROUND((#REF!-TIME(0,0,0))*1440,0)+1440,ROUND((#REF!-TIME(0,0,0))*1440,0))</f>
        <v>#REF!</v>
      </c>
      <c r="Q385" s="9" t="e">
        <f>IF(AND(ROUND((#REF!-TIME(0,0,0))*1440,0)&gt;0,ROUND((#REF!-TIME(0,0,0))*1440,0)&lt;tbl_Case_mins[[#This Row],[Into Th or AR]],tbl_Case_mins[[#This Row],[Surgery End Date]]&gt;tbl_Case_mins[[#This Row],[Surgery Start Date]]),ROUND((#REF!-TIME(0,0,0))*1440,0)+1440,ROUND((#REF!-TIME(0,0,0))*1440,0))</f>
        <v>#REF!</v>
      </c>
      <c r="R385" s="9" t="e">
        <f>IF(AND(ROUND((#REF!-TIME(0,0,0))*1440,0)&gt;0,ROUND((#REF!-TIME(0,0,0))*1440,0)&lt;tbl_Case_mins[[#This Row],[AnaesthStart]],tbl_Case_mins[[#This Row],[Surgery End Date]]&gt;tbl_Case_mins[[#This Row],[Surgery Start Date]]),ROUND((#REF!-TIME(0,0,0))*1440,0)+1440,ROUND((#REF!-TIME(0,0,0))*1440,0))</f>
        <v>#REF!</v>
      </c>
      <c r="S385" s="9" t="e">
        <f>IF(AND(ROUND((#REF!-TIME(0,0,0))*1440,0),ROUND((#REF!-TIME(0,0,0))*1440,0)&lt;tbl_Case_mins[[#This Row],[Surgery Start]],tbl_Case_mins[[#This Row],[Surgery End Date]]&gt;tbl_Case_mins[[#This Row],[Surgery Start Date]]),ROUND((#REF!-TIME(0,0,0))*1440,0)+1440,ROUND((#REF!-TIME(0,0,0))*1440,0))</f>
        <v>#REF!</v>
      </c>
      <c r="T385" s="9" t="e">
        <f>IF(AND(ROUND((#REF!-TIME(0,0,0))*1440,0)&gt;0,ROUND((#REF!-TIME(0,0,0))*1440,0)&lt;tbl_Case_mins[[#This Row],[Surgery Finish]],tbl_Case_mins[[#This Row],[Surgery End Date]]&gt;tbl_Case_mins[[#This Row],[Surgery Start Date]]),ROUND((#REF!-TIME(0,0,0))*1440,0)+1440,ROUND((#REF!-TIME(0,0,0))*1440,0))</f>
        <v>#REF!</v>
      </c>
      <c r="U385" s="9" t="e">
        <f>IF(AND(ROUND((#REF!-TIME(0,0,0))*1440,0)&gt;0,ROUND((#REF!-TIME(0,0,0))*1440,0)&lt;tbl_Case_mins[[#This Row],[Anaesth End]],tbl_Case_mins[[#This Row],[Surgery End Date]]&gt;tbl_Case_mins[[#This Row],[Surgery Start Date]]),ROUND((#REF!-TIME(0,0,0))*1440,0)+1440,ROUND((#REF!-TIME(0,0,0))*1440,0))</f>
        <v>#REF!</v>
      </c>
      <c r="V385" s="9" t="e">
        <f>IF(AND(ROUND((#REF!-TIME(0,0,0))*1440,0)&gt;0,ROUND((#REF!-TIME(0,0,0))*1440,0)&lt;tbl_Case_mins[[#This Row],[Into Recov]],tbl_Case_mins[[#This Row],[Surgery End Date]]&gt;tbl_Case_mins[[#This Row],[Surgery Start Date]]),ROUND((#REF!-TIME(0,0,0))*1440,0)+1440,ROUND((#REF!-TIME(0,0,0))*1440,0))</f>
        <v>#REF!</v>
      </c>
      <c r="W385" s="9" t="e">
        <f>IF(AND(ROUND((#REF!-TIME(0,0,0))*1440,0)&gt;0,ROUND((#REF!-TIME(0,0,0))*1440,0)&lt;tbl_Case_mins[[#This Row],[Ward Called]],tbl_Case_mins[[#This Row],[Surgery End Date]]&gt;tbl_Case_mins[[#This Row],[Surgery Start Date]]),ROUND((#REF!-TIME(0,0,0))*1440,0)+1440,ROUND((#REF!-TIME(0,0,0))*1440,0))</f>
        <v>#REF!</v>
      </c>
      <c r="X385" s="4" t="e">
        <f>IF(ISBLANK(#REF!),tbl_Case_mins[[#This Row],[Surgery Start Date]],#REF!)</f>
        <v>#REF!</v>
      </c>
      <c r="Y385">
        <f>IFERROR(IF(VLOOKUP(tbl_Case_mins[[#This Row],[Theatre]],'Mng Theatres'!$C$7:$G$12,3,FALSE)="Yes","Yes","No"),0)</f>
        <v>0</v>
      </c>
      <c r="Z385" s="9" t="e" cm="1">
        <f t="array" ref="Z38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5" s="9" t="e" cm="1">
        <f t="array" ref="AA38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5" s="9" t="e">
        <f>IF(tbl_Case_mins[[#This Row],[Case Type]]="Unsch",1,0)</f>
        <v>#REF!</v>
      </c>
      <c r="AD385" s="9" t="e">
        <f>IF(tbl_Case_mins[[#This Row],[Case Type]]="Sch",1,0)</f>
        <v>#REF!</v>
      </c>
      <c r="AE38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5" s="9">
        <f>IFERROR(IF(ISBLANK(INDEX(Am_Close,MATCH(1,INDEX((tbl_Case_mins[[#This Row],[Theatre]]=Theatre_No)*(tbl_Case_mins[[#This Row],[Surgery Start Date]]=Date),0,1),0))*1440),0,INDEX(Am_Close,MATCH(1,INDEX((tbl_Case_mins[[#This Row],[Theatre]]=Theatre_No)*(tbl_Case_mins[[#This Row],[Surgery Start Date]]=Date),0,1),0))*1440),0)</f>
        <v>0</v>
      </c>
      <c r="AG385" s="9">
        <f>IFERROR(IF(ISBLANK(INDEX(PM_Open,MATCH(1,INDEX((tbl_Case_mins[[#This Row],[Theatre]]=Theatre_No)*(tbl_Case_mins[[#This Row],[Surgery Start Date]]=Date),0,1),0))*1440),0,INDEX(PM_Open,MATCH(1,INDEX((tbl_Case_mins[[#This Row],[Theatre]]=Theatre_No)*(tbl_Case_mins[[#This Row],[Surgery Start Date]]=Date),0,1),0))*1440),0)</f>
        <v>0</v>
      </c>
      <c r="AH38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5" s="9" t="e">
        <f>IF(tbl_Case_mins[[#This Row],[ThOpenAm]]=0,tbl_Case_mins[[#This Row],[ThOpenPM]],tbl_Case_mins[[#This Row],[ThOpenAm]])</f>
        <v>#REF!</v>
      </c>
      <c r="AJ385" s="9" t="e">
        <f>IF(tbl_Case_mins[[#This Row],[ThCloseAm]]&gt;0,IF(tbl_Case_mins[[#This Row],[ThOpenPM]]&gt;0,tbl_Case_mins[[#This Row],[ThClosePm]],tbl_Case_mins[[#This Row],[ThCloseAm]]),tbl_Case_mins[[#This Row],[ThClosePm]])</f>
        <v>#REF!</v>
      </c>
      <c r="AK385" s="9" t="e">
        <f>IF(tbl_Case_mins[[#This Row],[TOT]]&gt;0,1,0)</f>
        <v>#REF!</v>
      </c>
      <c r="AL38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5" s="9" t="e">
        <f>IF(AND(tbl_Case_mins[[#This Row],[Surgery Status]]&lt;&gt;2,tbl_Case_mins[[#This Row],[InCoreCase]]=0,tbl_Case_mins[[#This Row],[CancelledCase]]=0),1,0)</f>
        <v>#REF!</v>
      </c>
      <c r="AN385" s="9" t="e">
        <f>IF(tbl_Case_mins[[#This Row],[Surgery Status]]=1,1,0)</f>
        <v>#REF!</v>
      </c>
      <c r="AO38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5" s="9" t="e">
        <f>IF(AND(tbl_Case_mins[[#This Row],[NonCoreCase]]=1,tbl_Case_mins[[#This Row],[NoInCoreTime]]=0),1,0)</f>
        <v>#REF!</v>
      </c>
      <c r="AQ385" s="9" t="e">
        <f>IF(tbl_Case_mins[[#This Row],[Rank_AnaEnd]]&lt;tbl_Case_mins[[#This Row],[Rank_AnaSt]],1,0)</f>
        <v>#REF!</v>
      </c>
      <c r="AR385" s="9" t="e">
        <f>IF(AND(tbl_Case_mins[[#This Row],[InCoreCase]]=1,tbl_Case_mins[[#This Row],[Sch]]=1),1,0)</f>
        <v>#REF!</v>
      </c>
      <c r="AS385" s="9" t="e">
        <f>IF(AND(tbl_Case_mins[[#This Row],[InCoreCase]]=1,tbl_Case_mins[[#This Row],[Unsch]]=1),1,0)</f>
        <v>#REF!</v>
      </c>
      <c r="AT38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5" s="9" t="e">
        <f>IF(tbl_Case_mins[[#This Row],[Surgery Status]]=0,(tbl_Case_mins[[#This Row],[Anaesth End]]-tbl_Case_mins[[#This Row],[AnaesthStart]]),0)</f>
        <v>#REF!</v>
      </c>
      <c r="AX385" s="9" t="e">
        <f>IF(tbl_Case_mins[[#This Row],[Surgery Status]]=0,(tbl_Case_mins[[#This Row],[Surgery Finish]]-tbl_Case_mins[[#This Row],[Surgery Start]]),0)</f>
        <v>#REF!</v>
      </c>
      <c r="AY385" s="9" t="e">
        <f>tbl_Case_mins[[#This Row],[Surgery Start]]-tbl_Case_mins[[#This Row],[AnaesthStart]]</f>
        <v>#REF!</v>
      </c>
      <c r="AZ385" s="9" t="e">
        <f>tbl_Case_mins[[#This Row],[Anaesth End]]-tbl_Case_mins[[#This Row],[Surgery Finish]]</f>
        <v>#REF!</v>
      </c>
      <c r="BA38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5" s="16" cm="1">
        <f t="array" ref="BC38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5" s="16" t="e">
        <f>IF(AND(tbl_Case_mins[[#This Row],[FirstAMCase]]=1,tbl_Case_mins[[#This Row],[CancelledCase]]=0,OR(tbl_Case_mins[[#This Row],[EarlyStartAM]]&gt;0,tbl_Case_mins[[#This Row],[AnaesthStart]]=tbl_Case_mins[[#This Row],[ThOpenAm]])),1,0)</f>
        <v>#REF!</v>
      </c>
      <c r="BE385" s="16" t="e">
        <f>IF(AND(tbl_Case_mins[[#This Row],[Rank_AnaSt]]=tbl_Case_mins[[#This Row],[Min_RankAnaSt]],tbl_Case_mins[[#This Row],[Anaesth End]]&gt;=tbl_Case_mins[[#This Row],[ThOpenAm]],tbl_Case_mins[[#This Row],[PmCase]]=0),1,0)</f>
        <v>#REF!</v>
      </c>
      <c r="BF38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5" s="9" t="e" cm="1">
        <f t="array" ref="BH38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5" s="9" t="e">
        <f>IF(AND(tbl_Case_mins[[#This Row],[ThOpenPM]]&gt;0,tbl_Case_mins[[#This Row],[AnaesthStart]]&gt;tbl_Case_mins[[#This Row],[ThOpenPM]],tbl_Case_mins[[#This Row],[First PM Case]]=1),tbl_Case_mins[[#This Row],[AnaesthStart]]-tbl_Case_mins[[#This Row],[ThOpenPM]],0)</f>
        <v>#REF!</v>
      </c>
      <c r="BL38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5" s="9" t="e" cm="1">
        <f t="array" ref="BN38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5" s="9" t="e">
        <f>IF(AND(tbl_Case_mins[[#This Row],[ThClosePm]]&gt;0,tbl_Case_mins[[#This Row],[Anaesth End]]&gt;tbl_Case_mins[[#This Row],[ThClosePm]],tbl_Case_mins[[#This Row],[AnaesthStart]]&gt;tbl_Case_mins[[#This Row],[ThClosePm]]),tbl_Case_mins[[#This Row],[Into Recov]]-tbl_Case_mins[[#This Row],[AnaesthStart]],0)</f>
        <v>#REF!</v>
      </c>
      <c r="BP385" s="9" t="e">
        <f>IF(AND(tbl_Case_mins[[#This Row],[AnaesthStart]]&lt;tbl_Case_mins[[#This Row],[ThClosePm]],tbl_Case_mins[[#This Row],[Anaesth End]]&gt;tbl_Case_mins[[#This Row],[ThClosePm]]),tbl_Case_mins[[#This Row],[Anaesth End]]-tbl_Case_mins[[#This Row],[ThClosePm]],0)</f>
        <v>#REF!</v>
      </c>
      <c r="BQ385" s="9" t="e" cm="1">
        <f t="array" ref="BQ38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5" s="9" t="e" cm="1">
        <f t="array" ref="BR385">IF(tbl_Case_mins[[#This Row],[Rank_Adjust]]=SUMPRODUCT(-(tbl_Case_mins[Surgery Start Date]=tbl_Case_mins[[#This Row],[Surgery Start Date]]),-(tbl_Case_mins[Theatre]=tbl_Case_mins[[#This Row],[Theatre]])),INDEX(Poss_Time,MATCH(TEXT(tbl_Case_mins[[#This Row],[Surgery Start Date]],"ddd"),Day,0)),0)</f>
        <v>#REF!</v>
      </c>
      <c r="BS385" s="9" t="e">
        <f>tbl_Case_mins[[#This Row],[Core_Time]]*Util_Goal</f>
        <v>#REF!</v>
      </c>
      <c r="BT385" s="9" t="e" cm="1">
        <f t="array" ref="BT3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5" s="9" t="e" cm="1">
        <f t="array" ref="BU38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5" s="9" t="e">
        <f>IF(tbl_Case_mins[[#This Row],[Surgery End Date]]&gt;tbl_Case_mins[[#This Row],[Surgery Start Date]],tbl_Case_mins[[#This Row],[Anaesth End]]-1440,0)</f>
        <v>#REF!</v>
      </c>
      <c r="BY385" s="9" t="e">
        <f>tbl_Case_mins[[#This Row],[Total_NonCore]]-tbl_Case_mins[[#This Row],[NextDay_NonCore]]</f>
        <v>#REF!</v>
      </c>
      <c r="BZ385" s="10" t="e">
        <f>tbl_Case_mins[[#This Row],[InCoreUse]]/60</f>
        <v>#REF!</v>
      </c>
      <c r="CA385" s="10" t="e">
        <f>tbl_Case_mins[[#This Row],[Total_NonCore]]/60</f>
        <v>#REF!</v>
      </c>
      <c r="CB385" t="e" cm="1">
        <f t="array" ref="CB3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5" s="9" t="e" cm="1">
        <f t="array" ref="CC38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5" s="9" t="e" cm="1">
        <f t="array" ref="CD38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5" s="9" t="e" cm="1">
        <f t="array" ref="CE38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5" s="9" cm="1">
        <f t="array" ref="CF385">IFERROR(_xlfn.AGGREGATE(14,6,(tbl_Case_mins[Rank_AnaEnd])/((tbl_Case_mins[Surgery Start Date]=tbl_Case_mins[[#This Row],[Surgery Start Date]])*(tbl_Case_mins[Theatre]=tbl_Case_mins[[#This Row],[Theatre]])*(tbl_Case_mins[NoInCoreTime]=0)),1),-1)</f>
        <v>-1</v>
      </c>
      <c r="CG385" s="9" cm="1">
        <f t="array" ref="CG385">IFERROR(_xlfn.AGGREGATE(15,6,(tbl_Case_mins[Rank_AnaSt])/((tbl_Case_mins[Surgery Start Date]=tbl_Case_mins[[#This Row],[Surgery Start Date]])*(tbl_Case_mins[Theatre]=tbl_Case_mins[[#This Row],[Theatre]])*(tbl_Case_mins[NoInCoreTime]=0)),1),-1)</f>
        <v>-1</v>
      </c>
      <c r="CH38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5" t="e" cm="1">
        <f t="array" ref="CJ38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5" s="9" cm="1">
        <f t="array" ref="CO3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5" s="9" cm="1">
        <f t="array" ref="CP38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5" s="9" cm="1">
        <f t="array" ref="CQ385">IFERROR(IF(AND(tbl_Case_mins[[#This Row],[FirstAMCase]]=0,tbl_Case_mins[[#This Row],[Rank]]=_xlfn.AGGREGATE(14,6,(tbl_Case_mins[Rank])/((tbl_Case_mins[Surgery Start Date]=tbl_Case_mins[[#This Row],[Surgery Start Date]])*(tbl_Case_mins[Theatre]=tbl_Case_mins[[#This Row],[Theatre]])*(tbl_Case_mins[AmCase]=1)),1)),1,0),0)</f>
        <v>0</v>
      </c>
      <c r="CR385" s="9" cm="1">
        <f t="array" ref="CR38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5" s="9" t="e" cm="1">
        <f t="array" ref="CS38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5" s="9" cm="1">
        <f t="array" ref="CT385">IFERROR(IF(tbl_Case_mins[[#This Row],[Rank]]=_xlfn.AGGREGATE(15,6,(tbl_Case_mins[Rank])/((tbl_Case_mins[Surgery Start Date]=tbl_Case_mins[[#This Row],[Surgery Start Date]])*(tbl_Case_mins[Theatre]=tbl_Case_mins[[#This Row],[Theatre]])*(tbl_Case_mins[PmCase]=1)),1),1,0),0)</f>
        <v>0</v>
      </c>
      <c r="CU385">
        <f>IFERROR(#REF!,0)</f>
        <v>0</v>
      </c>
      <c r="CV385" s="9" t="e" cm="1">
        <f t="array" ref="CV38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5" s="9">
        <f>IFERROR(IF(ISBLANK(INDEX(Bay_AmClose,MATCH(1,INDEX((tbl_Case_mins[[#This Row],[Bay]]=BayNo)*(tbl_Case_mins[[#This Row],[Surgery Start Date]]=BDate),0,1),0))*1440),0,INDEX(Bay_AmClose,MATCH(1,INDEX((tbl_Case_mins[[#This Row],[Bay]]=BayNo)*(tbl_Case_mins[[#This Row],[Surgery Start Date]]=BDate),0,1),0))*1440),0)</f>
        <v>0</v>
      </c>
      <c r="CX385" s="9" cm="1">
        <f t="array" ref="CX385">IFERROR(IF(ISBLANK(INDEX(Bay_PmOpen,MATCH(1,INDEX((tbl_Case_mins[[#This Row],[Bay]]=BayNo)*(tbl_Case_mins[[#This Row],[Surgery Start Date]]=BDate),0,1),0))*1440),0,INDEX(Bay_PmOpen,MATCH(1,INDEX((tbl_Case_mins[[#This Row],[Bay]]=BayNo)*(tbl_Case_mins[[#This Row],[Surgery Start Date]]=BDate),0,1),0))*1440),0)</f>
        <v>0</v>
      </c>
      <c r="CY38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5" s="9"/>
    </row>
    <row r="386" spans="1:104" x14ac:dyDescent="0.2">
      <c r="A386">
        <v>385</v>
      </c>
      <c r="B386" t="e">
        <f>#REF!</f>
        <v>#REF!</v>
      </c>
      <c r="C386" t="e">
        <f>#REF!</f>
        <v>#REF!</v>
      </c>
      <c r="D386" t="e">
        <f>#REF!</f>
        <v>#REF!</v>
      </c>
      <c r="E386" t="e">
        <f>#REF!</f>
        <v>#REF!</v>
      </c>
      <c r="F386" t="e">
        <f>#REF!</f>
        <v>#REF!</v>
      </c>
      <c r="G386" t="e">
        <f>#REF!</f>
        <v>#REF!</v>
      </c>
      <c r="H386" t="e">
        <f>#REF!</f>
        <v>#REF!</v>
      </c>
      <c r="I386" t="e">
        <f>IF(#REF!="Case Cancelled",1,IF(#REF!="No Cases",2,0))</f>
        <v>#REF!</v>
      </c>
      <c r="J386" t="e">
        <f>#REF!</f>
        <v>#REF!</v>
      </c>
      <c r="K386" s="4" t="e">
        <f>#REF!</f>
        <v>#REF!</v>
      </c>
      <c r="L386" t="e">
        <f>"Wk "&amp;WEEKNUM(tbl_Case_mins[[#This Row],[Surgery Start Date]],21)</f>
        <v>#REF!</v>
      </c>
      <c r="M386" t="e">
        <f>TEXT(tbl_Case_mins[[#This Row],[Surgery Start Date]],"ddd")</f>
        <v>#REF!</v>
      </c>
      <c r="N386" s="9" t="e">
        <f>(#REF!-TIME(0,0,0))*1440</f>
        <v>#REF!</v>
      </c>
      <c r="O386" t="e">
        <f>IF(AND(ROUND((#REF!-TIME(0,0,0))*1440,0)&gt;0,ROUND((#REF!-TIME(0,0,0))*1440,0)&lt;tbl_Case_mins[[#This Row],[Patient Called]],tbl_Case_mins[[#This Row],[Surgery End Date]]&gt;tbl_Case_mins[[#This Row],[Surgery Start Date]]),ROUND((#REF!-TIME(0,0,0))*1440,0)+1440,ROUND((#REF!-TIME(0,0,0))*1440,0))</f>
        <v>#REF!</v>
      </c>
      <c r="P386" s="9" t="e">
        <f>IF(AND(ROUND((#REF!-TIME(0,0,0))*1440,0)&gt;0,ROUND((#REF!-TIME(0,0,0))*1440,0)&lt;tbl_Case_mins[[#This Row],[Arrival]],tbl_Case_mins[[#This Row],[Surgery End Date]]&gt;tbl_Case_mins[[#This Row],[Surgery Start Date]]),ROUND((#REF!-TIME(0,0,0))*1440,0)+1440,ROUND((#REF!-TIME(0,0,0))*1440,0))</f>
        <v>#REF!</v>
      </c>
      <c r="Q386" s="9" t="e">
        <f>IF(AND(ROUND((#REF!-TIME(0,0,0))*1440,0)&gt;0,ROUND((#REF!-TIME(0,0,0))*1440,0)&lt;tbl_Case_mins[[#This Row],[Into Th or AR]],tbl_Case_mins[[#This Row],[Surgery End Date]]&gt;tbl_Case_mins[[#This Row],[Surgery Start Date]]),ROUND((#REF!-TIME(0,0,0))*1440,0)+1440,ROUND((#REF!-TIME(0,0,0))*1440,0))</f>
        <v>#REF!</v>
      </c>
      <c r="R386" s="9" t="e">
        <f>IF(AND(ROUND((#REF!-TIME(0,0,0))*1440,0)&gt;0,ROUND((#REF!-TIME(0,0,0))*1440,0)&lt;tbl_Case_mins[[#This Row],[AnaesthStart]],tbl_Case_mins[[#This Row],[Surgery End Date]]&gt;tbl_Case_mins[[#This Row],[Surgery Start Date]]),ROUND((#REF!-TIME(0,0,0))*1440,0)+1440,ROUND((#REF!-TIME(0,0,0))*1440,0))</f>
        <v>#REF!</v>
      </c>
      <c r="S386" s="9" t="e">
        <f>IF(AND(ROUND((#REF!-TIME(0,0,0))*1440,0),ROUND((#REF!-TIME(0,0,0))*1440,0)&lt;tbl_Case_mins[[#This Row],[Surgery Start]],tbl_Case_mins[[#This Row],[Surgery End Date]]&gt;tbl_Case_mins[[#This Row],[Surgery Start Date]]),ROUND((#REF!-TIME(0,0,0))*1440,0)+1440,ROUND((#REF!-TIME(0,0,0))*1440,0))</f>
        <v>#REF!</v>
      </c>
      <c r="T386" s="9" t="e">
        <f>IF(AND(ROUND((#REF!-TIME(0,0,0))*1440,0)&gt;0,ROUND((#REF!-TIME(0,0,0))*1440,0)&lt;tbl_Case_mins[[#This Row],[Surgery Finish]],tbl_Case_mins[[#This Row],[Surgery End Date]]&gt;tbl_Case_mins[[#This Row],[Surgery Start Date]]),ROUND((#REF!-TIME(0,0,0))*1440,0)+1440,ROUND((#REF!-TIME(0,0,0))*1440,0))</f>
        <v>#REF!</v>
      </c>
      <c r="U386" s="9" t="e">
        <f>IF(AND(ROUND((#REF!-TIME(0,0,0))*1440,0)&gt;0,ROUND((#REF!-TIME(0,0,0))*1440,0)&lt;tbl_Case_mins[[#This Row],[Anaesth End]],tbl_Case_mins[[#This Row],[Surgery End Date]]&gt;tbl_Case_mins[[#This Row],[Surgery Start Date]]),ROUND((#REF!-TIME(0,0,0))*1440,0)+1440,ROUND((#REF!-TIME(0,0,0))*1440,0))</f>
        <v>#REF!</v>
      </c>
      <c r="V386" s="9" t="e">
        <f>IF(AND(ROUND((#REF!-TIME(0,0,0))*1440,0)&gt;0,ROUND((#REF!-TIME(0,0,0))*1440,0)&lt;tbl_Case_mins[[#This Row],[Into Recov]],tbl_Case_mins[[#This Row],[Surgery End Date]]&gt;tbl_Case_mins[[#This Row],[Surgery Start Date]]),ROUND((#REF!-TIME(0,0,0))*1440,0)+1440,ROUND((#REF!-TIME(0,0,0))*1440,0))</f>
        <v>#REF!</v>
      </c>
      <c r="W386" s="9" t="e">
        <f>IF(AND(ROUND((#REF!-TIME(0,0,0))*1440,0)&gt;0,ROUND((#REF!-TIME(0,0,0))*1440,0)&lt;tbl_Case_mins[[#This Row],[Ward Called]],tbl_Case_mins[[#This Row],[Surgery End Date]]&gt;tbl_Case_mins[[#This Row],[Surgery Start Date]]),ROUND((#REF!-TIME(0,0,0))*1440,0)+1440,ROUND((#REF!-TIME(0,0,0))*1440,0))</f>
        <v>#REF!</v>
      </c>
      <c r="X386" s="4" t="e">
        <f>IF(ISBLANK(#REF!),tbl_Case_mins[[#This Row],[Surgery Start Date]],#REF!)</f>
        <v>#REF!</v>
      </c>
      <c r="Y386">
        <f>IFERROR(IF(VLOOKUP(tbl_Case_mins[[#This Row],[Theatre]],'Mng Theatres'!$C$7:$G$12,3,FALSE)="Yes","Yes","No"),0)</f>
        <v>0</v>
      </c>
      <c r="Z386" s="9" t="e" cm="1">
        <f t="array" ref="Z38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6" s="9" t="e" cm="1">
        <f t="array" ref="AA38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6" s="9" t="e">
        <f>IF(tbl_Case_mins[[#This Row],[Case Type]]="Unsch",1,0)</f>
        <v>#REF!</v>
      </c>
      <c r="AD386" s="9" t="e">
        <f>IF(tbl_Case_mins[[#This Row],[Case Type]]="Sch",1,0)</f>
        <v>#REF!</v>
      </c>
      <c r="AE38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6" s="9">
        <f>IFERROR(IF(ISBLANK(INDEX(Am_Close,MATCH(1,INDEX((tbl_Case_mins[[#This Row],[Theatre]]=Theatre_No)*(tbl_Case_mins[[#This Row],[Surgery Start Date]]=Date),0,1),0))*1440),0,INDEX(Am_Close,MATCH(1,INDEX((tbl_Case_mins[[#This Row],[Theatre]]=Theatre_No)*(tbl_Case_mins[[#This Row],[Surgery Start Date]]=Date),0,1),0))*1440),0)</f>
        <v>0</v>
      </c>
      <c r="AG386" s="9">
        <f>IFERROR(IF(ISBLANK(INDEX(PM_Open,MATCH(1,INDEX((tbl_Case_mins[[#This Row],[Theatre]]=Theatre_No)*(tbl_Case_mins[[#This Row],[Surgery Start Date]]=Date),0,1),0))*1440),0,INDEX(PM_Open,MATCH(1,INDEX((tbl_Case_mins[[#This Row],[Theatre]]=Theatre_No)*(tbl_Case_mins[[#This Row],[Surgery Start Date]]=Date),0,1),0))*1440),0)</f>
        <v>0</v>
      </c>
      <c r="AH38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6" s="9" t="e">
        <f>IF(tbl_Case_mins[[#This Row],[ThOpenAm]]=0,tbl_Case_mins[[#This Row],[ThOpenPM]],tbl_Case_mins[[#This Row],[ThOpenAm]])</f>
        <v>#REF!</v>
      </c>
      <c r="AJ386" s="9" t="e">
        <f>IF(tbl_Case_mins[[#This Row],[ThCloseAm]]&gt;0,IF(tbl_Case_mins[[#This Row],[ThOpenPM]]&gt;0,tbl_Case_mins[[#This Row],[ThClosePm]],tbl_Case_mins[[#This Row],[ThCloseAm]]),tbl_Case_mins[[#This Row],[ThClosePm]])</f>
        <v>#REF!</v>
      </c>
      <c r="AK386" s="9" t="e">
        <f>IF(tbl_Case_mins[[#This Row],[TOT]]&gt;0,1,0)</f>
        <v>#REF!</v>
      </c>
      <c r="AL38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6" s="9" t="e">
        <f>IF(AND(tbl_Case_mins[[#This Row],[Surgery Status]]&lt;&gt;2,tbl_Case_mins[[#This Row],[InCoreCase]]=0,tbl_Case_mins[[#This Row],[CancelledCase]]=0),1,0)</f>
        <v>#REF!</v>
      </c>
      <c r="AN386" s="9" t="e">
        <f>IF(tbl_Case_mins[[#This Row],[Surgery Status]]=1,1,0)</f>
        <v>#REF!</v>
      </c>
      <c r="AO38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6" s="9" t="e">
        <f>IF(AND(tbl_Case_mins[[#This Row],[NonCoreCase]]=1,tbl_Case_mins[[#This Row],[NoInCoreTime]]=0),1,0)</f>
        <v>#REF!</v>
      </c>
      <c r="AQ386" s="9" t="e">
        <f>IF(tbl_Case_mins[[#This Row],[Rank_AnaEnd]]&lt;tbl_Case_mins[[#This Row],[Rank_AnaSt]],1,0)</f>
        <v>#REF!</v>
      </c>
      <c r="AR386" s="9" t="e">
        <f>IF(AND(tbl_Case_mins[[#This Row],[InCoreCase]]=1,tbl_Case_mins[[#This Row],[Sch]]=1),1,0)</f>
        <v>#REF!</v>
      </c>
      <c r="AS386" s="9" t="e">
        <f>IF(AND(tbl_Case_mins[[#This Row],[InCoreCase]]=1,tbl_Case_mins[[#This Row],[Unsch]]=1),1,0)</f>
        <v>#REF!</v>
      </c>
      <c r="AT38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6" s="9" t="e">
        <f>IF(tbl_Case_mins[[#This Row],[Surgery Status]]=0,(tbl_Case_mins[[#This Row],[Anaesth End]]-tbl_Case_mins[[#This Row],[AnaesthStart]]),0)</f>
        <v>#REF!</v>
      </c>
      <c r="AX386" s="9" t="e">
        <f>IF(tbl_Case_mins[[#This Row],[Surgery Status]]=0,(tbl_Case_mins[[#This Row],[Surgery Finish]]-tbl_Case_mins[[#This Row],[Surgery Start]]),0)</f>
        <v>#REF!</v>
      </c>
      <c r="AY386" s="9" t="e">
        <f>tbl_Case_mins[[#This Row],[Surgery Start]]-tbl_Case_mins[[#This Row],[AnaesthStart]]</f>
        <v>#REF!</v>
      </c>
      <c r="AZ386" s="9" t="e">
        <f>tbl_Case_mins[[#This Row],[Anaesth End]]-tbl_Case_mins[[#This Row],[Surgery Finish]]</f>
        <v>#REF!</v>
      </c>
      <c r="BA38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6" s="16" cm="1">
        <f t="array" ref="BC38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6" s="16" t="e">
        <f>IF(AND(tbl_Case_mins[[#This Row],[FirstAMCase]]=1,tbl_Case_mins[[#This Row],[CancelledCase]]=0,OR(tbl_Case_mins[[#This Row],[EarlyStartAM]]&gt;0,tbl_Case_mins[[#This Row],[AnaesthStart]]=tbl_Case_mins[[#This Row],[ThOpenAm]])),1,0)</f>
        <v>#REF!</v>
      </c>
      <c r="BE386" s="16" t="e">
        <f>IF(AND(tbl_Case_mins[[#This Row],[Rank_AnaSt]]=tbl_Case_mins[[#This Row],[Min_RankAnaSt]],tbl_Case_mins[[#This Row],[Anaesth End]]&gt;=tbl_Case_mins[[#This Row],[ThOpenAm]],tbl_Case_mins[[#This Row],[PmCase]]=0),1,0)</f>
        <v>#REF!</v>
      </c>
      <c r="BF38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6" s="9" t="e" cm="1">
        <f t="array" ref="BH38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6" s="9" t="e">
        <f>IF(AND(tbl_Case_mins[[#This Row],[ThOpenPM]]&gt;0,tbl_Case_mins[[#This Row],[AnaesthStart]]&gt;tbl_Case_mins[[#This Row],[ThOpenPM]],tbl_Case_mins[[#This Row],[First PM Case]]=1),tbl_Case_mins[[#This Row],[AnaesthStart]]-tbl_Case_mins[[#This Row],[ThOpenPM]],0)</f>
        <v>#REF!</v>
      </c>
      <c r="BL38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6" s="9" t="e" cm="1">
        <f t="array" ref="BN38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6" s="9" t="e">
        <f>IF(AND(tbl_Case_mins[[#This Row],[ThClosePm]]&gt;0,tbl_Case_mins[[#This Row],[Anaesth End]]&gt;tbl_Case_mins[[#This Row],[ThClosePm]],tbl_Case_mins[[#This Row],[AnaesthStart]]&gt;tbl_Case_mins[[#This Row],[ThClosePm]]),tbl_Case_mins[[#This Row],[Into Recov]]-tbl_Case_mins[[#This Row],[AnaesthStart]],0)</f>
        <v>#REF!</v>
      </c>
      <c r="BP386" s="9" t="e">
        <f>IF(AND(tbl_Case_mins[[#This Row],[AnaesthStart]]&lt;tbl_Case_mins[[#This Row],[ThClosePm]],tbl_Case_mins[[#This Row],[Anaesth End]]&gt;tbl_Case_mins[[#This Row],[ThClosePm]]),tbl_Case_mins[[#This Row],[Anaesth End]]-tbl_Case_mins[[#This Row],[ThClosePm]],0)</f>
        <v>#REF!</v>
      </c>
      <c r="BQ386" s="9" t="e" cm="1">
        <f t="array" ref="BQ38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6" s="9" t="e" cm="1">
        <f t="array" ref="BR386">IF(tbl_Case_mins[[#This Row],[Rank_Adjust]]=SUMPRODUCT(-(tbl_Case_mins[Surgery Start Date]=tbl_Case_mins[[#This Row],[Surgery Start Date]]),-(tbl_Case_mins[Theatre]=tbl_Case_mins[[#This Row],[Theatre]])),INDEX(Poss_Time,MATCH(TEXT(tbl_Case_mins[[#This Row],[Surgery Start Date]],"ddd"),Day,0)),0)</f>
        <v>#REF!</v>
      </c>
      <c r="BS386" s="9" t="e">
        <f>tbl_Case_mins[[#This Row],[Core_Time]]*Util_Goal</f>
        <v>#REF!</v>
      </c>
      <c r="BT386" s="9" t="e" cm="1">
        <f t="array" ref="BT3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6" s="9" t="e" cm="1">
        <f t="array" ref="BU38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6" s="9" t="e">
        <f>IF(tbl_Case_mins[[#This Row],[Surgery End Date]]&gt;tbl_Case_mins[[#This Row],[Surgery Start Date]],tbl_Case_mins[[#This Row],[Anaesth End]]-1440,0)</f>
        <v>#REF!</v>
      </c>
      <c r="BY386" s="9" t="e">
        <f>tbl_Case_mins[[#This Row],[Total_NonCore]]-tbl_Case_mins[[#This Row],[NextDay_NonCore]]</f>
        <v>#REF!</v>
      </c>
      <c r="BZ386" s="10" t="e">
        <f>tbl_Case_mins[[#This Row],[InCoreUse]]/60</f>
        <v>#REF!</v>
      </c>
      <c r="CA386" s="10" t="e">
        <f>tbl_Case_mins[[#This Row],[Total_NonCore]]/60</f>
        <v>#REF!</v>
      </c>
      <c r="CB386" t="e" cm="1">
        <f t="array" ref="CB3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6" s="9" t="e" cm="1">
        <f t="array" ref="CC38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6" s="9" t="e" cm="1">
        <f t="array" ref="CD38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6" s="9" t="e" cm="1">
        <f t="array" ref="CE38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6" s="9" cm="1">
        <f t="array" ref="CF386">IFERROR(_xlfn.AGGREGATE(14,6,(tbl_Case_mins[Rank_AnaEnd])/((tbl_Case_mins[Surgery Start Date]=tbl_Case_mins[[#This Row],[Surgery Start Date]])*(tbl_Case_mins[Theatre]=tbl_Case_mins[[#This Row],[Theatre]])*(tbl_Case_mins[NoInCoreTime]=0)),1),-1)</f>
        <v>-1</v>
      </c>
      <c r="CG386" s="9" cm="1">
        <f t="array" ref="CG386">IFERROR(_xlfn.AGGREGATE(15,6,(tbl_Case_mins[Rank_AnaSt])/((tbl_Case_mins[Surgery Start Date]=tbl_Case_mins[[#This Row],[Surgery Start Date]])*(tbl_Case_mins[Theatre]=tbl_Case_mins[[#This Row],[Theatre]])*(tbl_Case_mins[NoInCoreTime]=0)),1),-1)</f>
        <v>-1</v>
      </c>
      <c r="CH38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6" t="e" cm="1">
        <f t="array" ref="CJ38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6" s="9" cm="1">
        <f t="array" ref="CO3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6" s="9" cm="1">
        <f t="array" ref="CP38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6" s="9" cm="1">
        <f t="array" ref="CQ386">IFERROR(IF(AND(tbl_Case_mins[[#This Row],[FirstAMCase]]=0,tbl_Case_mins[[#This Row],[Rank]]=_xlfn.AGGREGATE(14,6,(tbl_Case_mins[Rank])/((tbl_Case_mins[Surgery Start Date]=tbl_Case_mins[[#This Row],[Surgery Start Date]])*(tbl_Case_mins[Theatre]=tbl_Case_mins[[#This Row],[Theatre]])*(tbl_Case_mins[AmCase]=1)),1)),1,0),0)</f>
        <v>0</v>
      </c>
      <c r="CR386" s="9" cm="1">
        <f t="array" ref="CR38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6" s="9" t="e" cm="1">
        <f t="array" ref="CS38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6" s="9" cm="1">
        <f t="array" ref="CT386">IFERROR(IF(tbl_Case_mins[[#This Row],[Rank]]=_xlfn.AGGREGATE(15,6,(tbl_Case_mins[Rank])/((tbl_Case_mins[Surgery Start Date]=tbl_Case_mins[[#This Row],[Surgery Start Date]])*(tbl_Case_mins[Theatre]=tbl_Case_mins[[#This Row],[Theatre]])*(tbl_Case_mins[PmCase]=1)),1),1,0),0)</f>
        <v>0</v>
      </c>
      <c r="CU386">
        <f>IFERROR(#REF!,0)</f>
        <v>0</v>
      </c>
      <c r="CV386" s="9" t="e" cm="1">
        <f t="array" ref="CV38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6" s="9">
        <f>IFERROR(IF(ISBLANK(INDEX(Bay_AmClose,MATCH(1,INDEX((tbl_Case_mins[[#This Row],[Bay]]=BayNo)*(tbl_Case_mins[[#This Row],[Surgery Start Date]]=BDate),0,1),0))*1440),0,INDEX(Bay_AmClose,MATCH(1,INDEX((tbl_Case_mins[[#This Row],[Bay]]=BayNo)*(tbl_Case_mins[[#This Row],[Surgery Start Date]]=BDate),0,1),0))*1440),0)</f>
        <v>0</v>
      </c>
      <c r="CX386" s="9" cm="1">
        <f t="array" ref="CX386">IFERROR(IF(ISBLANK(INDEX(Bay_PmOpen,MATCH(1,INDEX((tbl_Case_mins[[#This Row],[Bay]]=BayNo)*(tbl_Case_mins[[#This Row],[Surgery Start Date]]=BDate),0,1),0))*1440),0,INDEX(Bay_PmOpen,MATCH(1,INDEX((tbl_Case_mins[[#This Row],[Bay]]=BayNo)*(tbl_Case_mins[[#This Row],[Surgery Start Date]]=BDate),0,1),0))*1440),0)</f>
        <v>0</v>
      </c>
      <c r="CY38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6" s="9"/>
    </row>
    <row r="387" spans="1:104" x14ac:dyDescent="0.2">
      <c r="A387">
        <v>386</v>
      </c>
      <c r="B387" t="e">
        <f>#REF!</f>
        <v>#REF!</v>
      </c>
      <c r="C387" t="e">
        <f>#REF!</f>
        <v>#REF!</v>
      </c>
      <c r="D387" t="e">
        <f>#REF!</f>
        <v>#REF!</v>
      </c>
      <c r="E387" t="e">
        <f>#REF!</f>
        <v>#REF!</v>
      </c>
      <c r="F387" t="e">
        <f>#REF!</f>
        <v>#REF!</v>
      </c>
      <c r="G387" t="e">
        <f>#REF!</f>
        <v>#REF!</v>
      </c>
      <c r="H387" t="e">
        <f>#REF!</f>
        <v>#REF!</v>
      </c>
      <c r="I387" t="e">
        <f>IF(#REF!="Case Cancelled",1,IF(#REF!="No Cases",2,0))</f>
        <v>#REF!</v>
      </c>
      <c r="J387" t="e">
        <f>#REF!</f>
        <v>#REF!</v>
      </c>
      <c r="K387" s="4" t="e">
        <f>#REF!</f>
        <v>#REF!</v>
      </c>
      <c r="L387" t="e">
        <f>"Wk "&amp;WEEKNUM(tbl_Case_mins[[#This Row],[Surgery Start Date]],21)</f>
        <v>#REF!</v>
      </c>
      <c r="M387" t="e">
        <f>TEXT(tbl_Case_mins[[#This Row],[Surgery Start Date]],"ddd")</f>
        <v>#REF!</v>
      </c>
      <c r="N387" s="9" t="e">
        <f>(#REF!-TIME(0,0,0))*1440</f>
        <v>#REF!</v>
      </c>
      <c r="O387" t="e">
        <f>IF(AND(ROUND((#REF!-TIME(0,0,0))*1440,0)&gt;0,ROUND((#REF!-TIME(0,0,0))*1440,0)&lt;tbl_Case_mins[[#This Row],[Patient Called]],tbl_Case_mins[[#This Row],[Surgery End Date]]&gt;tbl_Case_mins[[#This Row],[Surgery Start Date]]),ROUND((#REF!-TIME(0,0,0))*1440,0)+1440,ROUND((#REF!-TIME(0,0,0))*1440,0))</f>
        <v>#REF!</v>
      </c>
      <c r="P387" s="9" t="e">
        <f>IF(AND(ROUND((#REF!-TIME(0,0,0))*1440,0)&gt;0,ROUND((#REF!-TIME(0,0,0))*1440,0)&lt;tbl_Case_mins[[#This Row],[Arrival]],tbl_Case_mins[[#This Row],[Surgery End Date]]&gt;tbl_Case_mins[[#This Row],[Surgery Start Date]]),ROUND((#REF!-TIME(0,0,0))*1440,0)+1440,ROUND((#REF!-TIME(0,0,0))*1440,0))</f>
        <v>#REF!</v>
      </c>
      <c r="Q387" s="9" t="e">
        <f>IF(AND(ROUND((#REF!-TIME(0,0,0))*1440,0)&gt;0,ROUND((#REF!-TIME(0,0,0))*1440,0)&lt;tbl_Case_mins[[#This Row],[Into Th or AR]],tbl_Case_mins[[#This Row],[Surgery End Date]]&gt;tbl_Case_mins[[#This Row],[Surgery Start Date]]),ROUND((#REF!-TIME(0,0,0))*1440,0)+1440,ROUND((#REF!-TIME(0,0,0))*1440,0))</f>
        <v>#REF!</v>
      </c>
      <c r="R387" s="9" t="e">
        <f>IF(AND(ROUND((#REF!-TIME(0,0,0))*1440,0)&gt;0,ROUND((#REF!-TIME(0,0,0))*1440,0)&lt;tbl_Case_mins[[#This Row],[AnaesthStart]],tbl_Case_mins[[#This Row],[Surgery End Date]]&gt;tbl_Case_mins[[#This Row],[Surgery Start Date]]),ROUND((#REF!-TIME(0,0,0))*1440,0)+1440,ROUND((#REF!-TIME(0,0,0))*1440,0))</f>
        <v>#REF!</v>
      </c>
      <c r="S387" s="9" t="e">
        <f>IF(AND(ROUND((#REF!-TIME(0,0,0))*1440,0),ROUND((#REF!-TIME(0,0,0))*1440,0)&lt;tbl_Case_mins[[#This Row],[Surgery Start]],tbl_Case_mins[[#This Row],[Surgery End Date]]&gt;tbl_Case_mins[[#This Row],[Surgery Start Date]]),ROUND((#REF!-TIME(0,0,0))*1440,0)+1440,ROUND((#REF!-TIME(0,0,0))*1440,0))</f>
        <v>#REF!</v>
      </c>
      <c r="T387" s="9" t="e">
        <f>IF(AND(ROUND((#REF!-TIME(0,0,0))*1440,0)&gt;0,ROUND((#REF!-TIME(0,0,0))*1440,0)&lt;tbl_Case_mins[[#This Row],[Surgery Finish]],tbl_Case_mins[[#This Row],[Surgery End Date]]&gt;tbl_Case_mins[[#This Row],[Surgery Start Date]]),ROUND((#REF!-TIME(0,0,0))*1440,0)+1440,ROUND((#REF!-TIME(0,0,0))*1440,0))</f>
        <v>#REF!</v>
      </c>
      <c r="U387" s="9" t="e">
        <f>IF(AND(ROUND((#REF!-TIME(0,0,0))*1440,0)&gt;0,ROUND((#REF!-TIME(0,0,0))*1440,0)&lt;tbl_Case_mins[[#This Row],[Anaesth End]],tbl_Case_mins[[#This Row],[Surgery End Date]]&gt;tbl_Case_mins[[#This Row],[Surgery Start Date]]),ROUND((#REF!-TIME(0,0,0))*1440,0)+1440,ROUND((#REF!-TIME(0,0,0))*1440,0))</f>
        <v>#REF!</v>
      </c>
      <c r="V387" s="9" t="e">
        <f>IF(AND(ROUND((#REF!-TIME(0,0,0))*1440,0)&gt;0,ROUND((#REF!-TIME(0,0,0))*1440,0)&lt;tbl_Case_mins[[#This Row],[Into Recov]],tbl_Case_mins[[#This Row],[Surgery End Date]]&gt;tbl_Case_mins[[#This Row],[Surgery Start Date]]),ROUND((#REF!-TIME(0,0,0))*1440,0)+1440,ROUND((#REF!-TIME(0,0,0))*1440,0))</f>
        <v>#REF!</v>
      </c>
      <c r="W387" s="9" t="e">
        <f>IF(AND(ROUND((#REF!-TIME(0,0,0))*1440,0)&gt;0,ROUND((#REF!-TIME(0,0,0))*1440,0)&lt;tbl_Case_mins[[#This Row],[Ward Called]],tbl_Case_mins[[#This Row],[Surgery End Date]]&gt;tbl_Case_mins[[#This Row],[Surgery Start Date]]),ROUND((#REF!-TIME(0,0,0))*1440,0)+1440,ROUND((#REF!-TIME(0,0,0))*1440,0))</f>
        <v>#REF!</v>
      </c>
      <c r="X387" s="4" t="e">
        <f>IF(ISBLANK(#REF!),tbl_Case_mins[[#This Row],[Surgery Start Date]],#REF!)</f>
        <v>#REF!</v>
      </c>
      <c r="Y387">
        <f>IFERROR(IF(VLOOKUP(tbl_Case_mins[[#This Row],[Theatre]],'Mng Theatres'!$C$7:$G$12,3,FALSE)="Yes","Yes","No"),0)</f>
        <v>0</v>
      </c>
      <c r="Z387" s="9" t="e" cm="1">
        <f t="array" ref="Z38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7" s="9" t="e" cm="1">
        <f t="array" ref="AA38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7" s="9" t="e">
        <f>IF(tbl_Case_mins[[#This Row],[Case Type]]="Unsch",1,0)</f>
        <v>#REF!</v>
      </c>
      <c r="AD387" s="9" t="e">
        <f>IF(tbl_Case_mins[[#This Row],[Case Type]]="Sch",1,0)</f>
        <v>#REF!</v>
      </c>
      <c r="AE38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7" s="9">
        <f>IFERROR(IF(ISBLANK(INDEX(Am_Close,MATCH(1,INDEX((tbl_Case_mins[[#This Row],[Theatre]]=Theatre_No)*(tbl_Case_mins[[#This Row],[Surgery Start Date]]=Date),0,1),0))*1440),0,INDEX(Am_Close,MATCH(1,INDEX((tbl_Case_mins[[#This Row],[Theatre]]=Theatre_No)*(tbl_Case_mins[[#This Row],[Surgery Start Date]]=Date),0,1),0))*1440),0)</f>
        <v>0</v>
      </c>
      <c r="AG387" s="9">
        <f>IFERROR(IF(ISBLANK(INDEX(PM_Open,MATCH(1,INDEX((tbl_Case_mins[[#This Row],[Theatre]]=Theatre_No)*(tbl_Case_mins[[#This Row],[Surgery Start Date]]=Date),0,1),0))*1440),0,INDEX(PM_Open,MATCH(1,INDEX((tbl_Case_mins[[#This Row],[Theatre]]=Theatre_No)*(tbl_Case_mins[[#This Row],[Surgery Start Date]]=Date),0,1),0))*1440),0)</f>
        <v>0</v>
      </c>
      <c r="AH38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7" s="9" t="e">
        <f>IF(tbl_Case_mins[[#This Row],[ThOpenAm]]=0,tbl_Case_mins[[#This Row],[ThOpenPM]],tbl_Case_mins[[#This Row],[ThOpenAm]])</f>
        <v>#REF!</v>
      </c>
      <c r="AJ387" s="9" t="e">
        <f>IF(tbl_Case_mins[[#This Row],[ThCloseAm]]&gt;0,IF(tbl_Case_mins[[#This Row],[ThOpenPM]]&gt;0,tbl_Case_mins[[#This Row],[ThClosePm]],tbl_Case_mins[[#This Row],[ThCloseAm]]),tbl_Case_mins[[#This Row],[ThClosePm]])</f>
        <v>#REF!</v>
      </c>
      <c r="AK387" s="9" t="e">
        <f>IF(tbl_Case_mins[[#This Row],[TOT]]&gt;0,1,0)</f>
        <v>#REF!</v>
      </c>
      <c r="AL38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7" s="9" t="e">
        <f>IF(AND(tbl_Case_mins[[#This Row],[Surgery Status]]&lt;&gt;2,tbl_Case_mins[[#This Row],[InCoreCase]]=0,tbl_Case_mins[[#This Row],[CancelledCase]]=0),1,0)</f>
        <v>#REF!</v>
      </c>
      <c r="AN387" s="9" t="e">
        <f>IF(tbl_Case_mins[[#This Row],[Surgery Status]]=1,1,0)</f>
        <v>#REF!</v>
      </c>
      <c r="AO38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7" s="9" t="e">
        <f>IF(AND(tbl_Case_mins[[#This Row],[NonCoreCase]]=1,tbl_Case_mins[[#This Row],[NoInCoreTime]]=0),1,0)</f>
        <v>#REF!</v>
      </c>
      <c r="AQ387" s="9" t="e">
        <f>IF(tbl_Case_mins[[#This Row],[Rank_AnaEnd]]&lt;tbl_Case_mins[[#This Row],[Rank_AnaSt]],1,0)</f>
        <v>#REF!</v>
      </c>
      <c r="AR387" s="9" t="e">
        <f>IF(AND(tbl_Case_mins[[#This Row],[InCoreCase]]=1,tbl_Case_mins[[#This Row],[Sch]]=1),1,0)</f>
        <v>#REF!</v>
      </c>
      <c r="AS387" s="9" t="e">
        <f>IF(AND(tbl_Case_mins[[#This Row],[InCoreCase]]=1,tbl_Case_mins[[#This Row],[Unsch]]=1),1,0)</f>
        <v>#REF!</v>
      </c>
      <c r="AT38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7" s="9" t="e">
        <f>IF(tbl_Case_mins[[#This Row],[Surgery Status]]=0,(tbl_Case_mins[[#This Row],[Anaesth End]]-tbl_Case_mins[[#This Row],[AnaesthStart]]),0)</f>
        <v>#REF!</v>
      </c>
      <c r="AX387" s="9" t="e">
        <f>IF(tbl_Case_mins[[#This Row],[Surgery Status]]=0,(tbl_Case_mins[[#This Row],[Surgery Finish]]-tbl_Case_mins[[#This Row],[Surgery Start]]),0)</f>
        <v>#REF!</v>
      </c>
      <c r="AY387" s="9" t="e">
        <f>tbl_Case_mins[[#This Row],[Surgery Start]]-tbl_Case_mins[[#This Row],[AnaesthStart]]</f>
        <v>#REF!</v>
      </c>
      <c r="AZ387" s="9" t="e">
        <f>tbl_Case_mins[[#This Row],[Anaesth End]]-tbl_Case_mins[[#This Row],[Surgery Finish]]</f>
        <v>#REF!</v>
      </c>
      <c r="BA38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7" s="16" cm="1">
        <f t="array" ref="BC38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7" s="16" t="e">
        <f>IF(AND(tbl_Case_mins[[#This Row],[FirstAMCase]]=1,tbl_Case_mins[[#This Row],[CancelledCase]]=0,OR(tbl_Case_mins[[#This Row],[EarlyStartAM]]&gt;0,tbl_Case_mins[[#This Row],[AnaesthStart]]=tbl_Case_mins[[#This Row],[ThOpenAm]])),1,0)</f>
        <v>#REF!</v>
      </c>
      <c r="BE387" s="16" t="e">
        <f>IF(AND(tbl_Case_mins[[#This Row],[Rank_AnaSt]]=tbl_Case_mins[[#This Row],[Min_RankAnaSt]],tbl_Case_mins[[#This Row],[Anaesth End]]&gt;=tbl_Case_mins[[#This Row],[ThOpenAm]],tbl_Case_mins[[#This Row],[PmCase]]=0),1,0)</f>
        <v>#REF!</v>
      </c>
      <c r="BF38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7" s="9" t="e" cm="1">
        <f t="array" ref="BH38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7" s="9" t="e">
        <f>IF(AND(tbl_Case_mins[[#This Row],[ThOpenPM]]&gt;0,tbl_Case_mins[[#This Row],[AnaesthStart]]&gt;tbl_Case_mins[[#This Row],[ThOpenPM]],tbl_Case_mins[[#This Row],[First PM Case]]=1),tbl_Case_mins[[#This Row],[AnaesthStart]]-tbl_Case_mins[[#This Row],[ThOpenPM]],0)</f>
        <v>#REF!</v>
      </c>
      <c r="BL38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7" s="9" t="e" cm="1">
        <f t="array" ref="BN38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7" s="9" t="e">
        <f>IF(AND(tbl_Case_mins[[#This Row],[ThClosePm]]&gt;0,tbl_Case_mins[[#This Row],[Anaesth End]]&gt;tbl_Case_mins[[#This Row],[ThClosePm]],tbl_Case_mins[[#This Row],[AnaesthStart]]&gt;tbl_Case_mins[[#This Row],[ThClosePm]]),tbl_Case_mins[[#This Row],[Into Recov]]-tbl_Case_mins[[#This Row],[AnaesthStart]],0)</f>
        <v>#REF!</v>
      </c>
      <c r="BP387" s="9" t="e">
        <f>IF(AND(tbl_Case_mins[[#This Row],[AnaesthStart]]&lt;tbl_Case_mins[[#This Row],[ThClosePm]],tbl_Case_mins[[#This Row],[Anaesth End]]&gt;tbl_Case_mins[[#This Row],[ThClosePm]]),tbl_Case_mins[[#This Row],[Anaesth End]]-tbl_Case_mins[[#This Row],[ThClosePm]],0)</f>
        <v>#REF!</v>
      </c>
      <c r="BQ387" s="9" t="e" cm="1">
        <f t="array" ref="BQ38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7" s="9" t="e" cm="1">
        <f t="array" ref="BR387">IF(tbl_Case_mins[[#This Row],[Rank_Adjust]]=SUMPRODUCT(-(tbl_Case_mins[Surgery Start Date]=tbl_Case_mins[[#This Row],[Surgery Start Date]]),-(tbl_Case_mins[Theatre]=tbl_Case_mins[[#This Row],[Theatre]])),INDEX(Poss_Time,MATCH(TEXT(tbl_Case_mins[[#This Row],[Surgery Start Date]],"ddd"),Day,0)),0)</f>
        <v>#REF!</v>
      </c>
      <c r="BS387" s="9" t="e">
        <f>tbl_Case_mins[[#This Row],[Core_Time]]*Util_Goal</f>
        <v>#REF!</v>
      </c>
      <c r="BT387" s="9" t="e" cm="1">
        <f t="array" ref="BT3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7" s="9" t="e" cm="1">
        <f t="array" ref="BU38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7" s="9" t="e">
        <f>IF(tbl_Case_mins[[#This Row],[Surgery End Date]]&gt;tbl_Case_mins[[#This Row],[Surgery Start Date]],tbl_Case_mins[[#This Row],[Anaesth End]]-1440,0)</f>
        <v>#REF!</v>
      </c>
      <c r="BY387" s="9" t="e">
        <f>tbl_Case_mins[[#This Row],[Total_NonCore]]-tbl_Case_mins[[#This Row],[NextDay_NonCore]]</f>
        <v>#REF!</v>
      </c>
      <c r="BZ387" s="10" t="e">
        <f>tbl_Case_mins[[#This Row],[InCoreUse]]/60</f>
        <v>#REF!</v>
      </c>
      <c r="CA387" s="10" t="e">
        <f>tbl_Case_mins[[#This Row],[Total_NonCore]]/60</f>
        <v>#REF!</v>
      </c>
      <c r="CB387" t="e" cm="1">
        <f t="array" ref="CB3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7" s="9" t="e" cm="1">
        <f t="array" ref="CC38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7" s="9" t="e" cm="1">
        <f t="array" ref="CD38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7" s="9" t="e" cm="1">
        <f t="array" ref="CE38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7" s="9" cm="1">
        <f t="array" ref="CF387">IFERROR(_xlfn.AGGREGATE(14,6,(tbl_Case_mins[Rank_AnaEnd])/((tbl_Case_mins[Surgery Start Date]=tbl_Case_mins[[#This Row],[Surgery Start Date]])*(tbl_Case_mins[Theatre]=tbl_Case_mins[[#This Row],[Theatre]])*(tbl_Case_mins[NoInCoreTime]=0)),1),-1)</f>
        <v>-1</v>
      </c>
      <c r="CG387" s="9" cm="1">
        <f t="array" ref="CG387">IFERROR(_xlfn.AGGREGATE(15,6,(tbl_Case_mins[Rank_AnaSt])/((tbl_Case_mins[Surgery Start Date]=tbl_Case_mins[[#This Row],[Surgery Start Date]])*(tbl_Case_mins[Theatre]=tbl_Case_mins[[#This Row],[Theatre]])*(tbl_Case_mins[NoInCoreTime]=0)),1),-1)</f>
        <v>-1</v>
      </c>
      <c r="CH38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7" t="e" cm="1">
        <f t="array" ref="CJ38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7" s="9" cm="1">
        <f t="array" ref="CO3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7" s="9" cm="1">
        <f t="array" ref="CP38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7" s="9" cm="1">
        <f t="array" ref="CQ387">IFERROR(IF(AND(tbl_Case_mins[[#This Row],[FirstAMCase]]=0,tbl_Case_mins[[#This Row],[Rank]]=_xlfn.AGGREGATE(14,6,(tbl_Case_mins[Rank])/((tbl_Case_mins[Surgery Start Date]=tbl_Case_mins[[#This Row],[Surgery Start Date]])*(tbl_Case_mins[Theatre]=tbl_Case_mins[[#This Row],[Theatre]])*(tbl_Case_mins[AmCase]=1)),1)),1,0),0)</f>
        <v>0</v>
      </c>
      <c r="CR387" s="9" cm="1">
        <f t="array" ref="CR38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7" s="9" t="e" cm="1">
        <f t="array" ref="CS38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7" s="9" cm="1">
        <f t="array" ref="CT387">IFERROR(IF(tbl_Case_mins[[#This Row],[Rank]]=_xlfn.AGGREGATE(15,6,(tbl_Case_mins[Rank])/((tbl_Case_mins[Surgery Start Date]=tbl_Case_mins[[#This Row],[Surgery Start Date]])*(tbl_Case_mins[Theatre]=tbl_Case_mins[[#This Row],[Theatre]])*(tbl_Case_mins[PmCase]=1)),1),1,0),0)</f>
        <v>0</v>
      </c>
      <c r="CU387">
        <f>IFERROR(#REF!,0)</f>
        <v>0</v>
      </c>
      <c r="CV387" s="9" t="e" cm="1">
        <f t="array" ref="CV38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7" s="9">
        <f>IFERROR(IF(ISBLANK(INDEX(Bay_AmClose,MATCH(1,INDEX((tbl_Case_mins[[#This Row],[Bay]]=BayNo)*(tbl_Case_mins[[#This Row],[Surgery Start Date]]=BDate),0,1),0))*1440),0,INDEX(Bay_AmClose,MATCH(1,INDEX((tbl_Case_mins[[#This Row],[Bay]]=BayNo)*(tbl_Case_mins[[#This Row],[Surgery Start Date]]=BDate),0,1),0))*1440),0)</f>
        <v>0</v>
      </c>
      <c r="CX387" s="9" cm="1">
        <f t="array" ref="CX387">IFERROR(IF(ISBLANK(INDEX(Bay_PmOpen,MATCH(1,INDEX((tbl_Case_mins[[#This Row],[Bay]]=BayNo)*(tbl_Case_mins[[#This Row],[Surgery Start Date]]=BDate),0,1),0))*1440),0,INDEX(Bay_PmOpen,MATCH(1,INDEX((tbl_Case_mins[[#This Row],[Bay]]=BayNo)*(tbl_Case_mins[[#This Row],[Surgery Start Date]]=BDate),0,1),0))*1440),0)</f>
        <v>0</v>
      </c>
      <c r="CY38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7" s="9"/>
    </row>
    <row r="388" spans="1:104" x14ac:dyDescent="0.2">
      <c r="A388">
        <v>387</v>
      </c>
      <c r="B388" t="e">
        <f>#REF!</f>
        <v>#REF!</v>
      </c>
      <c r="C388" t="e">
        <f>#REF!</f>
        <v>#REF!</v>
      </c>
      <c r="D388" t="e">
        <f>#REF!</f>
        <v>#REF!</v>
      </c>
      <c r="E388" t="e">
        <f>#REF!</f>
        <v>#REF!</v>
      </c>
      <c r="F388" t="e">
        <f>#REF!</f>
        <v>#REF!</v>
      </c>
      <c r="G388" t="e">
        <f>#REF!</f>
        <v>#REF!</v>
      </c>
      <c r="H388" t="e">
        <f>#REF!</f>
        <v>#REF!</v>
      </c>
      <c r="I388" t="e">
        <f>IF(#REF!="Case Cancelled",1,IF(#REF!="No Cases",2,0))</f>
        <v>#REF!</v>
      </c>
      <c r="J388" t="e">
        <f>#REF!</f>
        <v>#REF!</v>
      </c>
      <c r="K388" s="4" t="e">
        <f>#REF!</f>
        <v>#REF!</v>
      </c>
      <c r="L388" t="e">
        <f>"Wk "&amp;WEEKNUM(tbl_Case_mins[[#This Row],[Surgery Start Date]],21)</f>
        <v>#REF!</v>
      </c>
      <c r="M388" t="e">
        <f>TEXT(tbl_Case_mins[[#This Row],[Surgery Start Date]],"ddd")</f>
        <v>#REF!</v>
      </c>
      <c r="N388" s="9" t="e">
        <f>(#REF!-TIME(0,0,0))*1440</f>
        <v>#REF!</v>
      </c>
      <c r="O388" t="e">
        <f>IF(AND(ROUND((#REF!-TIME(0,0,0))*1440,0)&gt;0,ROUND((#REF!-TIME(0,0,0))*1440,0)&lt;tbl_Case_mins[[#This Row],[Patient Called]],tbl_Case_mins[[#This Row],[Surgery End Date]]&gt;tbl_Case_mins[[#This Row],[Surgery Start Date]]),ROUND((#REF!-TIME(0,0,0))*1440,0)+1440,ROUND((#REF!-TIME(0,0,0))*1440,0))</f>
        <v>#REF!</v>
      </c>
      <c r="P388" s="9" t="e">
        <f>IF(AND(ROUND((#REF!-TIME(0,0,0))*1440,0)&gt;0,ROUND((#REF!-TIME(0,0,0))*1440,0)&lt;tbl_Case_mins[[#This Row],[Arrival]],tbl_Case_mins[[#This Row],[Surgery End Date]]&gt;tbl_Case_mins[[#This Row],[Surgery Start Date]]),ROUND((#REF!-TIME(0,0,0))*1440,0)+1440,ROUND((#REF!-TIME(0,0,0))*1440,0))</f>
        <v>#REF!</v>
      </c>
      <c r="Q388" s="9" t="e">
        <f>IF(AND(ROUND((#REF!-TIME(0,0,0))*1440,0)&gt;0,ROUND((#REF!-TIME(0,0,0))*1440,0)&lt;tbl_Case_mins[[#This Row],[Into Th or AR]],tbl_Case_mins[[#This Row],[Surgery End Date]]&gt;tbl_Case_mins[[#This Row],[Surgery Start Date]]),ROUND((#REF!-TIME(0,0,0))*1440,0)+1440,ROUND((#REF!-TIME(0,0,0))*1440,0))</f>
        <v>#REF!</v>
      </c>
      <c r="R388" s="9" t="e">
        <f>IF(AND(ROUND((#REF!-TIME(0,0,0))*1440,0)&gt;0,ROUND((#REF!-TIME(0,0,0))*1440,0)&lt;tbl_Case_mins[[#This Row],[AnaesthStart]],tbl_Case_mins[[#This Row],[Surgery End Date]]&gt;tbl_Case_mins[[#This Row],[Surgery Start Date]]),ROUND((#REF!-TIME(0,0,0))*1440,0)+1440,ROUND((#REF!-TIME(0,0,0))*1440,0))</f>
        <v>#REF!</v>
      </c>
      <c r="S388" s="9" t="e">
        <f>IF(AND(ROUND((#REF!-TIME(0,0,0))*1440,0),ROUND((#REF!-TIME(0,0,0))*1440,0)&lt;tbl_Case_mins[[#This Row],[Surgery Start]],tbl_Case_mins[[#This Row],[Surgery End Date]]&gt;tbl_Case_mins[[#This Row],[Surgery Start Date]]),ROUND((#REF!-TIME(0,0,0))*1440,0)+1440,ROUND((#REF!-TIME(0,0,0))*1440,0))</f>
        <v>#REF!</v>
      </c>
      <c r="T388" s="9" t="e">
        <f>IF(AND(ROUND((#REF!-TIME(0,0,0))*1440,0)&gt;0,ROUND((#REF!-TIME(0,0,0))*1440,0)&lt;tbl_Case_mins[[#This Row],[Surgery Finish]],tbl_Case_mins[[#This Row],[Surgery End Date]]&gt;tbl_Case_mins[[#This Row],[Surgery Start Date]]),ROUND((#REF!-TIME(0,0,0))*1440,0)+1440,ROUND((#REF!-TIME(0,0,0))*1440,0))</f>
        <v>#REF!</v>
      </c>
      <c r="U388" s="9" t="e">
        <f>IF(AND(ROUND((#REF!-TIME(0,0,0))*1440,0)&gt;0,ROUND((#REF!-TIME(0,0,0))*1440,0)&lt;tbl_Case_mins[[#This Row],[Anaesth End]],tbl_Case_mins[[#This Row],[Surgery End Date]]&gt;tbl_Case_mins[[#This Row],[Surgery Start Date]]),ROUND((#REF!-TIME(0,0,0))*1440,0)+1440,ROUND((#REF!-TIME(0,0,0))*1440,0))</f>
        <v>#REF!</v>
      </c>
      <c r="V388" s="9" t="e">
        <f>IF(AND(ROUND((#REF!-TIME(0,0,0))*1440,0)&gt;0,ROUND((#REF!-TIME(0,0,0))*1440,0)&lt;tbl_Case_mins[[#This Row],[Into Recov]],tbl_Case_mins[[#This Row],[Surgery End Date]]&gt;tbl_Case_mins[[#This Row],[Surgery Start Date]]),ROUND((#REF!-TIME(0,0,0))*1440,0)+1440,ROUND((#REF!-TIME(0,0,0))*1440,0))</f>
        <v>#REF!</v>
      </c>
      <c r="W388" s="9" t="e">
        <f>IF(AND(ROUND((#REF!-TIME(0,0,0))*1440,0)&gt;0,ROUND((#REF!-TIME(0,0,0))*1440,0)&lt;tbl_Case_mins[[#This Row],[Ward Called]],tbl_Case_mins[[#This Row],[Surgery End Date]]&gt;tbl_Case_mins[[#This Row],[Surgery Start Date]]),ROUND((#REF!-TIME(0,0,0))*1440,0)+1440,ROUND((#REF!-TIME(0,0,0))*1440,0))</f>
        <v>#REF!</v>
      </c>
      <c r="X388" s="4" t="e">
        <f>IF(ISBLANK(#REF!),tbl_Case_mins[[#This Row],[Surgery Start Date]],#REF!)</f>
        <v>#REF!</v>
      </c>
      <c r="Y388">
        <f>IFERROR(IF(VLOOKUP(tbl_Case_mins[[#This Row],[Theatre]],'Mng Theatres'!$C$7:$G$12,3,FALSE)="Yes","Yes","No"),0)</f>
        <v>0</v>
      </c>
      <c r="Z388" s="9" t="e" cm="1">
        <f t="array" ref="Z38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8" s="9" t="e" cm="1">
        <f t="array" ref="AA38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8" s="9" t="e">
        <f>IF(tbl_Case_mins[[#This Row],[Case Type]]="Unsch",1,0)</f>
        <v>#REF!</v>
      </c>
      <c r="AD388" s="9" t="e">
        <f>IF(tbl_Case_mins[[#This Row],[Case Type]]="Sch",1,0)</f>
        <v>#REF!</v>
      </c>
      <c r="AE38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8" s="9">
        <f>IFERROR(IF(ISBLANK(INDEX(Am_Close,MATCH(1,INDEX((tbl_Case_mins[[#This Row],[Theatre]]=Theatre_No)*(tbl_Case_mins[[#This Row],[Surgery Start Date]]=Date),0,1),0))*1440),0,INDEX(Am_Close,MATCH(1,INDEX((tbl_Case_mins[[#This Row],[Theatre]]=Theatre_No)*(tbl_Case_mins[[#This Row],[Surgery Start Date]]=Date),0,1),0))*1440),0)</f>
        <v>0</v>
      </c>
      <c r="AG388" s="9">
        <f>IFERROR(IF(ISBLANK(INDEX(PM_Open,MATCH(1,INDEX((tbl_Case_mins[[#This Row],[Theatre]]=Theatre_No)*(tbl_Case_mins[[#This Row],[Surgery Start Date]]=Date),0,1),0))*1440),0,INDEX(PM_Open,MATCH(1,INDEX((tbl_Case_mins[[#This Row],[Theatre]]=Theatre_No)*(tbl_Case_mins[[#This Row],[Surgery Start Date]]=Date),0,1),0))*1440),0)</f>
        <v>0</v>
      </c>
      <c r="AH38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8" s="9" t="e">
        <f>IF(tbl_Case_mins[[#This Row],[ThOpenAm]]=0,tbl_Case_mins[[#This Row],[ThOpenPM]],tbl_Case_mins[[#This Row],[ThOpenAm]])</f>
        <v>#REF!</v>
      </c>
      <c r="AJ388" s="9" t="e">
        <f>IF(tbl_Case_mins[[#This Row],[ThCloseAm]]&gt;0,IF(tbl_Case_mins[[#This Row],[ThOpenPM]]&gt;0,tbl_Case_mins[[#This Row],[ThClosePm]],tbl_Case_mins[[#This Row],[ThCloseAm]]),tbl_Case_mins[[#This Row],[ThClosePm]])</f>
        <v>#REF!</v>
      </c>
      <c r="AK388" s="9" t="e">
        <f>IF(tbl_Case_mins[[#This Row],[TOT]]&gt;0,1,0)</f>
        <v>#REF!</v>
      </c>
      <c r="AL38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8" s="9" t="e">
        <f>IF(AND(tbl_Case_mins[[#This Row],[Surgery Status]]&lt;&gt;2,tbl_Case_mins[[#This Row],[InCoreCase]]=0,tbl_Case_mins[[#This Row],[CancelledCase]]=0),1,0)</f>
        <v>#REF!</v>
      </c>
      <c r="AN388" s="9" t="e">
        <f>IF(tbl_Case_mins[[#This Row],[Surgery Status]]=1,1,0)</f>
        <v>#REF!</v>
      </c>
      <c r="AO38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8" s="9" t="e">
        <f>IF(AND(tbl_Case_mins[[#This Row],[NonCoreCase]]=1,tbl_Case_mins[[#This Row],[NoInCoreTime]]=0),1,0)</f>
        <v>#REF!</v>
      </c>
      <c r="AQ388" s="9" t="e">
        <f>IF(tbl_Case_mins[[#This Row],[Rank_AnaEnd]]&lt;tbl_Case_mins[[#This Row],[Rank_AnaSt]],1,0)</f>
        <v>#REF!</v>
      </c>
      <c r="AR388" s="9" t="e">
        <f>IF(AND(tbl_Case_mins[[#This Row],[InCoreCase]]=1,tbl_Case_mins[[#This Row],[Sch]]=1),1,0)</f>
        <v>#REF!</v>
      </c>
      <c r="AS388" s="9" t="e">
        <f>IF(AND(tbl_Case_mins[[#This Row],[InCoreCase]]=1,tbl_Case_mins[[#This Row],[Unsch]]=1),1,0)</f>
        <v>#REF!</v>
      </c>
      <c r="AT38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8" s="9" t="e">
        <f>IF(tbl_Case_mins[[#This Row],[Surgery Status]]=0,(tbl_Case_mins[[#This Row],[Anaesth End]]-tbl_Case_mins[[#This Row],[AnaesthStart]]),0)</f>
        <v>#REF!</v>
      </c>
      <c r="AX388" s="9" t="e">
        <f>IF(tbl_Case_mins[[#This Row],[Surgery Status]]=0,(tbl_Case_mins[[#This Row],[Surgery Finish]]-tbl_Case_mins[[#This Row],[Surgery Start]]),0)</f>
        <v>#REF!</v>
      </c>
      <c r="AY388" s="9" t="e">
        <f>tbl_Case_mins[[#This Row],[Surgery Start]]-tbl_Case_mins[[#This Row],[AnaesthStart]]</f>
        <v>#REF!</v>
      </c>
      <c r="AZ388" s="9" t="e">
        <f>tbl_Case_mins[[#This Row],[Anaesth End]]-tbl_Case_mins[[#This Row],[Surgery Finish]]</f>
        <v>#REF!</v>
      </c>
      <c r="BA38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8" s="16" cm="1">
        <f t="array" ref="BC38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8" s="16" t="e">
        <f>IF(AND(tbl_Case_mins[[#This Row],[FirstAMCase]]=1,tbl_Case_mins[[#This Row],[CancelledCase]]=0,OR(tbl_Case_mins[[#This Row],[EarlyStartAM]]&gt;0,tbl_Case_mins[[#This Row],[AnaesthStart]]=tbl_Case_mins[[#This Row],[ThOpenAm]])),1,0)</f>
        <v>#REF!</v>
      </c>
      <c r="BE388" s="16" t="e">
        <f>IF(AND(tbl_Case_mins[[#This Row],[Rank_AnaSt]]=tbl_Case_mins[[#This Row],[Min_RankAnaSt]],tbl_Case_mins[[#This Row],[Anaesth End]]&gt;=tbl_Case_mins[[#This Row],[ThOpenAm]],tbl_Case_mins[[#This Row],[PmCase]]=0),1,0)</f>
        <v>#REF!</v>
      </c>
      <c r="BF38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8" s="9" t="e" cm="1">
        <f t="array" ref="BH38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8" s="9" t="e">
        <f>IF(AND(tbl_Case_mins[[#This Row],[ThOpenPM]]&gt;0,tbl_Case_mins[[#This Row],[AnaesthStart]]&gt;tbl_Case_mins[[#This Row],[ThOpenPM]],tbl_Case_mins[[#This Row],[First PM Case]]=1),tbl_Case_mins[[#This Row],[AnaesthStart]]-tbl_Case_mins[[#This Row],[ThOpenPM]],0)</f>
        <v>#REF!</v>
      </c>
      <c r="BL38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8" s="9" t="e" cm="1">
        <f t="array" ref="BN38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8" s="9" t="e">
        <f>IF(AND(tbl_Case_mins[[#This Row],[ThClosePm]]&gt;0,tbl_Case_mins[[#This Row],[Anaesth End]]&gt;tbl_Case_mins[[#This Row],[ThClosePm]],tbl_Case_mins[[#This Row],[AnaesthStart]]&gt;tbl_Case_mins[[#This Row],[ThClosePm]]),tbl_Case_mins[[#This Row],[Into Recov]]-tbl_Case_mins[[#This Row],[AnaesthStart]],0)</f>
        <v>#REF!</v>
      </c>
      <c r="BP388" s="9" t="e">
        <f>IF(AND(tbl_Case_mins[[#This Row],[AnaesthStart]]&lt;tbl_Case_mins[[#This Row],[ThClosePm]],tbl_Case_mins[[#This Row],[Anaesth End]]&gt;tbl_Case_mins[[#This Row],[ThClosePm]]),tbl_Case_mins[[#This Row],[Anaesth End]]-tbl_Case_mins[[#This Row],[ThClosePm]],0)</f>
        <v>#REF!</v>
      </c>
      <c r="BQ388" s="9" t="e" cm="1">
        <f t="array" ref="BQ38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8" s="9" t="e" cm="1">
        <f t="array" ref="BR388">IF(tbl_Case_mins[[#This Row],[Rank_Adjust]]=SUMPRODUCT(-(tbl_Case_mins[Surgery Start Date]=tbl_Case_mins[[#This Row],[Surgery Start Date]]),-(tbl_Case_mins[Theatre]=tbl_Case_mins[[#This Row],[Theatre]])),INDEX(Poss_Time,MATCH(TEXT(tbl_Case_mins[[#This Row],[Surgery Start Date]],"ddd"),Day,0)),0)</f>
        <v>#REF!</v>
      </c>
      <c r="BS388" s="9" t="e">
        <f>tbl_Case_mins[[#This Row],[Core_Time]]*Util_Goal</f>
        <v>#REF!</v>
      </c>
      <c r="BT388" s="9" t="e" cm="1">
        <f t="array" ref="BT3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8" s="9" t="e" cm="1">
        <f t="array" ref="BU38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8" s="9" t="e">
        <f>IF(tbl_Case_mins[[#This Row],[Surgery End Date]]&gt;tbl_Case_mins[[#This Row],[Surgery Start Date]],tbl_Case_mins[[#This Row],[Anaesth End]]-1440,0)</f>
        <v>#REF!</v>
      </c>
      <c r="BY388" s="9" t="e">
        <f>tbl_Case_mins[[#This Row],[Total_NonCore]]-tbl_Case_mins[[#This Row],[NextDay_NonCore]]</f>
        <v>#REF!</v>
      </c>
      <c r="BZ388" s="10" t="e">
        <f>tbl_Case_mins[[#This Row],[InCoreUse]]/60</f>
        <v>#REF!</v>
      </c>
      <c r="CA388" s="10" t="e">
        <f>tbl_Case_mins[[#This Row],[Total_NonCore]]/60</f>
        <v>#REF!</v>
      </c>
      <c r="CB388" t="e" cm="1">
        <f t="array" ref="CB3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8" s="9" t="e" cm="1">
        <f t="array" ref="CC38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8" s="9" t="e" cm="1">
        <f t="array" ref="CD38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8" s="9" t="e" cm="1">
        <f t="array" ref="CE38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8" s="9" cm="1">
        <f t="array" ref="CF388">IFERROR(_xlfn.AGGREGATE(14,6,(tbl_Case_mins[Rank_AnaEnd])/((tbl_Case_mins[Surgery Start Date]=tbl_Case_mins[[#This Row],[Surgery Start Date]])*(tbl_Case_mins[Theatre]=tbl_Case_mins[[#This Row],[Theatre]])*(tbl_Case_mins[NoInCoreTime]=0)),1),-1)</f>
        <v>-1</v>
      </c>
      <c r="CG388" s="9" cm="1">
        <f t="array" ref="CG388">IFERROR(_xlfn.AGGREGATE(15,6,(tbl_Case_mins[Rank_AnaSt])/((tbl_Case_mins[Surgery Start Date]=tbl_Case_mins[[#This Row],[Surgery Start Date]])*(tbl_Case_mins[Theatre]=tbl_Case_mins[[#This Row],[Theatre]])*(tbl_Case_mins[NoInCoreTime]=0)),1),-1)</f>
        <v>-1</v>
      </c>
      <c r="CH38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8" t="e" cm="1">
        <f t="array" ref="CJ38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8" s="9" cm="1">
        <f t="array" ref="CO3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8" s="9" cm="1">
        <f t="array" ref="CP38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8" s="9" cm="1">
        <f t="array" ref="CQ388">IFERROR(IF(AND(tbl_Case_mins[[#This Row],[FirstAMCase]]=0,tbl_Case_mins[[#This Row],[Rank]]=_xlfn.AGGREGATE(14,6,(tbl_Case_mins[Rank])/((tbl_Case_mins[Surgery Start Date]=tbl_Case_mins[[#This Row],[Surgery Start Date]])*(tbl_Case_mins[Theatre]=tbl_Case_mins[[#This Row],[Theatre]])*(tbl_Case_mins[AmCase]=1)),1)),1,0),0)</f>
        <v>0</v>
      </c>
      <c r="CR388" s="9" cm="1">
        <f t="array" ref="CR38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8" s="9" t="e" cm="1">
        <f t="array" ref="CS38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8" s="9" cm="1">
        <f t="array" ref="CT388">IFERROR(IF(tbl_Case_mins[[#This Row],[Rank]]=_xlfn.AGGREGATE(15,6,(tbl_Case_mins[Rank])/((tbl_Case_mins[Surgery Start Date]=tbl_Case_mins[[#This Row],[Surgery Start Date]])*(tbl_Case_mins[Theatre]=tbl_Case_mins[[#This Row],[Theatre]])*(tbl_Case_mins[PmCase]=1)),1),1,0),0)</f>
        <v>0</v>
      </c>
      <c r="CU388">
        <f>IFERROR(#REF!,0)</f>
        <v>0</v>
      </c>
      <c r="CV388" s="9" t="e" cm="1">
        <f t="array" ref="CV38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8" s="9">
        <f>IFERROR(IF(ISBLANK(INDEX(Bay_AmClose,MATCH(1,INDEX((tbl_Case_mins[[#This Row],[Bay]]=BayNo)*(tbl_Case_mins[[#This Row],[Surgery Start Date]]=BDate),0,1),0))*1440),0,INDEX(Bay_AmClose,MATCH(1,INDEX((tbl_Case_mins[[#This Row],[Bay]]=BayNo)*(tbl_Case_mins[[#This Row],[Surgery Start Date]]=BDate),0,1),0))*1440),0)</f>
        <v>0</v>
      </c>
      <c r="CX388" s="9" cm="1">
        <f t="array" ref="CX388">IFERROR(IF(ISBLANK(INDEX(Bay_PmOpen,MATCH(1,INDEX((tbl_Case_mins[[#This Row],[Bay]]=BayNo)*(tbl_Case_mins[[#This Row],[Surgery Start Date]]=BDate),0,1),0))*1440),0,INDEX(Bay_PmOpen,MATCH(1,INDEX((tbl_Case_mins[[#This Row],[Bay]]=BayNo)*(tbl_Case_mins[[#This Row],[Surgery Start Date]]=BDate),0,1),0))*1440),0)</f>
        <v>0</v>
      </c>
      <c r="CY38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8" s="9"/>
    </row>
    <row r="389" spans="1:104" x14ac:dyDescent="0.2">
      <c r="A389">
        <v>388</v>
      </c>
      <c r="B389" t="e">
        <f>#REF!</f>
        <v>#REF!</v>
      </c>
      <c r="C389" t="e">
        <f>#REF!</f>
        <v>#REF!</v>
      </c>
      <c r="D389" t="e">
        <f>#REF!</f>
        <v>#REF!</v>
      </c>
      <c r="E389" t="e">
        <f>#REF!</f>
        <v>#REF!</v>
      </c>
      <c r="F389" t="e">
        <f>#REF!</f>
        <v>#REF!</v>
      </c>
      <c r="G389" t="e">
        <f>#REF!</f>
        <v>#REF!</v>
      </c>
      <c r="H389" t="e">
        <f>#REF!</f>
        <v>#REF!</v>
      </c>
      <c r="I389" t="e">
        <f>IF(#REF!="Case Cancelled",1,IF(#REF!="No Cases",2,0))</f>
        <v>#REF!</v>
      </c>
      <c r="J389" t="e">
        <f>#REF!</f>
        <v>#REF!</v>
      </c>
      <c r="K389" s="4" t="e">
        <f>#REF!</f>
        <v>#REF!</v>
      </c>
      <c r="L389" t="e">
        <f>"Wk "&amp;WEEKNUM(tbl_Case_mins[[#This Row],[Surgery Start Date]],21)</f>
        <v>#REF!</v>
      </c>
      <c r="M389" t="e">
        <f>TEXT(tbl_Case_mins[[#This Row],[Surgery Start Date]],"ddd")</f>
        <v>#REF!</v>
      </c>
      <c r="N389" s="9" t="e">
        <f>(#REF!-TIME(0,0,0))*1440</f>
        <v>#REF!</v>
      </c>
      <c r="O389" t="e">
        <f>IF(AND(ROUND((#REF!-TIME(0,0,0))*1440,0)&gt;0,ROUND((#REF!-TIME(0,0,0))*1440,0)&lt;tbl_Case_mins[[#This Row],[Patient Called]],tbl_Case_mins[[#This Row],[Surgery End Date]]&gt;tbl_Case_mins[[#This Row],[Surgery Start Date]]),ROUND((#REF!-TIME(0,0,0))*1440,0)+1440,ROUND((#REF!-TIME(0,0,0))*1440,0))</f>
        <v>#REF!</v>
      </c>
      <c r="P389" s="9" t="e">
        <f>IF(AND(ROUND((#REF!-TIME(0,0,0))*1440,0)&gt;0,ROUND((#REF!-TIME(0,0,0))*1440,0)&lt;tbl_Case_mins[[#This Row],[Arrival]],tbl_Case_mins[[#This Row],[Surgery End Date]]&gt;tbl_Case_mins[[#This Row],[Surgery Start Date]]),ROUND((#REF!-TIME(0,0,0))*1440,0)+1440,ROUND((#REF!-TIME(0,0,0))*1440,0))</f>
        <v>#REF!</v>
      </c>
      <c r="Q389" s="9" t="e">
        <f>IF(AND(ROUND((#REF!-TIME(0,0,0))*1440,0)&gt;0,ROUND((#REF!-TIME(0,0,0))*1440,0)&lt;tbl_Case_mins[[#This Row],[Into Th or AR]],tbl_Case_mins[[#This Row],[Surgery End Date]]&gt;tbl_Case_mins[[#This Row],[Surgery Start Date]]),ROUND((#REF!-TIME(0,0,0))*1440,0)+1440,ROUND((#REF!-TIME(0,0,0))*1440,0))</f>
        <v>#REF!</v>
      </c>
      <c r="R389" s="9" t="e">
        <f>IF(AND(ROUND((#REF!-TIME(0,0,0))*1440,0)&gt;0,ROUND((#REF!-TIME(0,0,0))*1440,0)&lt;tbl_Case_mins[[#This Row],[AnaesthStart]],tbl_Case_mins[[#This Row],[Surgery End Date]]&gt;tbl_Case_mins[[#This Row],[Surgery Start Date]]),ROUND((#REF!-TIME(0,0,0))*1440,0)+1440,ROUND((#REF!-TIME(0,0,0))*1440,0))</f>
        <v>#REF!</v>
      </c>
      <c r="S389" s="9" t="e">
        <f>IF(AND(ROUND((#REF!-TIME(0,0,0))*1440,0),ROUND((#REF!-TIME(0,0,0))*1440,0)&lt;tbl_Case_mins[[#This Row],[Surgery Start]],tbl_Case_mins[[#This Row],[Surgery End Date]]&gt;tbl_Case_mins[[#This Row],[Surgery Start Date]]),ROUND((#REF!-TIME(0,0,0))*1440,0)+1440,ROUND((#REF!-TIME(0,0,0))*1440,0))</f>
        <v>#REF!</v>
      </c>
      <c r="T389" s="9" t="e">
        <f>IF(AND(ROUND((#REF!-TIME(0,0,0))*1440,0)&gt;0,ROUND((#REF!-TIME(0,0,0))*1440,0)&lt;tbl_Case_mins[[#This Row],[Surgery Finish]],tbl_Case_mins[[#This Row],[Surgery End Date]]&gt;tbl_Case_mins[[#This Row],[Surgery Start Date]]),ROUND((#REF!-TIME(0,0,0))*1440,0)+1440,ROUND((#REF!-TIME(0,0,0))*1440,0))</f>
        <v>#REF!</v>
      </c>
      <c r="U389" s="9" t="e">
        <f>IF(AND(ROUND((#REF!-TIME(0,0,0))*1440,0)&gt;0,ROUND((#REF!-TIME(0,0,0))*1440,0)&lt;tbl_Case_mins[[#This Row],[Anaesth End]],tbl_Case_mins[[#This Row],[Surgery End Date]]&gt;tbl_Case_mins[[#This Row],[Surgery Start Date]]),ROUND((#REF!-TIME(0,0,0))*1440,0)+1440,ROUND((#REF!-TIME(0,0,0))*1440,0))</f>
        <v>#REF!</v>
      </c>
      <c r="V389" s="9" t="e">
        <f>IF(AND(ROUND((#REF!-TIME(0,0,0))*1440,0)&gt;0,ROUND((#REF!-TIME(0,0,0))*1440,0)&lt;tbl_Case_mins[[#This Row],[Into Recov]],tbl_Case_mins[[#This Row],[Surgery End Date]]&gt;tbl_Case_mins[[#This Row],[Surgery Start Date]]),ROUND((#REF!-TIME(0,0,0))*1440,0)+1440,ROUND((#REF!-TIME(0,0,0))*1440,0))</f>
        <v>#REF!</v>
      </c>
      <c r="W389" s="9" t="e">
        <f>IF(AND(ROUND((#REF!-TIME(0,0,0))*1440,0)&gt;0,ROUND((#REF!-TIME(0,0,0))*1440,0)&lt;tbl_Case_mins[[#This Row],[Ward Called]],tbl_Case_mins[[#This Row],[Surgery End Date]]&gt;tbl_Case_mins[[#This Row],[Surgery Start Date]]),ROUND((#REF!-TIME(0,0,0))*1440,0)+1440,ROUND((#REF!-TIME(0,0,0))*1440,0))</f>
        <v>#REF!</v>
      </c>
      <c r="X389" s="4" t="e">
        <f>IF(ISBLANK(#REF!),tbl_Case_mins[[#This Row],[Surgery Start Date]],#REF!)</f>
        <v>#REF!</v>
      </c>
      <c r="Y389">
        <f>IFERROR(IF(VLOOKUP(tbl_Case_mins[[#This Row],[Theatre]],'Mng Theatres'!$C$7:$G$12,3,FALSE)="Yes","Yes","No"),0)</f>
        <v>0</v>
      </c>
      <c r="Z389" s="9" t="e" cm="1">
        <f t="array" ref="Z38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89" s="9" t="e" cm="1">
        <f t="array" ref="AA38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8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89" s="9" t="e">
        <f>IF(tbl_Case_mins[[#This Row],[Case Type]]="Unsch",1,0)</f>
        <v>#REF!</v>
      </c>
      <c r="AD389" s="9" t="e">
        <f>IF(tbl_Case_mins[[#This Row],[Case Type]]="Sch",1,0)</f>
        <v>#REF!</v>
      </c>
      <c r="AE38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89" s="9">
        <f>IFERROR(IF(ISBLANK(INDEX(Am_Close,MATCH(1,INDEX((tbl_Case_mins[[#This Row],[Theatre]]=Theatre_No)*(tbl_Case_mins[[#This Row],[Surgery Start Date]]=Date),0,1),0))*1440),0,INDEX(Am_Close,MATCH(1,INDEX((tbl_Case_mins[[#This Row],[Theatre]]=Theatre_No)*(tbl_Case_mins[[#This Row],[Surgery Start Date]]=Date),0,1),0))*1440),0)</f>
        <v>0</v>
      </c>
      <c r="AG389" s="9">
        <f>IFERROR(IF(ISBLANK(INDEX(PM_Open,MATCH(1,INDEX((tbl_Case_mins[[#This Row],[Theatre]]=Theatre_No)*(tbl_Case_mins[[#This Row],[Surgery Start Date]]=Date),0,1),0))*1440),0,INDEX(PM_Open,MATCH(1,INDEX((tbl_Case_mins[[#This Row],[Theatre]]=Theatre_No)*(tbl_Case_mins[[#This Row],[Surgery Start Date]]=Date),0,1),0))*1440),0)</f>
        <v>0</v>
      </c>
      <c r="AH38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89" s="9" t="e">
        <f>IF(tbl_Case_mins[[#This Row],[ThOpenAm]]=0,tbl_Case_mins[[#This Row],[ThOpenPM]],tbl_Case_mins[[#This Row],[ThOpenAm]])</f>
        <v>#REF!</v>
      </c>
      <c r="AJ389" s="9" t="e">
        <f>IF(tbl_Case_mins[[#This Row],[ThCloseAm]]&gt;0,IF(tbl_Case_mins[[#This Row],[ThOpenPM]]&gt;0,tbl_Case_mins[[#This Row],[ThClosePm]],tbl_Case_mins[[#This Row],[ThCloseAm]]),tbl_Case_mins[[#This Row],[ThClosePm]])</f>
        <v>#REF!</v>
      </c>
      <c r="AK389" s="9" t="e">
        <f>IF(tbl_Case_mins[[#This Row],[TOT]]&gt;0,1,0)</f>
        <v>#REF!</v>
      </c>
      <c r="AL38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89" s="9" t="e">
        <f>IF(AND(tbl_Case_mins[[#This Row],[Surgery Status]]&lt;&gt;2,tbl_Case_mins[[#This Row],[InCoreCase]]=0,tbl_Case_mins[[#This Row],[CancelledCase]]=0),1,0)</f>
        <v>#REF!</v>
      </c>
      <c r="AN389" s="9" t="e">
        <f>IF(tbl_Case_mins[[#This Row],[Surgery Status]]=1,1,0)</f>
        <v>#REF!</v>
      </c>
      <c r="AO38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89" s="9" t="e">
        <f>IF(AND(tbl_Case_mins[[#This Row],[NonCoreCase]]=1,tbl_Case_mins[[#This Row],[NoInCoreTime]]=0),1,0)</f>
        <v>#REF!</v>
      </c>
      <c r="AQ389" s="9" t="e">
        <f>IF(tbl_Case_mins[[#This Row],[Rank_AnaEnd]]&lt;tbl_Case_mins[[#This Row],[Rank_AnaSt]],1,0)</f>
        <v>#REF!</v>
      </c>
      <c r="AR389" s="9" t="e">
        <f>IF(AND(tbl_Case_mins[[#This Row],[InCoreCase]]=1,tbl_Case_mins[[#This Row],[Sch]]=1),1,0)</f>
        <v>#REF!</v>
      </c>
      <c r="AS389" s="9" t="e">
        <f>IF(AND(tbl_Case_mins[[#This Row],[InCoreCase]]=1,tbl_Case_mins[[#This Row],[Unsch]]=1),1,0)</f>
        <v>#REF!</v>
      </c>
      <c r="AT38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8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8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89" s="9" t="e">
        <f>IF(tbl_Case_mins[[#This Row],[Surgery Status]]=0,(tbl_Case_mins[[#This Row],[Anaesth End]]-tbl_Case_mins[[#This Row],[AnaesthStart]]),0)</f>
        <v>#REF!</v>
      </c>
      <c r="AX389" s="9" t="e">
        <f>IF(tbl_Case_mins[[#This Row],[Surgery Status]]=0,(tbl_Case_mins[[#This Row],[Surgery Finish]]-tbl_Case_mins[[#This Row],[Surgery Start]]),0)</f>
        <v>#REF!</v>
      </c>
      <c r="AY389" s="9" t="e">
        <f>tbl_Case_mins[[#This Row],[Surgery Start]]-tbl_Case_mins[[#This Row],[AnaesthStart]]</f>
        <v>#REF!</v>
      </c>
      <c r="AZ389" s="9" t="e">
        <f>tbl_Case_mins[[#This Row],[Anaesth End]]-tbl_Case_mins[[#This Row],[Surgery Finish]]</f>
        <v>#REF!</v>
      </c>
      <c r="BA38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8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89" s="16" cm="1">
        <f t="array" ref="BC38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89" s="16" t="e">
        <f>IF(AND(tbl_Case_mins[[#This Row],[FirstAMCase]]=1,tbl_Case_mins[[#This Row],[CancelledCase]]=0,OR(tbl_Case_mins[[#This Row],[EarlyStartAM]]&gt;0,tbl_Case_mins[[#This Row],[AnaesthStart]]=tbl_Case_mins[[#This Row],[ThOpenAm]])),1,0)</f>
        <v>#REF!</v>
      </c>
      <c r="BE389" s="16" t="e">
        <f>IF(AND(tbl_Case_mins[[#This Row],[Rank_AnaSt]]=tbl_Case_mins[[#This Row],[Min_RankAnaSt]],tbl_Case_mins[[#This Row],[Anaesth End]]&gt;=tbl_Case_mins[[#This Row],[ThOpenAm]],tbl_Case_mins[[#This Row],[PmCase]]=0),1,0)</f>
        <v>#REF!</v>
      </c>
      <c r="BF38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8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89" s="9" t="e" cm="1">
        <f t="array" ref="BH38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8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8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89" s="9" t="e">
        <f>IF(AND(tbl_Case_mins[[#This Row],[ThOpenPM]]&gt;0,tbl_Case_mins[[#This Row],[AnaesthStart]]&gt;tbl_Case_mins[[#This Row],[ThOpenPM]],tbl_Case_mins[[#This Row],[First PM Case]]=1),tbl_Case_mins[[#This Row],[AnaesthStart]]-tbl_Case_mins[[#This Row],[ThOpenPM]],0)</f>
        <v>#REF!</v>
      </c>
      <c r="BL38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8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89" s="9" t="e" cm="1">
        <f t="array" ref="BN38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89" s="9" t="e">
        <f>IF(AND(tbl_Case_mins[[#This Row],[ThClosePm]]&gt;0,tbl_Case_mins[[#This Row],[Anaesth End]]&gt;tbl_Case_mins[[#This Row],[ThClosePm]],tbl_Case_mins[[#This Row],[AnaesthStart]]&gt;tbl_Case_mins[[#This Row],[ThClosePm]]),tbl_Case_mins[[#This Row],[Into Recov]]-tbl_Case_mins[[#This Row],[AnaesthStart]],0)</f>
        <v>#REF!</v>
      </c>
      <c r="BP389" s="9" t="e">
        <f>IF(AND(tbl_Case_mins[[#This Row],[AnaesthStart]]&lt;tbl_Case_mins[[#This Row],[ThClosePm]],tbl_Case_mins[[#This Row],[Anaesth End]]&gt;tbl_Case_mins[[#This Row],[ThClosePm]]),tbl_Case_mins[[#This Row],[Anaesth End]]-tbl_Case_mins[[#This Row],[ThClosePm]],0)</f>
        <v>#REF!</v>
      </c>
      <c r="BQ389" s="9" t="e" cm="1">
        <f t="array" ref="BQ38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89" s="9" t="e" cm="1">
        <f t="array" ref="BR389">IF(tbl_Case_mins[[#This Row],[Rank_Adjust]]=SUMPRODUCT(-(tbl_Case_mins[Surgery Start Date]=tbl_Case_mins[[#This Row],[Surgery Start Date]]),-(tbl_Case_mins[Theatre]=tbl_Case_mins[[#This Row],[Theatre]])),INDEX(Poss_Time,MATCH(TEXT(tbl_Case_mins[[#This Row],[Surgery Start Date]],"ddd"),Day,0)),0)</f>
        <v>#REF!</v>
      </c>
      <c r="BS389" s="9" t="e">
        <f>tbl_Case_mins[[#This Row],[Core_Time]]*Util_Goal</f>
        <v>#REF!</v>
      </c>
      <c r="BT389" s="9" t="e" cm="1">
        <f t="array" ref="BT3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89" s="9" t="e" cm="1">
        <f t="array" ref="BU38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8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8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89" s="9" t="e">
        <f>IF(tbl_Case_mins[[#This Row],[Surgery End Date]]&gt;tbl_Case_mins[[#This Row],[Surgery Start Date]],tbl_Case_mins[[#This Row],[Anaesth End]]-1440,0)</f>
        <v>#REF!</v>
      </c>
      <c r="BY389" s="9" t="e">
        <f>tbl_Case_mins[[#This Row],[Total_NonCore]]-tbl_Case_mins[[#This Row],[NextDay_NonCore]]</f>
        <v>#REF!</v>
      </c>
      <c r="BZ389" s="10" t="e">
        <f>tbl_Case_mins[[#This Row],[InCoreUse]]/60</f>
        <v>#REF!</v>
      </c>
      <c r="CA389" s="10" t="e">
        <f>tbl_Case_mins[[#This Row],[Total_NonCore]]/60</f>
        <v>#REF!</v>
      </c>
      <c r="CB389" t="e" cm="1">
        <f t="array" ref="CB3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89" s="9" t="e" cm="1">
        <f t="array" ref="CC38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89" s="9" t="e" cm="1">
        <f t="array" ref="CD38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89" s="9" t="e" cm="1">
        <f t="array" ref="CE38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89" s="9" cm="1">
        <f t="array" ref="CF389">IFERROR(_xlfn.AGGREGATE(14,6,(tbl_Case_mins[Rank_AnaEnd])/((tbl_Case_mins[Surgery Start Date]=tbl_Case_mins[[#This Row],[Surgery Start Date]])*(tbl_Case_mins[Theatre]=tbl_Case_mins[[#This Row],[Theatre]])*(tbl_Case_mins[NoInCoreTime]=0)),1),-1)</f>
        <v>-1</v>
      </c>
      <c r="CG389" s="9" cm="1">
        <f t="array" ref="CG389">IFERROR(_xlfn.AGGREGATE(15,6,(tbl_Case_mins[Rank_AnaSt])/((tbl_Case_mins[Surgery Start Date]=tbl_Case_mins[[#This Row],[Surgery Start Date]])*(tbl_Case_mins[Theatre]=tbl_Case_mins[[#This Row],[Theatre]])*(tbl_Case_mins[NoInCoreTime]=0)),1),-1)</f>
        <v>-1</v>
      </c>
      <c r="CH38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8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89" t="e" cm="1">
        <f t="array" ref="CJ38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8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8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8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89" s="9" cm="1">
        <f t="array" ref="CO3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89" s="9" cm="1">
        <f t="array" ref="CP38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89" s="9" cm="1">
        <f t="array" ref="CQ389">IFERROR(IF(AND(tbl_Case_mins[[#This Row],[FirstAMCase]]=0,tbl_Case_mins[[#This Row],[Rank]]=_xlfn.AGGREGATE(14,6,(tbl_Case_mins[Rank])/((tbl_Case_mins[Surgery Start Date]=tbl_Case_mins[[#This Row],[Surgery Start Date]])*(tbl_Case_mins[Theatre]=tbl_Case_mins[[#This Row],[Theatre]])*(tbl_Case_mins[AmCase]=1)),1)),1,0),0)</f>
        <v>0</v>
      </c>
      <c r="CR389" s="9" cm="1">
        <f t="array" ref="CR38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89" s="9" t="e" cm="1">
        <f t="array" ref="CS38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89" s="9" cm="1">
        <f t="array" ref="CT389">IFERROR(IF(tbl_Case_mins[[#This Row],[Rank]]=_xlfn.AGGREGATE(15,6,(tbl_Case_mins[Rank])/((tbl_Case_mins[Surgery Start Date]=tbl_Case_mins[[#This Row],[Surgery Start Date]])*(tbl_Case_mins[Theatre]=tbl_Case_mins[[#This Row],[Theatre]])*(tbl_Case_mins[PmCase]=1)),1),1,0),0)</f>
        <v>0</v>
      </c>
      <c r="CU389">
        <f>IFERROR(#REF!,0)</f>
        <v>0</v>
      </c>
      <c r="CV389" s="9" t="e" cm="1">
        <f t="array" ref="CV38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89" s="9">
        <f>IFERROR(IF(ISBLANK(INDEX(Bay_AmClose,MATCH(1,INDEX((tbl_Case_mins[[#This Row],[Bay]]=BayNo)*(tbl_Case_mins[[#This Row],[Surgery Start Date]]=BDate),0,1),0))*1440),0,INDEX(Bay_AmClose,MATCH(1,INDEX((tbl_Case_mins[[#This Row],[Bay]]=BayNo)*(tbl_Case_mins[[#This Row],[Surgery Start Date]]=BDate),0,1),0))*1440),0)</f>
        <v>0</v>
      </c>
      <c r="CX389" s="9" cm="1">
        <f t="array" ref="CX389">IFERROR(IF(ISBLANK(INDEX(Bay_PmOpen,MATCH(1,INDEX((tbl_Case_mins[[#This Row],[Bay]]=BayNo)*(tbl_Case_mins[[#This Row],[Surgery Start Date]]=BDate),0,1),0))*1440),0,INDEX(Bay_PmOpen,MATCH(1,INDEX((tbl_Case_mins[[#This Row],[Bay]]=BayNo)*(tbl_Case_mins[[#This Row],[Surgery Start Date]]=BDate),0,1),0))*1440),0)</f>
        <v>0</v>
      </c>
      <c r="CY38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89" s="9"/>
    </row>
    <row r="390" spans="1:104" x14ac:dyDescent="0.2">
      <c r="A390">
        <v>389</v>
      </c>
      <c r="B390" t="e">
        <f>#REF!</f>
        <v>#REF!</v>
      </c>
      <c r="C390" t="e">
        <f>#REF!</f>
        <v>#REF!</v>
      </c>
      <c r="D390" t="e">
        <f>#REF!</f>
        <v>#REF!</v>
      </c>
      <c r="E390" t="e">
        <f>#REF!</f>
        <v>#REF!</v>
      </c>
      <c r="F390" t="e">
        <f>#REF!</f>
        <v>#REF!</v>
      </c>
      <c r="G390" t="e">
        <f>#REF!</f>
        <v>#REF!</v>
      </c>
      <c r="H390" t="e">
        <f>#REF!</f>
        <v>#REF!</v>
      </c>
      <c r="I390" t="e">
        <f>IF(#REF!="Case Cancelled",1,IF(#REF!="No Cases",2,0))</f>
        <v>#REF!</v>
      </c>
      <c r="J390" t="e">
        <f>#REF!</f>
        <v>#REF!</v>
      </c>
      <c r="K390" s="4" t="e">
        <f>#REF!</f>
        <v>#REF!</v>
      </c>
      <c r="L390" t="e">
        <f>"Wk "&amp;WEEKNUM(tbl_Case_mins[[#This Row],[Surgery Start Date]],21)</f>
        <v>#REF!</v>
      </c>
      <c r="M390" t="e">
        <f>TEXT(tbl_Case_mins[[#This Row],[Surgery Start Date]],"ddd")</f>
        <v>#REF!</v>
      </c>
      <c r="N390" s="9" t="e">
        <f>(#REF!-TIME(0,0,0))*1440</f>
        <v>#REF!</v>
      </c>
      <c r="O390" t="e">
        <f>IF(AND(ROUND((#REF!-TIME(0,0,0))*1440,0)&gt;0,ROUND((#REF!-TIME(0,0,0))*1440,0)&lt;tbl_Case_mins[[#This Row],[Patient Called]],tbl_Case_mins[[#This Row],[Surgery End Date]]&gt;tbl_Case_mins[[#This Row],[Surgery Start Date]]),ROUND((#REF!-TIME(0,0,0))*1440,0)+1440,ROUND((#REF!-TIME(0,0,0))*1440,0))</f>
        <v>#REF!</v>
      </c>
      <c r="P390" s="9" t="e">
        <f>IF(AND(ROUND((#REF!-TIME(0,0,0))*1440,0)&gt;0,ROUND((#REF!-TIME(0,0,0))*1440,0)&lt;tbl_Case_mins[[#This Row],[Arrival]],tbl_Case_mins[[#This Row],[Surgery End Date]]&gt;tbl_Case_mins[[#This Row],[Surgery Start Date]]),ROUND((#REF!-TIME(0,0,0))*1440,0)+1440,ROUND((#REF!-TIME(0,0,0))*1440,0))</f>
        <v>#REF!</v>
      </c>
      <c r="Q390" s="9" t="e">
        <f>IF(AND(ROUND((#REF!-TIME(0,0,0))*1440,0)&gt;0,ROUND((#REF!-TIME(0,0,0))*1440,0)&lt;tbl_Case_mins[[#This Row],[Into Th or AR]],tbl_Case_mins[[#This Row],[Surgery End Date]]&gt;tbl_Case_mins[[#This Row],[Surgery Start Date]]),ROUND((#REF!-TIME(0,0,0))*1440,0)+1440,ROUND((#REF!-TIME(0,0,0))*1440,0))</f>
        <v>#REF!</v>
      </c>
      <c r="R390" s="9" t="e">
        <f>IF(AND(ROUND((#REF!-TIME(0,0,0))*1440,0)&gt;0,ROUND((#REF!-TIME(0,0,0))*1440,0)&lt;tbl_Case_mins[[#This Row],[AnaesthStart]],tbl_Case_mins[[#This Row],[Surgery End Date]]&gt;tbl_Case_mins[[#This Row],[Surgery Start Date]]),ROUND((#REF!-TIME(0,0,0))*1440,0)+1440,ROUND((#REF!-TIME(0,0,0))*1440,0))</f>
        <v>#REF!</v>
      </c>
      <c r="S390" s="9" t="e">
        <f>IF(AND(ROUND((#REF!-TIME(0,0,0))*1440,0),ROUND((#REF!-TIME(0,0,0))*1440,0)&lt;tbl_Case_mins[[#This Row],[Surgery Start]],tbl_Case_mins[[#This Row],[Surgery End Date]]&gt;tbl_Case_mins[[#This Row],[Surgery Start Date]]),ROUND((#REF!-TIME(0,0,0))*1440,0)+1440,ROUND((#REF!-TIME(0,0,0))*1440,0))</f>
        <v>#REF!</v>
      </c>
      <c r="T390" s="9" t="e">
        <f>IF(AND(ROUND((#REF!-TIME(0,0,0))*1440,0)&gt;0,ROUND((#REF!-TIME(0,0,0))*1440,0)&lt;tbl_Case_mins[[#This Row],[Surgery Finish]],tbl_Case_mins[[#This Row],[Surgery End Date]]&gt;tbl_Case_mins[[#This Row],[Surgery Start Date]]),ROUND((#REF!-TIME(0,0,0))*1440,0)+1440,ROUND((#REF!-TIME(0,0,0))*1440,0))</f>
        <v>#REF!</v>
      </c>
      <c r="U390" s="9" t="e">
        <f>IF(AND(ROUND((#REF!-TIME(0,0,0))*1440,0)&gt;0,ROUND((#REF!-TIME(0,0,0))*1440,0)&lt;tbl_Case_mins[[#This Row],[Anaesth End]],tbl_Case_mins[[#This Row],[Surgery End Date]]&gt;tbl_Case_mins[[#This Row],[Surgery Start Date]]),ROUND((#REF!-TIME(0,0,0))*1440,0)+1440,ROUND((#REF!-TIME(0,0,0))*1440,0))</f>
        <v>#REF!</v>
      </c>
      <c r="V390" s="9" t="e">
        <f>IF(AND(ROUND((#REF!-TIME(0,0,0))*1440,0)&gt;0,ROUND((#REF!-TIME(0,0,0))*1440,0)&lt;tbl_Case_mins[[#This Row],[Into Recov]],tbl_Case_mins[[#This Row],[Surgery End Date]]&gt;tbl_Case_mins[[#This Row],[Surgery Start Date]]),ROUND((#REF!-TIME(0,0,0))*1440,0)+1440,ROUND((#REF!-TIME(0,0,0))*1440,0))</f>
        <v>#REF!</v>
      </c>
      <c r="W390" s="9" t="e">
        <f>IF(AND(ROUND((#REF!-TIME(0,0,0))*1440,0)&gt;0,ROUND((#REF!-TIME(0,0,0))*1440,0)&lt;tbl_Case_mins[[#This Row],[Ward Called]],tbl_Case_mins[[#This Row],[Surgery End Date]]&gt;tbl_Case_mins[[#This Row],[Surgery Start Date]]),ROUND((#REF!-TIME(0,0,0))*1440,0)+1440,ROUND((#REF!-TIME(0,0,0))*1440,0))</f>
        <v>#REF!</v>
      </c>
      <c r="X390" s="4" t="e">
        <f>IF(ISBLANK(#REF!),tbl_Case_mins[[#This Row],[Surgery Start Date]],#REF!)</f>
        <v>#REF!</v>
      </c>
      <c r="Y390">
        <f>IFERROR(IF(VLOOKUP(tbl_Case_mins[[#This Row],[Theatre]],'Mng Theatres'!$C$7:$G$12,3,FALSE)="Yes","Yes","No"),0)</f>
        <v>0</v>
      </c>
      <c r="Z390" s="9" t="e" cm="1">
        <f t="array" ref="Z39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0" s="9" t="e" cm="1">
        <f t="array" ref="AA39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0" s="9" t="e">
        <f>IF(tbl_Case_mins[[#This Row],[Case Type]]="Unsch",1,0)</f>
        <v>#REF!</v>
      </c>
      <c r="AD390" s="9" t="e">
        <f>IF(tbl_Case_mins[[#This Row],[Case Type]]="Sch",1,0)</f>
        <v>#REF!</v>
      </c>
      <c r="AE39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0" s="9">
        <f>IFERROR(IF(ISBLANK(INDEX(Am_Close,MATCH(1,INDEX((tbl_Case_mins[[#This Row],[Theatre]]=Theatre_No)*(tbl_Case_mins[[#This Row],[Surgery Start Date]]=Date),0,1),0))*1440),0,INDEX(Am_Close,MATCH(1,INDEX((tbl_Case_mins[[#This Row],[Theatre]]=Theatre_No)*(tbl_Case_mins[[#This Row],[Surgery Start Date]]=Date),0,1),0))*1440),0)</f>
        <v>0</v>
      </c>
      <c r="AG390" s="9">
        <f>IFERROR(IF(ISBLANK(INDEX(PM_Open,MATCH(1,INDEX((tbl_Case_mins[[#This Row],[Theatre]]=Theatre_No)*(tbl_Case_mins[[#This Row],[Surgery Start Date]]=Date),0,1),0))*1440),0,INDEX(PM_Open,MATCH(1,INDEX((tbl_Case_mins[[#This Row],[Theatre]]=Theatre_No)*(tbl_Case_mins[[#This Row],[Surgery Start Date]]=Date),0,1),0))*1440),0)</f>
        <v>0</v>
      </c>
      <c r="AH39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0" s="9" t="e">
        <f>IF(tbl_Case_mins[[#This Row],[ThOpenAm]]=0,tbl_Case_mins[[#This Row],[ThOpenPM]],tbl_Case_mins[[#This Row],[ThOpenAm]])</f>
        <v>#REF!</v>
      </c>
      <c r="AJ390" s="9" t="e">
        <f>IF(tbl_Case_mins[[#This Row],[ThCloseAm]]&gt;0,IF(tbl_Case_mins[[#This Row],[ThOpenPM]]&gt;0,tbl_Case_mins[[#This Row],[ThClosePm]],tbl_Case_mins[[#This Row],[ThCloseAm]]),tbl_Case_mins[[#This Row],[ThClosePm]])</f>
        <v>#REF!</v>
      </c>
      <c r="AK390" s="9" t="e">
        <f>IF(tbl_Case_mins[[#This Row],[TOT]]&gt;0,1,0)</f>
        <v>#REF!</v>
      </c>
      <c r="AL39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0" s="9" t="e">
        <f>IF(AND(tbl_Case_mins[[#This Row],[Surgery Status]]&lt;&gt;2,tbl_Case_mins[[#This Row],[InCoreCase]]=0,tbl_Case_mins[[#This Row],[CancelledCase]]=0),1,0)</f>
        <v>#REF!</v>
      </c>
      <c r="AN390" s="9" t="e">
        <f>IF(tbl_Case_mins[[#This Row],[Surgery Status]]=1,1,0)</f>
        <v>#REF!</v>
      </c>
      <c r="AO39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0" s="9" t="e">
        <f>IF(AND(tbl_Case_mins[[#This Row],[NonCoreCase]]=1,tbl_Case_mins[[#This Row],[NoInCoreTime]]=0),1,0)</f>
        <v>#REF!</v>
      </c>
      <c r="AQ390" s="9" t="e">
        <f>IF(tbl_Case_mins[[#This Row],[Rank_AnaEnd]]&lt;tbl_Case_mins[[#This Row],[Rank_AnaSt]],1,0)</f>
        <v>#REF!</v>
      </c>
      <c r="AR390" s="9" t="e">
        <f>IF(AND(tbl_Case_mins[[#This Row],[InCoreCase]]=1,tbl_Case_mins[[#This Row],[Sch]]=1),1,0)</f>
        <v>#REF!</v>
      </c>
      <c r="AS390" s="9" t="e">
        <f>IF(AND(tbl_Case_mins[[#This Row],[InCoreCase]]=1,tbl_Case_mins[[#This Row],[Unsch]]=1),1,0)</f>
        <v>#REF!</v>
      </c>
      <c r="AT39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0" s="9" t="e">
        <f>IF(tbl_Case_mins[[#This Row],[Surgery Status]]=0,(tbl_Case_mins[[#This Row],[Anaesth End]]-tbl_Case_mins[[#This Row],[AnaesthStart]]),0)</f>
        <v>#REF!</v>
      </c>
      <c r="AX390" s="9" t="e">
        <f>IF(tbl_Case_mins[[#This Row],[Surgery Status]]=0,(tbl_Case_mins[[#This Row],[Surgery Finish]]-tbl_Case_mins[[#This Row],[Surgery Start]]),0)</f>
        <v>#REF!</v>
      </c>
      <c r="AY390" s="9" t="e">
        <f>tbl_Case_mins[[#This Row],[Surgery Start]]-tbl_Case_mins[[#This Row],[AnaesthStart]]</f>
        <v>#REF!</v>
      </c>
      <c r="AZ390" s="9" t="e">
        <f>tbl_Case_mins[[#This Row],[Anaesth End]]-tbl_Case_mins[[#This Row],[Surgery Finish]]</f>
        <v>#REF!</v>
      </c>
      <c r="BA39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0" s="16" cm="1">
        <f t="array" ref="BC39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0" s="16" t="e">
        <f>IF(AND(tbl_Case_mins[[#This Row],[FirstAMCase]]=1,tbl_Case_mins[[#This Row],[CancelledCase]]=0,OR(tbl_Case_mins[[#This Row],[EarlyStartAM]]&gt;0,tbl_Case_mins[[#This Row],[AnaesthStart]]=tbl_Case_mins[[#This Row],[ThOpenAm]])),1,0)</f>
        <v>#REF!</v>
      </c>
      <c r="BE390" s="16" t="e">
        <f>IF(AND(tbl_Case_mins[[#This Row],[Rank_AnaSt]]=tbl_Case_mins[[#This Row],[Min_RankAnaSt]],tbl_Case_mins[[#This Row],[Anaesth End]]&gt;=tbl_Case_mins[[#This Row],[ThOpenAm]],tbl_Case_mins[[#This Row],[PmCase]]=0),1,0)</f>
        <v>#REF!</v>
      </c>
      <c r="BF39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0" s="9" t="e" cm="1">
        <f t="array" ref="BH39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0" s="9" t="e">
        <f>IF(AND(tbl_Case_mins[[#This Row],[ThOpenPM]]&gt;0,tbl_Case_mins[[#This Row],[AnaesthStart]]&gt;tbl_Case_mins[[#This Row],[ThOpenPM]],tbl_Case_mins[[#This Row],[First PM Case]]=1),tbl_Case_mins[[#This Row],[AnaesthStart]]-tbl_Case_mins[[#This Row],[ThOpenPM]],0)</f>
        <v>#REF!</v>
      </c>
      <c r="BL39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0" s="9" t="e" cm="1">
        <f t="array" ref="BN39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0" s="9" t="e">
        <f>IF(AND(tbl_Case_mins[[#This Row],[ThClosePm]]&gt;0,tbl_Case_mins[[#This Row],[Anaesth End]]&gt;tbl_Case_mins[[#This Row],[ThClosePm]],tbl_Case_mins[[#This Row],[AnaesthStart]]&gt;tbl_Case_mins[[#This Row],[ThClosePm]]),tbl_Case_mins[[#This Row],[Into Recov]]-tbl_Case_mins[[#This Row],[AnaesthStart]],0)</f>
        <v>#REF!</v>
      </c>
      <c r="BP390" s="9" t="e">
        <f>IF(AND(tbl_Case_mins[[#This Row],[AnaesthStart]]&lt;tbl_Case_mins[[#This Row],[ThClosePm]],tbl_Case_mins[[#This Row],[Anaesth End]]&gt;tbl_Case_mins[[#This Row],[ThClosePm]]),tbl_Case_mins[[#This Row],[Anaesth End]]-tbl_Case_mins[[#This Row],[ThClosePm]],0)</f>
        <v>#REF!</v>
      </c>
      <c r="BQ390" s="9" t="e" cm="1">
        <f t="array" ref="BQ39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0" s="9" t="e" cm="1">
        <f t="array" ref="BR390">IF(tbl_Case_mins[[#This Row],[Rank_Adjust]]=SUMPRODUCT(-(tbl_Case_mins[Surgery Start Date]=tbl_Case_mins[[#This Row],[Surgery Start Date]]),-(tbl_Case_mins[Theatre]=tbl_Case_mins[[#This Row],[Theatre]])),INDEX(Poss_Time,MATCH(TEXT(tbl_Case_mins[[#This Row],[Surgery Start Date]],"ddd"),Day,0)),0)</f>
        <v>#REF!</v>
      </c>
      <c r="BS390" s="9" t="e">
        <f>tbl_Case_mins[[#This Row],[Core_Time]]*Util_Goal</f>
        <v>#REF!</v>
      </c>
      <c r="BT390" s="9" t="e" cm="1">
        <f t="array" ref="BT3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0" s="9" t="e" cm="1">
        <f t="array" ref="BU39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0" s="9" t="e">
        <f>IF(tbl_Case_mins[[#This Row],[Surgery End Date]]&gt;tbl_Case_mins[[#This Row],[Surgery Start Date]],tbl_Case_mins[[#This Row],[Anaesth End]]-1440,0)</f>
        <v>#REF!</v>
      </c>
      <c r="BY390" s="9" t="e">
        <f>tbl_Case_mins[[#This Row],[Total_NonCore]]-tbl_Case_mins[[#This Row],[NextDay_NonCore]]</f>
        <v>#REF!</v>
      </c>
      <c r="BZ390" s="10" t="e">
        <f>tbl_Case_mins[[#This Row],[InCoreUse]]/60</f>
        <v>#REF!</v>
      </c>
      <c r="CA390" s="10" t="e">
        <f>tbl_Case_mins[[#This Row],[Total_NonCore]]/60</f>
        <v>#REF!</v>
      </c>
      <c r="CB390" t="e" cm="1">
        <f t="array" ref="CB3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0" s="9" t="e" cm="1">
        <f t="array" ref="CC39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0" s="9" t="e" cm="1">
        <f t="array" ref="CD39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0" s="9" t="e" cm="1">
        <f t="array" ref="CE39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0" s="9" cm="1">
        <f t="array" ref="CF390">IFERROR(_xlfn.AGGREGATE(14,6,(tbl_Case_mins[Rank_AnaEnd])/((tbl_Case_mins[Surgery Start Date]=tbl_Case_mins[[#This Row],[Surgery Start Date]])*(tbl_Case_mins[Theatre]=tbl_Case_mins[[#This Row],[Theatre]])*(tbl_Case_mins[NoInCoreTime]=0)),1),-1)</f>
        <v>-1</v>
      </c>
      <c r="CG390" s="9" cm="1">
        <f t="array" ref="CG390">IFERROR(_xlfn.AGGREGATE(15,6,(tbl_Case_mins[Rank_AnaSt])/((tbl_Case_mins[Surgery Start Date]=tbl_Case_mins[[#This Row],[Surgery Start Date]])*(tbl_Case_mins[Theatre]=tbl_Case_mins[[#This Row],[Theatre]])*(tbl_Case_mins[NoInCoreTime]=0)),1),-1)</f>
        <v>-1</v>
      </c>
      <c r="CH39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0" t="e" cm="1">
        <f t="array" ref="CJ39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0" s="9" cm="1">
        <f t="array" ref="CO3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0" s="9" cm="1">
        <f t="array" ref="CP39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0" s="9" cm="1">
        <f t="array" ref="CQ390">IFERROR(IF(AND(tbl_Case_mins[[#This Row],[FirstAMCase]]=0,tbl_Case_mins[[#This Row],[Rank]]=_xlfn.AGGREGATE(14,6,(tbl_Case_mins[Rank])/((tbl_Case_mins[Surgery Start Date]=tbl_Case_mins[[#This Row],[Surgery Start Date]])*(tbl_Case_mins[Theatre]=tbl_Case_mins[[#This Row],[Theatre]])*(tbl_Case_mins[AmCase]=1)),1)),1,0),0)</f>
        <v>0</v>
      </c>
      <c r="CR390" s="9" cm="1">
        <f t="array" ref="CR39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0" s="9" t="e" cm="1">
        <f t="array" ref="CS39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0" s="9" cm="1">
        <f t="array" ref="CT390">IFERROR(IF(tbl_Case_mins[[#This Row],[Rank]]=_xlfn.AGGREGATE(15,6,(tbl_Case_mins[Rank])/((tbl_Case_mins[Surgery Start Date]=tbl_Case_mins[[#This Row],[Surgery Start Date]])*(tbl_Case_mins[Theatre]=tbl_Case_mins[[#This Row],[Theatre]])*(tbl_Case_mins[PmCase]=1)),1),1,0),0)</f>
        <v>0</v>
      </c>
      <c r="CU390">
        <f>IFERROR(#REF!,0)</f>
        <v>0</v>
      </c>
      <c r="CV390" s="9" t="e" cm="1">
        <f t="array" ref="CV39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0" s="9">
        <f>IFERROR(IF(ISBLANK(INDEX(Bay_AmClose,MATCH(1,INDEX((tbl_Case_mins[[#This Row],[Bay]]=BayNo)*(tbl_Case_mins[[#This Row],[Surgery Start Date]]=BDate),0,1),0))*1440),0,INDEX(Bay_AmClose,MATCH(1,INDEX((tbl_Case_mins[[#This Row],[Bay]]=BayNo)*(tbl_Case_mins[[#This Row],[Surgery Start Date]]=BDate),0,1),0))*1440),0)</f>
        <v>0</v>
      </c>
      <c r="CX390" s="9" cm="1">
        <f t="array" ref="CX390">IFERROR(IF(ISBLANK(INDEX(Bay_PmOpen,MATCH(1,INDEX((tbl_Case_mins[[#This Row],[Bay]]=BayNo)*(tbl_Case_mins[[#This Row],[Surgery Start Date]]=BDate),0,1),0))*1440),0,INDEX(Bay_PmOpen,MATCH(1,INDEX((tbl_Case_mins[[#This Row],[Bay]]=BayNo)*(tbl_Case_mins[[#This Row],[Surgery Start Date]]=BDate),0,1),0))*1440),0)</f>
        <v>0</v>
      </c>
      <c r="CY39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0" s="9"/>
    </row>
    <row r="391" spans="1:104" x14ac:dyDescent="0.2">
      <c r="A391">
        <v>390</v>
      </c>
      <c r="B391" t="e">
        <f>#REF!</f>
        <v>#REF!</v>
      </c>
      <c r="C391" t="e">
        <f>#REF!</f>
        <v>#REF!</v>
      </c>
      <c r="D391" t="e">
        <f>#REF!</f>
        <v>#REF!</v>
      </c>
      <c r="E391" t="e">
        <f>#REF!</f>
        <v>#REF!</v>
      </c>
      <c r="F391" t="e">
        <f>#REF!</f>
        <v>#REF!</v>
      </c>
      <c r="G391" t="e">
        <f>#REF!</f>
        <v>#REF!</v>
      </c>
      <c r="H391" t="e">
        <f>#REF!</f>
        <v>#REF!</v>
      </c>
      <c r="I391" t="e">
        <f>IF(#REF!="Case Cancelled",1,IF(#REF!="No Cases",2,0))</f>
        <v>#REF!</v>
      </c>
      <c r="J391" t="e">
        <f>#REF!</f>
        <v>#REF!</v>
      </c>
      <c r="K391" s="4" t="e">
        <f>#REF!</f>
        <v>#REF!</v>
      </c>
      <c r="L391" t="e">
        <f>"Wk "&amp;WEEKNUM(tbl_Case_mins[[#This Row],[Surgery Start Date]],21)</f>
        <v>#REF!</v>
      </c>
      <c r="M391" t="e">
        <f>TEXT(tbl_Case_mins[[#This Row],[Surgery Start Date]],"ddd")</f>
        <v>#REF!</v>
      </c>
      <c r="N391" s="9" t="e">
        <f>(#REF!-TIME(0,0,0))*1440</f>
        <v>#REF!</v>
      </c>
      <c r="O391" t="e">
        <f>IF(AND(ROUND((#REF!-TIME(0,0,0))*1440,0)&gt;0,ROUND((#REF!-TIME(0,0,0))*1440,0)&lt;tbl_Case_mins[[#This Row],[Patient Called]],tbl_Case_mins[[#This Row],[Surgery End Date]]&gt;tbl_Case_mins[[#This Row],[Surgery Start Date]]),ROUND((#REF!-TIME(0,0,0))*1440,0)+1440,ROUND((#REF!-TIME(0,0,0))*1440,0))</f>
        <v>#REF!</v>
      </c>
      <c r="P391" s="9" t="e">
        <f>IF(AND(ROUND((#REF!-TIME(0,0,0))*1440,0)&gt;0,ROUND((#REF!-TIME(0,0,0))*1440,0)&lt;tbl_Case_mins[[#This Row],[Arrival]],tbl_Case_mins[[#This Row],[Surgery End Date]]&gt;tbl_Case_mins[[#This Row],[Surgery Start Date]]),ROUND((#REF!-TIME(0,0,0))*1440,0)+1440,ROUND((#REF!-TIME(0,0,0))*1440,0))</f>
        <v>#REF!</v>
      </c>
      <c r="Q391" s="9" t="e">
        <f>IF(AND(ROUND((#REF!-TIME(0,0,0))*1440,0)&gt;0,ROUND((#REF!-TIME(0,0,0))*1440,0)&lt;tbl_Case_mins[[#This Row],[Into Th or AR]],tbl_Case_mins[[#This Row],[Surgery End Date]]&gt;tbl_Case_mins[[#This Row],[Surgery Start Date]]),ROUND((#REF!-TIME(0,0,0))*1440,0)+1440,ROUND((#REF!-TIME(0,0,0))*1440,0))</f>
        <v>#REF!</v>
      </c>
      <c r="R391" s="9" t="e">
        <f>IF(AND(ROUND((#REF!-TIME(0,0,0))*1440,0)&gt;0,ROUND((#REF!-TIME(0,0,0))*1440,0)&lt;tbl_Case_mins[[#This Row],[AnaesthStart]],tbl_Case_mins[[#This Row],[Surgery End Date]]&gt;tbl_Case_mins[[#This Row],[Surgery Start Date]]),ROUND((#REF!-TIME(0,0,0))*1440,0)+1440,ROUND((#REF!-TIME(0,0,0))*1440,0))</f>
        <v>#REF!</v>
      </c>
      <c r="S391" s="9" t="e">
        <f>IF(AND(ROUND((#REF!-TIME(0,0,0))*1440,0),ROUND((#REF!-TIME(0,0,0))*1440,0)&lt;tbl_Case_mins[[#This Row],[Surgery Start]],tbl_Case_mins[[#This Row],[Surgery End Date]]&gt;tbl_Case_mins[[#This Row],[Surgery Start Date]]),ROUND((#REF!-TIME(0,0,0))*1440,0)+1440,ROUND((#REF!-TIME(0,0,0))*1440,0))</f>
        <v>#REF!</v>
      </c>
      <c r="T391" s="9" t="e">
        <f>IF(AND(ROUND((#REF!-TIME(0,0,0))*1440,0)&gt;0,ROUND((#REF!-TIME(0,0,0))*1440,0)&lt;tbl_Case_mins[[#This Row],[Surgery Finish]],tbl_Case_mins[[#This Row],[Surgery End Date]]&gt;tbl_Case_mins[[#This Row],[Surgery Start Date]]),ROUND((#REF!-TIME(0,0,0))*1440,0)+1440,ROUND((#REF!-TIME(0,0,0))*1440,0))</f>
        <v>#REF!</v>
      </c>
      <c r="U391" s="9" t="e">
        <f>IF(AND(ROUND((#REF!-TIME(0,0,0))*1440,0)&gt;0,ROUND((#REF!-TIME(0,0,0))*1440,0)&lt;tbl_Case_mins[[#This Row],[Anaesth End]],tbl_Case_mins[[#This Row],[Surgery End Date]]&gt;tbl_Case_mins[[#This Row],[Surgery Start Date]]),ROUND((#REF!-TIME(0,0,0))*1440,0)+1440,ROUND((#REF!-TIME(0,0,0))*1440,0))</f>
        <v>#REF!</v>
      </c>
      <c r="V391" s="9" t="e">
        <f>IF(AND(ROUND((#REF!-TIME(0,0,0))*1440,0)&gt;0,ROUND((#REF!-TIME(0,0,0))*1440,0)&lt;tbl_Case_mins[[#This Row],[Into Recov]],tbl_Case_mins[[#This Row],[Surgery End Date]]&gt;tbl_Case_mins[[#This Row],[Surgery Start Date]]),ROUND((#REF!-TIME(0,0,0))*1440,0)+1440,ROUND((#REF!-TIME(0,0,0))*1440,0))</f>
        <v>#REF!</v>
      </c>
      <c r="W391" s="9" t="e">
        <f>IF(AND(ROUND((#REF!-TIME(0,0,0))*1440,0)&gt;0,ROUND((#REF!-TIME(0,0,0))*1440,0)&lt;tbl_Case_mins[[#This Row],[Ward Called]],tbl_Case_mins[[#This Row],[Surgery End Date]]&gt;tbl_Case_mins[[#This Row],[Surgery Start Date]]),ROUND((#REF!-TIME(0,0,0))*1440,0)+1440,ROUND((#REF!-TIME(0,0,0))*1440,0))</f>
        <v>#REF!</v>
      </c>
      <c r="X391" s="4" t="e">
        <f>IF(ISBLANK(#REF!),tbl_Case_mins[[#This Row],[Surgery Start Date]],#REF!)</f>
        <v>#REF!</v>
      </c>
      <c r="Y391">
        <f>IFERROR(IF(VLOOKUP(tbl_Case_mins[[#This Row],[Theatre]],'Mng Theatres'!$C$7:$G$12,3,FALSE)="Yes","Yes","No"),0)</f>
        <v>0</v>
      </c>
      <c r="Z391" s="9" t="e" cm="1">
        <f t="array" ref="Z39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1" s="9" t="e" cm="1">
        <f t="array" ref="AA39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1" s="9" t="e">
        <f>IF(tbl_Case_mins[[#This Row],[Case Type]]="Unsch",1,0)</f>
        <v>#REF!</v>
      </c>
      <c r="AD391" s="9" t="e">
        <f>IF(tbl_Case_mins[[#This Row],[Case Type]]="Sch",1,0)</f>
        <v>#REF!</v>
      </c>
      <c r="AE39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1" s="9">
        <f>IFERROR(IF(ISBLANK(INDEX(Am_Close,MATCH(1,INDEX((tbl_Case_mins[[#This Row],[Theatre]]=Theatre_No)*(tbl_Case_mins[[#This Row],[Surgery Start Date]]=Date),0,1),0))*1440),0,INDEX(Am_Close,MATCH(1,INDEX((tbl_Case_mins[[#This Row],[Theatre]]=Theatre_No)*(tbl_Case_mins[[#This Row],[Surgery Start Date]]=Date),0,1),0))*1440),0)</f>
        <v>0</v>
      </c>
      <c r="AG391" s="9">
        <f>IFERROR(IF(ISBLANK(INDEX(PM_Open,MATCH(1,INDEX((tbl_Case_mins[[#This Row],[Theatre]]=Theatre_No)*(tbl_Case_mins[[#This Row],[Surgery Start Date]]=Date),0,1),0))*1440),0,INDEX(PM_Open,MATCH(1,INDEX((tbl_Case_mins[[#This Row],[Theatre]]=Theatre_No)*(tbl_Case_mins[[#This Row],[Surgery Start Date]]=Date),0,1),0))*1440),0)</f>
        <v>0</v>
      </c>
      <c r="AH39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1" s="9" t="e">
        <f>IF(tbl_Case_mins[[#This Row],[ThOpenAm]]=0,tbl_Case_mins[[#This Row],[ThOpenPM]],tbl_Case_mins[[#This Row],[ThOpenAm]])</f>
        <v>#REF!</v>
      </c>
      <c r="AJ391" s="9" t="e">
        <f>IF(tbl_Case_mins[[#This Row],[ThCloseAm]]&gt;0,IF(tbl_Case_mins[[#This Row],[ThOpenPM]]&gt;0,tbl_Case_mins[[#This Row],[ThClosePm]],tbl_Case_mins[[#This Row],[ThCloseAm]]),tbl_Case_mins[[#This Row],[ThClosePm]])</f>
        <v>#REF!</v>
      </c>
      <c r="AK391" s="9" t="e">
        <f>IF(tbl_Case_mins[[#This Row],[TOT]]&gt;0,1,0)</f>
        <v>#REF!</v>
      </c>
      <c r="AL39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1" s="9" t="e">
        <f>IF(AND(tbl_Case_mins[[#This Row],[Surgery Status]]&lt;&gt;2,tbl_Case_mins[[#This Row],[InCoreCase]]=0,tbl_Case_mins[[#This Row],[CancelledCase]]=0),1,0)</f>
        <v>#REF!</v>
      </c>
      <c r="AN391" s="9" t="e">
        <f>IF(tbl_Case_mins[[#This Row],[Surgery Status]]=1,1,0)</f>
        <v>#REF!</v>
      </c>
      <c r="AO39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1" s="9" t="e">
        <f>IF(AND(tbl_Case_mins[[#This Row],[NonCoreCase]]=1,tbl_Case_mins[[#This Row],[NoInCoreTime]]=0),1,0)</f>
        <v>#REF!</v>
      </c>
      <c r="AQ391" s="9" t="e">
        <f>IF(tbl_Case_mins[[#This Row],[Rank_AnaEnd]]&lt;tbl_Case_mins[[#This Row],[Rank_AnaSt]],1,0)</f>
        <v>#REF!</v>
      </c>
      <c r="AR391" s="9" t="e">
        <f>IF(AND(tbl_Case_mins[[#This Row],[InCoreCase]]=1,tbl_Case_mins[[#This Row],[Sch]]=1),1,0)</f>
        <v>#REF!</v>
      </c>
      <c r="AS391" s="9" t="e">
        <f>IF(AND(tbl_Case_mins[[#This Row],[InCoreCase]]=1,tbl_Case_mins[[#This Row],[Unsch]]=1),1,0)</f>
        <v>#REF!</v>
      </c>
      <c r="AT39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1" s="9" t="e">
        <f>IF(tbl_Case_mins[[#This Row],[Surgery Status]]=0,(tbl_Case_mins[[#This Row],[Anaesth End]]-tbl_Case_mins[[#This Row],[AnaesthStart]]),0)</f>
        <v>#REF!</v>
      </c>
      <c r="AX391" s="9" t="e">
        <f>IF(tbl_Case_mins[[#This Row],[Surgery Status]]=0,(tbl_Case_mins[[#This Row],[Surgery Finish]]-tbl_Case_mins[[#This Row],[Surgery Start]]),0)</f>
        <v>#REF!</v>
      </c>
      <c r="AY391" s="9" t="e">
        <f>tbl_Case_mins[[#This Row],[Surgery Start]]-tbl_Case_mins[[#This Row],[AnaesthStart]]</f>
        <v>#REF!</v>
      </c>
      <c r="AZ391" s="9" t="e">
        <f>tbl_Case_mins[[#This Row],[Anaesth End]]-tbl_Case_mins[[#This Row],[Surgery Finish]]</f>
        <v>#REF!</v>
      </c>
      <c r="BA39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1" s="16" cm="1">
        <f t="array" ref="BC39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1" s="16" t="e">
        <f>IF(AND(tbl_Case_mins[[#This Row],[FirstAMCase]]=1,tbl_Case_mins[[#This Row],[CancelledCase]]=0,OR(tbl_Case_mins[[#This Row],[EarlyStartAM]]&gt;0,tbl_Case_mins[[#This Row],[AnaesthStart]]=tbl_Case_mins[[#This Row],[ThOpenAm]])),1,0)</f>
        <v>#REF!</v>
      </c>
      <c r="BE391" s="16" t="e">
        <f>IF(AND(tbl_Case_mins[[#This Row],[Rank_AnaSt]]=tbl_Case_mins[[#This Row],[Min_RankAnaSt]],tbl_Case_mins[[#This Row],[Anaesth End]]&gt;=tbl_Case_mins[[#This Row],[ThOpenAm]],tbl_Case_mins[[#This Row],[PmCase]]=0),1,0)</f>
        <v>#REF!</v>
      </c>
      <c r="BF39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1" s="9" t="e" cm="1">
        <f t="array" ref="BH39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1" s="9" t="e">
        <f>IF(AND(tbl_Case_mins[[#This Row],[ThOpenPM]]&gt;0,tbl_Case_mins[[#This Row],[AnaesthStart]]&gt;tbl_Case_mins[[#This Row],[ThOpenPM]],tbl_Case_mins[[#This Row],[First PM Case]]=1),tbl_Case_mins[[#This Row],[AnaesthStart]]-tbl_Case_mins[[#This Row],[ThOpenPM]],0)</f>
        <v>#REF!</v>
      </c>
      <c r="BL39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1" s="9" t="e" cm="1">
        <f t="array" ref="BN39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1" s="9" t="e">
        <f>IF(AND(tbl_Case_mins[[#This Row],[ThClosePm]]&gt;0,tbl_Case_mins[[#This Row],[Anaesth End]]&gt;tbl_Case_mins[[#This Row],[ThClosePm]],tbl_Case_mins[[#This Row],[AnaesthStart]]&gt;tbl_Case_mins[[#This Row],[ThClosePm]]),tbl_Case_mins[[#This Row],[Into Recov]]-tbl_Case_mins[[#This Row],[AnaesthStart]],0)</f>
        <v>#REF!</v>
      </c>
      <c r="BP391" s="9" t="e">
        <f>IF(AND(tbl_Case_mins[[#This Row],[AnaesthStart]]&lt;tbl_Case_mins[[#This Row],[ThClosePm]],tbl_Case_mins[[#This Row],[Anaesth End]]&gt;tbl_Case_mins[[#This Row],[ThClosePm]]),tbl_Case_mins[[#This Row],[Anaesth End]]-tbl_Case_mins[[#This Row],[ThClosePm]],0)</f>
        <v>#REF!</v>
      </c>
      <c r="BQ391" s="9" t="e" cm="1">
        <f t="array" ref="BQ39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1" s="9" t="e" cm="1">
        <f t="array" ref="BR391">IF(tbl_Case_mins[[#This Row],[Rank_Adjust]]=SUMPRODUCT(-(tbl_Case_mins[Surgery Start Date]=tbl_Case_mins[[#This Row],[Surgery Start Date]]),-(tbl_Case_mins[Theatre]=tbl_Case_mins[[#This Row],[Theatre]])),INDEX(Poss_Time,MATCH(TEXT(tbl_Case_mins[[#This Row],[Surgery Start Date]],"ddd"),Day,0)),0)</f>
        <v>#REF!</v>
      </c>
      <c r="BS391" s="9" t="e">
        <f>tbl_Case_mins[[#This Row],[Core_Time]]*Util_Goal</f>
        <v>#REF!</v>
      </c>
      <c r="BT391" s="9" t="e" cm="1">
        <f t="array" ref="BT3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1" s="9" t="e" cm="1">
        <f t="array" ref="BU39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1" s="9" t="e">
        <f>IF(tbl_Case_mins[[#This Row],[Surgery End Date]]&gt;tbl_Case_mins[[#This Row],[Surgery Start Date]],tbl_Case_mins[[#This Row],[Anaesth End]]-1440,0)</f>
        <v>#REF!</v>
      </c>
      <c r="BY391" s="9" t="e">
        <f>tbl_Case_mins[[#This Row],[Total_NonCore]]-tbl_Case_mins[[#This Row],[NextDay_NonCore]]</f>
        <v>#REF!</v>
      </c>
      <c r="BZ391" s="10" t="e">
        <f>tbl_Case_mins[[#This Row],[InCoreUse]]/60</f>
        <v>#REF!</v>
      </c>
      <c r="CA391" s="10" t="e">
        <f>tbl_Case_mins[[#This Row],[Total_NonCore]]/60</f>
        <v>#REF!</v>
      </c>
      <c r="CB391" t="e" cm="1">
        <f t="array" ref="CB3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1" s="9" t="e" cm="1">
        <f t="array" ref="CC39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1" s="9" t="e" cm="1">
        <f t="array" ref="CD39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1" s="9" t="e" cm="1">
        <f t="array" ref="CE39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1" s="9" cm="1">
        <f t="array" ref="CF391">IFERROR(_xlfn.AGGREGATE(14,6,(tbl_Case_mins[Rank_AnaEnd])/((tbl_Case_mins[Surgery Start Date]=tbl_Case_mins[[#This Row],[Surgery Start Date]])*(tbl_Case_mins[Theatre]=tbl_Case_mins[[#This Row],[Theatre]])*(tbl_Case_mins[NoInCoreTime]=0)),1),-1)</f>
        <v>-1</v>
      </c>
      <c r="CG391" s="9" cm="1">
        <f t="array" ref="CG391">IFERROR(_xlfn.AGGREGATE(15,6,(tbl_Case_mins[Rank_AnaSt])/((tbl_Case_mins[Surgery Start Date]=tbl_Case_mins[[#This Row],[Surgery Start Date]])*(tbl_Case_mins[Theatre]=tbl_Case_mins[[#This Row],[Theatre]])*(tbl_Case_mins[NoInCoreTime]=0)),1),-1)</f>
        <v>-1</v>
      </c>
      <c r="CH39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1" t="e" cm="1">
        <f t="array" ref="CJ39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1" s="9" cm="1">
        <f t="array" ref="CO3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1" s="9" cm="1">
        <f t="array" ref="CP39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1" s="9" cm="1">
        <f t="array" ref="CQ391">IFERROR(IF(AND(tbl_Case_mins[[#This Row],[FirstAMCase]]=0,tbl_Case_mins[[#This Row],[Rank]]=_xlfn.AGGREGATE(14,6,(tbl_Case_mins[Rank])/((tbl_Case_mins[Surgery Start Date]=tbl_Case_mins[[#This Row],[Surgery Start Date]])*(tbl_Case_mins[Theatre]=tbl_Case_mins[[#This Row],[Theatre]])*(tbl_Case_mins[AmCase]=1)),1)),1,0),0)</f>
        <v>0</v>
      </c>
      <c r="CR391" s="9" cm="1">
        <f t="array" ref="CR39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1" s="9" t="e" cm="1">
        <f t="array" ref="CS39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1" s="9" cm="1">
        <f t="array" ref="CT391">IFERROR(IF(tbl_Case_mins[[#This Row],[Rank]]=_xlfn.AGGREGATE(15,6,(tbl_Case_mins[Rank])/((tbl_Case_mins[Surgery Start Date]=tbl_Case_mins[[#This Row],[Surgery Start Date]])*(tbl_Case_mins[Theatre]=tbl_Case_mins[[#This Row],[Theatre]])*(tbl_Case_mins[PmCase]=1)),1),1,0),0)</f>
        <v>0</v>
      </c>
      <c r="CU391">
        <f>IFERROR(#REF!,0)</f>
        <v>0</v>
      </c>
      <c r="CV391" s="9" t="e" cm="1">
        <f t="array" ref="CV39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1" s="9">
        <f>IFERROR(IF(ISBLANK(INDEX(Bay_AmClose,MATCH(1,INDEX((tbl_Case_mins[[#This Row],[Bay]]=BayNo)*(tbl_Case_mins[[#This Row],[Surgery Start Date]]=BDate),0,1),0))*1440),0,INDEX(Bay_AmClose,MATCH(1,INDEX((tbl_Case_mins[[#This Row],[Bay]]=BayNo)*(tbl_Case_mins[[#This Row],[Surgery Start Date]]=BDate),0,1),0))*1440),0)</f>
        <v>0</v>
      </c>
      <c r="CX391" s="9" cm="1">
        <f t="array" ref="CX391">IFERROR(IF(ISBLANK(INDEX(Bay_PmOpen,MATCH(1,INDEX((tbl_Case_mins[[#This Row],[Bay]]=BayNo)*(tbl_Case_mins[[#This Row],[Surgery Start Date]]=BDate),0,1),0))*1440),0,INDEX(Bay_PmOpen,MATCH(1,INDEX((tbl_Case_mins[[#This Row],[Bay]]=BayNo)*(tbl_Case_mins[[#This Row],[Surgery Start Date]]=BDate),0,1),0))*1440),0)</f>
        <v>0</v>
      </c>
      <c r="CY39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1" s="9"/>
    </row>
    <row r="392" spans="1:104" x14ac:dyDescent="0.2">
      <c r="A392">
        <v>391</v>
      </c>
      <c r="B392" t="e">
        <f>#REF!</f>
        <v>#REF!</v>
      </c>
      <c r="C392" t="e">
        <f>#REF!</f>
        <v>#REF!</v>
      </c>
      <c r="D392" t="e">
        <f>#REF!</f>
        <v>#REF!</v>
      </c>
      <c r="E392" t="e">
        <f>#REF!</f>
        <v>#REF!</v>
      </c>
      <c r="F392" t="e">
        <f>#REF!</f>
        <v>#REF!</v>
      </c>
      <c r="G392" t="e">
        <f>#REF!</f>
        <v>#REF!</v>
      </c>
      <c r="H392" t="e">
        <f>#REF!</f>
        <v>#REF!</v>
      </c>
      <c r="I392" t="e">
        <f>IF(#REF!="Case Cancelled",1,IF(#REF!="No Cases",2,0))</f>
        <v>#REF!</v>
      </c>
      <c r="J392" t="e">
        <f>#REF!</f>
        <v>#REF!</v>
      </c>
      <c r="K392" s="4" t="e">
        <f>#REF!</f>
        <v>#REF!</v>
      </c>
      <c r="L392" t="e">
        <f>"Wk "&amp;WEEKNUM(tbl_Case_mins[[#This Row],[Surgery Start Date]],21)</f>
        <v>#REF!</v>
      </c>
      <c r="M392" t="e">
        <f>TEXT(tbl_Case_mins[[#This Row],[Surgery Start Date]],"ddd")</f>
        <v>#REF!</v>
      </c>
      <c r="N392" s="9" t="e">
        <f>(#REF!-TIME(0,0,0))*1440</f>
        <v>#REF!</v>
      </c>
      <c r="O392" t="e">
        <f>IF(AND(ROUND((#REF!-TIME(0,0,0))*1440,0)&gt;0,ROUND((#REF!-TIME(0,0,0))*1440,0)&lt;tbl_Case_mins[[#This Row],[Patient Called]],tbl_Case_mins[[#This Row],[Surgery End Date]]&gt;tbl_Case_mins[[#This Row],[Surgery Start Date]]),ROUND((#REF!-TIME(0,0,0))*1440,0)+1440,ROUND((#REF!-TIME(0,0,0))*1440,0))</f>
        <v>#REF!</v>
      </c>
      <c r="P392" s="9" t="e">
        <f>IF(AND(ROUND((#REF!-TIME(0,0,0))*1440,0)&gt;0,ROUND((#REF!-TIME(0,0,0))*1440,0)&lt;tbl_Case_mins[[#This Row],[Arrival]],tbl_Case_mins[[#This Row],[Surgery End Date]]&gt;tbl_Case_mins[[#This Row],[Surgery Start Date]]),ROUND((#REF!-TIME(0,0,0))*1440,0)+1440,ROUND((#REF!-TIME(0,0,0))*1440,0))</f>
        <v>#REF!</v>
      </c>
      <c r="Q392" s="9" t="e">
        <f>IF(AND(ROUND((#REF!-TIME(0,0,0))*1440,0)&gt;0,ROUND((#REF!-TIME(0,0,0))*1440,0)&lt;tbl_Case_mins[[#This Row],[Into Th or AR]],tbl_Case_mins[[#This Row],[Surgery End Date]]&gt;tbl_Case_mins[[#This Row],[Surgery Start Date]]),ROUND((#REF!-TIME(0,0,0))*1440,0)+1440,ROUND((#REF!-TIME(0,0,0))*1440,0))</f>
        <v>#REF!</v>
      </c>
      <c r="R392" s="9" t="e">
        <f>IF(AND(ROUND((#REF!-TIME(0,0,0))*1440,0)&gt;0,ROUND((#REF!-TIME(0,0,0))*1440,0)&lt;tbl_Case_mins[[#This Row],[AnaesthStart]],tbl_Case_mins[[#This Row],[Surgery End Date]]&gt;tbl_Case_mins[[#This Row],[Surgery Start Date]]),ROUND((#REF!-TIME(0,0,0))*1440,0)+1440,ROUND((#REF!-TIME(0,0,0))*1440,0))</f>
        <v>#REF!</v>
      </c>
      <c r="S392" s="9" t="e">
        <f>IF(AND(ROUND((#REF!-TIME(0,0,0))*1440,0),ROUND((#REF!-TIME(0,0,0))*1440,0)&lt;tbl_Case_mins[[#This Row],[Surgery Start]],tbl_Case_mins[[#This Row],[Surgery End Date]]&gt;tbl_Case_mins[[#This Row],[Surgery Start Date]]),ROUND((#REF!-TIME(0,0,0))*1440,0)+1440,ROUND((#REF!-TIME(0,0,0))*1440,0))</f>
        <v>#REF!</v>
      </c>
      <c r="T392" s="9" t="e">
        <f>IF(AND(ROUND((#REF!-TIME(0,0,0))*1440,0)&gt;0,ROUND((#REF!-TIME(0,0,0))*1440,0)&lt;tbl_Case_mins[[#This Row],[Surgery Finish]],tbl_Case_mins[[#This Row],[Surgery End Date]]&gt;tbl_Case_mins[[#This Row],[Surgery Start Date]]),ROUND((#REF!-TIME(0,0,0))*1440,0)+1440,ROUND((#REF!-TIME(0,0,0))*1440,0))</f>
        <v>#REF!</v>
      </c>
      <c r="U392" s="9" t="e">
        <f>IF(AND(ROUND((#REF!-TIME(0,0,0))*1440,0)&gt;0,ROUND((#REF!-TIME(0,0,0))*1440,0)&lt;tbl_Case_mins[[#This Row],[Anaesth End]],tbl_Case_mins[[#This Row],[Surgery End Date]]&gt;tbl_Case_mins[[#This Row],[Surgery Start Date]]),ROUND((#REF!-TIME(0,0,0))*1440,0)+1440,ROUND((#REF!-TIME(0,0,0))*1440,0))</f>
        <v>#REF!</v>
      </c>
      <c r="V392" s="9" t="e">
        <f>IF(AND(ROUND((#REF!-TIME(0,0,0))*1440,0)&gt;0,ROUND((#REF!-TIME(0,0,0))*1440,0)&lt;tbl_Case_mins[[#This Row],[Into Recov]],tbl_Case_mins[[#This Row],[Surgery End Date]]&gt;tbl_Case_mins[[#This Row],[Surgery Start Date]]),ROUND((#REF!-TIME(0,0,0))*1440,0)+1440,ROUND((#REF!-TIME(0,0,0))*1440,0))</f>
        <v>#REF!</v>
      </c>
      <c r="W392" s="9" t="e">
        <f>IF(AND(ROUND((#REF!-TIME(0,0,0))*1440,0)&gt;0,ROUND((#REF!-TIME(0,0,0))*1440,0)&lt;tbl_Case_mins[[#This Row],[Ward Called]],tbl_Case_mins[[#This Row],[Surgery End Date]]&gt;tbl_Case_mins[[#This Row],[Surgery Start Date]]),ROUND((#REF!-TIME(0,0,0))*1440,0)+1440,ROUND((#REF!-TIME(0,0,0))*1440,0))</f>
        <v>#REF!</v>
      </c>
      <c r="X392" s="4" t="e">
        <f>IF(ISBLANK(#REF!),tbl_Case_mins[[#This Row],[Surgery Start Date]],#REF!)</f>
        <v>#REF!</v>
      </c>
      <c r="Y392">
        <f>IFERROR(IF(VLOOKUP(tbl_Case_mins[[#This Row],[Theatre]],'Mng Theatres'!$C$7:$G$12,3,FALSE)="Yes","Yes","No"),0)</f>
        <v>0</v>
      </c>
      <c r="Z392" s="9" t="e" cm="1">
        <f t="array" ref="Z39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2" s="9" t="e" cm="1">
        <f t="array" ref="AA39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2" s="9" t="e">
        <f>IF(tbl_Case_mins[[#This Row],[Case Type]]="Unsch",1,0)</f>
        <v>#REF!</v>
      </c>
      <c r="AD392" s="9" t="e">
        <f>IF(tbl_Case_mins[[#This Row],[Case Type]]="Sch",1,0)</f>
        <v>#REF!</v>
      </c>
      <c r="AE39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2" s="9">
        <f>IFERROR(IF(ISBLANK(INDEX(Am_Close,MATCH(1,INDEX((tbl_Case_mins[[#This Row],[Theatre]]=Theatre_No)*(tbl_Case_mins[[#This Row],[Surgery Start Date]]=Date),0,1),0))*1440),0,INDEX(Am_Close,MATCH(1,INDEX((tbl_Case_mins[[#This Row],[Theatre]]=Theatre_No)*(tbl_Case_mins[[#This Row],[Surgery Start Date]]=Date),0,1),0))*1440),0)</f>
        <v>0</v>
      </c>
      <c r="AG392" s="9">
        <f>IFERROR(IF(ISBLANK(INDEX(PM_Open,MATCH(1,INDEX((tbl_Case_mins[[#This Row],[Theatre]]=Theatre_No)*(tbl_Case_mins[[#This Row],[Surgery Start Date]]=Date),0,1),0))*1440),0,INDEX(PM_Open,MATCH(1,INDEX((tbl_Case_mins[[#This Row],[Theatre]]=Theatre_No)*(tbl_Case_mins[[#This Row],[Surgery Start Date]]=Date),0,1),0))*1440),0)</f>
        <v>0</v>
      </c>
      <c r="AH39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2" s="9" t="e">
        <f>IF(tbl_Case_mins[[#This Row],[ThOpenAm]]=0,tbl_Case_mins[[#This Row],[ThOpenPM]],tbl_Case_mins[[#This Row],[ThOpenAm]])</f>
        <v>#REF!</v>
      </c>
      <c r="AJ392" s="9" t="e">
        <f>IF(tbl_Case_mins[[#This Row],[ThCloseAm]]&gt;0,IF(tbl_Case_mins[[#This Row],[ThOpenPM]]&gt;0,tbl_Case_mins[[#This Row],[ThClosePm]],tbl_Case_mins[[#This Row],[ThCloseAm]]),tbl_Case_mins[[#This Row],[ThClosePm]])</f>
        <v>#REF!</v>
      </c>
      <c r="AK392" s="9" t="e">
        <f>IF(tbl_Case_mins[[#This Row],[TOT]]&gt;0,1,0)</f>
        <v>#REF!</v>
      </c>
      <c r="AL39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2" s="9" t="e">
        <f>IF(AND(tbl_Case_mins[[#This Row],[Surgery Status]]&lt;&gt;2,tbl_Case_mins[[#This Row],[InCoreCase]]=0,tbl_Case_mins[[#This Row],[CancelledCase]]=0),1,0)</f>
        <v>#REF!</v>
      </c>
      <c r="AN392" s="9" t="e">
        <f>IF(tbl_Case_mins[[#This Row],[Surgery Status]]=1,1,0)</f>
        <v>#REF!</v>
      </c>
      <c r="AO39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2" s="9" t="e">
        <f>IF(AND(tbl_Case_mins[[#This Row],[NonCoreCase]]=1,tbl_Case_mins[[#This Row],[NoInCoreTime]]=0),1,0)</f>
        <v>#REF!</v>
      </c>
      <c r="AQ392" s="9" t="e">
        <f>IF(tbl_Case_mins[[#This Row],[Rank_AnaEnd]]&lt;tbl_Case_mins[[#This Row],[Rank_AnaSt]],1,0)</f>
        <v>#REF!</v>
      </c>
      <c r="AR392" s="9" t="e">
        <f>IF(AND(tbl_Case_mins[[#This Row],[InCoreCase]]=1,tbl_Case_mins[[#This Row],[Sch]]=1),1,0)</f>
        <v>#REF!</v>
      </c>
      <c r="AS392" s="9" t="e">
        <f>IF(AND(tbl_Case_mins[[#This Row],[InCoreCase]]=1,tbl_Case_mins[[#This Row],[Unsch]]=1),1,0)</f>
        <v>#REF!</v>
      </c>
      <c r="AT39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2" s="9" t="e">
        <f>IF(tbl_Case_mins[[#This Row],[Surgery Status]]=0,(tbl_Case_mins[[#This Row],[Anaesth End]]-tbl_Case_mins[[#This Row],[AnaesthStart]]),0)</f>
        <v>#REF!</v>
      </c>
      <c r="AX392" s="9" t="e">
        <f>IF(tbl_Case_mins[[#This Row],[Surgery Status]]=0,(tbl_Case_mins[[#This Row],[Surgery Finish]]-tbl_Case_mins[[#This Row],[Surgery Start]]),0)</f>
        <v>#REF!</v>
      </c>
      <c r="AY392" s="9" t="e">
        <f>tbl_Case_mins[[#This Row],[Surgery Start]]-tbl_Case_mins[[#This Row],[AnaesthStart]]</f>
        <v>#REF!</v>
      </c>
      <c r="AZ392" s="9" t="e">
        <f>tbl_Case_mins[[#This Row],[Anaesth End]]-tbl_Case_mins[[#This Row],[Surgery Finish]]</f>
        <v>#REF!</v>
      </c>
      <c r="BA39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2" s="16" cm="1">
        <f t="array" ref="BC39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2" s="16" t="e">
        <f>IF(AND(tbl_Case_mins[[#This Row],[FirstAMCase]]=1,tbl_Case_mins[[#This Row],[CancelledCase]]=0,OR(tbl_Case_mins[[#This Row],[EarlyStartAM]]&gt;0,tbl_Case_mins[[#This Row],[AnaesthStart]]=tbl_Case_mins[[#This Row],[ThOpenAm]])),1,0)</f>
        <v>#REF!</v>
      </c>
      <c r="BE392" s="16" t="e">
        <f>IF(AND(tbl_Case_mins[[#This Row],[Rank_AnaSt]]=tbl_Case_mins[[#This Row],[Min_RankAnaSt]],tbl_Case_mins[[#This Row],[Anaesth End]]&gt;=tbl_Case_mins[[#This Row],[ThOpenAm]],tbl_Case_mins[[#This Row],[PmCase]]=0),1,0)</f>
        <v>#REF!</v>
      </c>
      <c r="BF39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2" s="9" t="e" cm="1">
        <f t="array" ref="BH39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2" s="9" t="e">
        <f>IF(AND(tbl_Case_mins[[#This Row],[ThOpenPM]]&gt;0,tbl_Case_mins[[#This Row],[AnaesthStart]]&gt;tbl_Case_mins[[#This Row],[ThOpenPM]],tbl_Case_mins[[#This Row],[First PM Case]]=1),tbl_Case_mins[[#This Row],[AnaesthStart]]-tbl_Case_mins[[#This Row],[ThOpenPM]],0)</f>
        <v>#REF!</v>
      </c>
      <c r="BL39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2" s="9" t="e" cm="1">
        <f t="array" ref="BN39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2" s="9" t="e">
        <f>IF(AND(tbl_Case_mins[[#This Row],[ThClosePm]]&gt;0,tbl_Case_mins[[#This Row],[Anaesth End]]&gt;tbl_Case_mins[[#This Row],[ThClosePm]],tbl_Case_mins[[#This Row],[AnaesthStart]]&gt;tbl_Case_mins[[#This Row],[ThClosePm]]),tbl_Case_mins[[#This Row],[Into Recov]]-tbl_Case_mins[[#This Row],[AnaesthStart]],0)</f>
        <v>#REF!</v>
      </c>
      <c r="BP392" s="9" t="e">
        <f>IF(AND(tbl_Case_mins[[#This Row],[AnaesthStart]]&lt;tbl_Case_mins[[#This Row],[ThClosePm]],tbl_Case_mins[[#This Row],[Anaesth End]]&gt;tbl_Case_mins[[#This Row],[ThClosePm]]),tbl_Case_mins[[#This Row],[Anaesth End]]-tbl_Case_mins[[#This Row],[ThClosePm]],0)</f>
        <v>#REF!</v>
      </c>
      <c r="BQ392" s="9" t="e" cm="1">
        <f t="array" ref="BQ39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2" s="9" t="e" cm="1">
        <f t="array" ref="BR392">IF(tbl_Case_mins[[#This Row],[Rank_Adjust]]=SUMPRODUCT(-(tbl_Case_mins[Surgery Start Date]=tbl_Case_mins[[#This Row],[Surgery Start Date]]),-(tbl_Case_mins[Theatre]=tbl_Case_mins[[#This Row],[Theatre]])),INDEX(Poss_Time,MATCH(TEXT(tbl_Case_mins[[#This Row],[Surgery Start Date]],"ddd"),Day,0)),0)</f>
        <v>#REF!</v>
      </c>
      <c r="BS392" s="9" t="e">
        <f>tbl_Case_mins[[#This Row],[Core_Time]]*Util_Goal</f>
        <v>#REF!</v>
      </c>
      <c r="BT392" s="9" t="e" cm="1">
        <f t="array" ref="BT3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2" s="9" t="e" cm="1">
        <f t="array" ref="BU39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2" s="9" t="e">
        <f>IF(tbl_Case_mins[[#This Row],[Surgery End Date]]&gt;tbl_Case_mins[[#This Row],[Surgery Start Date]],tbl_Case_mins[[#This Row],[Anaesth End]]-1440,0)</f>
        <v>#REF!</v>
      </c>
      <c r="BY392" s="9" t="e">
        <f>tbl_Case_mins[[#This Row],[Total_NonCore]]-tbl_Case_mins[[#This Row],[NextDay_NonCore]]</f>
        <v>#REF!</v>
      </c>
      <c r="BZ392" s="10" t="e">
        <f>tbl_Case_mins[[#This Row],[InCoreUse]]/60</f>
        <v>#REF!</v>
      </c>
      <c r="CA392" s="10" t="e">
        <f>tbl_Case_mins[[#This Row],[Total_NonCore]]/60</f>
        <v>#REF!</v>
      </c>
      <c r="CB392" t="e" cm="1">
        <f t="array" ref="CB3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2" s="9" t="e" cm="1">
        <f t="array" ref="CC39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2" s="9" t="e" cm="1">
        <f t="array" ref="CD39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2" s="9" t="e" cm="1">
        <f t="array" ref="CE39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2" s="9" cm="1">
        <f t="array" ref="CF392">IFERROR(_xlfn.AGGREGATE(14,6,(tbl_Case_mins[Rank_AnaEnd])/((tbl_Case_mins[Surgery Start Date]=tbl_Case_mins[[#This Row],[Surgery Start Date]])*(tbl_Case_mins[Theatre]=tbl_Case_mins[[#This Row],[Theatre]])*(tbl_Case_mins[NoInCoreTime]=0)),1),-1)</f>
        <v>-1</v>
      </c>
      <c r="CG392" s="9" cm="1">
        <f t="array" ref="CG392">IFERROR(_xlfn.AGGREGATE(15,6,(tbl_Case_mins[Rank_AnaSt])/((tbl_Case_mins[Surgery Start Date]=tbl_Case_mins[[#This Row],[Surgery Start Date]])*(tbl_Case_mins[Theatre]=tbl_Case_mins[[#This Row],[Theatre]])*(tbl_Case_mins[NoInCoreTime]=0)),1),-1)</f>
        <v>-1</v>
      </c>
      <c r="CH39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2" t="e" cm="1">
        <f t="array" ref="CJ39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2" s="9" cm="1">
        <f t="array" ref="CO3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2" s="9" cm="1">
        <f t="array" ref="CP39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2" s="9" cm="1">
        <f t="array" ref="CQ392">IFERROR(IF(AND(tbl_Case_mins[[#This Row],[FirstAMCase]]=0,tbl_Case_mins[[#This Row],[Rank]]=_xlfn.AGGREGATE(14,6,(tbl_Case_mins[Rank])/((tbl_Case_mins[Surgery Start Date]=tbl_Case_mins[[#This Row],[Surgery Start Date]])*(tbl_Case_mins[Theatre]=tbl_Case_mins[[#This Row],[Theatre]])*(tbl_Case_mins[AmCase]=1)),1)),1,0),0)</f>
        <v>0</v>
      </c>
      <c r="CR392" s="9" cm="1">
        <f t="array" ref="CR39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2" s="9" t="e" cm="1">
        <f t="array" ref="CS39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2" s="9" cm="1">
        <f t="array" ref="CT392">IFERROR(IF(tbl_Case_mins[[#This Row],[Rank]]=_xlfn.AGGREGATE(15,6,(tbl_Case_mins[Rank])/((tbl_Case_mins[Surgery Start Date]=tbl_Case_mins[[#This Row],[Surgery Start Date]])*(tbl_Case_mins[Theatre]=tbl_Case_mins[[#This Row],[Theatre]])*(tbl_Case_mins[PmCase]=1)),1),1,0),0)</f>
        <v>0</v>
      </c>
      <c r="CU392">
        <f>IFERROR(#REF!,0)</f>
        <v>0</v>
      </c>
      <c r="CV392" s="9" t="e" cm="1">
        <f t="array" ref="CV39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2" s="9">
        <f>IFERROR(IF(ISBLANK(INDEX(Bay_AmClose,MATCH(1,INDEX((tbl_Case_mins[[#This Row],[Bay]]=BayNo)*(tbl_Case_mins[[#This Row],[Surgery Start Date]]=BDate),0,1),0))*1440),0,INDEX(Bay_AmClose,MATCH(1,INDEX((tbl_Case_mins[[#This Row],[Bay]]=BayNo)*(tbl_Case_mins[[#This Row],[Surgery Start Date]]=BDate),0,1),0))*1440),0)</f>
        <v>0</v>
      </c>
      <c r="CX392" s="9" cm="1">
        <f t="array" ref="CX392">IFERROR(IF(ISBLANK(INDEX(Bay_PmOpen,MATCH(1,INDEX((tbl_Case_mins[[#This Row],[Bay]]=BayNo)*(tbl_Case_mins[[#This Row],[Surgery Start Date]]=BDate),0,1),0))*1440),0,INDEX(Bay_PmOpen,MATCH(1,INDEX((tbl_Case_mins[[#This Row],[Bay]]=BayNo)*(tbl_Case_mins[[#This Row],[Surgery Start Date]]=BDate),0,1),0))*1440),0)</f>
        <v>0</v>
      </c>
      <c r="CY39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2" s="9"/>
    </row>
    <row r="393" spans="1:104" x14ac:dyDescent="0.2">
      <c r="A393">
        <v>392</v>
      </c>
      <c r="B393" t="e">
        <f>#REF!</f>
        <v>#REF!</v>
      </c>
      <c r="C393" t="e">
        <f>#REF!</f>
        <v>#REF!</v>
      </c>
      <c r="D393" t="e">
        <f>#REF!</f>
        <v>#REF!</v>
      </c>
      <c r="E393" t="e">
        <f>#REF!</f>
        <v>#REF!</v>
      </c>
      <c r="F393" t="e">
        <f>#REF!</f>
        <v>#REF!</v>
      </c>
      <c r="G393" t="e">
        <f>#REF!</f>
        <v>#REF!</v>
      </c>
      <c r="H393" t="e">
        <f>#REF!</f>
        <v>#REF!</v>
      </c>
      <c r="I393" t="e">
        <f>IF(#REF!="Case Cancelled",1,IF(#REF!="No Cases",2,0))</f>
        <v>#REF!</v>
      </c>
      <c r="J393" t="e">
        <f>#REF!</f>
        <v>#REF!</v>
      </c>
      <c r="K393" s="4" t="e">
        <f>#REF!</f>
        <v>#REF!</v>
      </c>
      <c r="L393" t="e">
        <f>"Wk "&amp;WEEKNUM(tbl_Case_mins[[#This Row],[Surgery Start Date]],21)</f>
        <v>#REF!</v>
      </c>
      <c r="M393" t="e">
        <f>TEXT(tbl_Case_mins[[#This Row],[Surgery Start Date]],"ddd")</f>
        <v>#REF!</v>
      </c>
      <c r="N393" s="9" t="e">
        <f>(#REF!-TIME(0,0,0))*1440</f>
        <v>#REF!</v>
      </c>
      <c r="O393" t="e">
        <f>IF(AND(ROUND((#REF!-TIME(0,0,0))*1440,0)&gt;0,ROUND((#REF!-TIME(0,0,0))*1440,0)&lt;tbl_Case_mins[[#This Row],[Patient Called]],tbl_Case_mins[[#This Row],[Surgery End Date]]&gt;tbl_Case_mins[[#This Row],[Surgery Start Date]]),ROUND((#REF!-TIME(0,0,0))*1440,0)+1440,ROUND((#REF!-TIME(0,0,0))*1440,0))</f>
        <v>#REF!</v>
      </c>
      <c r="P393" s="9" t="e">
        <f>IF(AND(ROUND((#REF!-TIME(0,0,0))*1440,0)&gt;0,ROUND((#REF!-TIME(0,0,0))*1440,0)&lt;tbl_Case_mins[[#This Row],[Arrival]],tbl_Case_mins[[#This Row],[Surgery End Date]]&gt;tbl_Case_mins[[#This Row],[Surgery Start Date]]),ROUND((#REF!-TIME(0,0,0))*1440,0)+1440,ROUND((#REF!-TIME(0,0,0))*1440,0))</f>
        <v>#REF!</v>
      </c>
      <c r="Q393" s="9" t="e">
        <f>IF(AND(ROUND((#REF!-TIME(0,0,0))*1440,0)&gt;0,ROUND((#REF!-TIME(0,0,0))*1440,0)&lt;tbl_Case_mins[[#This Row],[Into Th or AR]],tbl_Case_mins[[#This Row],[Surgery End Date]]&gt;tbl_Case_mins[[#This Row],[Surgery Start Date]]),ROUND((#REF!-TIME(0,0,0))*1440,0)+1440,ROUND((#REF!-TIME(0,0,0))*1440,0))</f>
        <v>#REF!</v>
      </c>
      <c r="R393" s="9" t="e">
        <f>IF(AND(ROUND((#REF!-TIME(0,0,0))*1440,0)&gt;0,ROUND((#REF!-TIME(0,0,0))*1440,0)&lt;tbl_Case_mins[[#This Row],[AnaesthStart]],tbl_Case_mins[[#This Row],[Surgery End Date]]&gt;tbl_Case_mins[[#This Row],[Surgery Start Date]]),ROUND((#REF!-TIME(0,0,0))*1440,0)+1440,ROUND((#REF!-TIME(0,0,0))*1440,0))</f>
        <v>#REF!</v>
      </c>
      <c r="S393" s="9" t="e">
        <f>IF(AND(ROUND((#REF!-TIME(0,0,0))*1440,0),ROUND((#REF!-TIME(0,0,0))*1440,0)&lt;tbl_Case_mins[[#This Row],[Surgery Start]],tbl_Case_mins[[#This Row],[Surgery End Date]]&gt;tbl_Case_mins[[#This Row],[Surgery Start Date]]),ROUND((#REF!-TIME(0,0,0))*1440,0)+1440,ROUND((#REF!-TIME(0,0,0))*1440,0))</f>
        <v>#REF!</v>
      </c>
      <c r="T393" s="9" t="e">
        <f>IF(AND(ROUND((#REF!-TIME(0,0,0))*1440,0)&gt;0,ROUND((#REF!-TIME(0,0,0))*1440,0)&lt;tbl_Case_mins[[#This Row],[Surgery Finish]],tbl_Case_mins[[#This Row],[Surgery End Date]]&gt;tbl_Case_mins[[#This Row],[Surgery Start Date]]),ROUND((#REF!-TIME(0,0,0))*1440,0)+1440,ROUND((#REF!-TIME(0,0,0))*1440,0))</f>
        <v>#REF!</v>
      </c>
      <c r="U393" s="9" t="e">
        <f>IF(AND(ROUND((#REF!-TIME(0,0,0))*1440,0)&gt;0,ROUND((#REF!-TIME(0,0,0))*1440,0)&lt;tbl_Case_mins[[#This Row],[Anaesth End]],tbl_Case_mins[[#This Row],[Surgery End Date]]&gt;tbl_Case_mins[[#This Row],[Surgery Start Date]]),ROUND((#REF!-TIME(0,0,0))*1440,0)+1440,ROUND((#REF!-TIME(0,0,0))*1440,0))</f>
        <v>#REF!</v>
      </c>
      <c r="V393" s="9" t="e">
        <f>IF(AND(ROUND((#REF!-TIME(0,0,0))*1440,0)&gt;0,ROUND((#REF!-TIME(0,0,0))*1440,0)&lt;tbl_Case_mins[[#This Row],[Into Recov]],tbl_Case_mins[[#This Row],[Surgery End Date]]&gt;tbl_Case_mins[[#This Row],[Surgery Start Date]]),ROUND((#REF!-TIME(0,0,0))*1440,0)+1440,ROUND((#REF!-TIME(0,0,0))*1440,0))</f>
        <v>#REF!</v>
      </c>
      <c r="W393" s="9" t="e">
        <f>IF(AND(ROUND((#REF!-TIME(0,0,0))*1440,0)&gt;0,ROUND((#REF!-TIME(0,0,0))*1440,0)&lt;tbl_Case_mins[[#This Row],[Ward Called]],tbl_Case_mins[[#This Row],[Surgery End Date]]&gt;tbl_Case_mins[[#This Row],[Surgery Start Date]]),ROUND((#REF!-TIME(0,0,0))*1440,0)+1440,ROUND((#REF!-TIME(0,0,0))*1440,0))</f>
        <v>#REF!</v>
      </c>
      <c r="X393" s="4" t="e">
        <f>IF(ISBLANK(#REF!),tbl_Case_mins[[#This Row],[Surgery Start Date]],#REF!)</f>
        <v>#REF!</v>
      </c>
      <c r="Y393">
        <f>IFERROR(IF(VLOOKUP(tbl_Case_mins[[#This Row],[Theatre]],'Mng Theatres'!$C$7:$G$12,3,FALSE)="Yes","Yes","No"),0)</f>
        <v>0</v>
      </c>
      <c r="Z393" s="9" t="e" cm="1">
        <f t="array" ref="Z39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3" s="9" t="e" cm="1">
        <f t="array" ref="AA39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3" s="9" t="e">
        <f>IF(tbl_Case_mins[[#This Row],[Case Type]]="Unsch",1,0)</f>
        <v>#REF!</v>
      </c>
      <c r="AD393" s="9" t="e">
        <f>IF(tbl_Case_mins[[#This Row],[Case Type]]="Sch",1,0)</f>
        <v>#REF!</v>
      </c>
      <c r="AE39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3" s="9">
        <f>IFERROR(IF(ISBLANK(INDEX(Am_Close,MATCH(1,INDEX((tbl_Case_mins[[#This Row],[Theatre]]=Theatre_No)*(tbl_Case_mins[[#This Row],[Surgery Start Date]]=Date),0,1),0))*1440),0,INDEX(Am_Close,MATCH(1,INDEX((tbl_Case_mins[[#This Row],[Theatre]]=Theatre_No)*(tbl_Case_mins[[#This Row],[Surgery Start Date]]=Date),0,1),0))*1440),0)</f>
        <v>0</v>
      </c>
      <c r="AG393" s="9">
        <f>IFERROR(IF(ISBLANK(INDEX(PM_Open,MATCH(1,INDEX((tbl_Case_mins[[#This Row],[Theatre]]=Theatre_No)*(tbl_Case_mins[[#This Row],[Surgery Start Date]]=Date),0,1),0))*1440),0,INDEX(PM_Open,MATCH(1,INDEX((tbl_Case_mins[[#This Row],[Theatre]]=Theatre_No)*(tbl_Case_mins[[#This Row],[Surgery Start Date]]=Date),0,1),0))*1440),0)</f>
        <v>0</v>
      </c>
      <c r="AH39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3" s="9" t="e">
        <f>IF(tbl_Case_mins[[#This Row],[ThOpenAm]]=0,tbl_Case_mins[[#This Row],[ThOpenPM]],tbl_Case_mins[[#This Row],[ThOpenAm]])</f>
        <v>#REF!</v>
      </c>
      <c r="AJ393" s="9" t="e">
        <f>IF(tbl_Case_mins[[#This Row],[ThCloseAm]]&gt;0,IF(tbl_Case_mins[[#This Row],[ThOpenPM]]&gt;0,tbl_Case_mins[[#This Row],[ThClosePm]],tbl_Case_mins[[#This Row],[ThCloseAm]]),tbl_Case_mins[[#This Row],[ThClosePm]])</f>
        <v>#REF!</v>
      </c>
      <c r="AK393" s="9" t="e">
        <f>IF(tbl_Case_mins[[#This Row],[TOT]]&gt;0,1,0)</f>
        <v>#REF!</v>
      </c>
      <c r="AL39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3" s="9" t="e">
        <f>IF(AND(tbl_Case_mins[[#This Row],[Surgery Status]]&lt;&gt;2,tbl_Case_mins[[#This Row],[InCoreCase]]=0,tbl_Case_mins[[#This Row],[CancelledCase]]=0),1,0)</f>
        <v>#REF!</v>
      </c>
      <c r="AN393" s="9" t="e">
        <f>IF(tbl_Case_mins[[#This Row],[Surgery Status]]=1,1,0)</f>
        <v>#REF!</v>
      </c>
      <c r="AO39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3" s="9" t="e">
        <f>IF(AND(tbl_Case_mins[[#This Row],[NonCoreCase]]=1,tbl_Case_mins[[#This Row],[NoInCoreTime]]=0),1,0)</f>
        <v>#REF!</v>
      </c>
      <c r="AQ393" s="9" t="e">
        <f>IF(tbl_Case_mins[[#This Row],[Rank_AnaEnd]]&lt;tbl_Case_mins[[#This Row],[Rank_AnaSt]],1,0)</f>
        <v>#REF!</v>
      </c>
      <c r="AR393" s="9" t="e">
        <f>IF(AND(tbl_Case_mins[[#This Row],[InCoreCase]]=1,tbl_Case_mins[[#This Row],[Sch]]=1),1,0)</f>
        <v>#REF!</v>
      </c>
      <c r="AS393" s="9" t="e">
        <f>IF(AND(tbl_Case_mins[[#This Row],[InCoreCase]]=1,tbl_Case_mins[[#This Row],[Unsch]]=1),1,0)</f>
        <v>#REF!</v>
      </c>
      <c r="AT39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3" s="9" t="e">
        <f>IF(tbl_Case_mins[[#This Row],[Surgery Status]]=0,(tbl_Case_mins[[#This Row],[Anaesth End]]-tbl_Case_mins[[#This Row],[AnaesthStart]]),0)</f>
        <v>#REF!</v>
      </c>
      <c r="AX393" s="9" t="e">
        <f>IF(tbl_Case_mins[[#This Row],[Surgery Status]]=0,(tbl_Case_mins[[#This Row],[Surgery Finish]]-tbl_Case_mins[[#This Row],[Surgery Start]]),0)</f>
        <v>#REF!</v>
      </c>
      <c r="AY393" s="9" t="e">
        <f>tbl_Case_mins[[#This Row],[Surgery Start]]-tbl_Case_mins[[#This Row],[AnaesthStart]]</f>
        <v>#REF!</v>
      </c>
      <c r="AZ393" s="9" t="e">
        <f>tbl_Case_mins[[#This Row],[Anaesth End]]-tbl_Case_mins[[#This Row],[Surgery Finish]]</f>
        <v>#REF!</v>
      </c>
      <c r="BA39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3" s="16" cm="1">
        <f t="array" ref="BC39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3" s="16" t="e">
        <f>IF(AND(tbl_Case_mins[[#This Row],[FirstAMCase]]=1,tbl_Case_mins[[#This Row],[CancelledCase]]=0,OR(tbl_Case_mins[[#This Row],[EarlyStartAM]]&gt;0,tbl_Case_mins[[#This Row],[AnaesthStart]]=tbl_Case_mins[[#This Row],[ThOpenAm]])),1,0)</f>
        <v>#REF!</v>
      </c>
      <c r="BE393" s="16" t="e">
        <f>IF(AND(tbl_Case_mins[[#This Row],[Rank_AnaSt]]=tbl_Case_mins[[#This Row],[Min_RankAnaSt]],tbl_Case_mins[[#This Row],[Anaesth End]]&gt;=tbl_Case_mins[[#This Row],[ThOpenAm]],tbl_Case_mins[[#This Row],[PmCase]]=0),1,0)</f>
        <v>#REF!</v>
      </c>
      <c r="BF39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3" s="9" t="e" cm="1">
        <f t="array" ref="BH39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3" s="9" t="e">
        <f>IF(AND(tbl_Case_mins[[#This Row],[ThOpenPM]]&gt;0,tbl_Case_mins[[#This Row],[AnaesthStart]]&gt;tbl_Case_mins[[#This Row],[ThOpenPM]],tbl_Case_mins[[#This Row],[First PM Case]]=1),tbl_Case_mins[[#This Row],[AnaesthStart]]-tbl_Case_mins[[#This Row],[ThOpenPM]],0)</f>
        <v>#REF!</v>
      </c>
      <c r="BL39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3" s="9" t="e" cm="1">
        <f t="array" ref="BN39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3" s="9" t="e">
        <f>IF(AND(tbl_Case_mins[[#This Row],[ThClosePm]]&gt;0,tbl_Case_mins[[#This Row],[Anaesth End]]&gt;tbl_Case_mins[[#This Row],[ThClosePm]],tbl_Case_mins[[#This Row],[AnaesthStart]]&gt;tbl_Case_mins[[#This Row],[ThClosePm]]),tbl_Case_mins[[#This Row],[Into Recov]]-tbl_Case_mins[[#This Row],[AnaesthStart]],0)</f>
        <v>#REF!</v>
      </c>
      <c r="BP393" s="9" t="e">
        <f>IF(AND(tbl_Case_mins[[#This Row],[AnaesthStart]]&lt;tbl_Case_mins[[#This Row],[ThClosePm]],tbl_Case_mins[[#This Row],[Anaesth End]]&gt;tbl_Case_mins[[#This Row],[ThClosePm]]),tbl_Case_mins[[#This Row],[Anaesth End]]-tbl_Case_mins[[#This Row],[ThClosePm]],0)</f>
        <v>#REF!</v>
      </c>
      <c r="BQ393" s="9" t="e" cm="1">
        <f t="array" ref="BQ39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3" s="9" t="e" cm="1">
        <f t="array" ref="BR393">IF(tbl_Case_mins[[#This Row],[Rank_Adjust]]=SUMPRODUCT(-(tbl_Case_mins[Surgery Start Date]=tbl_Case_mins[[#This Row],[Surgery Start Date]]),-(tbl_Case_mins[Theatre]=tbl_Case_mins[[#This Row],[Theatre]])),INDEX(Poss_Time,MATCH(TEXT(tbl_Case_mins[[#This Row],[Surgery Start Date]],"ddd"),Day,0)),0)</f>
        <v>#REF!</v>
      </c>
      <c r="BS393" s="9" t="e">
        <f>tbl_Case_mins[[#This Row],[Core_Time]]*Util_Goal</f>
        <v>#REF!</v>
      </c>
      <c r="BT393" s="9" t="e" cm="1">
        <f t="array" ref="BT3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3" s="9" t="e" cm="1">
        <f t="array" ref="BU39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3" s="9" t="e">
        <f>IF(tbl_Case_mins[[#This Row],[Surgery End Date]]&gt;tbl_Case_mins[[#This Row],[Surgery Start Date]],tbl_Case_mins[[#This Row],[Anaesth End]]-1440,0)</f>
        <v>#REF!</v>
      </c>
      <c r="BY393" s="9" t="e">
        <f>tbl_Case_mins[[#This Row],[Total_NonCore]]-tbl_Case_mins[[#This Row],[NextDay_NonCore]]</f>
        <v>#REF!</v>
      </c>
      <c r="BZ393" s="10" t="e">
        <f>tbl_Case_mins[[#This Row],[InCoreUse]]/60</f>
        <v>#REF!</v>
      </c>
      <c r="CA393" s="10" t="e">
        <f>tbl_Case_mins[[#This Row],[Total_NonCore]]/60</f>
        <v>#REF!</v>
      </c>
      <c r="CB393" t="e" cm="1">
        <f t="array" ref="CB3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3" s="9" t="e" cm="1">
        <f t="array" ref="CC39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3" s="9" t="e" cm="1">
        <f t="array" ref="CD39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3" s="9" t="e" cm="1">
        <f t="array" ref="CE39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3" s="9" cm="1">
        <f t="array" ref="CF393">IFERROR(_xlfn.AGGREGATE(14,6,(tbl_Case_mins[Rank_AnaEnd])/((tbl_Case_mins[Surgery Start Date]=tbl_Case_mins[[#This Row],[Surgery Start Date]])*(tbl_Case_mins[Theatre]=tbl_Case_mins[[#This Row],[Theatre]])*(tbl_Case_mins[NoInCoreTime]=0)),1),-1)</f>
        <v>-1</v>
      </c>
      <c r="CG393" s="9" cm="1">
        <f t="array" ref="CG393">IFERROR(_xlfn.AGGREGATE(15,6,(tbl_Case_mins[Rank_AnaSt])/((tbl_Case_mins[Surgery Start Date]=tbl_Case_mins[[#This Row],[Surgery Start Date]])*(tbl_Case_mins[Theatre]=tbl_Case_mins[[#This Row],[Theatre]])*(tbl_Case_mins[NoInCoreTime]=0)),1),-1)</f>
        <v>-1</v>
      </c>
      <c r="CH39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3" t="e" cm="1">
        <f t="array" ref="CJ39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3" s="9" cm="1">
        <f t="array" ref="CO3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3" s="9" cm="1">
        <f t="array" ref="CP39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3" s="9" cm="1">
        <f t="array" ref="CQ393">IFERROR(IF(AND(tbl_Case_mins[[#This Row],[FirstAMCase]]=0,tbl_Case_mins[[#This Row],[Rank]]=_xlfn.AGGREGATE(14,6,(tbl_Case_mins[Rank])/((tbl_Case_mins[Surgery Start Date]=tbl_Case_mins[[#This Row],[Surgery Start Date]])*(tbl_Case_mins[Theatre]=tbl_Case_mins[[#This Row],[Theatre]])*(tbl_Case_mins[AmCase]=1)),1)),1,0),0)</f>
        <v>0</v>
      </c>
      <c r="CR393" s="9" cm="1">
        <f t="array" ref="CR39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3" s="9" t="e" cm="1">
        <f t="array" ref="CS39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3" s="9" cm="1">
        <f t="array" ref="CT393">IFERROR(IF(tbl_Case_mins[[#This Row],[Rank]]=_xlfn.AGGREGATE(15,6,(tbl_Case_mins[Rank])/((tbl_Case_mins[Surgery Start Date]=tbl_Case_mins[[#This Row],[Surgery Start Date]])*(tbl_Case_mins[Theatre]=tbl_Case_mins[[#This Row],[Theatre]])*(tbl_Case_mins[PmCase]=1)),1),1,0),0)</f>
        <v>0</v>
      </c>
      <c r="CU393">
        <f>IFERROR(#REF!,0)</f>
        <v>0</v>
      </c>
      <c r="CV393" s="9" t="e" cm="1">
        <f t="array" ref="CV39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3" s="9">
        <f>IFERROR(IF(ISBLANK(INDEX(Bay_AmClose,MATCH(1,INDEX((tbl_Case_mins[[#This Row],[Bay]]=BayNo)*(tbl_Case_mins[[#This Row],[Surgery Start Date]]=BDate),0,1),0))*1440),0,INDEX(Bay_AmClose,MATCH(1,INDEX((tbl_Case_mins[[#This Row],[Bay]]=BayNo)*(tbl_Case_mins[[#This Row],[Surgery Start Date]]=BDate),0,1),0))*1440),0)</f>
        <v>0</v>
      </c>
      <c r="CX393" s="9" cm="1">
        <f t="array" ref="CX393">IFERROR(IF(ISBLANK(INDEX(Bay_PmOpen,MATCH(1,INDEX((tbl_Case_mins[[#This Row],[Bay]]=BayNo)*(tbl_Case_mins[[#This Row],[Surgery Start Date]]=BDate),0,1),0))*1440),0,INDEX(Bay_PmOpen,MATCH(1,INDEX((tbl_Case_mins[[#This Row],[Bay]]=BayNo)*(tbl_Case_mins[[#This Row],[Surgery Start Date]]=BDate),0,1),0))*1440),0)</f>
        <v>0</v>
      </c>
      <c r="CY39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3" s="9"/>
    </row>
    <row r="394" spans="1:104" x14ac:dyDescent="0.2">
      <c r="A394">
        <v>393</v>
      </c>
      <c r="B394" t="e">
        <f>#REF!</f>
        <v>#REF!</v>
      </c>
      <c r="C394" t="e">
        <f>#REF!</f>
        <v>#REF!</v>
      </c>
      <c r="D394" t="e">
        <f>#REF!</f>
        <v>#REF!</v>
      </c>
      <c r="E394" t="e">
        <f>#REF!</f>
        <v>#REF!</v>
      </c>
      <c r="F394" t="e">
        <f>#REF!</f>
        <v>#REF!</v>
      </c>
      <c r="G394" t="e">
        <f>#REF!</f>
        <v>#REF!</v>
      </c>
      <c r="H394" t="e">
        <f>#REF!</f>
        <v>#REF!</v>
      </c>
      <c r="I394" t="e">
        <f>IF(#REF!="Case Cancelled",1,IF(#REF!="No Cases",2,0))</f>
        <v>#REF!</v>
      </c>
      <c r="J394" t="e">
        <f>#REF!</f>
        <v>#REF!</v>
      </c>
      <c r="K394" s="4" t="e">
        <f>#REF!</f>
        <v>#REF!</v>
      </c>
      <c r="L394" t="e">
        <f>"Wk "&amp;WEEKNUM(tbl_Case_mins[[#This Row],[Surgery Start Date]],21)</f>
        <v>#REF!</v>
      </c>
      <c r="M394" t="e">
        <f>TEXT(tbl_Case_mins[[#This Row],[Surgery Start Date]],"ddd")</f>
        <v>#REF!</v>
      </c>
      <c r="N394" s="9" t="e">
        <f>(#REF!-TIME(0,0,0))*1440</f>
        <v>#REF!</v>
      </c>
      <c r="O394" t="e">
        <f>IF(AND(ROUND((#REF!-TIME(0,0,0))*1440,0)&gt;0,ROUND((#REF!-TIME(0,0,0))*1440,0)&lt;tbl_Case_mins[[#This Row],[Patient Called]],tbl_Case_mins[[#This Row],[Surgery End Date]]&gt;tbl_Case_mins[[#This Row],[Surgery Start Date]]),ROUND((#REF!-TIME(0,0,0))*1440,0)+1440,ROUND((#REF!-TIME(0,0,0))*1440,0))</f>
        <v>#REF!</v>
      </c>
      <c r="P394" s="9" t="e">
        <f>IF(AND(ROUND((#REF!-TIME(0,0,0))*1440,0)&gt;0,ROUND((#REF!-TIME(0,0,0))*1440,0)&lt;tbl_Case_mins[[#This Row],[Arrival]],tbl_Case_mins[[#This Row],[Surgery End Date]]&gt;tbl_Case_mins[[#This Row],[Surgery Start Date]]),ROUND((#REF!-TIME(0,0,0))*1440,0)+1440,ROUND((#REF!-TIME(0,0,0))*1440,0))</f>
        <v>#REF!</v>
      </c>
      <c r="Q394" s="9" t="e">
        <f>IF(AND(ROUND((#REF!-TIME(0,0,0))*1440,0)&gt;0,ROUND((#REF!-TIME(0,0,0))*1440,0)&lt;tbl_Case_mins[[#This Row],[Into Th or AR]],tbl_Case_mins[[#This Row],[Surgery End Date]]&gt;tbl_Case_mins[[#This Row],[Surgery Start Date]]),ROUND((#REF!-TIME(0,0,0))*1440,0)+1440,ROUND((#REF!-TIME(0,0,0))*1440,0))</f>
        <v>#REF!</v>
      </c>
      <c r="R394" s="9" t="e">
        <f>IF(AND(ROUND((#REF!-TIME(0,0,0))*1440,0)&gt;0,ROUND((#REF!-TIME(0,0,0))*1440,0)&lt;tbl_Case_mins[[#This Row],[AnaesthStart]],tbl_Case_mins[[#This Row],[Surgery End Date]]&gt;tbl_Case_mins[[#This Row],[Surgery Start Date]]),ROUND((#REF!-TIME(0,0,0))*1440,0)+1440,ROUND((#REF!-TIME(0,0,0))*1440,0))</f>
        <v>#REF!</v>
      </c>
      <c r="S394" s="9" t="e">
        <f>IF(AND(ROUND((#REF!-TIME(0,0,0))*1440,0),ROUND((#REF!-TIME(0,0,0))*1440,0)&lt;tbl_Case_mins[[#This Row],[Surgery Start]],tbl_Case_mins[[#This Row],[Surgery End Date]]&gt;tbl_Case_mins[[#This Row],[Surgery Start Date]]),ROUND((#REF!-TIME(0,0,0))*1440,0)+1440,ROUND((#REF!-TIME(0,0,0))*1440,0))</f>
        <v>#REF!</v>
      </c>
      <c r="T394" s="9" t="e">
        <f>IF(AND(ROUND((#REF!-TIME(0,0,0))*1440,0)&gt;0,ROUND((#REF!-TIME(0,0,0))*1440,0)&lt;tbl_Case_mins[[#This Row],[Surgery Finish]],tbl_Case_mins[[#This Row],[Surgery End Date]]&gt;tbl_Case_mins[[#This Row],[Surgery Start Date]]),ROUND((#REF!-TIME(0,0,0))*1440,0)+1440,ROUND((#REF!-TIME(0,0,0))*1440,0))</f>
        <v>#REF!</v>
      </c>
      <c r="U394" s="9" t="e">
        <f>IF(AND(ROUND((#REF!-TIME(0,0,0))*1440,0)&gt;0,ROUND((#REF!-TIME(0,0,0))*1440,0)&lt;tbl_Case_mins[[#This Row],[Anaesth End]],tbl_Case_mins[[#This Row],[Surgery End Date]]&gt;tbl_Case_mins[[#This Row],[Surgery Start Date]]),ROUND((#REF!-TIME(0,0,0))*1440,0)+1440,ROUND((#REF!-TIME(0,0,0))*1440,0))</f>
        <v>#REF!</v>
      </c>
      <c r="V394" s="9" t="e">
        <f>IF(AND(ROUND((#REF!-TIME(0,0,0))*1440,0)&gt;0,ROUND((#REF!-TIME(0,0,0))*1440,0)&lt;tbl_Case_mins[[#This Row],[Into Recov]],tbl_Case_mins[[#This Row],[Surgery End Date]]&gt;tbl_Case_mins[[#This Row],[Surgery Start Date]]),ROUND((#REF!-TIME(0,0,0))*1440,0)+1440,ROUND((#REF!-TIME(0,0,0))*1440,0))</f>
        <v>#REF!</v>
      </c>
      <c r="W394" s="9" t="e">
        <f>IF(AND(ROUND((#REF!-TIME(0,0,0))*1440,0)&gt;0,ROUND((#REF!-TIME(0,0,0))*1440,0)&lt;tbl_Case_mins[[#This Row],[Ward Called]],tbl_Case_mins[[#This Row],[Surgery End Date]]&gt;tbl_Case_mins[[#This Row],[Surgery Start Date]]),ROUND((#REF!-TIME(0,0,0))*1440,0)+1440,ROUND((#REF!-TIME(0,0,0))*1440,0))</f>
        <v>#REF!</v>
      </c>
      <c r="X394" s="4" t="e">
        <f>IF(ISBLANK(#REF!),tbl_Case_mins[[#This Row],[Surgery Start Date]],#REF!)</f>
        <v>#REF!</v>
      </c>
      <c r="Y394">
        <f>IFERROR(IF(VLOOKUP(tbl_Case_mins[[#This Row],[Theatre]],'Mng Theatres'!$C$7:$G$12,3,FALSE)="Yes","Yes","No"),0)</f>
        <v>0</v>
      </c>
      <c r="Z394" s="9" t="e" cm="1">
        <f t="array" ref="Z39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4" s="9" t="e" cm="1">
        <f t="array" ref="AA39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4" s="9" t="e">
        <f>IF(tbl_Case_mins[[#This Row],[Case Type]]="Unsch",1,0)</f>
        <v>#REF!</v>
      </c>
      <c r="AD394" s="9" t="e">
        <f>IF(tbl_Case_mins[[#This Row],[Case Type]]="Sch",1,0)</f>
        <v>#REF!</v>
      </c>
      <c r="AE39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4" s="9">
        <f>IFERROR(IF(ISBLANK(INDEX(Am_Close,MATCH(1,INDEX((tbl_Case_mins[[#This Row],[Theatre]]=Theatre_No)*(tbl_Case_mins[[#This Row],[Surgery Start Date]]=Date),0,1),0))*1440),0,INDEX(Am_Close,MATCH(1,INDEX((tbl_Case_mins[[#This Row],[Theatre]]=Theatre_No)*(tbl_Case_mins[[#This Row],[Surgery Start Date]]=Date),0,1),0))*1440),0)</f>
        <v>0</v>
      </c>
      <c r="AG394" s="9">
        <f>IFERROR(IF(ISBLANK(INDEX(PM_Open,MATCH(1,INDEX((tbl_Case_mins[[#This Row],[Theatre]]=Theatre_No)*(tbl_Case_mins[[#This Row],[Surgery Start Date]]=Date),0,1),0))*1440),0,INDEX(PM_Open,MATCH(1,INDEX((tbl_Case_mins[[#This Row],[Theatre]]=Theatre_No)*(tbl_Case_mins[[#This Row],[Surgery Start Date]]=Date),0,1),0))*1440),0)</f>
        <v>0</v>
      </c>
      <c r="AH39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4" s="9" t="e">
        <f>IF(tbl_Case_mins[[#This Row],[ThOpenAm]]=0,tbl_Case_mins[[#This Row],[ThOpenPM]],tbl_Case_mins[[#This Row],[ThOpenAm]])</f>
        <v>#REF!</v>
      </c>
      <c r="AJ394" s="9" t="e">
        <f>IF(tbl_Case_mins[[#This Row],[ThCloseAm]]&gt;0,IF(tbl_Case_mins[[#This Row],[ThOpenPM]]&gt;0,tbl_Case_mins[[#This Row],[ThClosePm]],tbl_Case_mins[[#This Row],[ThCloseAm]]),tbl_Case_mins[[#This Row],[ThClosePm]])</f>
        <v>#REF!</v>
      </c>
      <c r="AK394" s="9" t="e">
        <f>IF(tbl_Case_mins[[#This Row],[TOT]]&gt;0,1,0)</f>
        <v>#REF!</v>
      </c>
      <c r="AL39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4" s="9" t="e">
        <f>IF(AND(tbl_Case_mins[[#This Row],[Surgery Status]]&lt;&gt;2,tbl_Case_mins[[#This Row],[InCoreCase]]=0,tbl_Case_mins[[#This Row],[CancelledCase]]=0),1,0)</f>
        <v>#REF!</v>
      </c>
      <c r="AN394" s="9" t="e">
        <f>IF(tbl_Case_mins[[#This Row],[Surgery Status]]=1,1,0)</f>
        <v>#REF!</v>
      </c>
      <c r="AO39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4" s="9" t="e">
        <f>IF(AND(tbl_Case_mins[[#This Row],[NonCoreCase]]=1,tbl_Case_mins[[#This Row],[NoInCoreTime]]=0),1,0)</f>
        <v>#REF!</v>
      </c>
      <c r="AQ394" s="9" t="e">
        <f>IF(tbl_Case_mins[[#This Row],[Rank_AnaEnd]]&lt;tbl_Case_mins[[#This Row],[Rank_AnaSt]],1,0)</f>
        <v>#REF!</v>
      </c>
      <c r="AR394" s="9" t="e">
        <f>IF(AND(tbl_Case_mins[[#This Row],[InCoreCase]]=1,tbl_Case_mins[[#This Row],[Sch]]=1),1,0)</f>
        <v>#REF!</v>
      </c>
      <c r="AS394" s="9" t="e">
        <f>IF(AND(tbl_Case_mins[[#This Row],[InCoreCase]]=1,tbl_Case_mins[[#This Row],[Unsch]]=1),1,0)</f>
        <v>#REF!</v>
      </c>
      <c r="AT39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4" s="9" t="e">
        <f>IF(tbl_Case_mins[[#This Row],[Surgery Status]]=0,(tbl_Case_mins[[#This Row],[Anaesth End]]-tbl_Case_mins[[#This Row],[AnaesthStart]]),0)</f>
        <v>#REF!</v>
      </c>
      <c r="AX394" s="9" t="e">
        <f>IF(tbl_Case_mins[[#This Row],[Surgery Status]]=0,(tbl_Case_mins[[#This Row],[Surgery Finish]]-tbl_Case_mins[[#This Row],[Surgery Start]]),0)</f>
        <v>#REF!</v>
      </c>
      <c r="AY394" s="9" t="e">
        <f>tbl_Case_mins[[#This Row],[Surgery Start]]-tbl_Case_mins[[#This Row],[AnaesthStart]]</f>
        <v>#REF!</v>
      </c>
      <c r="AZ394" s="9" t="e">
        <f>tbl_Case_mins[[#This Row],[Anaesth End]]-tbl_Case_mins[[#This Row],[Surgery Finish]]</f>
        <v>#REF!</v>
      </c>
      <c r="BA39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4" s="16" cm="1">
        <f t="array" ref="BC39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4" s="16" t="e">
        <f>IF(AND(tbl_Case_mins[[#This Row],[FirstAMCase]]=1,tbl_Case_mins[[#This Row],[CancelledCase]]=0,OR(tbl_Case_mins[[#This Row],[EarlyStartAM]]&gt;0,tbl_Case_mins[[#This Row],[AnaesthStart]]=tbl_Case_mins[[#This Row],[ThOpenAm]])),1,0)</f>
        <v>#REF!</v>
      </c>
      <c r="BE394" s="16" t="e">
        <f>IF(AND(tbl_Case_mins[[#This Row],[Rank_AnaSt]]=tbl_Case_mins[[#This Row],[Min_RankAnaSt]],tbl_Case_mins[[#This Row],[Anaesth End]]&gt;=tbl_Case_mins[[#This Row],[ThOpenAm]],tbl_Case_mins[[#This Row],[PmCase]]=0),1,0)</f>
        <v>#REF!</v>
      </c>
      <c r="BF39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4" s="9" t="e" cm="1">
        <f t="array" ref="BH39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4" s="9" t="e">
        <f>IF(AND(tbl_Case_mins[[#This Row],[ThOpenPM]]&gt;0,tbl_Case_mins[[#This Row],[AnaesthStart]]&gt;tbl_Case_mins[[#This Row],[ThOpenPM]],tbl_Case_mins[[#This Row],[First PM Case]]=1),tbl_Case_mins[[#This Row],[AnaesthStart]]-tbl_Case_mins[[#This Row],[ThOpenPM]],0)</f>
        <v>#REF!</v>
      </c>
      <c r="BL39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4" s="9" t="e" cm="1">
        <f t="array" ref="BN39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4" s="9" t="e">
        <f>IF(AND(tbl_Case_mins[[#This Row],[ThClosePm]]&gt;0,tbl_Case_mins[[#This Row],[Anaesth End]]&gt;tbl_Case_mins[[#This Row],[ThClosePm]],tbl_Case_mins[[#This Row],[AnaesthStart]]&gt;tbl_Case_mins[[#This Row],[ThClosePm]]),tbl_Case_mins[[#This Row],[Into Recov]]-tbl_Case_mins[[#This Row],[AnaesthStart]],0)</f>
        <v>#REF!</v>
      </c>
      <c r="BP394" s="9" t="e">
        <f>IF(AND(tbl_Case_mins[[#This Row],[AnaesthStart]]&lt;tbl_Case_mins[[#This Row],[ThClosePm]],tbl_Case_mins[[#This Row],[Anaesth End]]&gt;tbl_Case_mins[[#This Row],[ThClosePm]]),tbl_Case_mins[[#This Row],[Anaesth End]]-tbl_Case_mins[[#This Row],[ThClosePm]],0)</f>
        <v>#REF!</v>
      </c>
      <c r="BQ394" s="9" t="e" cm="1">
        <f t="array" ref="BQ39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4" s="9" t="e" cm="1">
        <f t="array" ref="BR394">IF(tbl_Case_mins[[#This Row],[Rank_Adjust]]=SUMPRODUCT(-(tbl_Case_mins[Surgery Start Date]=tbl_Case_mins[[#This Row],[Surgery Start Date]]),-(tbl_Case_mins[Theatre]=tbl_Case_mins[[#This Row],[Theatre]])),INDEX(Poss_Time,MATCH(TEXT(tbl_Case_mins[[#This Row],[Surgery Start Date]],"ddd"),Day,0)),0)</f>
        <v>#REF!</v>
      </c>
      <c r="BS394" s="9" t="e">
        <f>tbl_Case_mins[[#This Row],[Core_Time]]*Util_Goal</f>
        <v>#REF!</v>
      </c>
      <c r="BT394" s="9" t="e" cm="1">
        <f t="array" ref="BT3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4" s="9" t="e" cm="1">
        <f t="array" ref="BU39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4" s="9" t="e">
        <f>IF(tbl_Case_mins[[#This Row],[Surgery End Date]]&gt;tbl_Case_mins[[#This Row],[Surgery Start Date]],tbl_Case_mins[[#This Row],[Anaesth End]]-1440,0)</f>
        <v>#REF!</v>
      </c>
      <c r="BY394" s="9" t="e">
        <f>tbl_Case_mins[[#This Row],[Total_NonCore]]-tbl_Case_mins[[#This Row],[NextDay_NonCore]]</f>
        <v>#REF!</v>
      </c>
      <c r="BZ394" s="10" t="e">
        <f>tbl_Case_mins[[#This Row],[InCoreUse]]/60</f>
        <v>#REF!</v>
      </c>
      <c r="CA394" s="10" t="e">
        <f>tbl_Case_mins[[#This Row],[Total_NonCore]]/60</f>
        <v>#REF!</v>
      </c>
      <c r="CB394" t="e" cm="1">
        <f t="array" ref="CB3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4" s="9" t="e" cm="1">
        <f t="array" ref="CC39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4" s="9" t="e" cm="1">
        <f t="array" ref="CD39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4" s="9" t="e" cm="1">
        <f t="array" ref="CE39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4" s="9" cm="1">
        <f t="array" ref="CF394">IFERROR(_xlfn.AGGREGATE(14,6,(tbl_Case_mins[Rank_AnaEnd])/((tbl_Case_mins[Surgery Start Date]=tbl_Case_mins[[#This Row],[Surgery Start Date]])*(tbl_Case_mins[Theatre]=tbl_Case_mins[[#This Row],[Theatre]])*(tbl_Case_mins[NoInCoreTime]=0)),1),-1)</f>
        <v>-1</v>
      </c>
      <c r="CG394" s="9" cm="1">
        <f t="array" ref="CG394">IFERROR(_xlfn.AGGREGATE(15,6,(tbl_Case_mins[Rank_AnaSt])/((tbl_Case_mins[Surgery Start Date]=tbl_Case_mins[[#This Row],[Surgery Start Date]])*(tbl_Case_mins[Theatre]=tbl_Case_mins[[#This Row],[Theatre]])*(tbl_Case_mins[NoInCoreTime]=0)),1),-1)</f>
        <v>-1</v>
      </c>
      <c r="CH39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4" t="e" cm="1">
        <f t="array" ref="CJ39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4" s="9" cm="1">
        <f t="array" ref="CO3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4" s="9" cm="1">
        <f t="array" ref="CP39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4" s="9" cm="1">
        <f t="array" ref="CQ394">IFERROR(IF(AND(tbl_Case_mins[[#This Row],[FirstAMCase]]=0,tbl_Case_mins[[#This Row],[Rank]]=_xlfn.AGGREGATE(14,6,(tbl_Case_mins[Rank])/((tbl_Case_mins[Surgery Start Date]=tbl_Case_mins[[#This Row],[Surgery Start Date]])*(tbl_Case_mins[Theatre]=tbl_Case_mins[[#This Row],[Theatre]])*(tbl_Case_mins[AmCase]=1)),1)),1,0),0)</f>
        <v>0</v>
      </c>
      <c r="CR394" s="9" cm="1">
        <f t="array" ref="CR39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4" s="9" t="e" cm="1">
        <f t="array" ref="CS39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4" s="9" cm="1">
        <f t="array" ref="CT394">IFERROR(IF(tbl_Case_mins[[#This Row],[Rank]]=_xlfn.AGGREGATE(15,6,(tbl_Case_mins[Rank])/((tbl_Case_mins[Surgery Start Date]=tbl_Case_mins[[#This Row],[Surgery Start Date]])*(tbl_Case_mins[Theatre]=tbl_Case_mins[[#This Row],[Theatre]])*(tbl_Case_mins[PmCase]=1)),1),1,0),0)</f>
        <v>0</v>
      </c>
      <c r="CU394">
        <f>IFERROR(#REF!,0)</f>
        <v>0</v>
      </c>
      <c r="CV394" s="9" t="e" cm="1">
        <f t="array" ref="CV39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4" s="9">
        <f>IFERROR(IF(ISBLANK(INDEX(Bay_AmClose,MATCH(1,INDEX((tbl_Case_mins[[#This Row],[Bay]]=BayNo)*(tbl_Case_mins[[#This Row],[Surgery Start Date]]=BDate),0,1),0))*1440),0,INDEX(Bay_AmClose,MATCH(1,INDEX((tbl_Case_mins[[#This Row],[Bay]]=BayNo)*(tbl_Case_mins[[#This Row],[Surgery Start Date]]=BDate),0,1),0))*1440),0)</f>
        <v>0</v>
      </c>
      <c r="CX394" s="9" cm="1">
        <f t="array" ref="CX394">IFERROR(IF(ISBLANK(INDEX(Bay_PmOpen,MATCH(1,INDEX((tbl_Case_mins[[#This Row],[Bay]]=BayNo)*(tbl_Case_mins[[#This Row],[Surgery Start Date]]=BDate),0,1),0))*1440),0,INDEX(Bay_PmOpen,MATCH(1,INDEX((tbl_Case_mins[[#This Row],[Bay]]=BayNo)*(tbl_Case_mins[[#This Row],[Surgery Start Date]]=BDate),0,1),0))*1440),0)</f>
        <v>0</v>
      </c>
      <c r="CY39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4" s="9"/>
    </row>
    <row r="395" spans="1:104" x14ac:dyDescent="0.2">
      <c r="A395">
        <v>394</v>
      </c>
      <c r="B395" t="e">
        <f>#REF!</f>
        <v>#REF!</v>
      </c>
      <c r="C395" t="e">
        <f>#REF!</f>
        <v>#REF!</v>
      </c>
      <c r="D395" t="e">
        <f>#REF!</f>
        <v>#REF!</v>
      </c>
      <c r="E395" t="e">
        <f>#REF!</f>
        <v>#REF!</v>
      </c>
      <c r="F395" t="e">
        <f>#REF!</f>
        <v>#REF!</v>
      </c>
      <c r="G395" t="e">
        <f>#REF!</f>
        <v>#REF!</v>
      </c>
      <c r="H395" t="e">
        <f>#REF!</f>
        <v>#REF!</v>
      </c>
      <c r="I395" t="e">
        <f>IF(#REF!="Case Cancelled",1,IF(#REF!="No Cases",2,0))</f>
        <v>#REF!</v>
      </c>
      <c r="J395" t="e">
        <f>#REF!</f>
        <v>#REF!</v>
      </c>
      <c r="K395" s="4" t="e">
        <f>#REF!</f>
        <v>#REF!</v>
      </c>
      <c r="L395" t="e">
        <f>"Wk "&amp;WEEKNUM(tbl_Case_mins[[#This Row],[Surgery Start Date]],21)</f>
        <v>#REF!</v>
      </c>
      <c r="M395" t="e">
        <f>TEXT(tbl_Case_mins[[#This Row],[Surgery Start Date]],"ddd")</f>
        <v>#REF!</v>
      </c>
      <c r="N395" s="9" t="e">
        <f>(#REF!-TIME(0,0,0))*1440</f>
        <v>#REF!</v>
      </c>
      <c r="O395" t="e">
        <f>IF(AND(ROUND((#REF!-TIME(0,0,0))*1440,0)&gt;0,ROUND((#REF!-TIME(0,0,0))*1440,0)&lt;tbl_Case_mins[[#This Row],[Patient Called]],tbl_Case_mins[[#This Row],[Surgery End Date]]&gt;tbl_Case_mins[[#This Row],[Surgery Start Date]]),ROUND((#REF!-TIME(0,0,0))*1440,0)+1440,ROUND((#REF!-TIME(0,0,0))*1440,0))</f>
        <v>#REF!</v>
      </c>
      <c r="P395" s="9" t="e">
        <f>IF(AND(ROUND((#REF!-TIME(0,0,0))*1440,0)&gt;0,ROUND((#REF!-TIME(0,0,0))*1440,0)&lt;tbl_Case_mins[[#This Row],[Arrival]],tbl_Case_mins[[#This Row],[Surgery End Date]]&gt;tbl_Case_mins[[#This Row],[Surgery Start Date]]),ROUND((#REF!-TIME(0,0,0))*1440,0)+1440,ROUND((#REF!-TIME(0,0,0))*1440,0))</f>
        <v>#REF!</v>
      </c>
      <c r="Q395" s="9" t="e">
        <f>IF(AND(ROUND((#REF!-TIME(0,0,0))*1440,0)&gt;0,ROUND((#REF!-TIME(0,0,0))*1440,0)&lt;tbl_Case_mins[[#This Row],[Into Th or AR]],tbl_Case_mins[[#This Row],[Surgery End Date]]&gt;tbl_Case_mins[[#This Row],[Surgery Start Date]]),ROUND((#REF!-TIME(0,0,0))*1440,0)+1440,ROUND((#REF!-TIME(0,0,0))*1440,0))</f>
        <v>#REF!</v>
      </c>
      <c r="R395" s="9" t="e">
        <f>IF(AND(ROUND((#REF!-TIME(0,0,0))*1440,0)&gt;0,ROUND((#REF!-TIME(0,0,0))*1440,0)&lt;tbl_Case_mins[[#This Row],[AnaesthStart]],tbl_Case_mins[[#This Row],[Surgery End Date]]&gt;tbl_Case_mins[[#This Row],[Surgery Start Date]]),ROUND((#REF!-TIME(0,0,0))*1440,0)+1440,ROUND((#REF!-TIME(0,0,0))*1440,0))</f>
        <v>#REF!</v>
      </c>
      <c r="S395" s="9" t="e">
        <f>IF(AND(ROUND((#REF!-TIME(0,0,0))*1440,0),ROUND((#REF!-TIME(0,0,0))*1440,0)&lt;tbl_Case_mins[[#This Row],[Surgery Start]],tbl_Case_mins[[#This Row],[Surgery End Date]]&gt;tbl_Case_mins[[#This Row],[Surgery Start Date]]),ROUND((#REF!-TIME(0,0,0))*1440,0)+1440,ROUND((#REF!-TIME(0,0,0))*1440,0))</f>
        <v>#REF!</v>
      </c>
      <c r="T395" s="9" t="e">
        <f>IF(AND(ROUND((#REF!-TIME(0,0,0))*1440,0)&gt;0,ROUND((#REF!-TIME(0,0,0))*1440,0)&lt;tbl_Case_mins[[#This Row],[Surgery Finish]],tbl_Case_mins[[#This Row],[Surgery End Date]]&gt;tbl_Case_mins[[#This Row],[Surgery Start Date]]),ROUND((#REF!-TIME(0,0,0))*1440,0)+1440,ROUND((#REF!-TIME(0,0,0))*1440,0))</f>
        <v>#REF!</v>
      </c>
      <c r="U395" s="9" t="e">
        <f>IF(AND(ROUND((#REF!-TIME(0,0,0))*1440,0)&gt;0,ROUND((#REF!-TIME(0,0,0))*1440,0)&lt;tbl_Case_mins[[#This Row],[Anaesth End]],tbl_Case_mins[[#This Row],[Surgery End Date]]&gt;tbl_Case_mins[[#This Row],[Surgery Start Date]]),ROUND((#REF!-TIME(0,0,0))*1440,0)+1440,ROUND((#REF!-TIME(0,0,0))*1440,0))</f>
        <v>#REF!</v>
      </c>
      <c r="V395" s="9" t="e">
        <f>IF(AND(ROUND((#REF!-TIME(0,0,0))*1440,0)&gt;0,ROUND((#REF!-TIME(0,0,0))*1440,0)&lt;tbl_Case_mins[[#This Row],[Into Recov]],tbl_Case_mins[[#This Row],[Surgery End Date]]&gt;tbl_Case_mins[[#This Row],[Surgery Start Date]]),ROUND((#REF!-TIME(0,0,0))*1440,0)+1440,ROUND((#REF!-TIME(0,0,0))*1440,0))</f>
        <v>#REF!</v>
      </c>
      <c r="W395" s="9" t="e">
        <f>IF(AND(ROUND((#REF!-TIME(0,0,0))*1440,0)&gt;0,ROUND((#REF!-TIME(0,0,0))*1440,0)&lt;tbl_Case_mins[[#This Row],[Ward Called]],tbl_Case_mins[[#This Row],[Surgery End Date]]&gt;tbl_Case_mins[[#This Row],[Surgery Start Date]]),ROUND((#REF!-TIME(0,0,0))*1440,0)+1440,ROUND((#REF!-TIME(0,0,0))*1440,0))</f>
        <v>#REF!</v>
      </c>
      <c r="X395" s="4" t="e">
        <f>IF(ISBLANK(#REF!),tbl_Case_mins[[#This Row],[Surgery Start Date]],#REF!)</f>
        <v>#REF!</v>
      </c>
      <c r="Y395">
        <f>IFERROR(IF(VLOOKUP(tbl_Case_mins[[#This Row],[Theatre]],'Mng Theatres'!$C$7:$G$12,3,FALSE)="Yes","Yes","No"),0)</f>
        <v>0</v>
      </c>
      <c r="Z395" s="9" t="e" cm="1">
        <f t="array" ref="Z39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5" s="9" t="e" cm="1">
        <f t="array" ref="AA39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5" s="9" t="e">
        <f>IF(tbl_Case_mins[[#This Row],[Case Type]]="Unsch",1,0)</f>
        <v>#REF!</v>
      </c>
      <c r="AD395" s="9" t="e">
        <f>IF(tbl_Case_mins[[#This Row],[Case Type]]="Sch",1,0)</f>
        <v>#REF!</v>
      </c>
      <c r="AE39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5" s="9">
        <f>IFERROR(IF(ISBLANK(INDEX(Am_Close,MATCH(1,INDEX((tbl_Case_mins[[#This Row],[Theatre]]=Theatre_No)*(tbl_Case_mins[[#This Row],[Surgery Start Date]]=Date),0,1),0))*1440),0,INDEX(Am_Close,MATCH(1,INDEX((tbl_Case_mins[[#This Row],[Theatre]]=Theatre_No)*(tbl_Case_mins[[#This Row],[Surgery Start Date]]=Date),0,1),0))*1440),0)</f>
        <v>0</v>
      </c>
      <c r="AG395" s="9">
        <f>IFERROR(IF(ISBLANK(INDEX(PM_Open,MATCH(1,INDEX((tbl_Case_mins[[#This Row],[Theatre]]=Theatre_No)*(tbl_Case_mins[[#This Row],[Surgery Start Date]]=Date),0,1),0))*1440),0,INDEX(PM_Open,MATCH(1,INDEX((tbl_Case_mins[[#This Row],[Theatre]]=Theatre_No)*(tbl_Case_mins[[#This Row],[Surgery Start Date]]=Date),0,1),0))*1440),0)</f>
        <v>0</v>
      </c>
      <c r="AH39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5" s="9" t="e">
        <f>IF(tbl_Case_mins[[#This Row],[ThOpenAm]]=0,tbl_Case_mins[[#This Row],[ThOpenPM]],tbl_Case_mins[[#This Row],[ThOpenAm]])</f>
        <v>#REF!</v>
      </c>
      <c r="AJ395" s="9" t="e">
        <f>IF(tbl_Case_mins[[#This Row],[ThCloseAm]]&gt;0,IF(tbl_Case_mins[[#This Row],[ThOpenPM]]&gt;0,tbl_Case_mins[[#This Row],[ThClosePm]],tbl_Case_mins[[#This Row],[ThCloseAm]]),tbl_Case_mins[[#This Row],[ThClosePm]])</f>
        <v>#REF!</v>
      </c>
      <c r="AK395" s="9" t="e">
        <f>IF(tbl_Case_mins[[#This Row],[TOT]]&gt;0,1,0)</f>
        <v>#REF!</v>
      </c>
      <c r="AL39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5" s="9" t="e">
        <f>IF(AND(tbl_Case_mins[[#This Row],[Surgery Status]]&lt;&gt;2,tbl_Case_mins[[#This Row],[InCoreCase]]=0,tbl_Case_mins[[#This Row],[CancelledCase]]=0),1,0)</f>
        <v>#REF!</v>
      </c>
      <c r="AN395" s="9" t="e">
        <f>IF(tbl_Case_mins[[#This Row],[Surgery Status]]=1,1,0)</f>
        <v>#REF!</v>
      </c>
      <c r="AO39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5" s="9" t="e">
        <f>IF(AND(tbl_Case_mins[[#This Row],[NonCoreCase]]=1,tbl_Case_mins[[#This Row],[NoInCoreTime]]=0),1,0)</f>
        <v>#REF!</v>
      </c>
      <c r="AQ395" s="9" t="e">
        <f>IF(tbl_Case_mins[[#This Row],[Rank_AnaEnd]]&lt;tbl_Case_mins[[#This Row],[Rank_AnaSt]],1,0)</f>
        <v>#REF!</v>
      </c>
      <c r="AR395" s="9" t="e">
        <f>IF(AND(tbl_Case_mins[[#This Row],[InCoreCase]]=1,tbl_Case_mins[[#This Row],[Sch]]=1),1,0)</f>
        <v>#REF!</v>
      </c>
      <c r="AS395" s="9" t="e">
        <f>IF(AND(tbl_Case_mins[[#This Row],[InCoreCase]]=1,tbl_Case_mins[[#This Row],[Unsch]]=1),1,0)</f>
        <v>#REF!</v>
      </c>
      <c r="AT39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5" s="9" t="e">
        <f>IF(tbl_Case_mins[[#This Row],[Surgery Status]]=0,(tbl_Case_mins[[#This Row],[Anaesth End]]-tbl_Case_mins[[#This Row],[AnaesthStart]]),0)</f>
        <v>#REF!</v>
      </c>
      <c r="AX395" s="9" t="e">
        <f>IF(tbl_Case_mins[[#This Row],[Surgery Status]]=0,(tbl_Case_mins[[#This Row],[Surgery Finish]]-tbl_Case_mins[[#This Row],[Surgery Start]]),0)</f>
        <v>#REF!</v>
      </c>
      <c r="AY395" s="9" t="e">
        <f>tbl_Case_mins[[#This Row],[Surgery Start]]-tbl_Case_mins[[#This Row],[AnaesthStart]]</f>
        <v>#REF!</v>
      </c>
      <c r="AZ395" s="9" t="e">
        <f>tbl_Case_mins[[#This Row],[Anaesth End]]-tbl_Case_mins[[#This Row],[Surgery Finish]]</f>
        <v>#REF!</v>
      </c>
      <c r="BA39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5" s="16" cm="1">
        <f t="array" ref="BC39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5" s="16" t="e">
        <f>IF(AND(tbl_Case_mins[[#This Row],[FirstAMCase]]=1,tbl_Case_mins[[#This Row],[CancelledCase]]=0,OR(tbl_Case_mins[[#This Row],[EarlyStartAM]]&gt;0,tbl_Case_mins[[#This Row],[AnaesthStart]]=tbl_Case_mins[[#This Row],[ThOpenAm]])),1,0)</f>
        <v>#REF!</v>
      </c>
      <c r="BE395" s="16" t="e">
        <f>IF(AND(tbl_Case_mins[[#This Row],[Rank_AnaSt]]=tbl_Case_mins[[#This Row],[Min_RankAnaSt]],tbl_Case_mins[[#This Row],[Anaesth End]]&gt;=tbl_Case_mins[[#This Row],[ThOpenAm]],tbl_Case_mins[[#This Row],[PmCase]]=0),1,0)</f>
        <v>#REF!</v>
      </c>
      <c r="BF39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5" s="9" t="e" cm="1">
        <f t="array" ref="BH39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5" s="9" t="e">
        <f>IF(AND(tbl_Case_mins[[#This Row],[ThOpenPM]]&gt;0,tbl_Case_mins[[#This Row],[AnaesthStart]]&gt;tbl_Case_mins[[#This Row],[ThOpenPM]],tbl_Case_mins[[#This Row],[First PM Case]]=1),tbl_Case_mins[[#This Row],[AnaesthStart]]-tbl_Case_mins[[#This Row],[ThOpenPM]],0)</f>
        <v>#REF!</v>
      </c>
      <c r="BL39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5" s="9" t="e" cm="1">
        <f t="array" ref="BN39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5" s="9" t="e">
        <f>IF(AND(tbl_Case_mins[[#This Row],[ThClosePm]]&gt;0,tbl_Case_mins[[#This Row],[Anaesth End]]&gt;tbl_Case_mins[[#This Row],[ThClosePm]],tbl_Case_mins[[#This Row],[AnaesthStart]]&gt;tbl_Case_mins[[#This Row],[ThClosePm]]),tbl_Case_mins[[#This Row],[Into Recov]]-tbl_Case_mins[[#This Row],[AnaesthStart]],0)</f>
        <v>#REF!</v>
      </c>
      <c r="BP395" s="9" t="e">
        <f>IF(AND(tbl_Case_mins[[#This Row],[AnaesthStart]]&lt;tbl_Case_mins[[#This Row],[ThClosePm]],tbl_Case_mins[[#This Row],[Anaesth End]]&gt;tbl_Case_mins[[#This Row],[ThClosePm]]),tbl_Case_mins[[#This Row],[Anaesth End]]-tbl_Case_mins[[#This Row],[ThClosePm]],0)</f>
        <v>#REF!</v>
      </c>
      <c r="BQ395" s="9" t="e" cm="1">
        <f t="array" ref="BQ39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5" s="9" t="e" cm="1">
        <f t="array" ref="BR395">IF(tbl_Case_mins[[#This Row],[Rank_Adjust]]=SUMPRODUCT(-(tbl_Case_mins[Surgery Start Date]=tbl_Case_mins[[#This Row],[Surgery Start Date]]),-(tbl_Case_mins[Theatre]=tbl_Case_mins[[#This Row],[Theatre]])),INDEX(Poss_Time,MATCH(TEXT(tbl_Case_mins[[#This Row],[Surgery Start Date]],"ddd"),Day,0)),0)</f>
        <v>#REF!</v>
      </c>
      <c r="BS395" s="9" t="e">
        <f>tbl_Case_mins[[#This Row],[Core_Time]]*Util_Goal</f>
        <v>#REF!</v>
      </c>
      <c r="BT395" s="9" t="e" cm="1">
        <f t="array" ref="BT3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5" s="9" t="e" cm="1">
        <f t="array" ref="BU39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5" s="9" t="e">
        <f>IF(tbl_Case_mins[[#This Row],[Surgery End Date]]&gt;tbl_Case_mins[[#This Row],[Surgery Start Date]],tbl_Case_mins[[#This Row],[Anaesth End]]-1440,0)</f>
        <v>#REF!</v>
      </c>
      <c r="BY395" s="9" t="e">
        <f>tbl_Case_mins[[#This Row],[Total_NonCore]]-tbl_Case_mins[[#This Row],[NextDay_NonCore]]</f>
        <v>#REF!</v>
      </c>
      <c r="BZ395" s="10" t="e">
        <f>tbl_Case_mins[[#This Row],[InCoreUse]]/60</f>
        <v>#REF!</v>
      </c>
      <c r="CA395" s="10" t="e">
        <f>tbl_Case_mins[[#This Row],[Total_NonCore]]/60</f>
        <v>#REF!</v>
      </c>
      <c r="CB395" t="e" cm="1">
        <f t="array" ref="CB3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5" s="9" t="e" cm="1">
        <f t="array" ref="CC39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5" s="9" t="e" cm="1">
        <f t="array" ref="CD39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5" s="9" t="e" cm="1">
        <f t="array" ref="CE39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5" s="9" cm="1">
        <f t="array" ref="CF395">IFERROR(_xlfn.AGGREGATE(14,6,(tbl_Case_mins[Rank_AnaEnd])/((tbl_Case_mins[Surgery Start Date]=tbl_Case_mins[[#This Row],[Surgery Start Date]])*(tbl_Case_mins[Theatre]=tbl_Case_mins[[#This Row],[Theatre]])*(tbl_Case_mins[NoInCoreTime]=0)),1),-1)</f>
        <v>-1</v>
      </c>
      <c r="CG395" s="9" cm="1">
        <f t="array" ref="CG395">IFERROR(_xlfn.AGGREGATE(15,6,(tbl_Case_mins[Rank_AnaSt])/((tbl_Case_mins[Surgery Start Date]=tbl_Case_mins[[#This Row],[Surgery Start Date]])*(tbl_Case_mins[Theatre]=tbl_Case_mins[[#This Row],[Theatre]])*(tbl_Case_mins[NoInCoreTime]=0)),1),-1)</f>
        <v>-1</v>
      </c>
      <c r="CH39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5" t="e" cm="1">
        <f t="array" ref="CJ39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5" s="9" cm="1">
        <f t="array" ref="CO3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5" s="9" cm="1">
        <f t="array" ref="CP39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5" s="9" cm="1">
        <f t="array" ref="CQ395">IFERROR(IF(AND(tbl_Case_mins[[#This Row],[FirstAMCase]]=0,tbl_Case_mins[[#This Row],[Rank]]=_xlfn.AGGREGATE(14,6,(tbl_Case_mins[Rank])/((tbl_Case_mins[Surgery Start Date]=tbl_Case_mins[[#This Row],[Surgery Start Date]])*(tbl_Case_mins[Theatre]=tbl_Case_mins[[#This Row],[Theatre]])*(tbl_Case_mins[AmCase]=1)),1)),1,0),0)</f>
        <v>0</v>
      </c>
      <c r="CR395" s="9" cm="1">
        <f t="array" ref="CR39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5" s="9" t="e" cm="1">
        <f t="array" ref="CS39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5" s="9" cm="1">
        <f t="array" ref="CT395">IFERROR(IF(tbl_Case_mins[[#This Row],[Rank]]=_xlfn.AGGREGATE(15,6,(tbl_Case_mins[Rank])/((tbl_Case_mins[Surgery Start Date]=tbl_Case_mins[[#This Row],[Surgery Start Date]])*(tbl_Case_mins[Theatre]=tbl_Case_mins[[#This Row],[Theatre]])*(tbl_Case_mins[PmCase]=1)),1),1,0),0)</f>
        <v>0</v>
      </c>
      <c r="CU395">
        <f>IFERROR(#REF!,0)</f>
        <v>0</v>
      </c>
      <c r="CV395" s="9" t="e" cm="1">
        <f t="array" ref="CV39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5" s="9">
        <f>IFERROR(IF(ISBLANK(INDEX(Bay_AmClose,MATCH(1,INDEX((tbl_Case_mins[[#This Row],[Bay]]=BayNo)*(tbl_Case_mins[[#This Row],[Surgery Start Date]]=BDate),0,1),0))*1440),0,INDEX(Bay_AmClose,MATCH(1,INDEX((tbl_Case_mins[[#This Row],[Bay]]=BayNo)*(tbl_Case_mins[[#This Row],[Surgery Start Date]]=BDate),0,1),0))*1440),0)</f>
        <v>0</v>
      </c>
      <c r="CX395" s="9" cm="1">
        <f t="array" ref="CX395">IFERROR(IF(ISBLANK(INDEX(Bay_PmOpen,MATCH(1,INDEX((tbl_Case_mins[[#This Row],[Bay]]=BayNo)*(tbl_Case_mins[[#This Row],[Surgery Start Date]]=BDate),0,1),0))*1440),0,INDEX(Bay_PmOpen,MATCH(1,INDEX((tbl_Case_mins[[#This Row],[Bay]]=BayNo)*(tbl_Case_mins[[#This Row],[Surgery Start Date]]=BDate),0,1),0))*1440),0)</f>
        <v>0</v>
      </c>
      <c r="CY39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5" s="9"/>
    </row>
    <row r="396" spans="1:104" x14ac:dyDescent="0.2">
      <c r="A396">
        <v>395</v>
      </c>
      <c r="B396" t="e">
        <f>#REF!</f>
        <v>#REF!</v>
      </c>
      <c r="C396" t="e">
        <f>#REF!</f>
        <v>#REF!</v>
      </c>
      <c r="D396" t="e">
        <f>#REF!</f>
        <v>#REF!</v>
      </c>
      <c r="E396" t="e">
        <f>#REF!</f>
        <v>#REF!</v>
      </c>
      <c r="F396" t="e">
        <f>#REF!</f>
        <v>#REF!</v>
      </c>
      <c r="G396" t="e">
        <f>#REF!</f>
        <v>#REF!</v>
      </c>
      <c r="H396" t="e">
        <f>#REF!</f>
        <v>#REF!</v>
      </c>
      <c r="I396" t="e">
        <f>IF(#REF!="Case Cancelled",1,IF(#REF!="No Cases",2,0))</f>
        <v>#REF!</v>
      </c>
      <c r="J396" t="e">
        <f>#REF!</f>
        <v>#REF!</v>
      </c>
      <c r="K396" s="4" t="e">
        <f>#REF!</f>
        <v>#REF!</v>
      </c>
      <c r="L396" t="e">
        <f>"Wk "&amp;WEEKNUM(tbl_Case_mins[[#This Row],[Surgery Start Date]],21)</f>
        <v>#REF!</v>
      </c>
      <c r="M396" t="e">
        <f>TEXT(tbl_Case_mins[[#This Row],[Surgery Start Date]],"ddd")</f>
        <v>#REF!</v>
      </c>
      <c r="N396" s="9" t="e">
        <f>(#REF!-TIME(0,0,0))*1440</f>
        <v>#REF!</v>
      </c>
      <c r="O396" t="e">
        <f>IF(AND(ROUND((#REF!-TIME(0,0,0))*1440,0)&gt;0,ROUND((#REF!-TIME(0,0,0))*1440,0)&lt;tbl_Case_mins[[#This Row],[Patient Called]],tbl_Case_mins[[#This Row],[Surgery End Date]]&gt;tbl_Case_mins[[#This Row],[Surgery Start Date]]),ROUND((#REF!-TIME(0,0,0))*1440,0)+1440,ROUND((#REF!-TIME(0,0,0))*1440,0))</f>
        <v>#REF!</v>
      </c>
      <c r="P396" s="9" t="e">
        <f>IF(AND(ROUND((#REF!-TIME(0,0,0))*1440,0)&gt;0,ROUND((#REF!-TIME(0,0,0))*1440,0)&lt;tbl_Case_mins[[#This Row],[Arrival]],tbl_Case_mins[[#This Row],[Surgery End Date]]&gt;tbl_Case_mins[[#This Row],[Surgery Start Date]]),ROUND((#REF!-TIME(0,0,0))*1440,0)+1440,ROUND((#REF!-TIME(0,0,0))*1440,0))</f>
        <v>#REF!</v>
      </c>
      <c r="Q396" s="9" t="e">
        <f>IF(AND(ROUND((#REF!-TIME(0,0,0))*1440,0)&gt;0,ROUND((#REF!-TIME(0,0,0))*1440,0)&lt;tbl_Case_mins[[#This Row],[Into Th or AR]],tbl_Case_mins[[#This Row],[Surgery End Date]]&gt;tbl_Case_mins[[#This Row],[Surgery Start Date]]),ROUND((#REF!-TIME(0,0,0))*1440,0)+1440,ROUND((#REF!-TIME(0,0,0))*1440,0))</f>
        <v>#REF!</v>
      </c>
      <c r="R396" s="9" t="e">
        <f>IF(AND(ROUND((#REF!-TIME(0,0,0))*1440,0)&gt;0,ROUND((#REF!-TIME(0,0,0))*1440,0)&lt;tbl_Case_mins[[#This Row],[AnaesthStart]],tbl_Case_mins[[#This Row],[Surgery End Date]]&gt;tbl_Case_mins[[#This Row],[Surgery Start Date]]),ROUND((#REF!-TIME(0,0,0))*1440,0)+1440,ROUND((#REF!-TIME(0,0,0))*1440,0))</f>
        <v>#REF!</v>
      </c>
      <c r="S396" s="9" t="e">
        <f>IF(AND(ROUND((#REF!-TIME(0,0,0))*1440,0),ROUND((#REF!-TIME(0,0,0))*1440,0)&lt;tbl_Case_mins[[#This Row],[Surgery Start]],tbl_Case_mins[[#This Row],[Surgery End Date]]&gt;tbl_Case_mins[[#This Row],[Surgery Start Date]]),ROUND((#REF!-TIME(0,0,0))*1440,0)+1440,ROUND((#REF!-TIME(0,0,0))*1440,0))</f>
        <v>#REF!</v>
      </c>
      <c r="T396" s="9" t="e">
        <f>IF(AND(ROUND((#REF!-TIME(0,0,0))*1440,0)&gt;0,ROUND((#REF!-TIME(0,0,0))*1440,0)&lt;tbl_Case_mins[[#This Row],[Surgery Finish]],tbl_Case_mins[[#This Row],[Surgery End Date]]&gt;tbl_Case_mins[[#This Row],[Surgery Start Date]]),ROUND((#REF!-TIME(0,0,0))*1440,0)+1440,ROUND((#REF!-TIME(0,0,0))*1440,0))</f>
        <v>#REF!</v>
      </c>
      <c r="U396" s="9" t="e">
        <f>IF(AND(ROUND((#REF!-TIME(0,0,0))*1440,0)&gt;0,ROUND((#REF!-TIME(0,0,0))*1440,0)&lt;tbl_Case_mins[[#This Row],[Anaesth End]],tbl_Case_mins[[#This Row],[Surgery End Date]]&gt;tbl_Case_mins[[#This Row],[Surgery Start Date]]),ROUND((#REF!-TIME(0,0,0))*1440,0)+1440,ROUND((#REF!-TIME(0,0,0))*1440,0))</f>
        <v>#REF!</v>
      </c>
      <c r="V396" s="9" t="e">
        <f>IF(AND(ROUND((#REF!-TIME(0,0,0))*1440,0)&gt;0,ROUND((#REF!-TIME(0,0,0))*1440,0)&lt;tbl_Case_mins[[#This Row],[Into Recov]],tbl_Case_mins[[#This Row],[Surgery End Date]]&gt;tbl_Case_mins[[#This Row],[Surgery Start Date]]),ROUND((#REF!-TIME(0,0,0))*1440,0)+1440,ROUND((#REF!-TIME(0,0,0))*1440,0))</f>
        <v>#REF!</v>
      </c>
      <c r="W396" s="9" t="e">
        <f>IF(AND(ROUND((#REF!-TIME(0,0,0))*1440,0)&gt;0,ROUND((#REF!-TIME(0,0,0))*1440,0)&lt;tbl_Case_mins[[#This Row],[Ward Called]],tbl_Case_mins[[#This Row],[Surgery End Date]]&gt;tbl_Case_mins[[#This Row],[Surgery Start Date]]),ROUND((#REF!-TIME(0,0,0))*1440,0)+1440,ROUND((#REF!-TIME(0,0,0))*1440,0))</f>
        <v>#REF!</v>
      </c>
      <c r="X396" s="4" t="e">
        <f>IF(ISBLANK(#REF!),tbl_Case_mins[[#This Row],[Surgery Start Date]],#REF!)</f>
        <v>#REF!</v>
      </c>
      <c r="Y396">
        <f>IFERROR(IF(VLOOKUP(tbl_Case_mins[[#This Row],[Theatre]],'Mng Theatres'!$C$7:$G$12,3,FALSE)="Yes","Yes","No"),0)</f>
        <v>0</v>
      </c>
      <c r="Z396" s="9" t="e" cm="1">
        <f t="array" ref="Z39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6" s="9" t="e" cm="1">
        <f t="array" ref="AA39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6" s="9" t="e">
        <f>IF(tbl_Case_mins[[#This Row],[Case Type]]="Unsch",1,0)</f>
        <v>#REF!</v>
      </c>
      <c r="AD396" s="9" t="e">
        <f>IF(tbl_Case_mins[[#This Row],[Case Type]]="Sch",1,0)</f>
        <v>#REF!</v>
      </c>
      <c r="AE39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6" s="9">
        <f>IFERROR(IF(ISBLANK(INDEX(Am_Close,MATCH(1,INDEX((tbl_Case_mins[[#This Row],[Theatre]]=Theatre_No)*(tbl_Case_mins[[#This Row],[Surgery Start Date]]=Date),0,1),0))*1440),0,INDEX(Am_Close,MATCH(1,INDEX((tbl_Case_mins[[#This Row],[Theatre]]=Theatre_No)*(tbl_Case_mins[[#This Row],[Surgery Start Date]]=Date),0,1),0))*1440),0)</f>
        <v>0</v>
      </c>
      <c r="AG396" s="9">
        <f>IFERROR(IF(ISBLANK(INDEX(PM_Open,MATCH(1,INDEX((tbl_Case_mins[[#This Row],[Theatre]]=Theatre_No)*(tbl_Case_mins[[#This Row],[Surgery Start Date]]=Date),0,1),0))*1440),0,INDEX(PM_Open,MATCH(1,INDEX((tbl_Case_mins[[#This Row],[Theatre]]=Theatre_No)*(tbl_Case_mins[[#This Row],[Surgery Start Date]]=Date),0,1),0))*1440),0)</f>
        <v>0</v>
      </c>
      <c r="AH39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6" s="9" t="e">
        <f>IF(tbl_Case_mins[[#This Row],[ThOpenAm]]=0,tbl_Case_mins[[#This Row],[ThOpenPM]],tbl_Case_mins[[#This Row],[ThOpenAm]])</f>
        <v>#REF!</v>
      </c>
      <c r="AJ396" s="9" t="e">
        <f>IF(tbl_Case_mins[[#This Row],[ThCloseAm]]&gt;0,IF(tbl_Case_mins[[#This Row],[ThOpenPM]]&gt;0,tbl_Case_mins[[#This Row],[ThClosePm]],tbl_Case_mins[[#This Row],[ThCloseAm]]),tbl_Case_mins[[#This Row],[ThClosePm]])</f>
        <v>#REF!</v>
      </c>
      <c r="AK396" s="9" t="e">
        <f>IF(tbl_Case_mins[[#This Row],[TOT]]&gt;0,1,0)</f>
        <v>#REF!</v>
      </c>
      <c r="AL39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6" s="9" t="e">
        <f>IF(AND(tbl_Case_mins[[#This Row],[Surgery Status]]&lt;&gt;2,tbl_Case_mins[[#This Row],[InCoreCase]]=0,tbl_Case_mins[[#This Row],[CancelledCase]]=0),1,0)</f>
        <v>#REF!</v>
      </c>
      <c r="AN396" s="9" t="e">
        <f>IF(tbl_Case_mins[[#This Row],[Surgery Status]]=1,1,0)</f>
        <v>#REF!</v>
      </c>
      <c r="AO39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6" s="9" t="e">
        <f>IF(AND(tbl_Case_mins[[#This Row],[NonCoreCase]]=1,tbl_Case_mins[[#This Row],[NoInCoreTime]]=0),1,0)</f>
        <v>#REF!</v>
      </c>
      <c r="AQ396" s="9" t="e">
        <f>IF(tbl_Case_mins[[#This Row],[Rank_AnaEnd]]&lt;tbl_Case_mins[[#This Row],[Rank_AnaSt]],1,0)</f>
        <v>#REF!</v>
      </c>
      <c r="AR396" s="9" t="e">
        <f>IF(AND(tbl_Case_mins[[#This Row],[InCoreCase]]=1,tbl_Case_mins[[#This Row],[Sch]]=1),1,0)</f>
        <v>#REF!</v>
      </c>
      <c r="AS396" s="9" t="e">
        <f>IF(AND(tbl_Case_mins[[#This Row],[InCoreCase]]=1,tbl_Case_mins[[#This Row],[Unsch]]=1),1,0)</f>
        <v>#REF!</v>
      </c>
      <c r="AT39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6" s="9" t="e">
        <f>IF(tbl_Case_mins[[#This Row],[Surgery Status]]=0,(tbl_Case_mins[[#This Row],[Anaesth End]]-tbl_Case_mins[[#This Row],[AnaesthStart]]),0)</f>
        <v>#REF!</v>
      </c>
      <c r="AX396" s="9" t="e">
        <f>IF(tbl_Case_mins[[#This Row],[Surgery Status]]=0,(tbl_Case_mins[[#This Row],[Surgery Finish]]-tbl_Case_mins[[#This Row],[Surgery Start]]),0)</f>
        <v>#REF!</v>
      </c>
      <c r="AY396" s="9" t="e">
        <f>tbl_Case_mins[[#This Row],[Surgery Start]]-tbl_Case_mins[[#This Row],[AnaesthStart]]</f>
        <v>#REF!</v>
      </c>
      <c r="AZ396" s="9" t="e">
        <f>tbl_Case_mins[[#This Row],[Anaesth End]]-tbl_Case_mins[[#This Row],[Surgery Finish]]</f>
        <v>#REF!</v>
      </c>
      <c r="BA39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6" s="16" cm="1">
        <f t="array" ref="BC39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6" s="16" t="e">
        <f>IF(AND(tbl_Case_mins[[#This Row],[FirstAMCase]]=1,tbl_Case_mins[[#This Row],[CancelledCase]]=0,OR(tbl_Case_mins[[#This Row],[EarlyStartAM]]&gt;0,tbl_Case_mins[[#This Row],[AnaesthStart]]=tbl_Case_mins[[#This Row],[ThOpenAm]])),1,0)</f>
        <v>#REF!</v>
      </c>
      <c r="BE396" s="16" t="e">
        <f>IF(AND(tbl_Case_mins[[#This Row],[Rank_AnaSt]]=tbl_Case_mins[[#This Row],[Min_RankAnaSt]],tbl_Case_mins[[#This Row],[Anaesth End]]&gt;=tbl_Case_mins[[#This Row],[ThOpenAm]],tbl_Case_mins[[#This Row],[PmCase]]=0),1,0)</f>
        <v>#REF!</v>
      </c>
      <c r="BF39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6" s="9" t="e" cm="1">
        <f t="array" ref="BH39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6" s="9" t="e">
        <f>IF(AND(tbl_Case_mins[[#This Row],[ThOpenPM]]&gt;0,tbl_Case_mins[[#This Row],[AnaesthStart]]&gt;tbl_Case_mins[[#This Row],[ThOpenPM]],tbl_Case_mins[[#This Row],[First PM Case]]=1),tbl_Case_mins[[#This Row],[AnaesthStart]]-tbl_Case_mins[[#This Row],[ThOpenPM]],0)</f>
        <v>#REF!</v>
      </c>
      <c r="BL39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6" s="9" t="e" cm="1">
        <f t="array" ref="BN39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6" s="9" t="e">
        <f>IF(AND(tbl_Case_mins[[#This Row],[ThClosePm]]&gt;0,tbl_Case_mins[[#This Row],[Anaesth End]]&gt;tbl_Case_mins[[#This Row],[ThClosePm]],tbl_Case_mins[[#This Row],[AnaesthStart]]&gt;tbl_Case_mins[[#This Row],[ThClosePm]]),tbl_Case_mins[[#This Row],[Into Recov]]-tbl_Case_mins[[#This Row],[AnaesthStart]],0)</f>
        <v>#REF!</v>
      </c>
      <c r="BP396" s="9" t="e">
        <f>IF(AND(tbl_Case_mins[[#This Row],[AnaesthStart]]&lt;tbl_Case_mins[[#This Row],[ThClosePm]],tbl_Case_mins[[#This Row],[Anaesth End]]&gt;tbl_Case_mins[[#This Row],[ThClosePm]]),tbl_Case_mins[[#This Row],[Anaesth End]]-tbl_Case_mins[[#This Row],[ThClosePm]],0)</f>
        <v>#REF!</v>
      </c>
      <c r="BQ396" s="9" t="e" cm="1">
        <f t="array" ref="BQ39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6" s="9" t="e" cm="1">
        <f t="array" ref="BR396">IF(tbl_Case_mins[[#This Row],[Rank_Adjust]]=SUMPRODUCT(-(tbl_Case_mins[Surgery Start Date]=tbl_Case_mins[[#This Row],[Surgery Start Date]]),-(tbl_Case_mins[Theatre]=tbl_Case_mins[[#This Row],[Theatre]])),INDEX(Poss_Time,MATCH(TEXT(tbl_Case_mins[[#This Row],[Surgery Start Date]],"ddd"),Day,0)),0)</f>
        <v>#REF!</v>
      </c>
      <c r="BS396" s="9" t="e">
        <f>tbl_Case_mins[[#This Row],[Core_Time]]*Util_Goal</f>
        <v>#REF!</v>
      </c>
      <c r="BT396" s="9" t="e" cm="1">
        <f t="array" ref="BT3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6" s="9" t="e" cm="1">
        <f t="array" ref="BU39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6" s="9" t="e">
        <f>IF(tbl_Case_mins[[#This Row],[Surgery End Date]]&gt;tbl_Case_mins[[#This Row],[Surgery Start Date]],tbl_Case_mins[[#This Row],[Anaesth End]]-1440,0)</f>
        <v>#REF!</v>
      </c>
      <c r="BY396" s="9" t="e">
        <f>tbl_Case_mins[[#This Row],[Total_NonCore]]-tbl_Case_mins[[#This Row],[NextDay_NonCore]]</f>
        <v>#REF!</v>
      </c>
      <c r="BZ396" s="10" t="e">
        <f>tbl_Case_mins[[#This Row],[InCoreUse]]/60</f>
        <v>#REF!</v>
      </c>
      <c r="CA396" s="10" t="e">
        <f>tbl_Case_mins[[#This Row],[Total_NonCore]]/60</f>
        <v>#REF!</v>
      </c>
      <c r="CB396" t="e" cm="1">
        <f t="array" ref="CB3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6" s="9" t="e" cm="1">
        <f t="array" ref="CC39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6" s="9" t="e" cm="1">
        <f t="array" ref="CD39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6" s="9" t="e" cm="1">
        <f t="array" ref="CE39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6" s="9" cm="1">
        <f t="array" ref="CF396">IFERROR(_xlfn.AGGREGATE(14,6,(tbl_Case_mins[Rank_AnaEnd])/((tbl_Case_mins[Surgery Start Date]=tbl_Case_mins[[#This Row],[Surgery Start Date]])*(tbl_Case_mins[Theatre]=tbl_Case_mins[[#This Row],[Theatre]])*(tbl_Case_mins[NoInCoreTime]=0)),1),-1)</f>
        <v>-1</v>
      </c>
      <c r="CG396" s="9" cm="1">
        <f t="array" ref="CG396">IFERROR(_xlfn.AGGREGATE(15,6,(tbl_Case_mins[Rank_AnaSt])/((tbl_Case_mins[Surgery Start Date]=tbl_Case_mins[[#This Row],[Surgery Start Date]])*(tbl_Case_mins[Theatre]=tbl_Case_mins[[#This Row],[Theatre]])*(tbl_Case_mins[NoInCoreTime]=0)),1),-1)</f>
        <v>-1</v>
      </c>
      <c r="CH39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6" t="e" cm="1">
        <f t="array" ref="CJ39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6" s="9" cm="1">
        <f t="array" ref="CO3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6" s="9" cm="1">
        <f t="array" ref="CP39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6" s="9" cm="1">
        <f t="array" ref="CQ396">IFERROR(IF(AND(tbl_Case_mins[[#This Row],[FirstAMCase]]=0,tbl_Case_mins[[#This Row],[Rank]]=_xlfn.AGGREGATE(14,6,(tbl_Case_mins[Rank])/((tbl_Case_mins[Surgery Start Date]=tbl_Case_mins[[#This Row],[Surgery Start Date]])*(tbl_Case_mins[Theatre]=tbl_Case_mins[[#This Row],[Theatre]])*(tbl_Case_mins[AmCase]=1)),1)),1,0),0)</f>
        <v>0</v>
      </c>
      <c r="CR396" s="9" cm="1">
        <f t="array" ref="CR39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6" s="9" t="e" cm="1">
        <f t="array" ref="CS39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6" s="9" cm="1">
        <f t="array" ref="CT396">IFERROR(IF(tbl_Case_mins[[#This Row],[Rank]]=_xlfn.AGGREGATE(15,6,(tbl_Case_mins[Rank])/((tbl_Case_mins[Surgery Start Date]=tbl_Case_mins[[#This Row],[Surgery Start Date]])*(tbl_Case_mins[Theatre]=tbl_Case_mins[[#This Row],[Theatre]])*(tbl_Case_mins[PmCase]=1)),1),1,0),0)</f>
        <v>0</v>
      </c>
      <c r="CU396">
        <f>IFERROR(#REF!,0)</f>
        <v>0</v>
      </c>
      <c r="CV396" s="9" t="e" cm="1">
        <f t="array" ref="CV39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6" s="9">
        <f>IFERROR(IF(ISBLANK(INDEX(Bay_AmClose,MATCH(1,INDEX((tbl_Case_mins[[#This Row],[Bay]]=BayNo)*(tbl_Case_mins[[#This Row],[Surgery Start Date]]=BDate),0,1),0))*1440),0,INDEX(Bay_AmClose,MATCH(1,INDEX((tbl_Case_mins[[#This Row],[Bay]]=BayNo)*(tbl_Case_mins[[#This Row],[Surgery Start Date]]=BDate),0,1),0))*1440),0)</f>
        <v>0</v>
      </c>
      <c r="CX396" s="9" cm="1">
        <f t="array" ref="CX396">IFERROR(IF(ISBLANK(INDEX(Bay_PmOpen,MATCH(1,INDEX((tbl_Case_mins[[#This Row],[Bay]]=BayNo)*(tbl_Case_mins[[#This Row],[Surgery Start Date]]=BDate),0,1),0))*1440),0,INDEX(Bay_PmOpen,MATCH(1,INDEX((tbl_Case_mins[[#This Row],[Bay]]=BayNo)*(tbl_Case_mins[[#This Row],[Surgery Start Date]]=BDate),0,1),0))*1440),0)</f>
        <v>0</v>
      </c>
      <c r="CY39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6" s="9"/>
    </row>
    <row r="397" spans="1:104" x14ac:dyDescent="0.2">
      <c r="A397">
        <v>396</v>
      </c>
      <c r="B397" t="e">
        <f>#REF!</f>
        <v>#REF!</v>
      </c>
      <c r="C397" t="e">
        <f>#REF!</f>
        <v>#REF!</v>
      </c>
      <c r="D397" t="e">
        <f>#REF!</f>
        <v>#REF!</v>
      </c>
      <c r="E397" t="e">
        <f>#REF!</f>
        <v>#REF!</v>
      </c>
      <c r="F397" t="e">
        <f>#REF!</f>
        <v>#REF!</v>
      </c>
      <c r="G397" t="e">
        <f>#REF!</f>
        <v>#REF!</v>
      </c>
      <c r="H397" t="e">
        <f>#REF!</f>
        <v>#REF!</v>
      </c>
      <c r="I397" t="e">
        <f>IF(#REF!="Case Cancelled",1,IF(#REF!="No Cases",2,0))</f>
        <v>#REF!</v>
      </c>
      <c r="J397" t="e">
        <f>#REF!</f>
        <v>#REF!</v>
      </c>
      <c r="K397" s="4" t="e">
        <f>#REF!</f>
        <v>#REF!</v>
      </c>
      <c r="L397" t="e">
        <f>"Wk "&amp;WEEKNUM(tbl_Case_mins[[#This Row],[Surgery Start Date]],21)</f>
        <v>#REF!</v>
      </c>
      <c r="M397" t="e">
        <f>TEXT(tbl_Case_mins[[#This Row],[Surgery Start Date]],"ddd")</f>
        <v>#REF!</v>
      </c>
      <c r="N397" s="9" t="e">
        <f>(#REF!-TIME(0,0,0))*1440</f>
        <v>#REF!</v>
      </c>
      <c r="O397" t="e">
        <f>IF(AND(ROUND((#REF!-TIME(0,0,0))*1440,0)&gt;0,ROUND((#REF!-TIME(0,0,0))*1440,0)&lt;tbl_Case_mins[[#This Row],[Patient Called]],tbl_Case_mins[[#This Row],[Surgery End Date]]&gt;tbl_Case_mins[[#This Row],[Surgery Start Date]]),ROUND((#REF!-TIME(0,0,0))*1440,0)+1440,ROUND((#REF!-TIME(0,0,0))*1440,0))</f>
        <v>#REF!</v>
      </c>
      <c r="P397" s="9" t="e">
        <f>IF(AND(ROUND((#REF!-TIME(0,0,0))*1440,0)&gt;0,ROUND((#REF!-TIME(0,0,0))*1440,0)&lt;tbl_Case_mins[[#This Row],[Arrival]],tbl_Case_mins[[#This Row],[Surgery End Date]]&gt;tbl_Case_mins[[#This Row],[Surgery Start Date]]),ROUND((#REF!-TIME(0,0,0))*1440,0)+1440,ROUND((#REF!-TIME(0,0,0))*1440,0))</f>
        <v>#REF!</v>
      </c>
      <c r="Q397" s="9" t="e">
        <f>IF(AND(ROUND((#REF!-TIME(0,0,0))*1440,0)&gt;0,ROUND((#REF!-TIME(0,0,0))*1440,0)&lt;tbl_Case_mins[[#This Row],[Into Th or AR]],tbl_Case_mins[[#This Row],[Surgery End Date]]&gt;tbl_Case_mins[[#This Row],[Surgery Start Date]]),ROUND((#REF!-TIME(0,0,0))*1440,0)+1440,ROUND((#REF!-TIME(0,0,0))*1440,0))</f>
        <v>#REF!</v>
      </c>
      <c r="R397" s="9" t="e">
        <f>IF(AND(ROUND((#REF!-TIME(0,0,0))*1440,0)&gt;0,ROUND((#REF!-TIME(0,0,0))*1440,0)&lt;tbl_Case_mins[[#This Row],[AnaesthStart]],tbl_Case_mins[[#This Row],[Surgery End Date]]&gt;tbl_Case_mins[[#This Row],[Surgery Start Date]]),ROUND((#REF!-TIME(0,0,0))*1440,0)+1440,ROUND((#REF!-TIME(0,0,0))*1440,0))</f>
        <v>#REF!</v>
      </c>
      <c r="S397" s="9" t="e">
        <f>IF(AND(ROUND((#REF!-TIME(0,0,0))*1440,0),ROUND((#REF!-TIME(0,0,0))*1440,0)&lt;tbl_Case_mins[[#This Row],[Surgery Start]],tbl_Case_mins[[#This Row],[Surgery End Date]]&gt;tbl_Case_mins[[#This Row],[Surgery Start Date]]),ROUND((#REF!-TIME(0,0,0))*1440,0)+1440,ROUND((#REF!-TIME(0,0,0))*1440,0))</f>
        <v>#REF!</v>
      </c>
      <c r="T397" s="9" t="e">
        <f>IF(AND(ROUND((#REF!-TIME(0,0,0))*1440,0)&gt;0,ROUND((#REF!-TIME(0,0,0))*1440,0)&lt;tbl_Case_mins[[#This Row],[Surgery Finish]],tbl_Case_mins[[#This Row],[Surgery End Date]]&gt;tbl_Case_mins[[#This Row],[Surgery Start Date]]),ROUND((#REF!-TIME(0,0,0))*1440,0)+1440,ROUND((#REF!-TIME(0,0,0))*1440,0))</f>
        <v>#REF!</v>
      </c>
      <c r="U397" s="9" t="e">
        <f>IF(AND(ROUND((#REF!-TIME(0,0,0))*1440,0)&gt;0,ROUND((#REF!-TIME(0,0,0))*1440,0)&lt;tbl_Case_mins[[#This Row],[Anaesth End]],tbl_Case_mins[[#This Row],[Surgery End Date]]&gt;tbl_Case_mins[[#This Row],[Surgery Start Date]]),ROUND((#REF!-TIME(0,0,0))*1440,0)+1440,ROUND((#REF!-TIME(0,0,0))*1440,0))</f>
        <v>#REF!</v>
      </c>
      <c r="V397" s="9" t="e">
        <f>IF(AND(ROUND((#REF!-TIME(0,0,0))*1440,0)&gt;0,ROUND((#REF!-TIME(0,0,0))*1440,0)&lt;tbl_Case_mins[[#This Row],[Into Recov]],tbl_Case_mins[[#This Row],[Surgery End Date]]&gt;tbl_Case_mins[[#This Row],[Surgery Start Date]]),ROUND((#REF!-TIME(0,0,0))*1440,0)+1440,ROUND((#REF!-TIME(0,0,0))*1440,0))</f>
        <v>#REF!</v>
      </c>
      <c r="W397" s="9" t="e">
        <f>IF(AND(ROUND((#REF!-TIME(0,0,0))*1440,0)&gt;0,ROUND((#REF!-TIME(0,0,0))*1440,0)&lt;tbl_Case_mins[[#This Row],[Ward Called]],tbl_Case_mins[[#This Row],[Surgery End Date]]&gt;tbl_Case_mins[[#This Row],[Surgery Start Date]]),ROUND((#REF!-TIME(0,0,0))*1440,0)+1440,ROUND((#REF!-TIME(0,0,0))*1440,0))</f>
        <v>#REF!</v>
      </c>
      <c r="X397" s="4" t="e">
        <f>IF(ISBLANK(#REF!),tbl_Case_mins[[#This Row],[Surgery Start Date]],#REF!)</f>
        <v>#REF!</v>
      </c>
      <c r="Y397">
        <f>IFERROR(IF(VLOOKUP(tbl_Case_mins[[#This Row],[Theatre]],'Mng Theatres'!$C$7:$G$12,3,FALSE)="Yes","Yes","No"),0)</f>
        <v>0</v>
      </c>
      <c r="Z397" s="9" t="e" cm="1">
        <f t="array" ref="Z39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7" s="9" t="e" cm="1">
        <f t="array" ref="AA39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7" s="9" t="e">
        <f>IF(tbl_Case_mins[[#This Row],[Case Type]]="Unsch",1,0)</f>
        <v>#REF!</v>
      </c>
      <c r="AD397" s="9" t="e">
        <f>IF(tbl_Case_mins[[#This Row],[Case Type]]="Sch",1,0)</f>
        <v>#REF!</v>
      </c>
      <c r="AE39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7" s="9">
        <f>IFERROR(IF(ISBLANK(INDEX(Am_Close,MATCH(1,INDEX((tbl_Case_mins[[#This Row],[Theatre]]=Theatre_No)*(tbl_Case_mins[[#This Row],[Surgery Start Date]]=Date),0,1),0))*1440),0,INDEX(Am_Close,MATCH(1,INDEX((tbl_Case_mins[[#This Row],[Theatre]]=Theatre_No)*(tbl_Case_mins[[#This Row],[Surgery Start Date]]=Date),0,1),0))*1440),0)</f>
        <v>0</v>
      </c>
      <c r="AG397" s="9">
        <f>IFERROR(IF(ISBLANK(INDEX(PM_Open,MATCH(1,INDEX((tbl_Case_mins[[#This Row],[Theatre]]=Theatre_No)*(tbl_Case_mins[[#This Row],[Surgery Start Date]]=Date),0,1),0))*1440),0,INDEX(PM_Open,MATCH(1,INDEX((tbl_Case_mins[[#This Row],[Theatre]]=Theatre_No)*(tbl_Case_mins[[#This Row],[Surgery Start Date]]=Date),0,1),0))*1440),0)</f>
        <v>0</v>
      </c>
      <c r="AH39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7" s="9" t="e">
        <f>IF(tbl_Case_mins[[#This Row],[ThOpenAm]]=0,tbl_Case_mins[[#This Row],[ThOpenPM]],tbl_Case_mins[[#This Row],[ThOpenAm]])</f>
        <v>#REF!</v>
      </c>
      <c r="AJ397" s="9" t="e">
        <f>IF(tbl_Case_mins[[#This Row],[ThCloseAm]]&gt;0,IF(tbl_Case_mins[[#This Row],[ThOpenPM]]&gt;0,tbl_Case_mins[[#This Row],[ThClosePm]],tbl_Case_mins[[#This Row],[ThCloseAm]]),tbl_Case_mins[[#This Row],[ThClosePm]])</f>
        <v>#REF!</v>
      </c>
      <c r="AK397" s="9" t="e">
        <f>IF(tbl_Case_mins[[#This Row],[TOT]]&gt;0,1,0)</f>
        <v>#REF!</v>
      </c>
      <c r="AL39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7" s="9" t="e">
        <f>IF(AND(tbl_Case_mins[[#This Row],[Surgery Status]]&lt;&gt;2,tbl_Case_mins[[#This Row],[InCoreCase]]=0,tbl_Case_mins[[#This Row],[CancelledCase]]=0),1,0)</f>
        <v>#REF!</v>
      </c>
      <c r="AN397" s="9" t="e">
        <f>IF(tbl_Case_mins[[#This Row],[Surgery Status]]=1,1,0)</f>
        <v>#REF!</v>
      </c>
      <c r="AO39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7" s="9" t="e">
        <f>IF(AND(tbl_Case_mins[[#This Row],[NonCoreCase]]=1,tbl_Case_mins[[#This Row],[NoInCoreTime]]=0),1,0)</f>
        <v>#REF!</v>
      </c>
      <c r="AQ397" s="9" t="e">
        <f>IF(tbl_Case_mins[[#This Row],[Rank_AnaEnd]]&lt;tbl_Case_mins[[#This Row],[Rank_AnaSt]],1,0)</f>
        <v>#REF!</v>
      </c>
      <c r="AR397" s="9" t="e">
        <f>IF(AND(tbl_Case_mins[[#This Row],[InCoreCase]]=1,tbl_Case_mins[[#This Row],[Sch]]=1),1,0)</f>
        <v>#REF!</v>
      </c>
      <c r="AS397" s="9" t="e">
        <f>IF(AND(tbl_Case_mins[[#This Row],[InCoreCase]]=1,tbl_Case_mins[[#This Row],[Unsch]]=1),1,0)</f>
        <v>#REF!</v>
      </c>
      <c r="AT39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7" s="9" t="e">
        <f>IF(tbl_Case_mins[[#This Row],[Surgery Status]]=0,(tbl_Case_mins[[#This Row],[Anaesth End]]-tbl_Case_mins[[#This Row],[AnaesthStart]]),0)</f>
        <v>#REF!</v>
      </c>
      <c r="AX397" s="9" t="e">
        <f>IF(tbl_Case_mins[[#This Row],[Surgery Status]]=0,(tbl_Case_mins[[#This Row],[Surgery Finish]]-tbl_Case_mins[[#This Row],[Surgery Start]]),0)</f>
        <v>#REF!</v>
      </c>
      <c r="AY397" s="9" t="e">
        <f>tbl_Case_mins[[#This Row],[Surgery Start]]-tbl_Case_mins[[#This Row],[AnaesthStart]]</f>
        <v>#REF!</v>
      </c>
      <c r="AZ397" s="9" t="e">
        <f>tbl_Case_mins[[#This Row],[Anaesth End]]-tbl_Case_mins[[#This Row],[Surgery Finish]]</f>
        <v>#REF!</v>
      </c>
      <c r="BA39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7" s="16" cm="1">
        <f t="array" ref="BC39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7" s="16" t="e">
        <f>IF(AND(tbl_Case_mins[[#This Row],[FirstAMCase]]=1,tbl_Case_mins[[#This Row],[CancelledCase]]=0,OR(tbl_Case_mins[[#This Row],[EarlyStartAM]]&gt;0,tbl_Case_mins[[#This Row],[AnaesthStart]]=tbl_Case_mins[[#This Row],[ThOpenAm]])),1,0)</f>
        <v>#REF!</v>
      </c>
      <c r="BE397" s="16" t="e">
        <f>IF(AND(tbl_Case_mins[[#This Row],[Rank_AnaSt]]=tbl_Case_mins[[#This Row],[Min_RankAnaSt]],tbl_Case_mins[[#This Row],[Anaesth End]]&gt;=tbl_Case_mins[[#This Row],[ThOpenAm]],tbl_Case_mins[[#This Row],[PmCase]]=0),1,0)</f>
        <v>#REF!</v>
      </c>
      <c r="BF39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7" s="9" t="e" cm="1">
        <f t="array" ref="BH39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7" s="9" t="e">
        <f>IF(AND(tbl_Case_mins[[#This Row],[ThOpenPM]]&gt;0,tbl_Case_mins[[#This Row],[AnaesthStart]]&gt;tbl_Case_mins[[#This Row],[ThOpenPM]],tbl_Case_mins[[#This Row],[First PM Case]]=1),tbl_Case_mins[[#This Row],[AnaesthStart]]-tbl_Case_mins[[#This Row],[ThOpenPM]],0)</f>
        <v>#REF!</v>
      </c>
      <c r="BL39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7" s="9" t="e" cm="1">
        <f t="array" ref="BN39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7" s="9" t="e">
        <f>IF(AND(tbl_Case_mins[[#This Row],[ThClosePm]]&gt;0,tbl_Case_mins[[#This Row],[Anaesth End]]&gt;tbl_Case_mins[[#This Row],[ThClosePm]],tbl_Case_mins[[#This Row],[AnaesthStart]]&gt;tbl_Case_mins[[#This Row],[ThClosePm]]),tbl_Case_mins[[#This Row],[Into Recov]]-tbl_Case_mins[[#This Row],[AnaesthStart]],0)</f>
        <v>#REF!</v>
      </c>
      <c r="BP397" s="9" t="e">
        <f>IF(AND(tbl_Case_mins[[#This Row],[AnaesthStart]]&lt;tbl_Case_mins[[#This Row],[ThClosePm]],tbl_Case_mins[[#This Row],[Anaesth End]]&gt;tbl_Case_mins[[#This Row],[ThClosePm]]),tbl_Case_mins[[#This Row],[Anaesth End]]-tbl_Case_mins[[#This Row],[ThClosePm]],0)</f>
        <v>#REF!</v>
      </c>
      <c r="BQ397" s="9" t="e" cm="1">
        <f t="array" ref="BQ39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7" s="9" t="e" cm="1">
        <f t="array" ref="BR397">IF(tbl_Case_mins[[#This Row],[Rank_Adjust]]=SUMPRODUCT(-(tbl_Case_mins[Surgery Start Date]=tbl_Case_mins[[#This Row],[Surgery Start Date]]),-(tbl_Case_mins[Theatre]=tbl_Case_mins[[#This Row],[Theatre]])),INDEX(Poss_Time,MATCH(TEXT(tbl_Case_mins[[#This Row],[Surgery Start Date]],"ddd"),Day,0)),0)</f>
        <v>#REF!</v>
      </c>
      <c r="BS397" s="9" t="e">
        <f>tbl_Case_mins[[#This Row],[Core_Time]]*Util_Goal</f>
        <v>#REF!</v>
      </c>
      <c r="BT397" s="9" t="e" cm="1">
        <f t="array" ref="BT3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7" s="9" t="e" cm="1">
        <f t="array" ref="BU39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7" s="9" t="e">
        <f>IF(tbl_Case_mins[[#This Row],[Surgery End Date]]&gt;tbl_Case_mins[[#This Row],[Surgery Start Date]],tbl_Case_mins[[#This Row],[Anaesth End]]-1440,0)</f>
        <v>#REF!</v>
      </c>
      <c r="BY397" s="9" t="e">
        <f>tbl_Case_mins[[#This Row],[Total_NonCore]]-tbl_Case_mins[[#This Row],[NextDay_NonCore]]</f>
        <v>#REF!</v>
      </c>
      <c r="BZ397" s="10" t="e">
        <f>tbl_Case_mins[[#This Row],[InCoreUse]]/60</f>
        <v>#REF!</v>
      </c>
      <c r="CA397" s="10" t="e">
        <f>tbl_Case_mins[[#This Row],[Total_NonCore]]/60</f>
        <v>#REF!</v>
      </c>
      <c r="CB397" t="e" cm="1">
        <f t="array" ref="CB3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7" s="9" t="e" cm="1">
        <f t="array" ref="CC39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7" s="9" t="e" cm="1">
        <f t="array" ref="CD39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7" s="9" t="e" cm="1">
        <f t="array" ref="CE39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7" s="9" cm="1">
        <f t="array" ref="CF397">IFERROR(_xlfn.AGGREGATE(14,6,(tbl_Case_mins[Rank_AnaEnd])/((tbl_Case_mins[Surgery Start Date]=tbl_Case_mins[[#This Row],[Surgery Start Date]])*(tbl_Case_mins[Theatre]=tbl_Case_mins[[#This Row],[Theatre]])*(tbl_Case_mins[NoInCoreTime]=0)),1),-1)</f>
        <v>-1</v>
      </c>
      <c r="CG397" s="9" cm="1">
        <f t="array" ref="CG397">IFERROR(_xlfn.AGGREGATE(15,6,(tbl_Case_mins[Rank_AnaSt])/((tbl_Case_mins[Surgery Start Date]=tbl_Case_mins[[#This Row],[Surgery Start Date]])*(tbl_Case_mins[Theatre]=tbl_Case_mins[[#This Row],[Theatre]])*(tbl_Case_mins[NoInCoreTime]=0)),1),-1)</f>
        <v>-1</v>
      </c>
      <c r="CH39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7" t="e" cm="1">
        <f t="array" ref="CJ39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7" s="9" cm="1">
        <f t="array" ref="CO3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7" s="9" cm="1">
        <f t="array" ref="CP39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7" s="9" cm="1">
        <f t="array" ref="CQ397">IFERROR(IF(AND(tbl_Case_mins[[#This Row],[FirstAMCase]]=0,tbl_Case_mins[[#This Row],[Rank]]=_xlfn.AGGREGATE(14,6,(tbl_Case_mins[Rank])/((tbl_Case_mins[Surgery Start Date]=tbl_Case_mins[[#This Row],[Surgery Start Date]])*(tbl_Case_mins[Theatre]=tbl_Case_mins[[#This Row],[Theatre]])*(tbl_Case_mins[AmCase]=1)),1)),1,0),0)</f>
        <v>0</v>
      </c>
      <c r="CR397" s="9" cm="1">
        <f t="array" ref="CR39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7" s="9" t="e" cm="1">
        <f t="array" ref="CS39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7" s="9" cm="1">
        <f t="array" ref="CT397">IFERROR(IF(tbl_Case_mins[[#This Row],[Rank]]=_xlfn.AGGREGATE(15,6,(tbl_Case_mins[Rank])/((tbl_Case_mins[Surgery Start Date]=tbl_Case_mins[[#This Row],[Surgery Start Date]])*(tbl_Case_mins[Theatre]=tbl_Case_mins[[#This Row],[Theatre]])*(tbl_Case_mins[PmCase]=1)),1),1,0),0)</f>
        <v>0</v>
      </c>
      <c r="CU397">
        <f>IFERROR(#REF!,0)</f>
        <v>0</v>
      </c>
      <c r="CV397" s="9" t="e" cm="1">
        <f t="array" ref="CV39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7" s="9">
        <f>IFERROR(IF(ISBLANK(INDEX(Bay_AmClose,MATCH(1,INDEX((tbl_Case_mins[[#This Row],[Bay]]=BayNo)*(tbl_Case_mins[[#This Row],[Surgery Start Date]]=BDate),0,1),0))*1440),0,INDEX(Bay_AmClose,MATCH(1,INDEX((tbl_Case_mins[[#This Row],[Bay]]=BayNo)*(tbl_Case_mins[[#This Row],[Surgery Start Date]]=BDate),0,1),0))*1440),0)</f>
        <v>0</v>
      </c>
      <c r="CX397" s="9" cm="1">
        <f t="array" ref="CX397">IFERROR(IF(ISBLANK(INDEX(Bay_PmOpen,MATCH(1,INDEX((tbl_Case_mins[[#This Row],[Bay]]=BayNo)*(tbl_Case_mins[[#This Row],[Surgery Start Date]]=BDate),0,1),0))*1440),0,INDEX(Bay_PmOpen,MATCH(1,INDEX((tbl_Case_mins[[#This Row],[Bay]]=BayNo)*(tbl_Case_mins[[#This Row],[Surgery Start Date]]=BDate),0,1),0))*1440),0)</f>
        <v>0</v>
      </c>
      <c r="CY39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7" s="9"/>
    </row>
    <row r="398" spans="1:104" x14ac:dyDescent="0.2">
      <c r="A398">
        <v>397</v>
      </c>
      <c r="B398" t="e">
        <f>#REF!</f>
        <v>#REF!</v>
      </c>
      <c r="C398" t="e">
        <f>#REF!</f>
        <v>#REF!</v>
      </c>
      <c r="D398" t="e">
        <f>#REF!</f>
        <v>#REF!</v>
      </c>
      <c r="E398" t="e">
        <f>#REF!</f>
        <v>#REF!</v>
      </c>
      <c r="F398" t="e">
        <f>#REF!</f>
        <v>#REF!</v>
      </c>
      <c r="G398" t="e">
        <f>#REF!</f>
        <v>#REF!</v>
      </c>
      <c r="H398" t="e">
        <f>#REF!</f>
        <v>#REF!</v>
      </c>
      <c r="I398" t="e">
        <f>IF(#REF!="Case Cancelled",1,IF(#REF!="No Cases",2,0))</f>
        <v>#REF!</v>
      </c>
      <c r="J398" t="e">
        <f>#REF!</f>
        <v>#REF!</v>
      </c>
      <c r="K398" s="4" t="e">
        <f>#REF!</f>
        <v>#REF!</v>
      </c>
      <c r="L398" t="e">
        <f>"Wk "&amp;WEEKNUM(tbl_Case_mins[[#This Row],[Surgery Start Date]],21)</f>
        <v>#REF!</v>
      </c>
      <c r="M398" t="e">
        <f>TEXT(tbl_Case_mins[[#This Row],[Surgery Start Date]],"ddd")</f>
        <v>#REF!</v>
      </c>
      <c r="N398" s="9" t="e">
        <f>(#REF!-TIME(0,0,0))*1440</f>
        <v>#REF!</v>
      </c>
      <c r="O398" t="e">
        <f>IF(AND(ROUND((#REF!-TIME(0,0,0))*1440,0)&gt;0,ROUND((#REF!-TIME(0,0,0))*1440,0)&lt;tbl_Case_mins[[#This Row],[Patient Called]],tbl_Case_mins[[#This Row],[Surgery End Date]]&gt;tbl_Case_mins[[#This Row],[Surgery Start Date]]),ROUND((#REF!-TIME(0,0,0))*1440,0)+1440,ROUND((#REF!-TIME(0,0,0))*1440,0))</f>
        <v>#REF!</v>
      </c>
      <c r="P398" s="9" t="e">
        <f>IF(AND(ROUND((#REF!-TIME(0,0,0))*1440,0)&gt;0,ROUND((#REF!-TIME(0,0,0))*1440,0)&lt;tbl_Case_mins[[#This Row],[Arrival]],tbl_Case_mins[[#This Row],[Surgery End Date]]&gt;tbl_Case_mins[[#This Row],[Surgery Start Date]]),ROUND((#REF!-TIME(0,0,0))*1440,0)+1440,ROUND((#REF!-TIME(0,0,0))*1440,0))</f>
        <v>#REF!</v>
      </c>
      <c r="Q398" s="9" t="e">
        <f>IF(AND(ROUND((#REF!-TIME(0,0,0))*1440,0)&gt;0,ROUND((#REF!-TIME(0,0,0))*1440,0)&lt;tbl_Case_mins[[#This Row],[Into Th or AR]],tbl_Case_mins[[#This Row],[Surgery End Date]]&gt;tbl_Case_mins[[#This Row],[Surgery Start Date]]),ROUND((#REF!-TIME(0,0,0))*1440,0)+1440,ROUND((#REF!-TIME(0,0,0))*1440,0))</f>
        <v>#REF!</v>
      </c>
      <c r="R398" s="9" t="e">
        <f>IF(AND(ROUND((#REF!-TIME(0,0,0))*1440,0)&gt;0,ROUND((#REF!-TIME(0,0,0))*1440,0)&lt;tbl_Case_mins[[#This Row],[AnaesthStart]],tbl_Case_mins[[#This Row],[Surgery End Date]]&gt;tbl_Case_mins[[#This Row],[Surgery Start Date]]),ROUND((#REF!-TIME(0,0,0))*1440,0)+1440,ROUND((#REF!-TIME(0,0,0))*1440,0))</f>
        <v>#REF!</v>
      </c>
      <c r="S398" s="9" t="e">
        <f>IF(AND(ROUND((#REF!-TIME(0,0,0))*1440,0),ROUND((#REF!-TIME(0,0,0))*1440,0)&lt;tbl_Case_mins[[#This Row],[Surgery Start]],tbl_Case_mins[[#This Row],[Surgery End Date]]&gt;tbl_Case_mins[[#This Row],[Surgery Start Date]]),ROUND((#REF!-TIME(0,0,0))*1440,0)+1440,ROUND((#REF!-TIME(0,0,0))*1440,0))</f>
        <v>#REF!</v>
      </c>
      <c r="T398" s="9" t="e">
        <f>IF(AND(ROUND((#REF!-TIME(0,0,0))*1440,0)&gt;0,ROUND((#REF!-TIME(0,0,0))*1440,0)&lt;tbl_Case_mins[[#This Row],[Surgery Finish]],tbl_Case_mins[[#This Row],[Surgery End Date]]&gt;tbl_Case_mins[[#This Row],[Surgery Start Date]]),ROUND((#REF!-TIME(0,0,0))*1440,0)+1440,ROUND((#REF!-TIME(0,0,0))*1440,0))</f>
        <v>#REF!</v>
      </c>
      <c r="U398" s="9" t="e">
        <f>IF(AND(ROUND((#REF!-TIME(0,0,0))*1440,0)&gt;0,ROUND((#REF!-TIME(0,0,0))*1440,0)&lt;tbl_Case_mins[[#This Row],[Anaesth End]],tbl_Case_mins[[#This Row],[Surgery End Date]]&gt;tbl_Case_mins[[#This Row],[Surgery Start Date]]),ROUND((#REF!-TIME(0,0,0))*1440,0)+1440,ROUND((#REF!-TIME(0,0,0))*1440,0))</f>
        <v>#REF!</v>
      </c>
      <c r="V398" s="9" t="e">
        <f>IF(AND(ROUND((#REF!-TIME(0,0,0))*1440,0)&gt;0,ROUND((#REF!-TIME(0,0,0))*1440,0)&lt;tbl_Case_mins[[#This Row],[Into Recov]],tbl_Case_mins[[#This Row],[Surgery End Date]]&gt;tbl_Case_mins[[#This Row],[Surgery Start Date]]),ROUND((#REF!-TIME(0,0,0))*1440,0)+1440,ROUND((#REF!-TIME(0,0,0))*1440,0))</f>
        <v>#REF!</v>
      </c>
      <c r="W398" s="9" t="e">
        <f>IF(AND(ROUND((#REF!-TIME(0,0,0))*1440,0)&gt;0,ROUND((#REF!-TIME(0,0,0))*1440,0)&lt;tbl_Case_mins[[#This Row],[Ward Called]],tbl_Case_mins[[#This Row],[Surgery End Date]]&gt;tbl_Case_mins[[#This Row],[Surgery Start Date]]),ROUND((#REF!-TIME(0,0,0))*1440,0)+1440,ROUND((#REF!-TIME(0,0,0))*1440,0))</f>
        <v>#REF!</v>
      </c>
      <c r="X398" s="4" t="e">
        <f>IF(ISBLANK(#REF!),tbl_Case_mins[[#This Row],[Surgery Start Date]],#REF!)</f>
        <v>#REF!</v>
      </c>
      <c r="Y398">
        <f>IFERROR(IF(VLOOKUP(tbl_Case_mins[[#This Row],[Theatre]],'Mng Theatres'!$C$7:$G$12,3,FALSE)="Yes","Yes","No"),0)</f>
        <v>0</v>
      </c>
      <c r="Z398" s="9" t="e" cm="1">
        <f t="array" ref="Z39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8" s="9" t="e" cm="1">
        <f t="array" ref="AA39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8" s="9" t="e">
        <f>IF(tbl_Case_mins[[#This Row],[Case Type]]="Unsch",1,0)</f>
        <v>#REF!</v>
      </c>
      <c r="AD398" s="9" t="e">
        <f>IF(tbl_Case_mins[[#This Row],[Case Type]]="Sch",1,0)</f>
        <v>#REF!</v>
      </c>
      <c r="AE39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8" s="9">
        <f>IFERROR(IF(ISBLANK(INDEX(Am_Close,MATCH(1,INDEX((tbl_Case_mins[[#This Row],[Theatre]]=Theatre_No)*(tbl_Case_mins[[#This Row],[Surgery Start Date]]=Date),0,1),0))*1440),0,INDEX(Am_Close,MATCH(1,INDEX((tbl_Case_mins[[#This Row],[Theatre]]=Theatre_No)*(tbl_Case_mins[[#This Row],[Surgery Start Date]]=Date),0,1),0))*1440),0)</f>
        <v>0</v>
      </c>
      <c r="AG398" s="9">
        <f>IFERROR(IF(ISBLANK(INDEX(PM_Open,MATCH(1,INDEX((tbl_Case_mins[[#This Row],[Theatre]]=Theatre_No)*(tbl_Case_mins[[#This Row],[Surgery Start Date]]=Date),0,1),0))*1440),0,INDEX(PM_Open,MATCH(1,INDEX((tbl_Case_mins[[#This Row],[Theatre]]=Theatre_No)*(tbl_Case_mins[[#This Row],[Surgery Start Date]]=Date),0,1),0))*1440),0)</f>
        <v>0</v>
      </c>
      <c r="AH39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8" s="9" t="e">
        <f>IF(tbl_Case_mins[[#This Row],[ThOpenAm]]=0,tbl_Case_mins[[#This Row],[ThOpenPM]],tbl_Case_mins[[#This Row],[ThOpenAm]])</f>
        <v>#REF!</v>
      </c>
      <c r="AJ398" s="9" t="e">
        <f>IF(tbl_Case_mins[[#This Row],[ThCloseAm]]&gt;0,IF(tbl_Case_mins[[#This Row],[ThOpenPM]]&gt;0,tbl_Case_mins[[#This Row],[ThClosePm]],tbl_Case_mins[[#This Row],[ThCloseAm]]),tbl_Case_mins[[#This Row],[ThClosePm]])</f>
        <v>#REF!</v>
      </c>
      <c r="AK398" s="9" t="e">
        <f>IF(tbl_Case_mins[[#This Row],[TOT]]&gt;0,1,0)</f>
        <v>#REF!</v>
      </c>
      <c r="AL39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8" s="9" t="e">
        <f>IF(AND(tbl_Case_mins[[#This Row],[Surgery Status]]&lt;&gt;2,tbl_Case_mins[[#This Row],[InCoreCase]]=0,tbl_Case_mins[[#This Row],[CancelledCase]]=0),1,0)</f>
        <v>#REF!</v>
      </c>
      <c r="AN398" s="9" t="e">
        <f>IF(tbl_Case_mins[[#This Row],[Surgery Status]]=1,1,0)</f>
        <v>#REF!</v>
      </c>
      <c r="AO39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8" s="9" t="e">
        <f>IF(AND(tbl_Case_mins[[#This Row],[NonCoreCase]]=1,tbl_Case_mins[[#This Row],[NoInCoreTime]]=0),1,0)</f>
        <v>#REF!</v>
      </c>
      <c r="AQ398" s="9" t="e">
        <f>IF(tbl_Case_mins[[#This Row],[Rank_AnaEnd]]&lt;tbl_Case_mins[[#This Row],[Rank_AnaSt]],1,0)</f>
        <v>#REF!</v>
      </c>
      <c r="AR398" s="9" t="e">
        <f>IF(AND(tbl_Case_mins[[#This Row],[InCoreCase]]=1,tbl_Case_mins[[#This Row],[Sch]]=1),1,0)</f>
        <v>#REF!</v>
      </c>
      <c r="AS398" s="9" t="e">
        <f>IF(AND(tbl_Case_mins[[#This Row],[InCoreCase]]=1,tbl_Case_mins[[#This Row],[Unsch]]=1),1,0)</f>
        <v>#REF!</v>
      </c>
      <c r="AT39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8" s="9" t="e">
        <f>IF(tbl_Case_mins[[#This Row],[Surgery Status]]=0,(tbl_Case_mins[[#This Row],[Anaesth End]]-tbl_Case_mins[[#This Row],[AnaesthStart]]),0)</f>
        <v>#REF!</v>
      </c>
      <c r="AX398" s="9" t="e">
        <f>IF(tbl_Case_mins[[#This Row],[Surgery Status]]=0,(tbl_Case_mins[[#This Row],[Surgery Finish]]-tbl_Case_mins[[#This Row],[Surgery Start]]),0)</f>
        <v>#REF!</v>
      </c>
      <c r="AY398" s="9" t="e">
        <f>tbl_Case_mins[[#This Row],[Surgery Start]]-tbl_Case_mins[[#This Row],[AnaesthStart]]</f>
        <v>#REF!</v>
      </c>
      <c r="AZ398" s="9" t="e">
        <f>tbl_Case_mins[[#This Row],[Anaesth End]]-tbl_Case_mins[[#This Row],[Surgery Finish]]</f>
        <v>#REF!</v>
      </c>
      <c r="BA39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8" s="16" cm="1">
        <f t="array" ref="BC39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8" s="16" t="e">
        <f>IF(AND(tbl_Case_mins[[#This Row],[FirstAMCase]]=1,tbl_Case_mins[[#This Row],[CancelledCase]]=0,OR(tbl_Case_mins[[#This Row],[EarlyStartAM]]&gt;0,tbl_Case_mins[[#This Row],[AnaesthStart]]=tbl_Case_mins[[#This Row],[ThOpenAm]])),1,0)</f>
        <v>#REF!</v>
      </c>
      <c r="BE398" s="16" t="e">
        <f>IF(AND(tbl_Case_mins[[#This Row],[Rank_AnaSt]]=tbl_Case_mins[[#This Row],[Min_RankAnaSt]],tbl_Case_mins[[#This Row],[Anaesth End]]&gt;=tbl_Case_mins[[#This Row],[ThOpenAm]],tbl_Case_mins[[#This Row],[PmCase]]=0),1,0)</f>
        <v>#REF!</v>
      </c>
      <c r="BF39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8" s="9" t="e" cm="1">
        <f t="array" ref="BH39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8" s="9" t="e">
        <f>IF(AND(tbl_Case_mins[[#This Row],[ThOpenPM]]&gt;0,tbl_Case_mins[[#This Row],[AnaesthStart]]&gt;tbl_Case_mins[[#This Row],[ThOpenPM]],tbl_Case_mins[[#This Row],[First PM Case]]=1),tbl_Case_mins[[#This Row],[AnaesthStart]]-tbl_Case_mins[[#This Row],[ThOpenPM]],0)</f>
        <v>#REF!</v>
      </c>
      <c r="BL39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8" s="9" t="e" cm="1">
        <f t="array" ref="BN39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8" s="9" t="e">
        <f>IF(AND(tbl_Case_mins[[#This Row],[ThClosePm]]&gt;0,tbl_Case_mins[[#This Row],[Anaesth End]]&gt;tbl_Case_mins[[#This Row],[ThClosePm]],tbl_Case_mins[[#This Row],[AnaesthStart]]&gt;tbl_Case_mins[[#This Row],[ThClosePm]]),tbl_Case_mins[[#This Row],[Into Recov]]-tbl_Case_mins[[#This Row],[AnaesthStart]],0)</f>
        <v>#REF!</v>
      </c>
      <c r="BP398" s="9" t="e">
        <f>IF(AND(tbl_Case_mins[[#This Row],[AnaesthStart]]&lt;tbl_Case_mins[[#This Row],[ThClosePm]],tbl_Case_mins[[#This Row],[Anaesth End]]&gt;tbl_Case_mins[[#This Row],[ThClosePm]]),tbl_Case_mins[[#This Row],[Anaesth End]]-tbl_Case_mins[[#This Row],[ThClosePm]],0)</f>
        <v>#REF!</v>
      </c>
      <c r="BQ398" s="9" t="e" cm="1">
        <f t="array" ref="BQ39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8" s="9" t="e" cm="1">
        <f t="array" ref="BR398">IF(tbl_Case_mins[[#This Row],[Rank_Adjust]]=SUMPRODUCT(-(tbl_Case_mins[Surgery Start Date]=tbl_Case_mins[[#This Row],[Surgery Start Date]]),-(tbl_Case_mins[Theatre]=tbl_Case_mins[[#This Row],[Theatre]])),INDEX(Poss_Time,MATCH(TEXT(tbl_Case_mins[[#This Row],[Surgery Start Date]],"ddd"),Day,0)),0)</f>
        <v>#REF!</v>
      </c>
      <c r="BS398" s="9" t="e">
        <f>tbl_Case_mins[[#This Row],[Core_Time]]*Util_Goal</f>
        <v>#REF!</v>
      </c>
      <c r="BT398" s="9" t="e" cm="1">
        <f t="array" ref="BT3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8" s="9" t="e" cm="1">
        <f t="array" ref="BU39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8" s="9" t="e">
        <f>IF(tbl_Case_mins[[#This Row],[Surgery End Date]]&gt;tbl_Case_mins[[#This Row],[Surgery Start Date]],tbl_Case_mins[[#This Row],[Anaesth End]]-1440,0)</f>
        <v>#REF!</v>
      </c>
      <c r="BY398" s="9" t="e">
        <f>tbl_Case_mins[[#This Row],[Total_NonCore]]-tbl_Case_mins[[#This Row],[NextDay_NonCore]]</f>
        <v>#REF!</v>
      </c>
      <c r="BZ398" s="10" t="e">
        <f>tbl_Case_mins[[#This Row],[InCoreUse]]/60</f>
        <v>#REF!</v>
      </c>
      <c r="CA398" s="10" t="e">
        <f>tbl_Case_mins[[#This Row],[Total_NonCore]]/60</f>
        <v>#REF!</v>
      </c>
      <c r="CB398" t="e" cm="1">
        <f t="array" ref="CB3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8" s="9" t="e" cm="1">
        <f t="array" ref="CC39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8" s="9" t="e" cm="1">
        <f t="array" ref="CD39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8" s="9" t="e" cm="1">
        <f t="array" ref="CE39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8" s="9" cm="1">
        <f t="array" ref="CF398">IFERROR(_xlfn.AGGREGATE(14,6,(tbl_Case_mins[Rank_AnaEnd])/((tbl_Case_mins[Surgery Start Date]=tbl_Case_mins[[#This Row],[Surgery Start Date]])*(tbl_Case_mins[Theatre]=tbl_Case_mins[[#This Row],[Theatre]])*(tbl_Case_mins[NoInCoreTime]=0)),1),-1)</f>
        <v>-1</v>
      </c>
      <c r="CG398" s="9" cm="1">
        <f t="array" ref="CG398">IFERROR(_xlfn.AGGREGATE(15,6,(tbl_Case_mins[Rank_AnaSt])/((tbl_Case_mins[Surgery Start Date]=tbl_Case_mins[[#This Row],[Surgery Start Date]])*(tbl_Case_mins[Theatre]=tbl_Case_mins[[#This Row],[Theatre]])*(tbl_Case_mins[NoInCoreTime]=0)),1),-1)</f>
        <v>-1</v>
      </c>
      <c r="CH39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8" t="e" cm="1">
        <f t="array" ref="CJ39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8" s="9" cm="1">
        <f t="array" ref="CO3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8" s="9" cm="1">
        <f t="array" ref="CP39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8" s="9" cm="1">
        <f t="array" ref="CQ398">IFERROR(IF(AND(tbl_Case_mins[[#This Row],[FirstAMCase]]=0,tbl_Case_mins[[#This Row],[Rank]]=_xlfn.AGGREGATE(14,6,(tbl_Case_mins[Rank])/((tbl_Case_mins[Surgery Start Date]=tbl_Case_mins[[#This Row],[Surgery Start Date]])*(tbl_Case_mins[Theatre]=tbl_Case_mins[[#This Row],[Theatre]])*(tbl_Case_mins[AmCase]=1)),1)),1,0),0)</f>
        <v>0</v>
      </c>
      <c r="CR398" s="9" cm="1">
        <f t="array" ref="CR39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8" s="9" t="e" cm="1">
        <f t="array" ref="CS39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8" s="9" cm="1">
        <f t="array" ref="CT398">IFERROR(IF(tbl_Case_mins[[#This Row],[Rank]]=_xlfn.AGGREGATE(15,6,(tbl_Case_mins[Rank])/((tbl_Case_mins[Surgery Start Date]=tbl_Case_mins[[#This Row],[Surgery Start Date]])*(tbl_Case_mins[Theatre]=tbl_Case_mins[[#This Row],[Theatre]])*(tbl_Case_mins[PmCase]=1)),1),1,0),0)</f>
        <v>0</v>
      </c>
      <c r="CU398">
        <f>IFERROR(#REF!,0)</f>
        <v>0</v>
      </c>
      <c r="CV398" s="9" t="e" cm="1">
        <f t="array" ref="CV39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8" s="9">
        <f>IFERROR(IF(ISBLANK(INDEX(Bay_AmClose,MATCH(1,INDEX((tbl_Case_mins[[#This Row],[Bay]]=BayNo)*(tbl_Case_mins[[#This Row],[Surgery Start Date]]=BDate),0,1),0))*1440),0,INDEX(Bay_AmClose,MATCH(1,INDEX((tbl_Case_mins[[#This Row],[Bay]]=BayNo)*(tbl_Case_mins[[#This Row],[Surgery Start Date]]=BDate),0,1),0))*1440),0)</f>
        <v>0</v>
      </c>
      <c r="CX398" s="9" cm="1">
        <f t="array" ref="CX398">IFERROR(IF(ISBLANK(INDEX(Bay_PmOpen,MATCH(1,INDEX((tbl_Case_mins[[#This Row],[Bay]]=BayNo)*(tbl_Case_mins[[#This Row],[Surgery Start Date]]=BDate),0,1),0))*1440),0,INDEX(Bay_PmOpen,MATCH(1,INDEX((tbl_Case_mins[[#This Row],[Bay]]=BayNo)*(tbl_Case_mins[[#This Row],[Surgery Start Date]]=BDate),0,1),0))*1440),0)</f>
        <v>0</v>
      </c>
      <c r="CY39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8" s="9"/>
    </row>
    <row r="399" spans="1:104" x14ac:dyDescent="0.2">
      <c r="A399">
        <v>398</v>
      </c>
      <c r="B399" t="e">
        <f>#REF!</f>
        <v>#REF!</v>
      </c>
      <c r="C399" t="e">
        <f>#REF!</f>
        <v>#REF!</v>
      </c>
      <c r="D399" t="e">
        <f>#REF!</f>
        <v>#REF!</v>
      </c>
      <c r="E399" t="e">
        <f>#REF!</f>
        <v>#REF!</v>
      </c>
      <c r="F399" t="e">
        <f>#REF!</f>
        <v>#REF!</v>
      </c>
      <c r="G399" t="e">
        <f>#REF!</f>
        <v>#REF!</v>
      </c>
      <c r="H399" t="e">
        <f>#REF!</f>
        <v>#REF!</v>
      </c>
      <c r="I399" t="e">
        <f>IF(#REF!="Case Cancelled",1,IF(#REF!="No Cases",2,0))</f>
        <v>#REF!</v>
      </c>
      <c r="J399" t="e">
        <f>#REF!</f>
        <v>#REF!</v>
      </c>
      <c r="K399" s="4" t="e">
        <f>#REF!</f>
        <v>#REF!</v>
      </c>
      <c r="L399" t="e">
        <f>"Wk "&amp;WEEKNUM(tbl_Case_mins[[#This Row],[Surgery Start Date]],21)</f>
        <v>#REF!</v>
      </c>
      <c r="M399" t="e">
        <f>TEXT(tbl_Case_mins[[#This Row],[Surgery Start Date]],"ddd")</f>
        <v>#REF!</v>
      </c>
      <c r="N399" s="9" t="e">
        <f>(#REF!-TIME(0,0,0))*1440</f>
        <v>#REF!</v>
      </c>
      <c r="O399" t="e">
        <f>IF(AND(ROUND((#REF!-TIME(0,0,0))*1440,0)&gt;0,ROUND((#REF!-TIME(0,0,0))*1440,0)&lt;tbl_Case_mins[[#This Row],[Patient Called]],tbl_Case_mins[[#This Row],[Surgery End Date]]&gt;tbl_Case_mins[[#This Row],[Surgery Start Date]]),ROUND((#REF!-TIME(0,0,0))*1440,0)+1440,ROUND((#REF!-TIME(0,0,0))*1440,0))</f>
        <v>#REF!</v>
      </c>
      <c r="P399" s="9" t="e">
        <f>IF(AND(ROUND((#REF!-TIME(0,0,0))*1440,0)&gt;0,ROUND((#REF!-TIME(0,0,0))*1440,0)&lt;tbl_Case_mins[[#This Row],[Arrival]],tbl_Case_mins[[#This Row],[Surgery End Date]]&gt;tbl_Case_mins[[#This Row],[Surgery Start Date]]),ROUND((#REF!-TIME(0,0,0))*1440,0)+1440,ROUND((#REF!-TIME(0,0,0))*1440,0))</f>
        <v>#REF!</v>
      </c>
      <c r="Q399" s="9" t="e">
        <f>IF(AND(ROUND((#REF!-TIME(0,0,0))*1440,0)&gt;0,ROUND((#REF!-TIME(0,0,0))*1440,0)&lt;tbl_Case_mins[[#This Row],[Into Th or AR]],tbl_Case_mins[[#This Row],[Surgery End Date]]&gt;tbl_Case_mins[[#This Row],[Surgery Start Date]]),ROUND((#REF!-TIME(0,0,0))*1440,0)+1440,ROUND((#REF!-TIME(0,0,0))*1440,0))</f>
        <v>#REF!</v>
      </c>
      <c r="R399" s="9" t="e">
        <f>IF(AND(ROUND((#REF!-TIME(0,0,0))*1440,0)&gt;0,ROUND((#REF!-TIME(0,0,0))*1440,0)&lt;tbl_Case_mins[[#This Row],[AnaesthStart]],tbl_Case_mins[[#This Row],[Surgery End Date]]&gt;tbl_Case_mins[[#This Row],[Surgery Start Date]]),ROUND((#REF!-TIME(0,0,0))*1440,0)+1440,ROUND((#REF!-TIME(0,0,0))*1440,0))</f>
        <v>#REF!</v>
      </c>
      <c r="S399" s="9" t="e">
        <f>IF(AND(ROUND((#REF!-TIME(0,0,0))*1440,0),ROUND((#REF!-TIME(0,0,0))*1440,0)&lt;tbl_Case_mins[[#This Row],[Surgery Start]],tbl_Case_mins[[#This Row],[Surgery End Date]]&gt;tbl_Case_mins[[#This Row],[Surgery Start Date]]),ROUND((#REF!-TIME(0,0,0))*1440,0)+1440,ROUND((#REF!-TIME(0,0,0))*1440,0))</f>
        <v>#REF!</v>
      </c>
      <c r="T399" s="9" t="e">
        <f>IF(AND(ROUND((#REF!-TIME(0,0,0))*1440,0)&gt;0,ROUND((#REF!-TIME(0,0,0))*1440,0)&lt;tbl_Case_mins[[#This Row],[Surgery Finish]],tbl_Case_mins[[#This Row],[Surgery End Date]]&gt;tbl_Case_mins[[#This Row],[Surgery Start Date]]),ROUND((#REF!-TIME(0,0,0))*1440,0)+1440,ROUND((#REF!-TIME(0,0,0))*1440,0))</f>
        <v>#REF!</v>
      </c>
      <c r="U399" s="9" t="e">
        <f>IF(AND(ROUND((#REF!-TIME(0,0,0))*1440,0)&gt;0,ROUND((#REF!-TIME(0,0,0))*1440,0)&lt;tbl_Case_mins[[#This Row],[Anaesth End]],tbl_Case_mins[[#This Row],[Surgery End Date]]&gt;tbl_Case_mins[[#This Row],[Surgery Start Date]]),ROUND((#REF!-TIME(0,0,0))*1440,0)+1440,ROUND((#REF!-TIME(0,0,0))*1440,0))</f>
        <v>#REF!</v>
      </c>
      <c r="V399" s="9" t="e">
        <f>IF(AND(ROUND((#REF!-TIME(0,0,0))*1440,0)&gt;0,ROUND((#REF!-TIME(0,0,0))*1440,0)&lt;tbl_Case_mins[[#This Row],[Into Recov]],tbl_Case_mins[[#This Row],[Surgery End Date]]&gt;tbl_Case_mins[[#This Row],[Surgery Start Date]]),ROUND((#REF!-TIME(0,0,0))*1440,0)+1440,ROUND((#REF!-TIME(0,0,0))*1440,0))</f>
        <v>#REF!</v>
      </c>
      <c r="W399" s="9" t="e">
        <f>IF(AND(ROUND((#REF!-TIME(0,0,0))*1440,0)&gt;0,ROUND((#REF!-TIME(0,0,0))*1440,0)&lt;tbl_Case_mins[[#This Row],[Ward Called]],tbl_Case_mins[[#This Row],[Surgery End Date]]&gt;tbl_Case_mins[[#This Row],[Surgery Start Date]]),ROUND((#REF!-TIME(0,0,0))*1440,0)+1440,ROUND((#REF!-TIME(0,0,0))*1440,0))</f>
        <v>#REF!</v>
      </c>
      <c r="X399" s="4" t="e">
        <f>IF(ISBLANK(#REF!),tbl_Case_mins[[#This Row],[Surgery Start Date]],#REF!)</f>
        <v>#REF!</v>
      </c>
      <c r="Y399">
        <f>IFERROR(IF(VLOOKUP(tbl_Case_mins[[#This Row],[Theatre]],'Mng Theatres'!$C$7:$G$12,3,FALSE)="Yes","Yes","No"),0)</f>
        <v>0</v>
      </c>
      <c r="Z399" s="9" t="e" cm="1">
        <f t="array" ref="Z39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399" s="9" t="e" cm="1">
        <f t="array" ref="AA39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39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399" s="9" t="e">
        <f>IF(tbl_Case_mins[[#This Row],[Case Type]]="Unsch",1,0)</f>
        <v>#REF!</v>
      </c>
      <c r="AD399" s="9" t="e">
        <f>IF(tbl_Case_mins[[#This Row],[Case Type]]="Sch",1,0)</f>
        <v>#REF!</v>
      </c>
      <c r="AE39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399" s="9">
        <f>IFERROR(IF(ISBLANK(INDEX(Am_Close,MATCH(1,INDEX((tbl_Case_mins[[#This Row],[Theatre]]=Theatre_No)*(tbl_Case_mins[[#This Row],[Surgery Start Date]]=Date),0,1),0))*1440),0,INDEX(Am_Close,MATCH(1,INDEX((tbl_Case_mins[[#This Row],[Theatre]]=Theatre_No)*(tbl_Case_mins[[#This Row],[Surgery Start Date]]=Date),0,1),0))*1440),0)</f>
        <v>0</v>
      </c>
      <c r="AG399" s="9">
        <f>IFERROR(IF(ISBLANK(INDEX(PM_Open,MATCH(1,INDEX((tbl_Case_mins[[#This Row],[Theatre]]=Theatre_No)*(tbl_Case_mins[[#This Row],[Surgery Start Date]]=Date),0,1),0))*1440),0,INDEX(PM_Open,MATCH(1,INDEX((tbl_Case_mins[[#This Row],[Theatre]]=Theatre_No)*(tbl_Case_mins[[#This Row],[Surgery Start Date]]=Date),0,1),0))*1440),0)</f>
        <v>0</v>
      </c>
      <c r="AH39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399" s="9" t="e">
        <f>IF(tbl_Case_mins[[#This Row],[ThOpenAm]]=0,tbl_Case_mins[[#This Row],[ThOpenPM]],tbl_Case_mins[[#This Row],[ThOpenAm]])</f>
        <v>#REF!</v>
      </c>
      <c r="AJ399" s="9" t="e">
        <f>IF(tbl_Case_mins[[#This Row],[ThCloseAm]]&gt;0,IF(tbl_Case_mins[[#This Row],[ThOpenPM]]&gt;0,tbl_Case_mins[[#This Row],[ThClosePm]],tbl_Case_mins[[#This Row],[ThCloseAm]]),tbl_Case_mins[[#This Row],[ThClosePm]])</f>
        <v>#REF!</v>
      </c>
      <c r="AK399" s="9" t="e">
        <f>IF(tbl_Case_mins[[#This Row],[TOT]]&gt;0,1,0)</f>
        <v>#REF!</v>
      </c>
      <c r="AL39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399" s="9" t="e">
        <f>IF(AND(tbl_Case_mins[[#This Row],[Surgery Status]]&lt;&gt;2,tbl_Case_mins[[#This Row],[InCoreCase]]=0,tbl_Case_mins[[#This Row],[CancelledCase]]=0),1,0)</f>
        <v>#REF!</v>
      </c>
      <c r="AN399" s="9" t="e">
        <f>IF(tbl_Case_mins[[#This Row],[Surgery Status]]=1,1,0)</f>
        <v>#REF!</v>
      </c>
      <c r="AO39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399" s="9" t="e">
        <f>IF(AND(tbl_Case_mins[[#This Row],[NonCoreCase]]=1,tbl_Case_mins[[#This Row],[NoInCoreTime]]=0),1,0)</f>
        <v>#REF!</v>
      </c>
      <c r="AQ399" s="9" t="e">
        <f>IF(tbl_Case_mins[[#This Row],[Rank_AnaEnd]]&lt;tbl_Case_mins[[#This Row],[Rank_AnaSt]],1,0)</f>
        <v>#REF!</v>
      </c>
      <c r="AR399" s="9" t="e">
        <f>IF(AND(tbl_Case_mins[[#This Row],[InCoreCase]]=1,tbl_Case_mins[[#This Row],[Sch]]=1),1,0)</f>
        <v>#REF!</v>
      </c>
      <c r="AS399" s="9" t="e">
        <f>IF(AND(tbl_Case_mins[[#This Row],[InCoreCase]]=1,tbl_Case_mins[[#This Row],[Unsch]]=1),1,0)</f>
        <v>#REF!</v>
      </c>
      <c r="AT39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39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39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399" s="9" t="e">
        <f>IF(tbl_Case_mins[[#This Row],[Surgery Status]]=0,(tbl_Case_mins[[#This Row],[Anaesth End]]-tbl_Case_mins[[#This Row],[AnaesthStart]]),0)</f>
        <v>#REF!</v>
      </c>
      <c r="AX399" s="9" t="e">
        <f>IF(tbl_Case_mins[[#This Row],[Surgery Status]]=0,(tbl_Case_mins[[#This Row],[Surgery Finish]]-tbl_Case_mins[[#This Row],[Surgery Start]]),0)</f>
        <v>#REF!</v>
      </c>
      <c r="AY399" s="9" t="e">
        <f>tbl_Case_mins[[#This Row],[Surgery Start]]-tbl_Case_mins[[#This Row],[AnaesthStart]]</f>
        <v>#REF!</v>
      </c>
      <c r="AZ399" s="9" t="e">
        <f>tbl_Case_mins[[#This Row],[Anaesth End]]-tbl_Case_mins[[#This Row],[Surgery Finish]]</f>
        <v>#REF!</v>
      </c>
      <c r="BA39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39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399" s="16" cm="1">
        <f t="array" ref="BC39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399" s="16" t="e">
        <f>IF(AND(tbl_Case_mins[[#This Row],[FirstAMCase]]=1,tbl_Case_mins[[#This Row],[CancelledCase]]=0,OR(tbl_Case_mins[[#This Row],[EarlyStartAM]]&gt;0,tbl_Case_mins[[#This Row],[AnaesthStart]]=tbl_Case_mins[[#This Row],[ThOpenAm]])),1,0)</f>
        <v>#REF!</v>
      </c>
      <c r="BE399" s="16" t="e">
        <f>IF(AND(tbl_Case_mins[[#This Row],[Rank_AnaSt]]=tbl_Case_mins[[#This Row],[Min_RankAnaSt]],tbl_Case_mins[[#This Row],[Anaesth End]]&gt;=tbl_Case_mins[[#This Row],[ThOpenAm]],tbl_Case_mins[[#This Row],[PmCase]]=0),1,0)</f>
        <v>#REF!</v>
      </c>
      <c r="BF39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39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399" s="9" t="e" cm="1">
        <f t="array" ref="BH39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39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39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399" s="9" t="e">
        <f>IF(AND(tbl_Case_mins[[#This Row],[ThOpenPM]]&gt;0,tbl_Case_mins[[#This Row],[AnaesthStart]]&gt;tbl_Case_mins[[#This Row],[ThOpenPM]],tbl_Case_mins[[#This Row],[First PM Case]]=1),tbl_Case_mins[[#This Row],[AnaesthStart]]-tbl_Case_mins[[#This Row],[ThOpenPM]],0)</f>
        <v>#REF!</v>
      </c>
      <c r="BL39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39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399" s="9" t="e" cm="1">
        <f t="array" ref="BN39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399" s="9" t="e">
        <f>IF(AND(tbl_Case_mins[[#This Row],[ThClosePm]]&gt;0,tbl_Case_mins[[#This Row],[Anaesth End]]&gt;tbl_Case_mins[[#This Row],[ThClosePm]],tbl_Case_mins[[#This Row],[AnaesthStart]]&gt;tbl_Case_mins[[#This Row],[ThClosePm]]),tbl_Case_mins[[#This Row],[Into Recov]]-tbl_Case_mins[[#This Row],[AnaesthStart]],0)</f>
        <v>#REF!</v>
      </c>
      <c r="BP399" s="9" t="e">
        <f>IF(AND(tbl_Case_mins[[#This Row],[AnaesthStart]]&lt;tbl_Case_mins[[#This Row],[ThClosePm]],tbl_Case_mins[[#This Row],[Anaesth End]]&gt;tbl_Case_mins[[#This Row],[ThClosePm]]),tbl_Case_mins[[#This Row],[Anaesth End]]-tbl_Case_mins[[#This Row],[ThClosePm]],0)</f>
        <v>#REF!</v>
      </c>
      <c r="BQ399" s="9" t="e" cm="1">
        <f t="array" ref="BQ39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399" s="9" t="e" cm="1">
        <f t="array" ref="BR399">IF(tbl_Case_mins[[#This Row],[Rank_Adjust]]=SUMPRODUCT(-(tbl_Case_mins[Surgery Start Date]=tbl_Case_mins[[#This Row],[Surgery Start Date]]),-(tbl_Case_mins[Theatre]=tbl_Case_mins[[#This Row],[Theatre]])),INDEX(Poss_Time,MATCH(TEXT(tbl_Case_mins[[#This Row],[Surgery Start Date]],"ddd"),Day,0)),0)</f>
        <v>#REF!</v>
      </c>
      <c r="BS399" s="9" t="e">
        <f>tbl_Case_mins[[#This Row],[Core_Time]]*Util_Goal</f>
        <v>#REF!</v>
      </c>
      <c r="BT399" s="9" t="e" cm="1">
        <f t="array" ref="BT3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399" s="9" t="e" cm="1">
        <f t="array" ref="BU39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39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39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399" s="9" t="e">
        <f>IF(tbl_Case_mins[[#This Row],[Surgery End Date]]&gt;tbl_Case_mins[[#This Row],[Surgery Start Date]],tbl_Case_mins[[#This Row],[Anaesth End]]-1440,0)</f>
        <v>#REF!</v>
      </c>
      <c r="BY399" s="9" t="e">
        <f>tbl_Case_mins[[#This Row],[Total_NonCore]]-tbl_Case_mins[[#This Row],[NextDay_NonCore]]</f>
        <v>#REF!</v>
      </c>
      <c r="BZ399" s="10" t="e">
        <f>tbl_Case_mins[[#This Row],[InCoreUse]]/60</f>
        <v>#REF!</v>
      </c>
      <c r="CA399" s="10" t="e">
        <f>tbl_Case_mins[[#This Row],[Total_NonCore]]/60</f>
        <v>#REF!</v>
      </c>
      <c r="CB399" t="e" cm="1">
        <f t="array" ref="CB3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399" s="9" t="e" cm="1">
        <f t="array" ref="CC39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399" s="9" t="e" cm="1">
        <f t="array" ref="CD39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399" s="9" t="e" cm="1">
        <f t="array" ref="CE39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399" s="9" cm="1">
        <f t="array" ref="CF399">IFERROR(_xlfn.AGGREGATE(14,6,(tbl_Case_mins[Rank_AnaEnd])/((tbl_Case_mins[Surgery Start Date]=tbl_Case_mins[[#This Row],[Surgery Start Date]])*(tbl_Case_mins[Theatre]=tbl_Case_mins[[#This Row],[Theatre]])*(tbl_Case_mins[NoInCoreTime]=0)),1),-1)</f>
        <v>-1</v>
      </c>
      <c r="CG399" s="9" cm="1">
        <f t="array" ref="CG399">IFERROR(_xlfn.AGGREGATE(15,6,(tbl_Case_mins[Rank_AnaSt])/((tbl_Case_mins[Surgery Start Date]=tbl_Case_mins[[#This Row],[Surgery Start Date]])*(tbl_Case_mins[Theatre]=tbl_Case_mins[[#This Row],[Theatre]])*(tbl_Case_mins[NoInCoreTime]=0)),1),-1)</f>
        <v>-1</v>
      </c>
      <c r="CH39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39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399" t="e" cm="1">
        <f t="array" ref="CJ39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39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39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3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39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399" s="9" cm="1">
        <f t="array" ref="CO3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399" s="9" cm="1">
        <f t="array" ref="CP39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399" s="9" cm="1">
        <f t="array" ref="CQ399">IFERROR(IF(AND(tbl_Case_mins[[#This Row],[FirstAMCase]]=0,tbl_Case_mins[[#This Row],[Rank]]=_xlfn.AGGREGATE(14,6,(tbl_Case_mins[Rank])/((tbl_Case_mins[Surgery Start Date]=tbl_Case_mins[[#This Row],[Surgery Start Date]])*(tbl_Case_mins[Theatre]=tbl_Case_mins[[#This Row],[Theatre]])*(tbl_Case_mins[AmCase]=1)),1)),1,0),0)</f>
        <v>0</v>
      </c>
      <c r="CR399" s="9" cm="1">
        <f t="array" ref="CR39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399" s="9" t="e" cm="1">
        <f t="array" ref="CS39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399" s="9" cm="1">
        <f t="array" ref="CT399">IFERROR(IF(tbl_Case_mins[[#This Row],[Rank]]=_xlfn.AGGREGATE(15,6,(tbl_Case_mins[Rank])/((tbl_Case_mins[Surgery Start Date]=tbl_Case_mins[[#This Row],[Surgery Start Date]])*(tbl_Case_mins[Theatre]=tbl_Case_mins[[#This Row],[Theatre]])*(tbl_Case_mins[PmCase]=1)),1),1,0),0)</f>
        <v>0</v>
      </c>
      <c r="CU399">
        <f>IFERROR(#REF!,0)</f>
        <v>0</v>
      </c>
      <c r="CV399" s="9" t="e" cm="1">
        <f t="array" ref="CV39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399" s="9">
        <f>IFERROR(IF(ISBLANK(INDEX(Bay_AmClose,MATCH(1,INDEX((tbl_Case_mins[[#This Row],[Bay]]=BayNo)*(tbl_Case_mins[[#This Row],[Surgery Start Date]]=BDate),0,1),0))*1440),0,INDEX(Bay_AmClose,MATCH(1,INDEX((tbl_Case_mins[[#This Row],[Bay]]=BayNo)*(tbl_Case_mins[[#This Row],[Surgery Start Date]]=BDate),0,1),0))*1440),0)</f>
        <v>0</v>
      </c>
      <c r="CX399" s="9" cm="1">
        <f t="array" ref="CX399">IFERROR(IF(ISBLANK(INDEX(Bay_PmOpen,MATCH(1,INDEX((tbl_Case_mins[[#This Row],[Bay]]=BayNo)*(tbl_Case_mins[[#This Row],[Surgery Start Date]]=BDate),0,1),0))*1440),0,INDEX(Bay_PmOpen,MATCH(1,INDEX((tbl_Case_mins[[#This Row],[Bay]]=BayNo)*(tbl_Case_mins[[#This Row],[Surgery Start Date]]=BDate),0,1),0))*1440),0)</f>
        <v>0</v>
      </c>
      <c r="CY39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399" s="9"/>
    </row>
    <row r="400" spans="1:104" x14ac:dyDescent="0.2">
      <c r="A400">
        <v>399</v>
      </c>
      <c r="B400" t="e">
        <f>#REF!</f>
        <v>#REF!</v>
      </c>
      <c r="C400" t="e">
        <f>#REF!</f>
        <v>#REF!</v>
      </c>
      <c r="D400" t="e">
        <f>#REF!</f>
        <v>#REF!</v>
      </c>
      <c r="E400" t="e">
        <f>#REF!</f>
        <v>#REF!</v>
      </c>
      <c r="F400" t="e">
        <f>#REF!</f>
        <v>#REF!</v>
      </c>
      <c r="G400" t="e">
        <f>#REF!</f>
        <v>#REF!</v>
      </c>
      <c r="H400" t="e">
        <f>#REF!</f>
        <v>#REF!</v>
      </c>
      <c r="I400" t="e">
        <f>IF(#REF!="Case Cancelled",1,IF(#REF!="No Cases",2,0))</f>
        <v>#REF!</v>
      </c>
      <c r="J400" t="e">
        <f>#REF!</f>
        <v>#REF!</v>
      </c>
      <c r="K400" s="4" t="e">
        <f>#REF!</f>
        <v>#REF!</v>
      </c>
      <c r="L400" t="e">
        <f>"Wk "&amp;WEEKNUM(tbl_Case_mins[[#This Row],[Surgery Start Date]],21)</f>
        <v>#REF!</v>
      </c>
      <c r="M400" t="e">
        <f>TEXT(tbl_Case_mins[[#This Row],[Surgery Start Date]],"ddd")</f>
        <v>#REF!</v>
      </c>
      <c r="N400" s="9" t="e">
        <f>(#REF!-TIME(0,0,0))*1440</f>
        <v>#REF!</v>
      </c>
      <c r="O400" t="e">
        <f>IF(AND(ROUND((#REF!-TIME(0,0,0))*1440,0)&gt;0,ROUND((#REF!-TIME(0,0,0))*1440,0)&lt;tbl_Case_mins[[#This Row],[Patient Called]],tbl_Case_mins[[#This Row],[Surgery End Date]]&gt;tbl_Case_mins[[#This Row],[Surgery Start Date]]),ROUND((#REF!-TIME(0,0,0))*1440,0)+1440,ROUND((#REF!-TIME(0,0,0))*1440,0))</f>
        <v>#REF!</v>
      </c>
      <c r="P400" s="9" t="e">
        <f>IF(AND(ROUND((#REF!-TIME(0,0,0))*1440,0)&gt;0,ROUND((#REF!-TIME(0,0,0))*1440,0)&lt;tbl_Case_mins[[#This Row],[Arrival]],tbl_Case_mins[[#This Row],[Surgery End Date]]&gt;tbl_Case_mins[[#This Row],[Surgery Start Date]]),ROUND((#REF!-TIME(0,0,0))*1440,0)+1440,ROUND((#REF!-TIME(0,0,0))*1440,0))</f>
        <v>#REF!</v>
      </c>
      <c r="Q400" s="9" t="e">
        <f>IF(AND(ROUND((#REF!-TIME(0,0,0))*1440,0)&gt;0,ROUND((#REF!-TIME(0,0,0))*1440,0)&lt;tbl_Case_mins[[#This Row],[Into Th or AR]],tbl_Case_mins[[#This Row],[Surgery End Date]]&gt;tbl_Case_mins[[#This Row],[Surgery Start Date]]),ROUND((#REF!-TIME(0,0,0))*1440,0)+1440,ROUND((#REF!-TIME(0,0,0))*1440,0))</f>
        <v>#REF!</v>
      </c>
      <c r="R400" s="9" t="e">
        <f>IF(AND(ROUND((#REF!-TIME(0,0,0))*1440,0)&gt;0,ROUND((#REF!-TIME(0,0,0))*1440,0)&lt;tbl_Case_mins[[#This Row],[AnaesthStart]],tbl_Case_mins[[#This Row],[Surgery End Date]]&gt;tbl_Case_mins[[#This Row],[Surgery Start Date]]),ROUND((#REF!-TIME(0,0,0))*1440,0)+1440,ROUND((#REF!-TIME(0,0,0))*1440,0))</f>
        <v>#REF!</v>
      </c>
      <c r="S400" s="9" t="e">
        <f>IF(AND(ROUND((#REF!-TIME(0,0,0))*1440,0),ROUND((#REF!-TIME(0,0,0))*1440,0)&lt;tbl_Case_mins[[#This Row],[Surgery Start]],tbl_Case_mins[[#This Row],[Surgery End Date]]&gt;tbl_Case_mins[[#This Row],[Surgery Start Date]]),ROUND((#REF!-TIME(0,0,0))*1440,0)+1440,ROUND((#REF!-TIME(0,0,0))*1440,0))</f>
        <v>#REF!</v>
      </c>
      <c r="T400" s="9" t="e">
        <f>IF(AND(ROUND((#REF!-TIME(0,0,0))*1440,0)&gt;0,ROUND((#REF!-TIME(0,0,0))*1440,0)&lt;tbl_Case_mins[[#This Row],[Surgery Finish]],tbl_Case_mins[[#This Row],[Surgery End Date]]&gt;tbl_Case_mins[[#This Row],[Surgery Start Date]]),ROUND((#REF!-TIME(0,0,0))*1440,0)+1440,ROUND((#REF!-TIME(0,0,0))*1440,0))</f>
        <v>#REF!</v>
      </c>
      <c r="U400" s="9" t="e">
        <f>IF(AND(ROUND((#REF!-TIME(0,0,0))*1440,0)&gt;0,ROUND((#REF!-TIME(0,0,0))*1440,0)&lt;tbl_Case_mins[[#This Row],[Anaesth End]],tbl_Case_mins[[#This Row],[Surgery End Date]]&gt;tbl_Case_mins[[#This Row],[Surgery Start Date]]),ROUND((#REF!-TIME(0,0,0))*1440,0)+1440,ROUND((#REF!-TIME(0,0,0))*1440,0))</f>
        <v>#REF!</v>
      </c>
      <c r="V400" s="9" t="e">
        <f>IF(AND(ROUND((#REF!-TIME(0,0,0))*1440,0)&gt;0,ROUND((#REF!-TIME(0,0,0))*1440,0)&lt;tbl_Case_mins[[#This Row],[Into Recov]],tbl_Case_mins[[#This Row],[Surgery End Date]]&gt;tbl_Case_mins[[#This Row],[Surgery Start Date]]),ROUND((#REF!-TIME(0,0,0))*1440,0)+1440,ROUND((#REF!-TIME(0,0,0))*1440,0))</f>
        <v>#REF!</v>
      </c>
      <c r="W400" s="9" t="e">
        <f>IF(AND(ROUND((#REF!-TIME(0,0,0))*1440,0)&gt;0,ROUND((#REF!-TIME(0,0,0))*1440,0)&lt;tbl_Case_mins[[#This Row],[Ward Called]],tbl_Case_mins[[#This Row],[Surgery End Date]]&gt;tbl_Case_mins[[#This Row],[Surgery Start Date]]),ROUND((#REF!-TIME(0,0,0))*1440,0)+1440,ROUND((#REF!-TIME(0,0,0))*1440,0))</f>
        <v>#REF!</v>
      </c>
      <c r="X400" s="4" t="e">
        <f>IF(ISBLANK(#REF!),tbl_Case_mins[[#This Row],[Surgery Start Date]],#REF!)</f>
        <v>#REF!</v>
      </c>
      <c r="Y400">
        <f>IFERROR(IF(VLOOKUP(tbl_Case_mins[[#This Row],[Theatre]],'Mng Theatres'!$C$7:$G$12,3,FALSE)="Yes","Yes","No"),0)</f>
        <v>0</v>
      </c>
      <c r="Z400" s="9" t="e" cm="1">
        <f t="array" ref="Z40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0" s="9" t="e" cm="1">
        <f t="array" ref="AA40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0" s="9" t="e">
        <f>IF(tbl_Case_mins[[#This Row],[Case Type]]="Unsch",1,0)</f>
        <v>#REF!</v>
      </c>
      <c r="AD400" s="9" t="e">
        <f>IF(tbl_Case_mins[[#This Row],[Case Type]]="Sch",1,0)</f>
        <v>#REF!</v>
      </c>
      <c r="AE40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0" s="9">
        <f>IFERROR(IF(ISBLANK(INDEX(Am_Close,MATCH(1,INDEX((tbl_Case_mins[[#This Row],[Theatre]]=Theatre_No)*(tbl_Case_mins[[#This Row],[Surgery Start Date]]=Date),0,1),0))*1440),0,INDEX(Am_Close,MATCH(1,INDEX((tbl_Case_mins[[#This Row],[Theatre]]=Theatre_No)*(tbl_Case_mins[[#This Row],[Surgery Start Date]]=Date),0,1),0))*1440),0)</f>
        <v>0</v>
      </c>
      <c r="AG400" s="9">
        <f>IFERROR(IF(ISBLANK(INDEX(PM_Open,MATCH(1,INDEX((tbl_Case_mins[[#This Row],[Theatre]]=Theatre_No)*(tbl_Case_mins[[#This Row],[Surgery Start Date]]=Date),0,1),0))*1440),0,INDEX(PM_Open,MATCH(1,INDEX((tbl_Case_mins[[#This Row],[Theatre]]=Theatre_No)*(tbl_Case_mins[[#This Row],[Surgery Start Date]]=Date),0,1),0))*1440),0)</f>
        <v>0</v>
      </c>
      <c r="AH40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0" s="9" t="e">
        <f>IF(tbl_Case_mins[[#This Row],[ThOpenAm]]=0,tbl_Case_mins[[#This Row],[ThOpenPM]],tbl_Case_mins[[#This Row],[ThOpenAm]])</f>
        <v>#REF!</v>
      </c>
      <c r="AJ400" s="9" t="e">
        <f>IF(tbl_Case_mins[[#This Row],[ThCloseAm]]&gt;0,IF(tbl_Case_mins[[#This Row],[ThOpenPM]]&gt;0,tbl_Case_mins[[#This Row],[ThClosePm]],tbl_Case_mins[[#This Row],[ThCloseAm]]),tbl_Case_mins[[#This Row],[ThClosePm]])</f>
        <v>#REF!</v>
      </c>
      <c r="AK400" s="9" t="e">
        <f>IF(tbl_Case_mins[[#This Row],[TOT]]&gt;0,1,0)</f>
        <v>#REF!</v>
      </c>
      <c r="AL40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0" s="9" t="e">
        <f>IF(AND(tbl_Case_mins[[#This Row],[Surgery Status]]&lt;&gt;2,tbl_Case_mins[[#This Row],[InCoreCase]]=0,tbl_Case_mins[[#This Row],[CancelledCase]]=0),1,0)</f>
        <v>#REF!</v>
      </c>
      <c r="AN400" s="9" t="e">
        <f>IF(tbl_Case_mins[[#This Row],[Surgery Status]]=1,1,0)</f>
        <v>#REF!</v>
      </c>
      <c r="AO40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0" s="9" t="e">
        <f>IF(AND(tbl_Case_mins[[#This Row],[NonCoreCase]]=1,tbl_Case_mins[[#This Row],[NoInCoreTime]]=0),1,0)</f>
        <v>#REF!</v>
      </c>
      <c r="AQ400" s="9" t="e">
        <f>IF(tbl_Case_mins[[#This Row],[Rank_AnaEnd]]&lt;tbl_Case_mins[[#This Row],[Rank_AnaSt]],1,0)</f>
        <v>#REF!</v>
      </c>
      <c r="AR400" s="9" t="e">
        <f>IF(AND(tbl_Case_mins[[#This Row],[InCoreCase]]=1,tbl_Case_mins[[#This Row],[Sch]]=1),1,0)</f>
        <v>#REF!</v>
      </c>
      <c r="AS400" s="9" t="e">
        <f>IF(AND(tbl_Case_mins[[#This Row],[InCoreCase]]=1,tbl_Case_mins[[#This Row],[Unsch]]=1),1,0)</f>
        <v>#REF!</v>
      </c>
      <c r="AT40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0" s="9" t="e">
        <f>IF(tbl_Case_mins[[#This Row],[Surgery Status]]=0,(tbl_Case_mins[[#This Row],[Anaesth End]]-tbl_Case_mins[[#This Row],[AnaesthStart]]),0)</f>
        <v>#REF!</v>
      </c>
      <c r="AX400" s="9" t="e">
        <f>IF(tbl_Case_mins[[#This Row],[Surgery Status]]=0,(tbl_Case_mins[[#This Row],[Surgery Finish]]-tbl_Case_mins[[#This Row],[Surgery Start]]),0)</f>
        <v>#REF!</v>
      </c>
      <c r="AY400" s="9" t="e">
        <f>tbl_Case_mins[[#This Row],[Surgery Start]]-tbl_Case_mins[[#This Row],[AnaesthStart]]</f>
        <v>#REF!</v>
      </c>
      <c r="AZ400" s="9" t="e">
        <f>tbl_Case_mins[[#This Row],[Anaesth End]]-tbl_Case_mins[[#This Row],[Surgery Finish]]</f>
        <v>#REF!</v>
      </c>
      <c r="BA40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0" s="16" cm="1">
        <f t="array" ref="BC40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0" s="16" t="e">
        <f>IF(AND(tbl_Case_mins[[#This Row],[FirstAMCase]]=1,tbl_Case_mins[[#This Row],[CancelledCase]]=0,OR(tbl_Case_mins[[#This Row],[EarlyStartAM]]&gt;0,tbl_Case_mins[[#This Row],[AnaesthStart]]=tbl_Case_mins[[#This Row],[ThOpenAm]])),1,0)</f>
        <v>#REF!</v>
      </c>
      <c r="BE400" s="16" t="e">
        <f>IF(AND(tbl_Case_mins[[#This Row],[Rank_AnaSt]]=tbl_Case_mins[[#This Row],[Min_RankAnaSt]],tbl_Case_mins[[#This Row],[Anaesth End]]&gt;=tbl_Case_mins[[#This Row],[ThOpenAm]],tbl_Case_mins[[#This Row],[PmCase]]=0),1,0)</f>
        <v>#REF!</v>
      </c>
      <c r="BF40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0" s="9" t="e" cm="1">
        <f t="array" ref="BH40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0" s="9" t="e">
        <f>IF(AND(tbl_Case_mins[[#This Row],[ThOpenPM]]&gt;0,tbl_Case_mins[[#This Row],[AnaesthStart]]&gt;tbl_Case_mins[[#This Row],[ThOpenPM]],tbl_Case_mins[[#This Row],[First PM Case]]=1),tbl_Case_mins[[#This Row],[AnaesthStart]]-tbl_Case_mins[[#This Row],[ThOpenPM]],0)</f>
        <v>#REF!</v>
      </c>
      <c r="BL40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0" s="9" t="e" cm="1">
        <f t="array" ref="BN40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0" s="9" t="e">
        <f>IF(AND(tbl_Case_mins[[#This Row],[ThClosePm]]&gt;0,tbl_Case_mins[[#This Row],[Anaesth End]]&gt;tbl_Case_mins[[#This Row],[ThClosePm]],tbl_Case_mins[[#This Row],[AnaesthStart]]&gt;tbl_Case_mins[[#This Row],[ThClosePm]]),tbl_Case_mins[[#This Row],[Into Recov]]-tbl_Case_mins[[#This Row],[AnaesthStart]],0)</f>
        <v>#REF!</v>
      </c>
      <c r="BP400" s="9" t="e">
        <f>IF(AND(tbl_Case_mins[[#This Row],[AnaesthStart]]&lt;tbl_Case_mins[[#This Row],[ThClosePm]],tbl_Case_mins[[#This Row],[Anaesth End]]&gt;tbl_Case_mins[[#This Row],[ThClosePm]]),tbl_Case_mins[[#This Row],[Anaesth End]]-tbl_Case_mins[[#This Row],[ThClosePm]],0)</f>
        <v>#REF!</v>
      </c>
      <c r="BQ400" s="9" t="e" cm="1">
        <f t="array" ref="BQ40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0" s="9" t="e" cm="1">
        <f t="array" ref="BR400">IF(tbl_Case_mins[[#This Row],[Rank_Adjust]]=SUMPRODUCT(-(tbl_Case_mins[Surgery Start Date]=tbl_Case_mins[[#This Row],[Surgery Start Date]]),-(tbl_Case_mins[Theatre]=tbl_Case_mins[[#This Row],[Theatre]])),INDEX(Poss_Time,MATCH(TEXT(tbl_Case_mins[[#This Row],[Surgery Start Date]],"ddd"),Day,0)),0)</f>
        <v>#REF!</v>
      </c>
      <c r="BS400" s="9" t="e">
        <f>tbl_Case_mins[[#This Row],[Core_Time]]*Util_Goal</f>
        <v>#REF!</v>
      </c>
      <c r="BT400" s="9" t="e" cm="1">
        <f t="array" ref="BT4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0" s="9" t="e" cm="1">
        <f t="array" ref="BU40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0" s="9" t="e">
        <f>IF(tbl_Case_mins[[#This Row],[Surgery End Date]]&gt;tbl_Case_mins[[#This Row],[Surgery Start Date]],tbl_Case_mins[[#This Row],[Anaesth End]]-1440,0)</f>
        <v>#REF!</v>
      </c>
      <c r="BY400" s="9" t="e">
        <f>tbl_Case_mins[[#This Row],[Total_NonCore]]-tbl_Case_mins[[#This Row],[NextDay_NonCore]]</f>
        <v>#REF!</v>
      </c>
      <c r="BZ400" s="10" t="e">
        <f>tbl_Case_mins[[#This Row],[InCoreUse]]/60</f>
        <v>#REF!</v>
      </c>
      <c r="CA400" s="10" t="e">
        <f>tbl_Case_mins[[#This Row],[Total_NonCore]]/60</f>
        <v>#REF!</v>
      </c>
      <c r="CB400" t="e" cm="1">
        <f t="array" ref="CB4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0" s="9" t="e" cm="1">
        <f t="array" ref="CC40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0" s="9" t="e" cm="1">
        <f t="array" ref="CD40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0" s="9" t="e" cm="1">
        <f t="array" ref="CE40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0" s="9" cm="1">
        <f t="array" ref="CF400">IFERROR(_xlfn.AGGREGATE(14,6,(tbl_Case_mins[Rank_AnaEnd])/((tbl_Case_mins[Surgery Start Date]=tbl_Case_mins[[#This Row],[Surgery Start Date]])*(tbl_Case_mins[Theatre]=tbl_Case_mins[[#This Row],[Theatre]])*(tbl_Case_mins[NoInCoreTime]=0)),1),-1)</f>
        <v>-1</v>
      </c>
      <c r="CG400" s="9" cm="1">
        <f t="array" ref="CG400">IFERROR(_xlfn.AGGREGATE(15,6,(tbl_Case_mins[Rank_AnaSt])/((tbl_Case_mins[Surgery Start Date]=tbl_Case_mins[[#This Row],[Surgery Start Date]])*(tbl_Case_mins[Theatre]=tbl_Case_mins[[#This Row],[Theatre]])*(tbl_Case_mins[NoInCoreTime]=0)),1),-1)</f>
        <v>-1</v>
      </c>
      <c r="CH40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0" t="e" cm="1">
        <f t="array" ref="CJ40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0" s="9" cm="1">
        <f t="array" ref="CO4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0" s="9" cm="1">
        <f t="array" ref="CP40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0" s="9" cm="1">
        <f t="array" ref="CQ400">IFERROR(IF(AND(tbl_Case_mins[[#This Row],[FirstAMCase]]=0,tbl_Case_mins[[#This Row],[Rank]]=_xlfn.AGGREGATE(14,6,(tbl_Case_mins[Rank])/((tbl_Case_mins[Surgery Start Date]=tbl_Case_mins[[#This Row],[Surgery Start Date]])*(tbl_Case_mins[Theatre]=tbl_Case_mins[[#This Row],[Theatre]])*(tbl_Case_mins[AmCase]=1)),1)),1,0),0)</f>
        <v>0</v>
      </c>
      <c r="CR400" s="9" cm="1">
        <f t="array" ref="CR40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0" s="9" t="e" cm="1">
        <f t="array" ref="CS40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0" s="9" cm="1">
        <f t="array" ref="CT400">IFERROR(IF(tbl_Case_mins[[#This Row],[Rank]]=_xlfn.AGGREGATE(15,6,(tbl_Case_mins[Rank])/((tbl_Case_mins[Surgery Start Date]=tbl_Case_mins[[#This Row],[Surgery Start Date]])*(tbl_Case_mins[Theatre]=tbl_Case_mins[[#This Row],[Theatre]])*(tbl_Case_mins[PmCase]=1)),1),1,0),0)</f>
        <v>0</v>
      </c>
      <c r="CU400">
        <f>IFERROR(#REF!,0)</f>
        <v>0</v>
      </c>
      <c r="CV400" s="9" t="e" cm="1">
        <f t="array" ref="CV40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0" s="9">
        <f>IFERROR(IF(ISBLANK(INDEX(Bay_AmClose,MATCH(1,INDEX((tbl_Case_mins[[#This Row],[Bay]]=BayNo)*(tbl_Case_mins[[#This Row],[Surgery Start Date]]=BDate),0,1),0))*1440),0,INDEX(Bay_AmClose,MATCH(1,INDEX((tbl_Case_mins[[#This Row],[Bay]]=BayNo)*(tbl_Case_mins[[#This Row],[Surgery Start Date]]=BDate),0,1),0))*1440),0)</f>
        <v>0</v>
      </c>
      <c r="CX400" s="9" cm="1">
        <f t="array" ref="CX400">IFERROR(IF(ISBLANK(INDEX(Bay_PmOpen,MATCH(1,INDEX((tbl_Case_mins[[#This Row],[Bay]]=BayNo)*(tbl_Case_mins[[#This Row],[Surgery Start Date]]=BDate),0,1),0))*1440),0,INDEX(Bay_PmOpen,MATCH(1,INDEX((tbl_Case_mins[[#This Row],[Bay]]=BayNo)*(tbl_Case_mins[[#This Row],[Surgery Start Date]]=BDate),0,1),0))*1440),0)</f>
        <v>0</v>
      </c>
      <c r="CY40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0" s="9"/>
    </row>
    <row r="401" spans="1:104" x14ac:dyDescent="0.2">
      <c r="A401">
        <v>400</v>
      </c>
      <c r="B401" t="e">
        <f>#REF!</f>
        <v>#REF!</v>
      </c>
      <c r="C401" t="e">
        <f>#REF!</f>
        <v>#REF!</v>
      </c>
      <c r="D401" t="e">
        <f>#REF!</f>
        <v>#REF!</v>
      </c>
      <c r="E401" t="e">
        <f>#REF!</f>
        <v>#REF!</v>
      </c>
      <c r="F401" t="e">
        <f>#REF!</f>
        <v>#REF!</v>
      </c>
      <c r="G401" t="e">
        <f>#REF!</f>
        <v>#REF!</v>
      </c>
      <c r="H401" t="e">
        <f>#REF!</f>
        <v>#REF!</v>
      </c>
      <c r="I401" t="e">
        <f>IF(#REF!="Case Cancelled",1,IF(#REF!="No Cases",2,0))</f>
        <v>#REF!</v>
      </c>
      <c r="J401" t="e">
        <f>#REF!</f>
        <v>#REF!</v>
      </c>
      <c r="K401" s="4" t="e">
        <f>#REF!</f>
        <v>#REF!</v>
      </c>
      <c r="L401" t="e">
        <f>"Wk "&amp;WEEKNUM(tbl_Case_mins[[#This Row],[Surgery Start Date]],21)</f>
        <v>#REF!</v>
      </c>
      <c r="M401" t="e">
        <f>TEXT(tbl_Case_mins[[#This Row],[Surgery Start Date]],"ddd")</f>
        <v>#REF!</v>
      </c>
      <c r="N401" s="9" t="e">
        <f>(#REF!-TIME(0,0,0))*1440</f>
        <v>#REF!</v>
      </c>
      <c r="O401" t="e">
        <f>IF(AND(ROUND((#REF!-TIME(0,0,0))*1440,0)&gt;0,ROUND((#REF!-TIME(0,0,0))*1440,0)&lt;tbl_Case_mins[[#This Row],[Patient Called]],tbl_Case_mins[[#This Row],[Surgery End Date]]&gt;tbl_Case_mins[[#This Row],[Surgery Start Date]]),ROUND((#REF!-TIME(0,0,0))*1440,0)+1440,ROUND((#REF!-TIME(0,0,0))*1440,0))</f>
        <v>#REF!</v>
      </c>
      <c r="P401" s="9" t="e">
        <f>IF(AND(ROUND((#REF!-TIME(0,0,0))*1440,0)&gt;0,ROUND((#REF!-TIME(0,0,0))*1440,0)&lt;tbl_Case_mins[[#This Row],[Arrival]],tbl_Case_mins[[#This Row],[Surgery End Date]]&gt;tbl_Case_mins[[#This Row],[Surgery Start Date]]),ROUND((#REF!-TIME(0,0,0))*1440,0)+1440,ROUND((#REF!-TIME(0,0,0))*1440,0))</f>
        <v>#REF!</v>
      </c>
      <c r="Q401" s="9" t="e">
        <f>IF(AND(ROUND((#REF!-TIME(0,0,0))*1440,0)&gt;0,ROUND((#REF!-TIME(0,0,0))*1440,0)&lt;tbl_Case_mins[[#This Row],[Into Th or AR]],tbl_Case_mins[[#This Row],[Surgery End Date]]&gt;tbl_Case_mins[[#This Row],[Surgery Start Date]]),ROUND((#REF!-TIME(0,0,0))*1440,0)+1440,ROUND((#REF!-TIME(0,0,0))*1440,0))</f>
        <v>#REF!</v>
      </c>
      <c r="R401" s="9" t="e">
        <f>IF(AND(ROUND((#REF!-TIME(0,0,0))*1440,0)&gt;0,ROUND((#REF!-TIME(0,0,0))*1440,0)&lt;tbl_Case_mins[[#This Row],[AnaesthStart]],tbl_Case_mins[[#This Row],[Surgery End Date]]&gt;tbl_Case_mins[[#This Row],[Surgery Start Date]]),ROUND((#REF!-TIME(0,0,0))*1440,0)+1440,ROUND((#REF!-TIME(0,0,0))*1440,0))</f>
        <v>#REF!</v>
      </c>
      <c r="S401" s="9" t="e">
        <f>IF(AND(ROUND((#REF!-TIME(0,0,0))*1440,0),ROUND((#REF!-TIME(0,0,0))*1440,0)&lt;tbl_Case_mins[[#This Row],[Surgery Start]],tbl_Case_mins[[#This Row],[Surgery End Date]]&gt;tbl_Case_mins[[#This Row],[Surgery Start Date]]),ROUND((#REF!-TIME(0,0,0))*1440,0)+1440,ROUND((#REF!-TIME(0,0,0))*1440,0))</f>
        <v>#REF!</v>
      </c>
      <c r="T401" s="9" t="e">
        <f>IF(AND(ROUND((#REF!-TIME(0,0,0))*1440,0)&gt;0,ROUND((#REF!-TIME(0,0,0))*1440,0)&lt;tbl_Case_mins[[#This Row],[Surgery Finish]],tbl_Case_mins[[#This Row],[Surgery End Date]]&gt;tbl_Case_mins[[#This Row],[Surgery Start Date]]),ROUND((#REF!-TIME(0,0,0))*1440,0)+1440,ROUND((#REF!-TIME(0,0,0))*1440,0))</f>
        <v>#REF!</v>
      </c>
      <c r="U401" s="9" t="e">
        <f>IF(AND(ROUND((#REF!-TIME(0,0,0))*1440,0)&gt;0,ROUND((#REF!-TIME(0,0,0))*1440,0)&lt;tbl_Case_mins[[#This Row],[Anaesth End]],tbl_Case_mins[[#This Row],[Surgery End Date]]&gt;tbl_Case_mins[[#This Row],[Surgery Start Date]]),ROUND((#REF!-TIME(0,0,0))*1440,0)+1440,ROUND((#REF!-TIME(0,0,0))*1440,0))</f>
        <v>#REF!</v>
      </c>
      <c r="V401" s="9" t="e">
        <f>IF(AND(ROUND((#REF!-TIME(0,0,0))*1440,0)&gt;0,ROUND((#REF!-TIME(0,0,0))*1440,0)&lt;tbl_Case_mins[[#This Row],[Into Recov]],tbl_Case_mins[[#This Row],[Surgery End Date]]&gt;tbl_Case_mins[[#This Row],[Surgery Start Date]]),ROUND((#REF!-TIME(0,0,0))*1440,0)+1440,ROUND((#REF!-TIME(0,0,0))*1440,0))</f>
        <v>#REF!</v>
      </c>
      <c r="W401" s="9" t="e">
        <f>IF(AND(ROUND((#REF!-TIME(0,0,0))*1440,0)&gt;0,ROUND((#REF!-TIME(0,0,0))*1440,0)&lt;tbl_Case_mins[[#This Row],[Ward Called]],tbl_Case_mins[[#This Row],[Surgery End Date]]&gt;tbl_Case_mins[[#This Row],[Surgery Start Date]]),ROUND((#REF!-TIME(0,0,0))*1440,0)+1440,ROUND((#REF!-TIME(0,0,0))*1440,0))</f>
        <v>#REF!</v>
      </c>
      <c r="X401" s="4" t="e">
        <f>IF(ISBLANK(#REF!),tbl_Case_mins[[#This Row],[Surgery Start Date]],#REF!)</f>
        <v>#REF!</v>
      </c>
      <c r="Y401">
        <f>IFERROR(IF(VLOOKUP(tbl_Case_mins[[#This Row],[Theatre]],'Mng Theatres'!$C$7:$G$12,3,FALSE)="Yes","Yes","No"),0)</f>
        <v>0</v>
      </c>
      <c r="Z401" s="9" t="e" cm="1">
        <f t="array" ref="Z40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1" s="9" t="e" cm="1">
        <f t="array" ref="AA40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1" s="9" t="e">
        <f>IF(tbl_Case_mins[[#This Row],[Case Type]]="Unsch",1,0)</f>
        <v>#REF!</v>
      </c>
      <c r="AD401" s="9" t="e">
        <f>IF(tbl_Case_mins[[#This Row],[Case Type]]="Sch",1,0)</f>
        <v>#REF!</v>
      </c>
      <c r="AE40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1" s="9">
        <f>IFERROR(IF(ISBLANK(INDEX(Am_Close,MATCH(1,INDEX((tbl_Case_mins[[#This Row],[Theatre]]=Theatre_No)*(tbl_Case_mins[[#This Row],[Surgery Start Date]]=Date),0,1),0))*1440),0,INDEX(Am_Close,MATCH(1,INDEX((tbl_Case_mins[[#This Row],[Theatre]]=Theatre_No)*(tbl_Case_mins[[#This Row],[Surgery Start Date]]=Date),0,1),0))*1440),0)</f>
        <v>0</v>
      </c>
      <c r="AG401" s="9">
        <f>IFERROR(IF(ISBLANK(INDEX(PM_Open,MATCH(1,INDEX((tbl_Case_mins[[#This Row],[Theatre]]=Theatre_No)*(tbl_Case_mins[[#This Row],[Surgery Start Date]]=Date),0,1),0))*1440),0,INDEX(PM_Open,MATCH(1,INDEX((tbl_Case_mins[[#This Row],[Theatre]]=Theatre_No)*(tbl_Case_mins[[#This Row],[Surgery Start Date]]=Date),0,1),0))*1440),0)</f>
        <v>0</v>
      </c>
      <c r="AH40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1" s="9" t="e">
        <f>IF(tbl_Case_mins[[#This Row],[ThOpenAm]]=0,tbl_Case_mins[[#This Row],[ThOpenPM]],tbl_Case_mins[[#This Row],[ThOpenAm]])</f>
        <v>#REF!</v>
      </c>
      <c r="AJ401" s="9" t="e">
        <f>IF(tbl_Case_mins[[#This Row],[ThCloseAm]]&gt;0,IF(tbl_Case_mins[[#This Row],[ThOpenPM]]&gt;0,tbl_Case_mins[[#This Row],[ThClosePm]],tbl_Case_mins[[#This Row],[ThCloseAm]]),tbl_Case_mins[[#This Row],[ThClosePm]])</f>
        <v>#REF!</v>
      </c>
      <c r="AK401" s="9" t="e">
        <f>IF(tbl_Case_mins[[#This Row],[TOT]]&gt;0,1,0)</f>
        <v>#REF!</v>
      </c>
      <c r="AL40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1" s="9" t="e">
        <f>IF(AND(tbl_Case_mins[[#This Row],[Surgery Status]]&lt;&gt;2,tbl_Case_mins[[#This Row],[InCoreCase]]=0,tbl_Case_mins[[#This Row],[CancelledCase]]=0),1,0)</f>
        <v>#REF!</v>
      </c>
      <c r="AN401" s="9" t="e">
        <f>IF(tbl_Case_mins[[#This Row],[Surgery Status]]=1,1,0)</f>
        <v>#REF!</v>
      </c>
      <c r="AO40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1" s="9" t="e">
        <f>IF(AND(tbl_Case_mins[[#This Row],[NonCoreCase]]=1,tbl_Case_mins[[#This Row],[NoInCoreTime]]=0),1,0)</f>
        <v>#REF!</v>
      </c>
      <c r="AQ401" s="9" t="e">
        <f>IF(tbl_Case_mins[[#This Row],[Rank_AnaEnd]]&lt;tbl_Case_mins[[#This Row],[Rank_AnaSt]],1,0)</f>
        <v>#REF!</v>
      </c>
      <c r="AR401" s="9" t="e">
        <f>IF(AND(tbl_Case_mins[[#This Row],[InCoreCase]]=1,tbl_Case_mins[[#This Row],[Sch]]=1),1,0)</f>
        <v>#REF!</v>
      </c>
      <c r="AS401" s="9" t="e">
        <f>IF(AND(tbl_Case_mins[[#This Row],[InCoreCase]]=1,tbl_Case_mins[[#This Row],[Unsch]]=1),1,0)</f>
        <v>#REF!</v>
      </c>
      <c r="AT40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1" s="9" t="e">
        <f>IF(tbl_Case_mins[[#This Row],[Surgery Status]]=0,(tbl_Case_mins[[#This Row],[Anaesth End]]-tbl_Case_mins[[#This Row],[AnaesthStart]]),0)</f>
        <v>#REF!</v>
      </c>
      <c r="AX401" s="9" t="e">
        <f>IF(tbl_Case_mins[[#This Row],[Surgery Status]]=0,(tbl_Case_mins[[#This Row],[Surgery Finish]]-tbl_Case_mins[[#This Row],[Surgery Start]]),0)</f>
        <v>#REF!</v>
      </c>
      <c r="AY401" s="9" t="e">
        <f>tbl_Case_mins[[#This Row],[Surgery Start]]-tbl_Case_mins[[#This Row],[AnaesthStart]]</f>
        <v>#REF!</v>
      </c>
      <c r="AZ401" s="9" t="e">
        <f>tbl_Case_mins[[#This Row],[Anaesth End]]-tbl_Case_mins[[#This Row],[Surgery Finish]]</f>
        <v>#REF!</v>
      </c>
      <c r="BA40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1" s="16" cm="1">
        <f t="array" ref="BC40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1" s="16" t="e">
        <f>IF(AND(tbl_Case_mins[[#This Row],[FirstAMCase]]=1,tbl_Case_mins[[#This Row],[CancelledCase]]=0,OR(tbl_Case_mins[[#This Row],[EarlyStartAM]]&gt;0,tbl_Case_mins[[#This Row],[AnaesthStart]]=tbl_Case_mins[[#This Row],[ThOpenAm]])),1,0)</f>
        <v>#REF!</v>
      </c>
      <c r="BE401" s="16" t="e">
        <f>IF(AND(tbl_Case_mins[[#This Row],[Rank_AnaSt]]=tbl_Case_mins[[#This Row],[Min_RankAnaSt]],tbl_Case_mins[[#This Row],[Anaesth End]]&gt;=tbl_Case_mins[[#This Row],[ThOpenAm]],tbl_Case_mins[[#This Row],[PmCase]]=0),1,0)</f>
        <v>#REF!</v>
      </c>
      <c r="BF40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1" s="9" t="e" cm="1">
        <f t="array" ref="BH40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1" s="9" t="e">
        <f>IF(AND(tbl_Case_mins[[#This Row],[ThOpenPM]]&gt;0,tbl_Case_mins[[#This Row],[AnaesthStart]]&gt;tbl_Case_mins[[#This Row],[ThOpenPM]],tbl_Case_mins[[#This Row],[First PM Case]]=1),tbl_Case_mins[[#This Row],[AnaesthStart]]-tbl_Case_mins[[#This Row],[ThOpenPM]],0)</f>
        <v>#REF!</v>
      </c>
      <c r="BL40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1" s="9" t="e" cm="1">
        <f t="array" ref="BN40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1" s="9" t="e">
        <f>IF(AND(tbl_Case_mins[[#This Row],[ThClosePm]]&gt;0,tbl_Case_mins[[#This Row],[Anaesth End]]&gt;tbl_Case_mins[[#This Row],[ThClosePm]],tbl_Case_mins[[#This Row],[AnaesthStart]]&gt;tbl_Case_mins[[#This Row],[ThClosePm]]),tbl_Case_mins[[#This Row],[Into Recov]]-tbl_Case_mins[[#This Row],[AnaesthStart]],0)</f>
        <v>#REF!</v>
      </c>
      <c r="BP401" s="9" t="e">
        <f>IF(AND(tbl_Case_mins[[#This Row],[AnaesthStart]]&lt;tbl_Case_mins[[#This Row],[ThClosePm]],tbl_Case_mins[[#This Row],[Anaesth End]]&gt;tbl_Case_mins[[#This Row],[ThClosePm]]),tbl_Case_mins[[#This Row],[Anaesth End]]-tbl_Case_mins[[#This Row],[ThClosePm]],0)</f>
        <v>#REF!</v>
      </c>
      <c r="BQ401" s="9" t="e" cm="1">
        <f t="array" ref="BQ40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1" s="9" t="e" cm="1">
        <f t="array" ref="BR401">IF(tbl_Case_mins[[#This Row],[Rank_Adjust]]=SUMPRODUCT(-(tbl_Case_mins[Surgery Start Date]=tbl_Case_mins[[#This Row],[Surgery Start Date]]),-(tbl_Case_mins[Theatre]=tbl_Case_mins[[#This Row],[Theatre]])),INDEX(Poss_Time,MATCH(TEXT(tbl_Case_mins[[#This Row],[Surgery Start Date]],"ddd"),Day,0)),0)</f>
        <v>#REF!</v>
      </c>
      <c r="BS401" s="9" t="e">
        <f>tbl_Case_mins[[#This Row],[Core_Time]]*Util_Goal</f>
        <v>#REF!</v>
      </c>
      <c r="BT401" s="9" t="e" cm="1">
        <f t="array" ref="BT4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1" s="9" t="e" cm="1">
        <f t="array" ref="BU40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1" s="9" t="e">
        <f>IF(tbl_Case_mins[[#This Row],[Surgery End Date]]&gt;tbl_Case_mins[[#This Row],[Surgery Start Date]],tbl_Case_mins[[#This Row],[Anaesth End]]-1440,0)</f>
        <v>#REF!</v>
      </c>
      <c r="BY401" s="9" t="e">
        <f>tbl_Case_mins[[#This Row],[Total_NonCore]]-tbl_Case_mins[[#This Row],[NextDay_NonCore]]</f>
        <v>#REF!</v>
      </c>
      <c r="BZ401" s="10" t="e">
        <f>tbl_Case_mins[[#This Row],[InCoreUse]]/60</f>
        <v>#REF!</v>
      </c>
      <c r="CA401" s="10" t="e">
        <f>tbl_Case_mins[[#This Row],[Total_NonCore]]/60</f>
        <v>#REF!</v>
      </c>
      <c r="CB401" t="e" cm="1">
        <f t="array" ref="CB4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1" s="9" t="e" cm="1">
        <f t="array" ref="CC40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1" s="9" t="e" cm="1">
        <f t="array" ref="CD40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1" s="9" t="e" cm="1">
        <f t="array" ref="CE40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1" s="9" cm="1">
        <f t="array" ref="CF401">IFERROR(_xlfn.AGGREGATE(14,6,(tbl_Case_mins[Rank_AnaEnd])/((tbl_Case_mins[Surgery Start Date]=tbl_Case_mins[[#This Row],[Surgery Start Date]])*(tbl_Case_mins[Theatre]=tbl_Case_mins[[#This Row],[Theatre]])*(tbl_Case_mins[NoInCoreTime]=0)),1),-1)</f>
        <v>-1</v>
      </c>
      <c r="CG401" s="9" cm="1">
        <f t="array" ref="CG401">IFERROR(_xlfn.AGGREGATE(15,6,(tbl_Case_mins[Rank_AnaSt])/((tbl_Case_mins[Surgery Start Date]=tbl_Case_mins[[#This Row],[Surgery Start Date]])*(tbl_Case_mins[Theatre]=tbl_Case_mins[[#This Row],[Theatre]])*(tbl_Case_mins[NoInCoreTime]=0)),1),-1)</f>
        <v>-1</v>
      </c>
      <c r="CH40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1" t="e" cm="1">
        <f t="array" ref="CJ40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1" s="9" cm="1">
        <f t="array" ref="CO4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1" s="9" cm="1">
        <f t="array" ref="CP40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1" s="9" cm="1">
        <f t="array" ref="CQ401">IFERROR(IF(AND(tbl_Case_mins[[#This Row],[FirstAMCase]]=0,tbl_Case_mins[[#This Row],[Rank]]=_xlfn.AGGREGATE(14,6,(tbl_Case_mins[Rank])/((tbl_Case_mins[Surgery Start Date]=tbl_Case_mins[[#This Row],[Surgery Start Date]])*(tbl_Case_mins[Theatre]=tbl_Case_mins[[#This Row],[Theatre]])*(tbl_Case_mins[AmCase]=1)),1)),1,0),0)</f>
        <v>0</v>
      </c>
      <c r="CR401" s="9" cm="1">
        <f t="array" ref="CR40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1" s="9" t="e" cm="1">
        <f t="array" ref="CS40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1" s="9" cm="1">
        <f t="array" ref="CT401">IFERROR(IF(tbl_Case_mins[[#This Row],[Rank]]=_xlfn.AGGREGATE(15,6,(tbl_Case_mins[Rank])/((tbl_Case_mins[Surgery Start Date]=tbl_Case_mins[[#This Row],[Surgery Start Date]])*(tbl_Case_mins[Theatre]=tbl_Case_mins[[#This Row],[Theatre]])*(tbl_Case_mins[PmCase]=1)),1),1,0),0)</f>
        <v>0</v>
      </c>
      <c r="CU401">
        <f>IFERROR(#REF!,0)</f>
        <v>0</v>
      </c>
      <c r="CV401" s="9" t="e" cm="1">
        <f t="array" ref="CV40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1" s="9">
        <f>IFERROR(IF(ISBLANK(INDEX(Bay_AmClose,MATCH(1,INDEX((tbl_Case_mins[[#This Row],[Bay]]=BayNo)*(tbl_Case_mins[[#This Row],[Surgery Start Date]]=BDate),0,1),0))*1440),0,INDEX(Bay_AmClose,MATCH(1,INDEX((tbl_Case_mins[[#This Row],[Bay]]=BayNo)*(tbl_Case_mins[[#This Row],[Surgery Start Date]]=BDate),0,1),0))*1440),0)</f>
        <v>0</v>
      </c>
      <c r="CX401" s="9" cm="1">
        <f t="array" ref="CX401">IFERROR(IF(ISBLANK(INDEX(Bay_PmOpen,MATCH(1,INDEX((tbl_Case_mins[[#This Row],[Bay]]=BayNo)*(tbl_Case_mins[[#This Row],[Surgery Start Date]]=BDate),0,1),0))*1440),0,INDEX(Bay_PmOpen,MATCH(1,INDEX((tbl_Case_mins[[#This Row],[Bay]]=BayNo)*(tbl_Case_mins[[#This Row],[Surgery Start Date]]=BDate),0,1),0))*1440),0)</f>
        <v>0</v>
      </c>
      <c r="CY40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1" s="9"/>
    </row>
    <row r="402" spans="1:104" x14ac:dyDescent="0.2">
      <c r="A402">
        <v>401</v>
      </c>
      <c r="B402" t="e">
        <f>#REF!</f>
        <v>#REF!</v>
      </c>
      <c r="C402" t="e">
        <f>#REF!</f>
        <v>#REF!</v>
      </c>
      <c r="D402" t="e">
        <f>#REF!</f>
        <v>#REF!</v>
      </c>
      <c r="E402" t="e">
        <f>#REF!</f>
        <v>#REF!</v>
      </c>
      <c r="F402" t="e">
        <f>#REF!</f>
        <v>#REF!</v>
      </c>
      <c r="G402" t="e">
        <f>#REF!</f>
        <v>#REF!</v>
      </c>
      <c r="H402" t="e">
        <f>#REF!</f>
        <v>#REF!</v>
      </c>
      <c r="I402" t="e">
        <f>IF(#REF!="Case Cancelled",1,IF(#REF!="No Cases",2,0))</f>
        <v>#REF!</v>
      </c>
      <c r="J402" t="e">
        <f>#REF!</f>
        <v>#REF!</v>
      </c>
      <c r="K402" s="4" t="e">
        <f>#REF!</f>
        <v>#REF!</v>
      </c>
      <c r="L402" t="e">
        <f>"Wk "&amp;WEEKNUM(tbl_Case_mins[[#This Row],[Surgery Start Date]],21)</f>
        <v>#REF!</v>
      </c>
      <c r="M402" t="e">
        <f>TEXT(tbl_Case_mins[[#This Row],[Surgery Start Date]],"ddd")</f>
        <v>#REF!</v>
      </c>
      <c r="N402" s="9" t="e">
        <f>(#REF!-TIME(0,0,0))*1440</f>
        <v>#REF!</v>
      </c>
      <c r="O402" t="e">
        <f>IF(AND(ROUND((#REF!-TIME(0,0,0))*1440,0)&gt;0,ROUND((#REF!-TIME(0,0,0))*1440,0)&lt;tbl_Case_mins[[#This Row],[Patient Called]],tbl_Case_mins[[#This Row],[Surgery End Date]]&gt;tbl_Case_mins[[#This Row],[Surgery Start Date]]),ROUND((#REF!-TIME(0,0,0))*1440,0)+1440,ROUND((#REF!-TIME(0,0,0))*1440,0))</f>
        <v>#REF!</v>
      </c>
      <c r="P402" s="9" t="e">
        <f>IF(AND(ROUND((#REF!-TIME(0,0,0))*1440,0)&gt;0,ROUND((#REF!-TIME(0,0,0))*1440,0)&lt;tbl_Case_mins[[#This Row],[Arrival]],tbl_Case_mins[[#This Row],[Surgery End Date]]&gt;tbl_Case_mins[[#This Row],[Surgery Start Date]]),ROUND((#REF!-TIME(0,0,0))*1440,0)+1440,ROUND((#REF!-TIME(0,0,0))*1440,0))</f>
        <v>#REF!</v>
      </c>
      <c r="Q402" s="9" t="e">
        <f>IF(AND(ROUND((#REF!-TIME(0,0,0))*1440,0)&gt;0,ROUND((#REF!-TIME(0,0,0))*1440,0)&lt;tbl_Case_mins[[#This Row],[Into Th or AR]],tbl_Case_mins[[#This Row],[Surgery End Date]]&gt;tbl_Case_mins[[#This Row],[Surgery Start Date]]),ROUND((#REF!-TIME(0,0,0))*1440,0)+1440,ROUND((#REF!-TIME(0,0,0))*1440,0))</f>
        <v>#REF!</v>
      </c>
      <c r="R402" s="9" t="e">
        <f>IF(AND(ROUND((#REF!-TIME(0,0,0))*1440,0)&gt;0,ROUND((#REF!-TIME(0,0,0))*1440,0)&lt;tbl_Case_mins[[#This Row],[AnaesthStart]],tbl_Case_mins[[#This Row],[Surgery End Date]]&gt;tbl_Case_mins[[#This Row],[Surgery Start Date]]),ROUND((#REF!-TIME(0,0,0))*1440,0)+1440,ROUND((#REF!-TIME(0,0,0))*1440,0))</f>
        <v>#REF!</v>
      </c>
      <c r="S402" s="9" t="e">
        <f>IF(AND(ROUND((#REF!-TIME(0,0,0))*1440,0),ROUND((#REF!-TIME(0,0,0))*1440,0)&lt;tbl_Case_mins[[#This Row],[Surgery Start]],tbl_Case_mins[[#This Row],[Surgery End Date]]&gt;tbl_Case_mins[[#This Row],[Surgery Start Date]]),ROUND((#REF!-TIME(0,0,0))*1440,0)+1440,ROUND((#REF!-TIME(0,0,0))*1440,0))</f>
        <v>#REF!</v>
      </c>
      <c r="T402" s="9" t="e">
        <f>IF(AND(ROUND((#REF!-TIME(0,0,0))*1440,0)&gt;0,ROUND((#REF!-TIME(0,0,0))*1440,0)&lt;tbl_Case_mins[[#This Row],[Surgery Finish]],tbl_Case_mins[[#This Row],[Surgery End Date]]&gt;tbl_Case_mins[[#This Row],[Surgery Start Date]]),ROUND((#REF!-TIME(0,0,0))*1440,0)+1440,ROUND((#REF!-TIME(0,0,0))*1440,0))</f>
        <v>#REF!</v>
      </c>
      <c r="U402" s="9" t="e">
        <f>IF(AND(ROUND((#REF!-TIME(0,0,0))*1440,0)&gt;0,ROUND((#REF!-TIME(0,0,0))*1440,0)&lt;tbl_Case_mins[[#This Row],[Anaesth End]],tbl_Case_mins[[#This Row],[Surgery End Date]]&gt;tbl_Case_mins[[#This Row],[Surgery Start Date]]),ROUND((#REF!-TIME(0,0,0))*1440,0)+1440,ROUND((#REF!-TIME(0,0,0))*1440,0))</f>
        <v>#REF!</v>
      </c>
      <c r="V402" s="9" t="e">
        <f>IF(AND(ROUND((#REF!-TIME(0,0,0))*1440,0)&gt;0,ROUND((#REF!-TIME(0,0,0))*1440,0)&lt;tbl_Case_mins[[#This Row],[Into Recov]],tbl_Case_mins[[#This Row],[Surgery End Date]]&gt;tbl_Case_mins[[#This Row],[Surgery Start Date]]),ROUND((#REF!-TIME(0,0,0))*1440,0)+1440,ROUND((#REF!-TIME(0,0,0))*1440,0))</f>
        <v>#REF!</v>
      </c>
      <c r="W402" s="9" t="e">
        <f>IF(AND(ROUND((#REF!-TIME(0,0,0))*1440,0)&gt;0,ROUND((#REF!-TIME(0,0,0))*1440,0)&lt;tbl_Case_mins[[#This Row],[Ward Called]],tbl_Case_mins[[#This Row],[Surgery End Date]]&gt;tbl_Case_mins[[#This Row],[Surgery Start Date]]),ROUND((#REF!-TIME(0,0,0))*1440,0)+1440,ROUND((#REF!-TIME(0,0,0))*1440,0))</f>
        <v>#REF!</v>
      </c>
      <c r="X402" s="4" t="e">
        <f>IF(ISBLANK(#REF!),tbl_Case_mins[[#This Row],[Surgery Start Date]],#REF!)</f>
        <v>#REF!</v>
      </c>
      <c r="Y402">
        <f>IFERROR(IF(VLOOKUP(tbl_Case_mins[[#This Row],[Theatre]],'Mng Theatres'!$C$7:$G$12,3,FALSE)="Yes","Yes","No"),0)</f>
        <v>0</v>
      </c>
      <c r="Z402" s="9" t="e" cm="1">
        <f t="array" ref="Z40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2" s="9" t="e" cm="1">
        <f t="array" ref="AA40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2" s="9" t="e">
        <f>IF(tbl_Case_mins[[#This Row],[Case Type]]="Unsch",1,0)</f>
        <v>#REF!</v>
      </c>
      <c r="AD402" s="9" t="e">
        <f>IF(tbl_Case_mins[[#This Row],[Case Type]]="Sch",1,0)</f>
        <v>#REF!</v>
      </c>
      <c r="AE40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2" s="9">
        <f>IFERROR(IF(ISBLANK(INDEX(Am_Close,MATCH(1,INDEX((tbl_Case_mins[[#This Row],[Theatre]]=Theatre_No)*(tbl_Case_mins[[#This Row],[Surgery Start Date]]=Date),0,1),0))*1440),0,INDEX(Am_Close,MATCH(1,INDEX((tbl_Case_mins[[#This Row],[Theatre]]=Theatre_No)*(tbl_Case_mins[[#This Row],[Surgery Start Date]]=Date),0,1),0))*1440),0)</f>
        <v>0</v>
      </c>
      <c r="AG402" s="9">
        <f>IFERROR(IF(ISBLANK(INDEX(PM_Open,MATCH(1,INDEX((tbl_Case_mins[[#This Row],[Theatre]]=Theatre_No)*(tbl_Case_mins[[#This Row],[Surgery Start Date]]=Date),0,1),0))*1440),0,INDEX(PM_Open,MATCH(1,INDEX((tbl_Case_mins[[#This Row],[Theatre]]=Theatre_No)*(tbl_Case_mins[[#This Row],[Surgery Start Date]]=Date),0,1),0))*1440),0)</f>
        <v>0</v>
      </c>
      <c r="AH40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2" s="9" t="e">
        <f>IF(tbl_Case_mins[[#This Row],[ThOpenAm]]=0,tbl_Case_mins[[#This Row],[ThOpenPM]],tbl_Case_mins[[#This Row],[ThOpenAm]])</f>
        <v>#REF!</v>
      </c>
      <c r="AJ402" s="9" t="e">
        <f>IF(tbl_Case_mins[[#This Row],[ThCloseAm]]&gt;0,IF(tbl_Case_mins[[#This Row],[ThOpenPM]]&gt;0,tbl_Case_mins[[#This Row],[ThClosePm]],tbl_Case_mins[[#This Row],[ThCloseAm]]),tbl_Case_mins[[#This Row],[ThClosePm]])</f>
        <v>#REF!</v>
      </c>
      <c r="AK402" s="9" t="e">
        <f>IF(tbl_Case_mins[[#This Row],[TOT]]&gt;0,1,0)</f>
        <v>#REF!</v>
      </c>
      <c r="AL40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2" s="9" t="e">
        <f>IF(AND(tbl_Case_mins[[#This Row],[Surgery Status]]&lt;&gt;2,tbl_Case_mins[[#This Row],[InCoreCase]]=0,tbl_Case_mins[[#This Row],[CancelledCase]]=0),1,0)</f>
        <v>#REF!</v>
      </c>
      <c r="AN402" s="9" t="e">
        <f>IF(tbl_Case_mins[[#This Row],[Surgery Status]]=1,1,0)</f>
        <v>#REF!</v>
      </c>
      <c r="AO40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2" s="9" t="e">
        <f>IF(AND(tbl_Case_mins[[#This Row],[NonCoreCase]]=1,tbl_Case_mins[[#This Row],[NoInCoreTime]]=0),1,0)</f>
        <v>#REF!</v>
      </c>
      <c r="AQ402" s="9" t="e">
        <f>IF(tbl_Case_mins[[#This Row],[Rank_AnaEnd]]&lt;tbl_Case_mins[[#This Row],[Rank_AnaSt]],1,0)</f>
        <v>#REF!</v>
      </c>
      <c r="AR402" s="9" t="e">
        <f>IF(AND(tbl_Case_mins[[#This Row],[InCoreCase]]=1,tbl_Case_mins[[#This Row],[Sch]]=1),1,0)</f>
        <v>#REF!</v>
      </c>
      <c r="AS402" s="9" t="e">
        <f>IF(AND(tbl_Case_mins[[#This Row],[InCoreCase]]=1,tbl_Case_mins[[#This Row],[Unsch]]=1),1,0)</f>
        <v>#REF!</v>
      </c>
      <c r="AT40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2" s="9" t="e">
        <f>IF(tbl_Case_mins[[#This Row],[Surgery Status]]=0,(tbl_Case_mins[[#This Row],[Anaesth End]]-tbl_Case_mins[[#This Row],[AnaesthStart]]),0)</f>
        <v>#REF!</v>
      </c>
      <c r="AX402" s="9" t="e">
        <f>IF(tbl_Case_mins[[#This Row],[Surgery Status]]=0,(tbl_Case_mins[[#This Row],[Surgery Finish]]-tbl_Case_mins[[#This Row],[Surgery Start]]),0)</f>
        <v>#REF!</v>
      </c>
      <c r="AY402" s="9" t="e">
        <f>tbl_Case_mins[[#This Row],[Surgery Start]]-tbl_Case_mins[[#This Row],[AnaesthStart]]</f>
        <v>#REF!</v>
      </c>
      <c r="AZ402" s="9" t="e">
        <f>tbl_Case_mins[[#This Row],[Anaesth End]]-tbl_Case_mins[[#This Row],[Surgery Finish]]</f>
        <v>#REF!</v>
      </c>
      <c r="BA40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2" s="16" cm="1">
        <f t="array" ref="BC40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2" s="16" t="e">
        <f>IF(AND(tbl_Case_mins[[#This Row],[FirstAMCase]]=1,tbl_Case_mins[[#This Row],[CancelledCase]]=0,OR(tbl_Case_mins[[#This Row],[EarlyStartAM]]&gt;0,tbl_Case_mins[[#This Row],[AnaesthStart]]=tbl_Case_mins[[#This Row],[ThOpenAm]])),1,0)</f>
        <v>#REF!</v>
      </c>
      <c r="BE402" s="16" t="e">
        <f>IF(AND(tbl_Case_mins[[#This Row],[Rank_AnaSt]]=tbl_Case_mins[[#This Row],[Min_RankAnaSt]],tbl_Case_mins[[#This Row],[Anaesth End]]&gt;=tbl_Case_mins[[#This Row],[ThOpenAm]],tbl_Case_mins[[#This Row],[PmCase]]=0),1,0)</f>
        <v>#REF!</v>
      </c>
      <c r="BF40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2" s="9" t="e" cm="1">
        <f t="array" ref="BH40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2" s="9" t="e">
        <f>IF(AND(tbl_Case_mins[[#This Row],[ThOpenPM]]&gt;0,tbl_Case_mins[[#This Row],[AnaesthStart]]&gt;tbl_Case_mins[[#This Row],[ThOpenPM]],tbl_Case_mins[[#This Row],[First PM Case]]=1),tbl_Case_mins[[#This Row],[AnaesthStart]]-tbl_Case_mins[[#This Row],[ThOpenPM]],0)</f>
        <v>#REF!</v>
      </c>
      <c r="BL40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2" s="9" t="e" cm="1">
        <f t="array" ref="BN40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2" s="9" t="e">
        <f>IF(AND(tbl_Case_mins[[#This Row],[ThClosePm]]&gt;0,tbl_Case_mins[[#This Row],[Anaesth End]]&gt;tbl_Case_mins[[#This Row],[ThClosePm]],tbl_Case_mins[[#This Row],[AnaesthStart]]&gt;tbl_Case_mins[[#This Row],[ThClosePm]]),tbl_Case_mins[[#This Row],[Into Recov]]-tbl_Case_mins[[#This Row],[AnaesthStart]],0)</f>
        <v>#REF!</v>
      </c>
      <c r="BP402" s="9" t="e">
        <f>IF(AND(tbl_Case_mins[[#This Row],[AnaesthStart]]&lt;tbl_Case_mins[[#This Row],[ThClosePm]],tbl_Case_mins[[#This Row],[Anaesth End]]&gt;tbl_Case_mins[[#This Row],[ThClosePm]]),tbl_Case_mins[[#This Row],[Anaesth End]]-tbl_Case_mins[[#This Row],[ThClosePm]],0)</f>
        <v>#REF!</v>
      </c>
      <c r="BQ402" s="9" t="e" cm="1">
        <f t="array" ref="BQ40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2" s="9" t="e" cm="1">
        <f t="array" ref="BR402">IF(tbl_Case_mins[[#This Row],[Rank_Adjust]]=SUMPRODUCT(-(tbl_Case_mins[Surgery Start Date]=tbl_Case_mins[[#This Row],[Surgery Start Date]]),-(tbl_Case_mins[Theatre]=tbl_Case_mins[[#This Row],[Theatre]])),INDEX(Poss_Time,MATCH(TEXT(tbl_Case_mins[[#This Row],[Surgery Start Date]],"ddd"),Day,0)),0)</f>
        <v>#REF!</v>
      </c>
      <c r="BS402" s="9" t="e">
        <f>tbl_Case_mins[[#This Row],[Core_Time]]*Util_Goal</f>
        <v>#REF!</v>
      </c>
      <c r="BT402" s="9" t="e" cm="1">
        <f t="array" ref="BT4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2" s="9" t="e" cm="1">
        <f t="array" ref="BU40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2" s="9" t="e">
        <f>IF(tbl_Case_mins[[#This Row],[Surgery End Date]]&gt;tbl_Case_mins[[#This Row],[Surgery Start Date]],tbl_Case_mins[[#This Row],[Anaesth End]]-1440,0)</f>
        <v>#REF!</v>
      </c>
      <c r="BY402" s="9" t="e">
        <f>tbl_Case_mins[[#This Row],[Total_NonCore]]-tbl_Case_mins[[#This Row],[NextDay_NonCore]]</f>
        <v>#REF!</v>
      </c>
      <c r="BZ402" s="10" t="e">
        <f>tbl_Case_mins[[#This Row],[InCoreUse]]/60</f>
        <v>#REF!</v>
      </c>
      <c r="CA402" s="10" t="e">
        <f>tbl_Case_mins[[#This Row],[Total_NonCore]]/60</f>
        <v>#REF!</v>
      </c>
      <c r="CB402" t="e" cm="1">
        <f t="array" ref="CB4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2" s="9" t="e" cm="1">
        <f t="array" ref="CC40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2" s="9" t="e" cm="1">
        <f t="array" ref="CD40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2" s="9" t="e" cm="1">
        <f t="array" ref="CE40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2" s="9" cm="1">
        <f t="array" ref="CF402">IFERROR(_xlfn.AGGREGATE(14,6,(tbl_Case_mins[Rank_AnaEnd])/((tbl_Case_mins[Surgery Start Date]=tbl_Case_mins[[#This Row],[Surgery Start Date]])*(tbl_Case_mins[Theatre]=tbl_Case_mins[[#This Row],[Theatre]])*(tbl_Case_mins[NoInCoreTime]=0)),1),-1)</f>
        <v>-1</v>
      </c>
      <c r="CG402" s="9" cm="1">
        <f t="array" ref="CG402">IFERROR(_xlfn.AGGREGATE(15,6,(tbl_Case_mins[Rank_AnaSt])/((tbl_Case_mins[Surgery Start Date]=tbl_Case_mins[[#This Row],[Surgery Start Date]])*(tbl_Case_mins[Theatre]=tbl_Case_mins[[#This Row],[Theatre]])*(tbl_Case_mins[NoInCoreTime]=0)),1),-1)</f>
        <v>-1</v>
      </c>
      <c r="CH40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2" t="e" cm="1">
        <f t="array" ref="CJ40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2" s="9" cm="1">
        <f t="array" ref="CO4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2" s="9" cm="1">
        <f t="array" ref="CP40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2" s="9" cm="1">
        <f t="array" ref="CQ402">IFERROR(IF(AND(tbl_Case_mins[[#This Row],[FirstAMCase]]=0,tbl_Case_mins[[#This Row],[Rank]]=_xlfn.AGGREGATE(14,6,(tbl_Case_mins[Rank])/((tbl_Case_mins[Surgery Start Date]=tbl_Case_mins[[#This Row],[Surgery Start Date]])*(tbl_Case_mins[Theatre]=tbl_Case_mins[[#This Row],[Theatre]])*(tbl_Case_mins[AmCase]=1)),1)),1,0),0)</f>
        <v>0</v>
      </c>
      <c r="CR402" s="9" cm="1">
        <f t="array" ref="CR40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2" s="9" t="e" cm="1">
        <f t="array" ref="CS40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2" s="9" cm="1">
        <f t="array" ref="CT402">IFERROR(IF(tbl_Case_mins[[#This Row],[Rank]]=_xlfn.AGGREGATE(15,6,(tbl_Case_mins[Rank])/((tbl_Case_mins[Surgery Start Date]=tbl_Case_mins[[#This Row],[Surgery Start Date]])*(tbl_Case_mins[Theatre]=tbl_Case_mins[[#This Row],[Theatre]])*(tbl_Case_mins[PmCase]=1)),1),1,0),0)</f>
        <v>0</v>
      </c>
      <c r="CU402">
        <f>IFERROR(#REF!,0)</f>
        <v>0</v>
      </c>
      <c r="CV402" s="9" t="e" cm="1">
        <f t="array" ref="CV40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2" s="9">
        <f>IFERROR(IF(ISBLANK(INDEX(Bay_AmClose,MATCH(1,INDEX((tbl_Case_mins[[#This Row],[Bay]]=BayNo)*(tbl_Case_mins[[#This Row],[Surgery Start Date]]=BDate),0,1),0))*1440),0,INDEX(Bay_AmClose,MATCH(1,INDEX((tbl_Case_mins[[#This Row],[Bay]]=BayNo)*(tbl_Case_mins[[#This Row],[Surgery Start Date]]=BDate),0,1),0))*1440),0)</f>
        <v>0</v>
      </c>
      <c r="CX402" s="9" cm="1">
        <f t="array" ref="CX402">IFERROR(IF(ISBLANK(INDEX(Bay_PmOpen,MATCH(1,INDEX((tbl_Case_mins[[#This Row],[Bay]]=BayNo)*(tbl_Case_mins[[#This Row],[Surgery Start Date]]=BDate),0,1),0))*1440),0,INDEX(Bay_PmOpen,MATCH(1,INDEX((tbl_Case_mins[[#This Row],[Bay]]=BayNo)*(tbl_Case_mins[[#This Row],[Surgery Start Date]]=BDate),0,1),0))*1440),0)</f>
        <v>0</v>
      </c>
      <c r="CY40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2" s="9"/>
    </row>
    <row r="403" spans="1:104" x14ac:dyDescent="0.2">
      <c r="A403">
        <v>402</v>
      </c>
      <c r="B403" t="e">
        <f>#REF!</f>
        <v>#REF!</v>
      </c>
      <c r="C403" t="e">
        <f>#REF!</f>
        <v>#REF!</v>
      </c>
      <c r="D403" t="e">
        <f>#REF!</f>
        <v>#REF!</v>
      </c>
      <c r="E403" t="e">
        <f>#REF!</f>
        <v>#REF!</v>
      </c>
      <c r="F403" t="e">
        <f>#REF!</f>
        <v>#REF!</v>
      </c>
      <c r="G403" t="e">
        <f>#REF!</f>
        <v>#REF!</v>
      </c>
      <c r="H403" t="e">
        <f>#REF!</f>
        <v>#REF!</v>
      </c>
      <c r="I403" t="e">
        <f>IF(#REF!="Case Cancelled",1,IF(#REF!="No Cases",2,0))</f>
        <v>#REF!</v>
      </c>
      <c r="J403" t="e">
        <f>#REF!</f>
        <v>#REF!</v>
      </c>
      <c r="K403" s="4" t="e">
        <f>#REF!</f>
        <v>#REF!</v>
      </c>
      <c r="L403" t="e">
        <f>"Wk "&amp;WEEKNUM(tbl_Case_mins[[#This Row],[Surgery Start Date]],21)</f>
        <v>#REF!</v>
      </c>
      <c r="M403" t="e">
        <f>TEXT(tbl_Case_mins[[#This Row],[Surgery Start Date]],"ddd")</f>
        <v>#REF!</v>
      </c>
      <c r="N403" s="9" t="e">
        <f>(#REF!-TIME(0,0,0))*1440</f>
        <v>#REF!</v>
      </c>
      <c r="O403" t="e">
        <f>IF(AND(ROUND((#REF!-TIME(0,0,0))*1440,0)&gt;0,ROUND((#REF!-TIME(0,0,0))*1440,0)&lt;tbl_Case_mins[[#This Row],[Patient Called]],tbl_Case_mins[[#This Row],[Surgery End Date]]&gt;tbl_Case_mins[[#This Row],[Surgery Start Date]]),ROUND((#REF!-TIME(0,0,0))*1440,0)+1440,ROUND((#REF!-TIME(0,0,0))*1440,0))</f>
        <v>#REF!</v>
      </c>
      <c r="P403" s="9" t="e">
        <f>IF(AND(ROUND((#REF!-TIME(0,0,0))*1440,0)&gt;0,ROUND((#REF!-TIME(0,0,0))*1440,0)&lt;tbl_Case_mins[[#This Row],[Arrival]],tbl_Case_mins[[#This Row],[Surgery End Date]]&gt;tbl_Case_mins[[#This Row],[Surgery Start Date]]),ROUND((#REF!-TIME(0,0,0))*1440,0)+1440,ROUND((#REF!-TIME(0,0,0))*1440,0))</f>
        <v>#REF!</v>
      </c>
      <c r="Q403" s="9" t="e">
        <f>IF(AND(ROUND((#REF!-TIME(0,0,0))*1440,0)&gt;0,ROUND((#REF!-TIME(0,0,0))*1440,0)&lt;tbl_Case_mins[[#This Row],[Into Th or AR]],tbl_Case_mins[[#This Row],[Surgery End Date]]&gt;tbl_Case_mins[[#This Row],[Surgery Start Date]]),ROUND((#REF!-TIME(0,0,0))*1440,0)+1440,ROUND((#REF!-TIME(0,0,0))*1440,0))</f>
        <v>#REF!</v>
      </c>
      <c r="R403" s="9" t="e">
        <f>IF(AND(ROUND((#REF!-TIME(0,0,0))*1440,0)&gt;0,ROUND((#REF!-TIME(0,0,0))*1440,0)&lt;tbl_Case_mins[[#This Row],[AnaesthStart]],tbl_Case_mins[[#This Row],[Surgery End Date]]&gt;tbl_Case_mins[[#This Row],[Surgery Start Date]]),ROUND((#REF!-TIME(0,0,0))*1440,0)+1440,ROUND((#REF!-TIME(0,0,0))*1440,0))</f>
        <v>#REF!</v>
      </c>
      <c r="S403" s="9" t="e">
        <f>IF(AND(ROUND((#REF!-TIME(0,0,0))*1440,0),ROUND((#REF!-TIME(0,0,0))*1440,0)&lt;tbl_Case_mins[[#This Row],[Surgery Start]],tbl_Case_mins[[#This Row],[Surgery End Date]]&gt;tbl_Case_mins[[#This Row],[Surgery Start Date]]),ROUND((#REF!-TIME(0,0,0))*1440,0)+1440,ROUND((#REF!-TIME(0,0,0))*1440,0))</f>
        <v>#REF!</v>
      </c>
      <c r="T403" s="9" t="e">
        <f>IF(AND(ROUND((#REF!-TIME(0,0,0))*1440,0)&gt;0,ROUND((#REF!-TIME(0,0,0))*1440,0)&lt;tbl_Case_mins[[#This Row],[Surgery Finish]],tbl_Case_mins[[#This Row],[Surgery End Date]]&gt;tbl_Case_mins[[#This Row],[Surgery Start Date]]),ROUND((#REF!-TIME(0,0,0))*1440,0)+1440,ROUND((#REF!-TIME(0,0,0))*1440,0))</f>
        <v>#REF!</v>
      </c>
      <c r="U403" s="9" t="e">
        <f>IF(AND(ROUND((#REF!-TIME(0,0,0))*1440,0)&gt;0,ROUND((#REF!-TIME(0,0,0))*1440,0)&lt;tbl_Case_mins[[#This Row],[Anaesth End]],tbl_Case_mins[[#This Row],[Surgery End Date]]&gt;tbl_Case_mins[[#This Row],[Surgery Start Date]]),ROUND((#REF!-TIME(0,0,0))*1440,0)+1440,ROUND((#REF!-TIME(0,0,0))*1440,0))</f>
        <v>#REF!</v>
      </c>
      <c r="V403" s="9" t="e">
        <f>IF(AND(ROUND((#REF!-TIME(0,0,0))*1440,0)&gt;0,ROUND((#REF!-TIME(0,0,0))*1440,0)&lt;tbl_Case_mins[[#This Row],[Into Recov]],tbl_Case_mins[[#This Row],[Surgery End Date]]&gt;tbl_Case_mins[[#This Row],[Surgery Start Date]]),ROUND((#REF!-TIME(0,0,0))*1440,0)+1440,ROUND((#REF!-TIME(0,0,0))*1440,0))</f>
        <v>#REF!</v>
      </c>
      <c r="W403" s="9" t="e">
        <f>IF(AND(ROUND((#REF!-TIME(0,0,0))*1440,0)&gt;0,ROUND((#REF!-TIME(0,0,0))*1440,0)&lt;tbl_Case_mins[[#This Row],[Ward Called]],tbl_Case_mins[[#This Row],[Surgery End Date]]&gt;tbl_Case_mins[[#This Row],[Surgery Start Date]]),ROUND((#REF!-TIME(0,0,0))*1440,0)+1440,ROUND((#REF!-TIME(0,0,0))*1440,0))</f>
        <v>#REF!</v>
      </c>
      <c r="X403" s="4" t="e">
        <f>IF(ISBLANK(#REF!),tbl_Case_mins[[#This Row],[Surgery Start Date]],#REF!)</f>
        <v>#REF!</v>
      </c>
      <c r="Y403">
        <f>IFERROR(IF(VLOOKUP(tbl_Case_mins[[#This Row],[Theatre]],'Mng Theatres'!$C$7:$G$12,3,FALSE)="Yes","Yes","No"),0)</f>
        <v>0</v>
      </c>
      <c r="Z403" s="9" t="e" cm="1">
        <f t="array" ref="Z40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3" s="9" t="e" cm="1">
        <f t="array" ref="AA40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3" s="9" t="e">
        <f>IF(tbl_Case_mins[[#This Row],[Case Type]]="Unsch",1,0)</f>
        <v>#REF!</v>
      </c>
      <c r="AD403" s="9" t="e">
        <f>IF(tbl_Case_mins[[#This Row],[Case Type]]="Sch",1,0)</f>
        <v>#REF!</v>
      </c>
      <c r="AE40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3" s="9">
        <f>IFERROR(IF(ISBLANK(INDEX(Am_Close,MATCH(1,INDEX((tbl_Case_mins[[#This Row],[Theatre]]=Theatre_No)*(tbl_Case_mins[[#This Row],[Surgery Start Date]]=Date),0,1),0))*1440),0,INDEX(Am_Close,MATCH(1,INDEX((tbl_Case_mins[[#This Row],[Theatre]]=Theatre_No)*(tbl_Case_mins[[#This Row],[Surgery Start Date]]=Date),0,1),0))*1440),0)</f>
        <v>0</v>
      </c>
      <c r="AG403" s="9">
        <f>IFERROR(IF(ISBLANK(INDEX(PM_Open,MATCH(1,INDEX((tbl_Case_mins[[#This Row],[Theatre]]=Theatre_No)*(tbl_Case_mins[[#This Row],[Surgery Start Date]]=Date),0,1),0))*1440),0,INDEX(PM_Open,MATCH(1,INDEX((tbl_Case_mins[[#This Row],[Theatre]]=Theatre_No)*(tbl_Case_mins[[#This Row],[Surgery Start Date]]=Date),0,1),0))*1440),0)</f>
        <v>0</v>
      </c>
      <c r="AH40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3" s="9" t="e">
        <f>IF(tbl_Case_mins[[#This Row],[ThOpenAm]]=0,tbl_Case_mins[[#This Row],[ThOpenPM]],tbl_Case_mins[[#This Row],[ThOpenAm]])</f>
        <v>#REF!</v>
      </c>
      <c r="AJ403" s="9" t="e">
        <f>IF(tbl_Case_mins[[#This Row],[ThCloseAm]]&gt;0,IF(tbl_Case_mins[[#This Row],[ThOpenPM]]&gt;0,tbl_Case_mins[[#This Row],[ThClosePm]],tbl_Case_mins[[#This Row],[ThCloseAm]]),tbl_Case_mins[[#This Row],[ThClosePm]])</f>
        <v>#REF!</v>
      </c>
      <c r="AK403" s="9" t="e">
        <f>IF(tbl_Case_mins[[#This Row],[TOT]]&gt;0,1,0)</f>
        <v>#REF!</v>
      </c>
      <c r="AL40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3" s="9" t="e">
        <f>IF(AND(tbl_Case_mins[[#This Row],[Surgery Status]]&lt;&gt;2,tbl_Case_mins[[#This Row],[InCoreCase]]=0,tbl_Case_mins[[#This Row],[CancelledCase]]=0),1,0)</f>
        <v>#REF!</v>
      </c>
      <c r="AN403" s="9" t="e">
        <f>IF(tbl_Case_mins[[#This Row],[Surgery Status]]=1,1,0)</f>
        <v>#REF!</v>
      </c>
      <c r="AO40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3" s="9" t="e">
        <f>IF(AND(tbl_Case_mins[[#This Row],[NonCoreCase]]=1,tbl_Case_mins[[#This Row],[NoInCoreTime]]=0),1,0)</f>
        <v>#REF!</v>
      </c>
      <c r="AQ403" s="9" t="e">
        <f>IF(tbl_Case_mins[[#This Row],[Rank_AnaEnd]]&lt;tbl_Case_mins[[#This Row],[Rank_AnaSt]],1,0)</f>
        <v>#REF!</v>
      </c>
      <c r="AR403" s="9" t="e">
        <f>IF(AND(tbl_Case_mins[[#This Row],[InCoreCase]]=1,tbl_Case_mins[[#This Row],[Sch]]=1),1,0)</f>
        <v>#REF!</v>
      </c>
      <c r="AS403" s="9" t="e">
        <f>IF(AND(tbl_Case_mins[[#This Row],[InCoreCase]]=1,tbl_Case_mins[[#This Row],[Unsch]]=1),1,0)</f>
        <v>#REF!</v>
      </c>
      <c r="AT40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3" s="9" t="e">
        <f>IF(tbl_Case_mins[[#This Row],[Surgery Status]]=0,(tbl_Case_mins[[#This Row],[Anaesth End]]-tbl_Case_mins[[#This Row],[AnaesthStart]]),0)</f>
        <v>#REF!</v>
      </c>
      <c r="AX403" s="9" t="e">
        <f>IF(tbl_Case_mins[[#This Row],[Surgery Status]]=0,(tbl_Case_mins[[#This Row],[Surgery Finish]]-tbl_Case_mins[[#This Row],[Surgery Start]]),0)</f>
        <v>#REF!</v>
      </c>
      <c r="AY403" s="9" t="e">
        <f>tbl_Case_mins[[#This Row],[Surgery Start]]-tbl_Case_mins[[#This Row],[AnaesthStart]]</f>
        <v>#REF!</v>
      </c>
      <c r="AZ403" s="9" t="e">
        <f>tbl_Case_mins[[#This Row],[Anaesth End]]-tbl_Case_mins[[#This Row],[Surgery Finish]]</f>
        <v>#REF!</v>
      </c>
      <c r="BA40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3" s="16" cm="1">
        <f t="array" ref="BC40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3" s="16" t="e">
        <f>IF(AND(tbl_Case_mins[[#This Row],[FirstAMCase]]=1,tbl_Case_mins[[#This Row],[CancelledCase]]=0,OR(tbl_Case_mins[[#This Row],[EarlyStartAM]]&gt;0,tbl_Case_mins[[#This Row],[AnaesthStart]]=tbl_Case_mins[[#This Row],[ThOpenAm]])),1,0)</f>
        <v>#REF!</v>
      </c>
      <c r="BE403" s="16" t="e">
        <f>IF(AND(tbl_Case_mins[[#This Row],[Rank_AnaSt]]=tbl_Case_mins[[#This Row],[Min_RankAnaSt]],tbl_Case_mins[[#This Row],[Anaesth End]]&gt;=tbl_Case_mins[[#This Row],[ThOpenAm]],tbl_Case_mins[[#This Row],[PmCase]]=0),1,0)</f>
        <v>#REF!</v>
      </c>
      <c r="BF40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3" s="9" t="e" cm="1">
        <f t="array" ref="BH40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3" s="9" t="e">
        <f>IF(AND(tbl_Case_mins[[#This Row],[ThOpenPM]]&gt;0,tbl_Case_mins[[#This Row],[AnaesthStart]]&gt;tbl_Case_mins[[#This Row],[ThOpenPM]],tbl_Case_mins[[#This Row],[First PM Case]]=1),tbl_Case_mins[[#This Row],[AnaesthStart]]-tbl_Case_mins[[#This Row],[ThOpenPM]],0)</f>
        <v>#REF!</v>
      </c>
      <c r="BL40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3" s="9" t="e" cm="1">
        <f t="array" ref="BN40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3" s="9" t="e">
        <f>IF(AND(tbl_Case_mins[[#This Row],[ThClosePm]]&gt;0,tbl_Case_mins[[#This Row],[Anaesth End]]&gt;tbl_Case_mins[[#This Row],[ThClosePm]],tbl_Case_mins[[#This Row],[AnaesthStart]]&gt;tbl_Case_mins[[#This Row],[ThClosePm]]),tbl_Case_mins[[#This Row],[Into Recov]]-tbl_Case_mins[[#This Row],[AnaesthStart]],0)</f>
        <v>#REF!</v>
      </c>
      <c r="BP403" s="9" t="e">
        <f>IF(AND(tbl_Case_mins[[#This Row],[AnaesthStart]]&lt;tbl_Case_mins[[#This Row],[ThClosePm]],tbl_Case_mins[[#This Row],[Anaesth End]]&gt;tbl_Case_mins[[#This Row],[ThClosePm]]),tbl_Case_mins[[#This Row],[Anaesth End]]-tbl_Case_mins[[#This Row],[ThClosePm]],0)</f>
        <v>#REF!</v>
      </c>
      <c r="BQ403" s="9" t="e" cm="1">
        <f t="array" ref="BQ40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3" s="9" t="e" cm="1">
        <f t="array" ref="BR403">IF(tbl_Case_mins[[#This Row],[Rank_Adjust]]=SUMPRODUCT(-(tbl_Case_mins[Surgery Start Date]=tbl_Case_mins[[#This Row],[Surgery Start Date]]),-(tbl_Case_mins[Theatre]=tbl_Case_mins[[#This Row],[Theatre]])),INDEX(Poss_Time,MATCH(TEXT(tbl_Case_mins[[#This Row],[Surgery Start Date]],"ddd"),Day,0)),0)</f>
        <v>#REF!</v>
      </c>
      <c r="BS403" s="9" t="e">
        <f>tbl_Case_mins[[#This Row],[Core_Time]]*Util_Goal</f>
        <v>#REF!</v>
      </c>
      <c r="BT403" s="9" t="e" cm="1">
        <f t="array" ref="BT4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3" s="9" t="e" cm="1">
        <f t="array" ref="BU40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3" s="9" t="e">
        <f>IF(tbl_Case_mins[[#This Row],[Surgery End Date]]&gt;tbl_Case_mins[[#This Row],[Surgery Start Date]],tbl_Case_mins[[#This Row],[Anaesth End]]-1440,0)</f>
        <v>#REF!</v>
      </c>
      <c r="BY403" s="9" t="e">
        <f>tbl_Case_mins[[#This Row],[Total_NonCore]]-tbl_Case_mins[[#This Row],[NextDay_NonCore]]</f>
        <v>#REF!</v>
      </c>
      <c r="BZ403" s="10" t="e">
        <f>tbl_Case_mins[[#This Row],[InCoreUse]]/60</f>
        <v>#REF!</v>
      </c>
      <c r="CA403" s="10" t="e">
        <f>tbl_Case_mins[[#This Row],[Total_NonCore]]/60</f>
        <v>#REF!</v>
      </c>
      <c r="CB403" t="e" cm="1">
        <f t="array" ref="CB4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3" s="9" t="e" cm="1">
        <f t="array" ref="CC40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3" s="9" t="e" cm="1">
        <f t="array" ref="CD40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3" s="9" t="e" cm="1">
        <f t="array" ref="CE40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3" s="9" cm="1">
        <f t="array" ref="CF403">IFERROR(_xlfn.AGGREGATE(14,6,(tbl_Case_mins[Rank_AnaEnd])/((tbl_Case_mins[Surgery Start Date]=tbl_Case_mins[[#This Row],[Surgery Start Date]])*(tbl_Case_mins[Theatre]=tbl_Case_mins[[#This Row],[Theatre]])*(tbl_Case_mins[NoInCoreTime]=0)),1),-1)</f>
        <v>-1</v>
      </c>
      <c r="CG403" s="9" cm="1">
        <f t="array" ref="CG403">IFERROR(_xlfn.AGGREGATE(15,6,(tbl_Case_mins[Rank_AnaSt])/((tbl_Case_mins[Surgery Start Date]=tbl_Case_mins[[#This Row],[Surgery Start Date]])*(tbl_Case_mins[Theatre]=tbl_Case_mins[[#This Row],[Theatre]])*(tbl_Case_mins[NoInCoreTime]=0)),1),-1)</f>
        <v>-1</v>
      </c>
      <c r="CH40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3" t="e" cm="1">
        <f t="array" ref="CJ40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3" s="9" cm="1">
        <f t="array" ref="CO4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3" s="9" cm="1">
        <f t="array" ref="CP40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3" s="9" cm="1">
        <f t="array" ref="CQ403">IFERROR(IF(AND(tbl_Case_mins[[#This Row],[FirstAMCase]]=0,tbl_Case_mins[[#This Row],[Rank]]=_xlfn.AGGREGATE(14,6,(tbl_Case_mins[Rank])/((tbl_Case_mins[Surgery Start Date]=tbl_Case_mins[[#This Row],[Surgery Start Date]])*(tbl_Case_mins[Theatre]=tbl_Case_mins[[#This Row],[Theatre]])*(tbl_Case_mins[AmCase]=1)),1)),1,0),0)</f>
        <v>0</v>
      </c>
      <c r="CR403" s="9" cm="1">
        <f t="array" ref="CR40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3" s="9" t="e" cm="1">
        <f t="array" ref="CS40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3" s="9" cm="1">
        <f t="array" ref="CT403">IFERROR(IF(tbl_Case_mins[[#This Row],[Rank]]=_xlfn.AGGREGATE(15,6,(tbl_Case_mins[Rank])/((tbl_Case_mins[Surgery Start Date]=tbl_Case_mins[[#This Row],[Surgery Start Date]])*(tbl_Case_mins[Theatre]=tbl_Case_mins[[#This Row],[Theatre]])*(tbl_Case_mins[PmCase]=1)),1),1,0),0)</f>
        <v>0</v>
      </c>
      <c r="CU403">
        <f>IFERROR(#REF!,0)</f>
        <v>0</v>
      </c>
      <c r="CV403" s="9" t="e" cm="1">
        <f t="array" ref="CV40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3" s="9">
        <f>IFERROR(IF(ISBLANK(INDEX(Bay_AmClose,MATCH(1,INDEX((tbl_Case_mins[[#This Row],[Bay]]=BayNo)*(tbl_Case_mins[[#This Row],[Surgery Start Date]]=BDate),0,1),0))*1440),0,INDEX(Bay_AmClose,MATCH(1,INDEX((tbl_Case_mins[[#This Row],[Bay]]=BayNo)*(tbl_Case_mins[[#This Row],[Surgery Start Date]]=BDate),0,1),0))*1440),0)</f>
        <v>0</v>
      </c>
      <c r="CX403" s="9" cm="1">
        <f t="array" ref="CX403">IFERROR(IF(ISBLANK(INDEX(Bay_PmOpen,MATCH(1,INDEX((tbl_Case_mins[[#This Row],[Bay]]=BayNo)*(tbl_Case_mins[[#This Row],[Surgery Start Date]]=BDate),0,1),0))*1440),0,INDEX(Bay_PmOpen,MATCH(1,INDEX((tbl_Case_mins[[#This Row],[Bay]]=BayNo)*(tbl_Case_mins[[#This Row],[Surgery Start Date]]=BDate),0,1),0))*1440),0)</f>
        <v>0</v>
      </c>
      <c r="CY40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3" s="9"/>
    </row>
    <row r="404" spans="1:104" x14ac:dyDescent="0.2">
      <c r="A404">
        <v>403</v>
      </c>
      <c r="B404" t="e">
        <f>#REF!</f>
        <v>#REF!</v>
      </c>
      <c r="C404" t="e">
        <f>#REF!</f>
        <v>#REF!</v>
      </c>
      <c r="D404" t="e">
        <f>#REF!</f>
        <v>#REF!</v>
      </c>
      <c r="E404" t="e">
        <f>#REF!</f>
        <v>#REF!</v>
      </c>
      <c r="F404" t="e">
        <f>#REF!</f>
        <v>#REF!</v>
      </c>
      <c r="G404" t="e">
        <f>#REF!</f>
        <v>#REF!</v>
      </c>
      <c r="H404" t="e">
        <f>#REF!</f>
        <v>#REF!</v>
      </c>
      <c r="I404" t="e">
        <f>IF(#REF!="Case Cancelled",1,IF(#REF!="No Cases",2,0))</f>
        <v>#REF!</v>
      </c>
      <c r="J404" t="e">
        <f>#REF!</f>
        <v>#REF!</v>
      </c>
      <c r="K404" s="4" t="e">
        <f>#REF!</f>
        <v>#REF!</v>
      </c>
      <c r="L404" t="e">
        <f>"Wk "&amp;WEEKNUM(tbl_Case_mins[[#This Row],[Surgery Start Date]],21)</f>
        <v>#REF!</v>
      </c>
      <c r="M404" t="e">
        <f>TEXT(tbl_Case_mins[[#This Row],[Surgery Start Date]],"ddd")</f>
        <v>#REF!</v>
      </c>
      <c r="N404" s="9" t="e">
        <f>(#REF!-TIME(0,0,0))*1440</f>
        <v>#REF!</v>
      </c>
      <c r="O404" t="e">
        <f>IF(AND(ROUND((#REF!-TIME(0,0,0))*1440,0)&gt;0,ROUND((#REF!-TIME(0,0,0))*1440,0)&lt;tbl_Case_mins[[#This Row],[Patient Called]],tbl_Case_mins[[#This Row],[Surgery End Date]]&gt;tbl_Case_mins[[#This Row],[Surgery Start Date]]),ROUND((#REF!-TIME(0,0,0))*1440,0)+1440,ROUND((#REF!-TIME(0,0,0))*1440,0))</f>
        <v>#REF!</v>
      </c>
      <c r="P404" s="9" t="e">
        <f>IF(AND(ROUND((#REF!-TIME(0,0,0))*1440,0)&gt;0,ROUND((#REF!-TIME(0,0,0))*1440,0)&lt;tbl_Case_mins[[#This Row],[Arrival]],tbl_Case_mins[[#This Row],[Surgery End Date]]&gt;tbl_Case_mins[[#This Row],[Surgery Start Date]]),ROUND((#REF!-TIME(0,0,0))*1440,0)+1440,ROUND((#REF!-TIME(0,0,0))*1440,0))</f>
        <v>#REF!</v>
      </c>
      <c r="Q404" s="9" t="e">
        <f>IF(AND(ROUND((#REF!-TIME(0,0,0))*1440,0)&gt;0,ROUND((#REF!-TIME(0,0,0))*1440,0)&lt;tbl_Case_mins[[#This Row],[Into Th or AR]],tbl_Case_mins[[#This Row],[Surgery End Date]]&gt;tbl_Case_mins[[#This Row],[Surgery Start Date]]),ROUND((#REF!-TIME(0,0,0))*1440,0)+1440,ROUND((#REF!-TIME(0,0,0))*1440,0))</f>
        <v>#REF!</v>
      </c>
      <c r="R404" s="9" t="e">
        <f>IF(AND(ROUND((#REF!-TIME(0,0,0))*1440,0)&gt;0,ROUND((#REF!-TIME(0,0,0))*1440,0)&lt;tbl_Case_mins[[#This Row],[AnaesthStart]],tbl_Case_mins[[#This Row],[Surgery End Date]]&gt;tbl_Case_mins[[#This Row],[Surgery Start Date]]),ROUND((#REF!-TIME(0,0,0))*1440,0)+1440,ROUND((#REF!-TIME(0,0,0))*1440,0))</f>
        <v>#REF!</v>
      </c>
      <c r="S404" s="9" t="e">
        <f>IF(AND(ROUND((#REF!-TIME(0,0,0))*1440,0),ROUND((#REF!-TIME(0,0,0))*1440,0)&lt;tbl_Case_mins[[#This Row],[Surgery Start]],tbl_Case_mins[[#This Row],[Surgery End Date]]&gt;tbl_Case_mins[[#This Row],[Surgery Start Date]]),ROUND((#REF!-TIME(0,0,0))*1440,0)+1440,ROUND((#REF!-TIME(0,0,0))*1440,0))</f>
        <v>#REF!</v>
      </c>
      <c r="T404" s="9" t="e">
        <f>IF(AND(ROUND((#REF!-TIME(0,0,0))*1440,0)&gt;0,ROUND((#REF!-TIME(0,0,0))*1440,0)&lt;tbl_Case_mins[[#This Row],[Surgery Finish]],tbl_Case_mins[[#This Row],[Surgery End Date]]&gt;tbl_Case_mins[[#This Row],[Surgery Start Date]]),ROUND((#REF!-TIME(0,0,0))*1440,0)+1440,ROUND((#REF!-TIME(0,0,0))*1440,0))</f>
        <v>#REF!</v>
      </c>
      <c r="U404" s="9" t="e">
        <f>IF(AND(ROUND((#REF!-TIME(0,0,0))*1440,0)&gt;0,ROUND((#REF!-TIME(0,0,0))*1440,0)&lt;tbl_Case_mins[[#This Row],[Anaesth End]],tbl_Case_mins[[#This Row],[Surgery End Date]]&gt;tbl_Case_mins[[#This Row],[Surgery Start Date]]),ROUND((#REF!-TIME(0,0,0))*1440,0)+1440,ROUND((#REF!-TIME(0,0,0))*1440,0))</f>
        <v>#REF!</v>
      </c>
      <c r="V404" s="9" t="e">
        <f>IF(AND(ROUND((#REF!-TIME(0,0,0))*1440,0)&gt;0,ROUND((#REF!-TIME(0,0,0))*1440,0)&lt;tbl_Case_mins[[#This Row],[Into Recov]],tbl_Case_mins[[#This Row],[Surgery End Date]]&gt;tbl_Case_mins[[#This Row],[Surgery Start Date]]),ROUND((#REF!-TIME(0,0,0))*1440,0)+1440,ROUND((#REF!-TIME(0,0,0))*1440,0))</f>
        <v>#REF!</v>
      </c>
      <c r="W404" s="9" t="e">
        <f>IF(AND(ROUND((#REF!-TIME(0,0,0))*1440,0)&gt;0,ROUND((#REF!-TIME(0,0,0))*1440,0)&lt;tbl_Case_mins[[#This Row],[Ward Called]],tbl_Case_mins[[#This Row],[Surgery End Date]]&gt;tbl_Case_mins[[#This Row],[Surgery Start Date]]),ROUND((#REF!-TIME(0,0,0))*1440,0)+1440,ROUND((#REF!-TIME(0,0,0))*1440,0))</f>
        <v>#REF!</v>
      </c>
      <c r="X404" s="4" t="e">
        <f>IF(ISBLANK(#REF!),tbl_Case_mins[[#This Row],[Surgery Start Date]],#REF!)</f>
        <v>#REF!</v>
      </c>
      <c r="Y404">
        <f>IFERROR(IF(VLOOKUP(tbl_Case_mins[[#This Row],[Theatre]],'Mng Theatres'!$C$7:$G$12,3,FALSE)="Yes","Yes","No"),0)</f>
        <v>0</v>
      </c>
      <c r="Z404" s="9" t="e" cm="1">
        <f t="array" ref="Z40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4" s="9" t="e" cm="1">
        <f t="array" ref="AA40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4" s="9" t="e">
        <f>IF(tbl_Case_mins[[#This Row],[Case Type]]="Unsch",1,0)</f>
        <v>#REF!</v>
      </c>
      <c r="AD404" s="9" t="e">
        <f>IF(tbl_Case_mins[[#This Row],[Case Type]]="Sch",1,0)</f>
        <v>#REF!</v>
      </c>
      <c r="AE40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4" s="9">
        <f>IFERROR(IF(ISBLANK(INDEX(Am_Close,MATCH(1,INDEX((tbl_Case_mins[[#This Row],[Theatre]]=Theatre_No)*(tbl_Case_mins[[#This Row],[Surgery Start Date]]=Date),0,1),0))*1440),0,INDEX(Am_Close,MATCH(1,INDEX((tbl_Case_mins[[#This Row],[Theatre]]=Theatre_No)*(tbl_Case_mins[[#This Row],[Surgery Start Date]]=Date),0,1),0))*1440),0)</f>
        <v>0</v>
      </c>
      <c r="AG404" s="9">
        <f>IFERROR(IF(ISBLANK(INDEX(PM_Open,MATCH(1,INDEX((tbl_Case_mins[[#This Row],[Theatre]]=Theatre_No)*(tbl_Case_mins[[#This Row],[Surgery Start Date]]=Date),0,1),0))*1440),0,INDEX(PM_Open,MATCH(1,INDEX((tbl_Case_mins[[#This Row],[Theatre]]=Theatre_No)*(tbl_Case_mins[[#This Row],[Surgery Start Date]]=Date),0,1),0))*1440),0)</f>
        <v>0</v>
      </c>
      <c r="AH40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4" s="9" t="e">
        <f>IF(tbl_Case_mins[[#This Row],[ThOpenAm]]=0,tbl_Case_mins[[#This Row],[ThOpenPM]],tbl_Case_mins[[#This Row],[ThOpenAm]])</f>
        <v>#REF!</v>
      </c>
      <c r="AJ404" s="9" t="e">
        <f>IF(tbl_Case_mins[[#This Row],[ThCloseAm]]&gt;0,IF(tbl_Case_mins[[#This Row],[ThOpenPM]]&gt;0,tbl_Case_mins[[#This Row],[ThClosePm]],tbl_Case_mins[[#This Row],[ThCloseAm]]),tbl_Case_mins[[#This Row],[ThClosePm]])</f>
        <v>#REF!</v>
      </c>
      <c r="AK404" s="9" t="e">
        <f>IF(tbl_Case_mins[[#This Row],[TOT]]&gt;0,1,0)</f>
        <v>#REF!</v>
      </c>
      <c r="AL40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4" s="9" t="e">
        <f>IF(AND(tbl_Case_mins[[#This Row],[Surgery Status]]&lt;&gt;2,tbl_Case_mins[[#This Row],[InCoreCase]]=0,tbl_Case_mins[[#This Row],[CancelledCase]]=0),1,0)</f>
        <v>#REF!</v>
      </c>
      <c r="AN404" s="9" t="e">
        <f>IF(tbl_Case_mins[[#This Row],[Surgery Status]]=1,1,0)</f>
        <v>#REF!</v>
      </c>
      <c r="AO40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4" s="9" t="e">
        <f>IF(AND(tbl_Case_mins[[#This Row],[NonCoreCase]]=1,tbl_Case_mins[[#This Row],[NoInCoreTime]]=0),1,0)</f>
        <v>#REF!</v>
      </c>
      <c r="AQ404" s="9" t="e">
        <f>IF(tbl_Case_mins[[#This Row],[Rank_AnaEnd]]&lt;tbl_Case_mins[[#This Row],[Rank_AnaSt]],1,0)</f>
        <v>#REF!</v>
      </c>
      <c r="AR404" s="9" t="e">
        <f>IF(AND(tbl_Case_mins[[#This Row],[InCoreCase]]=1,tbl_Case_mins[[#This Row],[Sch]]=1),1,0)</f>
        <v>#REF!</v>
      </c>
      <c r="AS404" s="9" t="e">
        <f>IF(AND(tbl_Case_mins[[#This Row],[InCoreCase]]=1,tbl_Case_mins[[#This Row],[Unsch]]=1),1,0)</f>
        <v>#REF!</v>
      </c>
      <c r="AT40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4" s="9" t="e">
        <f>IF(tbl_Case_mins[[#This Row],[Surgery Status]]=0,(tbl_Case_mins[[#This Row],[Anaesth End]]-tbl_Case_mins[[#This Row],[AnaesthStart]]),0)</f>
        <v>#REF!</v>
      </c>
      <c r="AX404" s="9" t="e">
        <f>IF(tbl_Case_mins[[#This Row],[Surgery Status]]=0,(tbl_Case_mins[[#This Row],[Surgery Finish]]-tbl_Case_mins[[#This Row],[Surgery Start]]),0)</f>
        <v>#REF!</v>
      </c>
      <c r="AY404" s="9" t="e">
        <f>tbl_Case_mins[[#This Row],[Surgery Start]]-tbl_Case_mins[[#This Row],[AnaesthStart]]</f>
        <v>#REF!</v>
      </c>
      <c r="AZ404" s="9" t="e">
        <f>tbl_Case_mins[[#This Row],[Anaesth End]]-tbl_Case_mins[[#This Row],[Surgery Finish]]</f>
        <v>#REF!</v>
      </c>
      <c r="BA40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4" s="16" cm="1">
        <f t="array" ref="BC40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4" s="16" t="e">
        <f>IF(AND(tbl_Case_mins[[#This Row],[FirstAMCase]]=1,tbl_Case_mins[[#This Row],[CancelledCase]]=0,OR(tbl_Case_mins[[#This Row],[EarlyStartAM]]&gt;0,tbl_Case_mins[[#This Row],[AnaesthStart]]=tbl_Case_mins[[#This Row],[ThOpenAm]])),1,0)</f>
        <v>#REF!</v>
      </c>
      <c r="BE404" s="16" t="e">
        <f>IF(AND(tbl_Case_mins[[#This Row],[Rank_AnaSt]]=tbl_Case_mins[[#This Row],[Min_RankAnaSt]],tbl_Case_mins[[#This Row],[Anaesth End]]&gt;=tbl_Case_mins[[#This Row],[ThOpenAm]],tbl_Case_mins[[#This Row],[PmCase]]=0),1,0)</f>
        <v>#REF!</v>
      </c>
      <c r="BF40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4" s="9" t="e" cm="1">
        <f t="array" ref="BH40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4" s="9" t="e">
        <f>IF(AND(tbl_Case_mins[[#This Row],[ThOpenPM]]&gt;0,tbl_Case_mins[[#This Row],[AnaesthStart]]&gt;tbl_Case_mins[[#This Row],[ThOpenPM]],tbl_Case_mins[[#This Row],[First PM Case]]=1),tbl_Case_mins[[#This Row],[AnaesthStart]]-tbl_Case_mins[[#This Row],[ThOpenPM]],0)</f>
        <v>#REF!</v>
      </c>
      <c r="BL40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4" s="9" t="e" cm="1">
        <f t="array" ref="BN40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4" s="9" t="e">
        <f>IF(AND(tbl_Case_mins[[#This Row],[ThClosePm]]&gt;0,tbl_Case_mins[[#This Row],[Anaesth End]]&gt;tbl_Case_mins[[#This Row],[ThClosePm]],tbl_Case_mins[[#This Row],[AnaesthStart]]&gt;tbl_Case_mins[[#This Row],[ThClosePm]]),tbl_Case_mins[[#This Row],[Into Recov]]-tbl_Case_mins[[#This Row],[AnaesthStart]],0)</f>
        <v>#REF!</v>
      </c>
      <c r="BP404" s="9" t="e">
        <f>IF(AND(tbl_Case_mins[[#This Row],[AnaesthStart]]&lt;tbl_Case_mins[[#This Row],[ThClosePm]],tbl_Case_mins[[#This Row],[Anaesth End]]&gt;tbl_Case_mins[[#This Row],[ThClosePm]]),tbl_Case_mins[[#This Row],[Anaesth End]]-tbl_Case_mins[[#This Row],[ThClosePm]],0)</f>
        <v>#REF!</v>
      </c>
      <c r="BQ404" s="9" t="e" cm="1">
        <f t="array" ref="BQ40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4" s="9" t="e" cm="1">
        <f t="array" ref="BR404">IF(tbl_Case_mins[[#This Row],[Rank_Adjust]]=SUMPRODUCT(-(tbl_Case_mins[Surgery Start Date]=tbl_Case_mins[[#This Row],[Surgery Start Date]]),-(tbl_Case_mins[Theatre]=tbl_Case_mins[[#This Row],[Theatre]])),INDEX(Poss_Time,MATCH(TEXT(tbl_Case_mins[[#This Row],[Surgery Start Date]],"ddd"),Day,0)),0)</f>
        <v>#REF!</v>
      </c>
      <c r="BS404" s="9" t="e">
        <f>tbl_Case_mins[[#This Row],[Core_Time]]*Util_Goal</f>
        <v>#REF!</v>
      </c>
      <c r="BT404" s="9" t="e" cm="1">
        <f t="array" ref="BT4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4" s="9" t="e" cm="1">
        <f t="array" ref="BU40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4" s="9" t="e">
        <f>IF(tbl_Case_mins[[#This Row],[Surgery End Date]]&gt;tbl_Case_mins[[#This Row],[Surgery Start Date]],tbl_Case_mins[[#This Row],[Anaesth End]]-1440,0)</f>
        <v>#REF!</v>
      </c>
      <c r="BY404" s="9" t="e">
        <f>tbl_Case_mins[[#This Row],[Total_NonCore]]-tbl_Case_mins[[#This Row],[NextDay_NonCore]]</f>
        <v>#REF!</v>
      </c>
      <c r="BZ404" s="10" t="e">
        <f>tbl_Case_mins[[#This Row],[InCoreUse]]/60</f>
        <v>#REF!</v>
      </c>
      <c r="CA404" s="10" t="e">
        <f>tbl_Case_mins[[#This Row],[Total_NonCore]]/60</f>
        <v>#REF!</v>
      </c>
      <c r="CB404" t="e" cm="1">
        <f t="array" ref="CB4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4" s="9" t="e" cm="1">
        <f t="array" ref="CC40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4" s="9" t="e" cm="1">
        <f t="array" ref="CD40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4" s="9" t="e" cm="1">
        <f t="array" ref="CE40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4" s="9" cm="1">
        <f t="array" ref="CF404">IFERROR(_xlfn.AGGREGATE(14,6,(tbl_Case_mins[Rank_AnaEnd])/((tbl_Case_mins[Surgery Start Date]=tbl_Case_mins[[#This Row],[Surgery Start Date]])*(tbl_Case_mins[Theatre]=tbl_Case_mins[[#This Row],[Theatre]])*(tbl_Case_mins[NoInCoreTime]=0)),1),-1)</f>
        <v>-1</v>
      </c>
      <c r="CG404" s="9" cm="1">
        <f t="array" ref="CG404">IFERROR(_xlfn.AGGREGATE(15,6,(tbl_Case_mins[Rank_AnaSt])/((tbl_Case_mins[Surgery Start Date]=tbl_Case_mins[[#This Row],[Surgery Start Date]])*(tbl_Case_mins[Theatre]=tbl_Case_mins[[#This Row],[Theatre]])*(tbl_Case_mins[NoInCoreTime]=0)),1),-1)</f>
        <v>-1</v>
      </c>
      <c r="CH40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4" t="e" cm="1">
        <f t="array" ref="CJ40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4" s="9" cm="1">
        <f t="array" ref="CO4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4" s="9" cm="1">
        <f t="array" ref="CP40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4" s="9" cm="1">
        <f t="array" ref="CQ404">IFERROR(IF(AND(tbl_Case_mins[[#This Row],[FirstAMCase]]=0,tbl_Case_mins[[#This Row],[Rank]]=_xlfn.AGGREGATE(14,6,(tbl_Case_mins[Rank])/((tbl_Case_mins[Surgery Start Date]=tbl_Case_mins[[#This Row],[Surgery Start Date]])*(tbl_Case_mins[Theatre]=tbl_Case_mins[[#This Row],[Theatre]])*(tbl_Case_mins[AmCase]=1)),1)),1,0),0)</f>
        <v>0</v>
      </c>
      <c r="CR404" s="9" cm="1">
        <f t="array" ref="CR40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4" s="9" t="e" cm="1">
        <f t="array" ref="CS40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4" s="9" cm="1">
        <f t="array" ref="CT404">IFERROR(IF(tbl_Case_mins[[#This Row],[Rank]]=_xlfn.AGGREGATE(15,6,(tbl_Case_mins[Rank])/((tbl_Case_mins[Surgery Start Date]=tbl_Case_mins[[#This Row],[Surgery Start Date]])*(tbl_Case_mins[Theatre]=tbl_Case_mins[[#This Row],[Theatre]])*(tbl_Case_mins[PmCase]=1)),1),1,0),0)</f>
        <v>0</v>
      </c>
      <c r="CU404">
        <f>IFERROR(#REF!,0)</f>
        <v>0</v>
      </c>
      <c r="CV404" s="9" t="e" cm="1">
        <f t="array" ref="CV40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4" s="9">
        <f>IFERROR(IF(ISBLANK(INDEX(Bay_AmClose,MATCH(1,INDEX((tbl_Case_mins[[#This Row],[Bay]]=BayNo)*(tbl_Case_mins[[#This Row],[Surgery Start Date]]=BDate),0,1),0))*1440),0,INDEX(Bay_AmClose,MATCH(1,INDEX((tbl_Case_mins[[#This Row],[Bay]]=BayNo)*(tbl_Case_mins[[#This Row],[Surgery Start Date]]=BDate),0,1),0))*1440),0)</f>
        <v>0</v>
      </c>
      <c r="CX404" s="9" cm="1">
        <f t="array" ref="CX404">IFERROR(IF(ISBLANK(INDEX(Bay_PmOpen,MATCH(1,INDEX((tbl_Case_mins[[#This Row],[Bay]]=BayNo)*(tbl_Case_mins[[#This Row],[Surgery Start Date]]=BDate),0,1),0))*1440),0,INDEX(Bay_PmOpen,MATCH(1,INDEX((tbl_Case_mins[[#This Row],[Bay]]=BayNo)*(tbl_Case_mins[[#This Row],[Surgery Start Date]]=BDate),0,1),0))*1440),0)</f>
        <v>0</v>
      </c>
      <c r="CY40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4" s="9"/>
    </row>
    <row r="405" spans="1:104" x14ac:dyDescent="0.2">
      <c r="A405">
        <v>404</v>
      </c>
      <c r="B405" t="e">
        <f>#REF!</f>
        <v>#REF!</v>
      </c>
      <c r="C405" t="e">
        <f>#REF!</f>
        <v>#REF!</v>
      </c>
      <c r="D405" t="e">
        <f>#REF!</f>
        <v>#REF!</v>
      </c>
      <c r="E405" t="e">
        <f>#REF!</f>
        <v>#REF!</v>
      </c>
      <c r="F405" t="e">
        <f>#REF!</f>
        <v>#REF!</v>
      </c>
      <c r="G405" t="e">
        <f>#REF!</f>
        <v>#REF!</v>
      </c>
      <c r="H405" t="e">
        <f>#REF!</f>
        <v>#REF!</v>
      </c>
      <c r="I405" t="e">
        <f>IF(#REF!="Case Cancelled",1,IF(#REF!="No Cases",2,0))</f>
        <v>#REF!</v>
      </c>
      <c r="J405" t="e">
        <f>#REF!</f>
        <v>#REF!</v>
      </c>
      <c r="K405" s="4" t="e">
        <f>#REF!</f>
        <v>#REF!</v>
      </c>
      <c r="L405" t="e">
        <f>"Wk "&amp;WEEKNUM(tbl_Case_mins[[#This Row],[Surgery Start Date]],21)</f>
        <v>#REF!</v>
      </c>
      <c r="M405" t="e">
        <f>TEXT(tbl_Case_mins[[#This Row],[Surgery Start Date]],"ddd")</f>
        <v>#REF!</v>
      </c>
      <c r="N405" s="9" t="e">
        <f>(#REF!-TIME(0,0,0))*1440</f>
        <v>#REF!</v>
      </c>
      <c r="O405" t="e">
        <f>IF(AND(ROUND((#REF!-TIME(0,0,0))*1440,0)&gt;0,ROUND((#REF!-TIME(0,0,0))*1440,0)&lt;tbl_Case_mins[[#This Row],[Patient Called]],tbl_Case_mins[[#This Row],[Surgery End Date]]&gt;tbl_Case_mins[[#This Row],[Surgery Start Date]]),ROUND((#REF!-TIME(0,0,0))*1440,0)+1440,ROUND((#REF!-TIME(0,0,0))*1440,0))</f>
        <v>#REF!</v>
      </c>
      <c r="P405" s="9" t="e">
        <f>IF(AND(ROUND((#REF!-TIME(0,0,0))*1440,0)&gt;0,ROUND((#REF!-TIME(0,0,0))*1440,0)&lt;tbl_Case_mins[[#This Row],[Arrival]],tbl_Case_mins[[#This Row],[Surgery End Date]]&gt;tbl_Case_mins[[#This Row],[Surgery Start Date]]),ROUND((#REF!-TIME(0,0,0))*1440,0)+1440,ROUND((#REF!-TIME(0,0,0))*1440,0))</f>
        <v>#REF!</v>
      </c>
      <c r="Q405" s="9" t="e">
        <f>IF(AND(ROUND((#REF!-TIME(0,0,0))*1440,0)&gt;0,ROUND((#REF!-TIME(0,0,0))*1440,0)&lt;tbl_Case_mins[[#This Row],[Into Th or AR]],tbl_Case_mins[[#This Row],[Surgery End Date]]&gt;tbl_Case_mins[[#This Row],[Surgery Start Date]]),ROUND((#REF!-TIME(0,0,0))*1440,0)+1440,ROUND((#REF!-TIME(0,0,0))*1440,0))</f>
        <v>#REF!</v>
      </c>
      <c r="R405" s="9" t="e">
        <f>IF(AND(ROUND((#REF!-TIME(0,0,0))*1440,0)&gt;0,ROUND((#REF!-TIME(0,0,0))*1440,0)&lt;tbl_Case_mins[[#This Row],[AnaesthStart]],tbl_Case_mins[[#This Row],[Surgery End Date]]&gt;tbl_Case_mins[[#This Row],[Surgery Start Date]]),ROUND((#REF!-TIME(0,0,0))*1440,0)+1440,ROUND((#REF!-TIME(0,0,0))*1440,0))</f>
        <v>#REF!</v>
      </c>
      <c r="S405" s="9" t="e">
        <f>IF(AND(ROUND((#REF!-TIME(0,0,0))*1440,0),ROUND((#REF!-TIME(0,0,0))*1440,0)&lt;tbl_Case_mins[[#This Row],[Surgery Start]],tbl_Case_mins[[#This Row],[Surgery End Date]]&gt;tbl_Case_mins[[#This Row],[Surgery Start Date]]),ROUND((#REF!-TIME(0,0,0))*1440,0)+1440,ROUND((#REF!-TIME(0,0,0))*1440,0))</f>
        <v>#REF!</v>
      </c>
      <c r="T405" s="9" t="e">
        <f>IF(AND(ROUND((#REF!-TIME(0,0,0))*1440,0)&gt;0,ROUND((#REF!-TIME(0,0,0))*1440,0)&lt;tbl_Case_mins[[#This Row],[Surgery Finish]],tbl_Case_mins[[#This Row],[Surgery End Date]]&gt;tbl_Case_mins[[#This Row],[Surgery Start Date]]),ROUND((#REF!-TIME(0,0,0))*1440,0)+1440,ROUND((#REF!-TIME(0,0,0))*1440,0))</f>
        <v>#REF!</v>
      </c>
      <c r="U405" s="9" t="e">
        <f>IF(AND(ROUND((#REF!-TIME(0,0,0))*1440,0)&gt;0,ROUND((#REF!-TIME(0,0,0))*1440,0)&lt;tbl_Case_mins[[#This Row],[Anaesth End]],tbl_Case_mins[[#This Row],[Surgery End Date]]&gt;tbl_Case_mins[[#This Row],[Surgery Start Date]]),ROUND((#REF!-TIME(0,0,0))*1440,0)+1440,ROUND((#REF!-TIME(0,0,0))*1440,0))</f>
        <v>#REF!</v>
      </c>
      <c r="V405" s="9" t="e">
        <f>IF(AND(ROUND((#REF!-TIME(0,0,0))*1440,0)&gt;0,ROUND((#REF!-TIME(0,0,0))*1440,0)&lt;tbl_Case_mins[[#This Row],[Into Recov]],tbl_Case_mins[[#This Row],[Surgery End Date]]&gt;tbl_Case_mins[[#This Row],[Surgery Start Date]]),ROUND((#REF!-TIME(0,0,0))*1440,0)+1440,ROUND((#REF!-TIME(0,0,0))*1440,0))</f>
        <v>#REF!</v>
      </c>
      <c r="W405" s="9" t="e">
        <f>IF(AND(ROUND((#REF!-TIME(0,0,0))*1440,0)&gt;0,ROUND((#REF!-TIME(0,0,0))*1440,0)&lt;tbl_Case_mins[[#This Row],[Ward Called]],tbl_Case_mins[[#This Row],[Surgery End Date]]&gt;tbl_Case_mins[[#This Row],[Surgery Start Date]]),ROUND((#REF!-TIME(0,0,0))*1440,0)+1440,ROUND((#REF!-TIME(0,0,0))*1440,0))</f>
        <v>#REF!</v>
      </c>
      <c r="X405" s="4" t="e">
        <f>IF(ISBLANK(#REF!),tbl_Case_mins[[#This Row],[Surgery Start Date]],#REF!)</f>
        <v>#REF!</v>
      </c>
      <c r="Y405">
        <f>IFERROR(IF(VLOOKUP(tbl_Case_mins[[#This Row],[Theatre]],'Mng Theatres'!$C$7:$G$12,3,FALSE)="Yes","Yes","No"),0)</f>
        <v>0</v>
      </c>
      <c r="Z405" s="9" t="e" cm="1">
        <f t="array" ref="Z40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5" s="9" t="e" cm="1">
        <f t="array" ref="AA40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5" s="9" t="e">
        <f>IF(tbl_Case_mins[[#This Row],[Case Type]]="Unsch",1,0)</f>
        <v>#REF!</v>
      </c>
      <c r="AD405" s="9" t="e">
        <f>IF(tbl_Case_mins[[#This Row],[Case Type]]="Sch",1,0)</f>
        <v>#REF!</v>
      </c>
      <c r="AE40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5" s="9">
        <f>IFERROR(IF(ISBLANK(INDEX(Am_Close,MATCH(1,INDEX((tbl_Case_mins[[#This Row],[Theatre]]=Theatre_No)*(tbl_Case_mins[[#This Row],[Surgery Start Date]]=Date),0,1),0))*1440),0,INDEX(Am_Close,MATCH(1,INDEX((tbl_Case_mins[[#This Row],[Theatre]]=Theatre_No)*(tbl_Case_mins[[#This Row],[Surgery Start Date]]=Date),0,1),0))*1440),0)</f>
        <v>0</v>
      </c>
      <c r="AG405" s="9">
        <f>IFERROR(IF(ISBLANK(INDEX(PM_Open,MATCH(1,INDEX((tbl_Case_mins[[#This Row],[Theatre]]=Theatre_No)*(tbl_Case_mins[[#This Row],[Surgery Start Date]]=Date),0,1),0))*1440),0,INDEX(PM_Open,MATCH(1,INDEX((tbl_Case_mins[[#This Row],[Theatre]]=Theatre_No)*(tbl_Case_mins[[#This Row],[Surgery Start Date]]=Date),0,1),0))*1440),0)</f>
        <v>0</v>
      </c>
      <c r="AH40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5" s="9" t="e">
        <f>IF(tbl_Case_mins[[#This Row],[ThOpenAm]]=0,tbl_Case_mins[[#This Row],[ThOpenPM]],tbl_Case_mins[[#This Row],[ThOpenAm]])</f>
        <v>#REF!</v>
      </c>
      <c r="AJ405" s="9" t="e">
        <f>IF(tbl_Case_mins[[#This Row],[ThCloseAm]]&gt;0,IF(tbl_Case_mins[[#This Row],[ThOpenPM]]&gt;0,tbl_Case_mins[[#This Row],[ThClosePm]],tbl_Case_mins[[#This Row],[ThCloseAm]]),tbl_Case_mins[[#This Row],[ThClosePm]])</f>
        <v>#REF!</v>
      </c>
      <c r="AK405" s="9" t="e">
        <f>IF(tbl_Case_mins[[#This Row],[TOT]]&gt;0,1,0)</f>
        <v>#REF!</v>
      </c>
      <c r="AL40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5" s="9" t="e">
        <f>IF(AND(tbl_Case_mins[[#This Row],[Surgery Status]]&lt;&gt;2,tbl_Case_mins[[#This Row],[InCoreCase]]=0,tbl_Case_mins[[#This Row],[CancelledCase]]=0),1,0)</f>
        <v>#REF!</v>
      </c>
      <c r="AN405" s="9" t="e">
        <f>IF(tbl_Case_mins[[#This Row],[Surgery Status]]=1,1,0)</f>
        <v>#REF!</v>
      </c>
      <c r="AO40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5" s="9" t="e">
        <f>IF(AND(tbl_Case_mins[[#This Row],[NonCoreCase]]=1,tbl_Case_mins[[#This Row],[NoInCoreTime]]=0),1,0)</f>
        <v>#REF!</v>
      </c>
      <c r="AQ405" s="9" t="e">
        <f>IF(tbl_Case_mins[[#This Row],[Rank_AnaEnd]]&lt;tbl_Case_mins[[#This Row],[Rank_AnaSt]],1,0)</f>
        <v>#REF!</v>
      </c>
      <c r="AR405" s="9" t="e">
        <f>IF(AND(tbl_Case_mins[[#This Row],[InCoreCase]]=1,tbl_Case_mins[[#This Row],[Sch]]=1),1,0)</f>
        <v>#REF!</v>
      </c>
      <c r="AS405" s="9" t="e">
        <f>IF(AND(tbl_Case_mins[[#This Row],[InCoreCase]]=1,tbl_Case_mins[[#This Row],[Unsch]]=1),1,0)</f>
        <v>#REF!</v>
      </c>
      <c r="AT40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5" s="9" t="e">
        <f>IF(tbl_Case_mins[[#This Row],[Surgery Status]]=0,(tbl_Case_mins[[#This Row],[Anaesth End]]-tbl_Case_mins[[#This Row],[AnaesthStart]]),0)</f>
        <v>#REF!</v>
      </c>
      <c r="AX405" s="9" t="e">
        <f>IF(tbl_Case_mins[[#This Row],[Surgery Status]]=0,(tbl_Case_mins[[#This Row],[Surgery Finish]]-tbl_Case_mins[[#This Row],[Surgery Start]]),0)</f>
        <v>#REF!</v>
      </c>
      <c r="AY405" s="9" t="e">
        <f>tbl_Case_mins[[#This Row],[Surgery Start]]-tbl_Case_mins[[#This Row],[AnaesthStart]]</f>
        <v>#REF!</v>
      </c>
      <c r="AZ405" s="9" t="e">
        <f>tbl_Case_mins[[#This Row],[Anaesth End]]-tbl_Case_mins[[#This Row],[Surgery Finish]]</f>
        <v>#REF!</v>
      </c>
      <c r="BA40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5" s="16" cm="1">
        <f t="array" ref="BC40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5" s="16" t="e">
        <f>IF(AND(tbl_Case_mins[[#This Row],[FirstAMCase]]=1,tbl_Case_mins[[#This Row],[CancelledCase]]=0,OR(tbl_Case_mins[[#This Row],[EarlyStartAM]]&gt;0,tbl_Case_mins[[#This Row],[AnaesthStart]]=tbl_Case_mins[[#This Row],[ThOpenAm]])),1,0)</f>
        <v>#REF!</v>
      </c>
      <c r="BE405" s="16" t="e">
        <f>IF(AND(tbl_Case_mins[[#This Row],[Rank_AnaSt]]=tbl_Case_mins[[#This Row],[Min_RankAnaSt]],tbl_Case_mins[[#This Row],[Anaesth End]]&gt;=tbl_Case_mins[[#This Row],[ThOpenAm]],tbl_Case_mins[[#This Row],[PmCase]]=0),1,0)</f>
        <v>#REF!</v>
      </c>
      <c r="BF40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5" s="9" t="e" cm="1">
        <f t="array" ref="BH40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5" s="9" t="e">
        <f>IF(AND(tbl_Case_mins[[#This Row],[ThOpenPM]]&gt;0,tbl_Case_mins[[#This Row],[AnaesthStart]]&gt;tbl_Case_mins[[#This Row],[ThOpenPM]],tbl_Case_mins[[#This Row],[First PM Case]]=1),tbl_Case_mins[[#This Row],[AnaesthStart]]-tbl_Case_mins[[#This Row],[ThOpenPM]],0)</f>
        <v>#REF!</v>
      </c>
      <c r="BL40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5" s="9" t="e" cm="1">
        <f t="array" ref="BN40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5" s="9" t="e">
        <f>IF(AND(tbl_Case_mins[[#This Row],[ThClosePm]]&gt;0,tbl_Case_mins[[#This Row],[Anaesth End]]&gt;tbl_Case_mins[[#This Row],[ThClosePm]],tbl_Case_mins[[#This Row],[AnaesthStart]]&gt;tbl_Case_mins[[#This Row],[ThClosePm]]),tbl_Case_mins[[#This Row],[Into Recov]]-tbl_Case_mins[[#This Row],[AnaesthStart]],0)</f>
        <v>#REF!</v>
      </c>
      <c r="BP405" s="9" t="e">
        <f>IF(AND(tbl_Case_mins[[#This Row],[AnaesthStart]]&lt;tbl_Case_mins[[#This Row],[ThClosePm]],tbl_Case_mins[[#This Row],[Anaesth End]]&gt;tbl_Case_mins[[#This Row],[ThClosePm]]),tbl_Case_mins[[#This Row],[Anaesth End]]-tbl_Case_mins[[#This Row],[ThClosePm]],0)</f>
        <v>#REF!</v>
      </c>
      <c r="BQ405" s="9" t="e" cm="1">
        <f t="array" ref="BQ40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5" s="9" t="e" cm="1">
        <f t="array" ref="BR405">IF(tbl_Case_mins[[#This Row],[Rank_Adjust]]=SUMPRODUCT(-(tbl_Case_mins[Surgery Start Date]=tbl_Case_mins[[#This Row],[Surgery Start Date]]),-(tbl_Case_mins[Theatre]=tbl_Case_mins[[#This Row],[Theatre]])),INDEX(Poss_Time,MATCH(TEXT(tbl_Case_mins[[#This Row],[Surgery Start Date]],"ddd"),Day,0)),0)</f>
        <v>#REF!</v>
      </c>
      <c r="BS405" s="9" t="e">
        <f>tbl_Case_mins[[#This Row],[Core_Time]]*Util_Goal</f>
        <v>#REF!</v>
      </c>
      <c r="BT405" s="9" t="e" cm="1">
        <f t="array" ref="BT4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5" s="9" t="e" cm="1">
        <f t="array" ref="BU40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5" s="9" t="e">
        <f>IF(tbl_Case_mins[[#This Row],[Surgery End Date]]&gt;tbl_Case_mins[[#This Row],[Surgery Start Date]],tbl_Case_mins[[#This Row],[Anaesth End]]-1440,0)</f>
        <v>#REF!</v>
      </c>
      <c r="BY405" s="9" t="e">
        <f>tbl_Case_mins[[#This Row],[Total_NonCore]]-tbl_Case_mins[[#This Row],[NextDay_NonCore]]</f>
        <v>#REF!</v>
      </c>
      <c r="BZ405" s="10" t="e">
        <f>tbl_Case_mins[[#This Row],[InCoreUse]]/60</f>
        <v>#REF!</v>
      </c>
      <c r="CA405" s="10" t="e">
        <f>tbl_Case_mins[[#This Row],[Total_NonCore]]/60</f>
        <v>#REF!</v>
      </c>
      <c r="CB405" t="e" cm="1">
        <f t="array" ref="CB4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5" s="9" t="e" cm="1">
        <f t="array" ref="CC40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5" s="9" t="e" cm="1">
        <f t="array" ref="CD40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5" s="9" t="e" cm="1">
        <f t="array" ref="CE40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5" s="9" cm="1">
        <f t="array" ref="CF405">IFERROR(_xlfn.AGGREGATE(14,6,(tbl_Case_mins[Rank_AnaEnd])/((tbl_Case_mins[Surgery Start Date]=tbl_Case_mins[[#This Row],[Surgery Start Date]])*(tbl_Case_mins[Theatre]=tbl_Case_mins[[#This Row],[Theatre]])*(tbl_Case_mins[NoInCoreTime]=0)),1),-1)</f>
        <v>-1</v>
      </c>
      <c r="CG405" s="9" cm="1">
        <f t="array" ref="CG405">IFERROR(_xlfn.AGGREGATE(15,6,(tbl_Case_mins[Rank_AnaSt])/((tbl_Case_mins[Surgery Start Date]=tbl_Case_mins[[#This Row],[Surgery Start Date]])*(tbl_Case_mins[Theatre]=tbl_Case_mins[[#This Row],[Theatre]])*(tbl_Case_mins[NoInCoreTime]=0)),1),-1)</f>
        <v>-1</v>
      </c>
      <c r="CH40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5" t="e" cm="1">
        <f t="array" ref="CJ40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5" s="9" cm="1">
        <f t="array" ref="CO4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5" s="9" cm="1">
        <f t="array" ref="CP40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5" s="9" cm="1">
        <f t="array" ref="CQ405">IFERROR(IF(AND(tbl_Case_mins[[#This Row],[FirstAMCase]]=0,tbl_Case_mins[[#This Row],[Rank]]=_xlfn.AGGREGATE(14,6,(tbl_Case_mins[Rank])/((tbl_Case_mins[Surgery Start Date]=tbl_Case_mins[[#This Row],[Surgery Start Date]])*(tbl_Case_mins[Theatre]=tbl_Case_mins[[#This Row],[Theatre]])*(tbl_Case_mins[AmCase]=1)),1)),1,0),0)</f>
        <v>0</v>
      </c>
      <c r="CR405" s="9" cm="1">
        <f t="array" ref="CR40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5" s="9" t="e" cm="1">
        <f t="array" ref="CS40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5" s="9" cm="1">
        <f t="array" ref="CT405">IFERROR(IF(tbl_Case_mins[[#This Row],[Rank]]=_xlfn.AGGREGATE(15,6,(tbl_Case_mins[Rank])/((tbl_Case_mins[Surgery Start Date]=tbl_Case_mins[[#This Row],[Surgery Start Date]])*(tbl_Case_mins[Theatre]=tbl_Case_mins[[#This Row],[Theatre]])*(tbl_Case_mins[PmCase]=1)),1),1,0),0)</f>
        <v>0</v>
      </c>
      <c r="CU405">
        <f>IFERROR(#REF!,0)</f>
        <v>0</v>
      </c>
      <c r="CV405" s="9" t="e" cm="1">
        <f t="array" ref="CV40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5" s="9">
        <f>IFERROR(IF(ISBLANK(INDEX(Bay_AmClose,MATCH(1,INDEX((tbl_Case_mins[[#This Row],[Bay]]=BayNo)*(tbl_Case_mins[[#This Row],[Surgery Start Date]]=BDate),0,1),0))*1440),0,INDEX(Bay_AmClose,MATCH(1,INDEX((tbl_Case_mins[[#This Row],[Bay]]=BayNo)*(tbl_Case_mins[[#This Row],[Surgery Start Date]]=BDate),0,1),0))*1440),0)</f>
        <v>0</v>
      </c>
      <c r="CX405" s="9" cm="1">
        <f t="array" ref="CX405">IFERROR(IF(ISBLANK(INDEX(Bay_PmOpen,MATCH(1,INDEX((tbl_Case_mins[[#This Row],[Bay]]=BayNo)*(tbl_Case_mins[[#This Row],[Surgery Start Date]]=BDate),0,1),0))*1440),0,INDEX(Bay_PmOpen,MATCH(1,INDEX((tbl_Case_mins[[#This Row],[Bay]]=BayNo)*(tbl_Case_mins[[#This Row],[Surgery Start Date]]=BDate),0,1),0))*1440),0)</f>
        <v>0</v>
      </c>
      <c r="CY40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5" s="9"/>
    </row>
    <row r="406" spans="1:104" x14ac:dyDescent="0.2">
      <c r="A406">
        <v>405</v>
      </c>
      <c r="B406" t="e">
        <f>#REF!</f>
        <v>#REF!</v>
      </c>
      <c r="C406" t="e">
        <f>#REF!</f>
        <v>#REF!</v>
      </c>
      <c r="D406" t="e">
        <f>#REF!</f>
        <v>#REF!</v>
      </c>
      <c r="E406" t="e">
        <f>#REF!</f>
        <v>#REF!</v>
      </c>
      <c r="F406" t="e">
        <f>#REF!</f>
        <v>#REF!</v>
      </c>
      <c r="G406" t="e">
        <f>#REF!</f>
        <v>#REF!</v>
      </c>
      <c r="H406" t="e">
        <f>#REF!</f>
        <v>#REF!</v>
      </c>
      <c r="I406" t="e">
        <f>IF(#REF!="Case Cancelled",1,IF(#REF!="No Cases",2,0))</f>
        <v>#REF!</v>
      </c>
      <c r="J406" t="e">
        <f>#REF!</f>
        <v>#REF!</v>
      </c>
      <c r="K406" s="4" t="e">
        <f>#REF!</f>
        <v>#REF!</v>
      </c>
      <c r="L406" t="e">
        <f>"Wk "&amp;WEEKNUM(tbl_Case_mins[[#This Row],[Surgery Start Date]],21)</f>
        <v>#REF!</v>
      </c>
      <c r="M406" t="e">
        <f>TEXT(tbl_Case_mins[[#This Row],[Surgery Start Date]],"ddd")</f>
        <v>#REF!</v>
      </c>
      <c r="N406" s="9" t="e">
        <f>(#REF!-TIME(0,0,0))*1440</f>
        <v>#REF!</v>
      </c>
      <c r="O406" t="e">
        <f>IF(AND(ROUND((#REF!-TIME(0,0,0))*1440,0)&gt;0,ROUND((#REF!-TIME(0,0,0))*1440,0)&lt;tbl_Case_mins[[#This Row],[Patient Called]],tbl_Case_mins[[#This Row],[Surgery End Date]]&gt;tbl_Case_mins[[#This Row],[Surgery Start Date]]),ROUND((#REF!-TIME(0,0,0))*1440,0)+1440,ROUND((#REF!-TIME(0,0,0))*1440,0))</f>
        <v>#REF!</v>
      </c>
      <c r="P406" s="9" t="e">
        <f>IF(AND(ROUND((#REF!-TIME(0,0,0))*1440,0)&gt;0,ROUND((#REF!-TIME(0,0,0))*1440,0)&lt;tbl_Case_mins[[#This Row],[Arrival]],tbl_Case_mins[[#This Row],[Surgery End Date]]&gt;tbl_Case_mins[[#This Row],[Surgery Start Date]]),ROUND((#REF!-TIME(0,0,0))*1440,0)+1440,ROUND((#REF!-TIME(0,0,0))*1440,0))</f>
        <v>#REF!</v>
      </c>
      <c r="Q406" s="9" t="e">
        <f>IF(AND(ROUND((#REF!-TIME(0,0,0))*1440,0)&gt;0,ROUND((#REF!-TIME(0,0,0))*1440,0)&lt;tbl_Case_mins[[#This Row],[Into Th or AR]],tbl_Case_mins[[#This Row],[Surgery End Date]]&gt;tbl_Case_mins[[#This Row],[Surgery Start Date]]),ROUND((#REF!-TIME(0,0,0))*1440,0)+1440,ROUND((#REF!-TIME(0,0,0))*1440,0))</f>
        <v>#REF!</v>
      </c>
      <c r="R406" s="9" t="e">
        <f>IF(AND(ROUND((#REF!-TIME(0,0,0))*1440,0)&gt;0,ROUND((#REF!-TIME(0,0,0))*1440,0)&lt;tbl_Case_mins[[#This Row],[AnaesthStart]],tbl_Case_mins[[#This Row],[Surgery End Date]]&gt;tbl_Case_mins[[#This Row],[Surgery Start Date]]),ROUND((#REF!-TIME(0,0,0))*1440,0)+1440,ROUND((#REF!-TIME(0,0,0))*1440,0))</f>
        <v>#REF!</v>
      </c>
      <c r="S406" s="9" t="e">
        <f>IF(AND(ROUND((#REF!-TIME(0,0,0))*1440,0),ROUND((#REF!-TIME(0,0,0))*1440,0)&lt;tbl_Case_mins[[#This Row],[Surgery Start]],tbl_Case_mins[[#This Row],[Surgery End Date]]&gt;tbl_Case_mins[[#This Row],[Surgery Start Date]]),ROUND((#REF!-TIME(0,0,0))*1440,0)+1440,ROUND((#REF!-TIME(0,0,0))*1440,0))</f>
        <v>#REF!</v>
      </c>
      <c r="T406" s="9" t="e">
        <f>IF(AND(ROUND((#REF!-TIME(0,0,0))*1440,0)&gt;0,ROUND((#REF!-TIME(0,0,0))*1440,0)&lt;tbl_Case_mins[[#This Row],[Surgery Finish]],tbl_Case_mins[[#This Row],[Surgery End Date]]&gt;tbl_Case_mins[[#This Row],[Surgery Start Date]]),ROUND((#REF!-TIME(0,0,0))*1440,0)+1440,ROUND((#REF!-TIME(0,0,0))*1440,0))</f>
        <v>#REF!</v>
      </c>
      <c r="U406" s="9" t="e">
        <f>IF(AND(ROUND((#REF!-TIME(0,0,0))*1440,0)&gt;0,ROUND((#REF!-TIME(0,0,0))*1440,0)&lt;tbl_Case_mins[[#This Row],[Anaesth End]],tbl_Case_mins[[#This Row],[Surgery End Date]]&gt;tbl_Case_mins[[#This Row],[Surgery Start Date]]),ROUND((#REF!-TIME(0,0,0))*1440,0)+1440,ROUND((#REF!-TIME(0,0,0))*1440,0))</f>
        <v>#REF!</v>
      </c>
      <c r="V406" s="9" t="e">
        <f>IF(AND(ROUND((#REF!-TIME(0,0,0))*1440,0)&gt;0,ROUND((#REF!-TIME(0,0,0))*1440,0)&lt;tbl_Case_mins[[#This Row],[Into Recov]],tbl_Case_mins[[#This Row],[Surgery End Date]]&gt;tbl_Case_mins[[#This Row],[Surgery Start Date]]),ROUND((#REF!-TIME(0,0,0))*1440,0)+1440,ROUND((#REF!-TIME(0,0,0))*1440,0))</f>
        <v>#REF!</v>
      </c>
      <c r="W406" s="9" t="e">
        <f>IF(AND(ROUND((#REF!-TIME(0,0,0))*1440,0)&gt;0,ROUND((#REF!-TIME(0,0,0))*1440,0)&lt;tbl_Case_mins[[#This Row],[Ward Called]],tbl_Case_mins[[#This Row],[Surgery End Date]]&gt;tbl_Case_mins[[#This Row],[Surgery Start Date]]),ROUND((#REF!-TIME(0,0,0))*1440,0)+1440,ROUND((#REF!-TIME(0,0,0))*1440,0))</f>
        <v>#REF!</v>
      </c>
      <c r="X406" s="4" t="e">
        <f>IF(ISBLANK(#REF!),tbl_Case_mins[[#This Row],[Surgery Start Date]],#REF!)</f>
        <v>#REF!</v>
      </c>
      <c r="Y406">
        <f>IFERROR(IF(VLOOKUP(tbl_Case_mins[[#This Row],[Theatre]],'Mng Theatres'!$C$7:$G$12,3,FALSE)="Yes","Yes","No"),0)</f>
        <v>0</v>
      </c>
      <c r="Z406" s="9" t="e" cm="1">
        <f t="array" ref="Z40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6" s="9" t="e" cm="1">
        <f t="array" ref="AA40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6" s="9" t="e">
        <f>IF(tbl_Case_mins[[#This Row],[Case Type]]="Unsch",1,0)</f>
        <v>#REF!</v>
      </c>
      <c r="AD406" s="9" t="e">
        <f>IF(tbl_Case_mins[[#This Row],[Case Type]]="Sch",1,0)</f>
        <v>#REF!</v>
      </c>
      <c r="AE40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6" s="9">
        <f>IFERROR(IF(ISBLANK(INDEX(Am_Close,MATCH(1,INDEX((tbl_Case_mins[[#This Row],[Theatre]]=Theatre_No)*(tbl_Case_mins[[#This Row],[Surgery Start Date]]=Date),0,1),0))*1440),0,INDEX(Am_Close,MATCH(1,INDEX((tbl_Case_mins[[#This Row],[Theatre]]=Theatre_No)*(tbl_Case_mins[[#This Row],[Surgery Start Date]]=Date),0,1),0))*1440),0)</f>
        <v>0</v>
      </c>
      <c r="AG406" s="9">
        <f>IFERROR(IF(ISBLANK(INDEX(PM_Open,MATCH(1,INDEX((tbl_Case_mins[[#This Row],[Theatre]]=Theatre_No)*(tbl_Case_mins[[#This Row],[Surgery Start Date]]=Date),0,1),0))*1440),0,INDEX(PM_Open,MATCH(1,INDEX((tbl_Case_mins[[#This Row],[Theatre]]=Theatre_No)*(tbl_Case_mins[[#This Row],[Surgery Start Date]]=Date),0,1),0))*1440),0)</f>
        <v>0</v>
      </c>
      <c r="AH40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6" s="9" t="e">
        <f>IF(tbl_Case_mins[[#This Row],[ThOpenAm]]=0,tbl_Case_mins[[#This Row],[ThOpenPM]],tbl_Case_mins[[#This Row],[ThOpenAm]])</f>
        <v>#REF!</v>
      </c>
      <c r="AJ406" s="9" t="e">
        <f>IF(tbl_Case_mins[[#This Row],[ThCloseAm]]&gt;0,IF(tbl_Case_mins[[#This Row],[ThOpenPM]]&gt;0,tbl_Case_mins[[#This Row],[ThClosePm]],tbl_Case_mins[[#This Row],[ThCloseAm]]),tbl_Case_mins[[#This Row],[ThClosePm]])</f>
        <v>#REF!</v>
      </c>
      <c r="AK406" s="9" t="e">
        <f>IF(tbl_Case_mins[[#This Row],[TOT]]&gt;0,1,0)</f>
        <v>#REF!</v>
      </c>
      <c r="AL40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6" s="9" t="e">
        <f>IF(AND(tbl_Case_mins[[#This Row],[Surgery Status]]&lt;&gt;2,tbl_Case_mins[[#This Row],[InCoreCase]]=0,tbl_Case_mins[[#This Row],[CancelledCase]]=0),1,0)</f>
        <v>#REF!</v>
      </c>
      <c r="AN406" s="9" t="e">
        <f>IF(tbl_Case_mins[[#This Row],[Surgery Status]]=1,1,0)</f>
        <v>#REF!</v>
      </c>
      <c r="AO40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6" s="9" t="e">
        <f>IF(AND(tbl_Case_mins[[#This Row],[NonCoreCase]]=1,tbl_Case_mins[[#This Row],[NoInCoreTime]]=0),1,0)</f>
        <v>#REF!</v>
      </c>
      <c r="AQ406" s="9" t="e">
        <f>IF(tbl_Case_mins[[#This Row],[Rank_AnaEnd]]&lt;tbl_Case_mins[[#This Row],[Rank_AnaSt]],1,0)</f>
        <v>#REF!</v>
      </c>
      <c r="AR406" s="9" t="e">
        <f>IF(AND(tbl_Case_mins[[#This Row],[InCoreCase]]=1,tbl_Case_mins[[#This Row],[Sch]]=1),1,0)</f>
        <v>#REF!</v>
      </c>
      <c r="AS406" s="9" t="e">
        <f>IF(AND(tbl_Case_mins[[#This Row],[InCoreCase]]=1,tbl_Case_mins[[#This Row],[Unsch]]=1),1,0)</f>
        <v>#REF!</v>
      </c>
      <c r="AT40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6" s="9" t="e">
        <f>IF(tbl_Case_mins[[#This Row],[Surgery Status]]=0,(tbl_Case_mins[[#This Row],[Anaesth End]]-tbl_Case_mins[[#This Row],[AnaesthStart]]),0)</f>
        <v>#REF!</v>
      </c>
      <c r="AX406" s="9" t="e">
        <f>IF(tbl_Case_mins[[#This Row],[Surgery Status]]=0,(tbl_Case_mins[[#This Row],[Surgery Finish]]-tbl_Case_mins[[#This Row],[Surgery Start]]),0)</f>
        <v>#REF!</v>
      </c>
      <c r="AY406" s="9" t="e">
        <f>tbl_Case_mins[[#This Row],[Surgery Start]]-tbl_Case_mins[[#This Row],[AnaesthStart]]</f>
        <v>#REF!</v>
      </c>
      <c r="AZ406" s="9" t="e">
        <f>tbl_Case_mins[[#This Row],[Anaesth End]]-tbl_Case_mins[[#This Row],[Surgery Finish]]</f>
        <v>#REF!</v>
      </c>
      <c r="BA40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6" s="16" cm="1">
        <f t="array" ref="BC40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6" s="16" t="e">
        <f>IF(AND(tbl_Case_mins[[#This Row],[FirstAMCase]]=1,tbl_Case_mins[[#This Row],[CancelledCase]]=0,OR(tbl_Case_mins[[#This Row],[EarlyStartAM]]&gt;0,tbl_Case_mins[[#This Row],[AnaesthStart]]=tbl_Case_mins[[#This Row],[ThOpenAm]])),1,0)</f>
        <v>#REF!</v>
      </c>
      <c r="BE406" s="16" t="e">
        <f>IF(AND(tbl_Case_mins[[#This Row],[Rank_AnaSt]]=tbl_Case_mins[[#This Row],[Min_RankAnaSt]],tbl_Case_mins[[#This Row],[Anaesth End]]&gt;=tbl_Case_mins[[#This Row],[ThOpenAm]],tbl_Case_mins[[#This Row],[PmCase]]=0),1,0)</f>
        <v>#REF!</v>
      </c>
      <c r="BF40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6" s="9" t="e" cm="1">
        <f t="array" ref="BH40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6" s="9" t="e">
        <f>IF(AND(tbl_Case_mins[[#This Row],[ThOpenPM]]&gt;0,tbl_Case_mins[[#This Row],[AnaesthStart]]&gt;tbl_Case_mins[[#This Row],[ThOpenPM]],tbl_Case_mins[[#This Row],[First PM Case]]=1),tbl_Case_mins[[#This Row],[AnaesthStart]]-tbl_Case_mins[[#This Row],[ThOpenPM]],0)</f>
        <v>#REF!</v>
      </c>
      <c r="BL40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6" s="9" t="e" cm="1">
        <f t="array" ref="BN40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6" s="9" t="e">
        <f>IF(AND(tbl_Case_mins[[#This Row],[ThClosePm]]&gt;0,tbl_Case_mins[[#This Row],[Anaesth End]]&gt;tbl_Case_mins[[#This Row],[ThClosePm]],tbl_Case_mins[[#This Row],[AnaesthStart]]&gt;tbl_Case_mins[[#This Row],[ThClosePm]]),tbl_Case_mins[[#This Row],[Into Recov]]-tbl_Case_mins[[#This Row],[AnaesthStart]],0)</f>
        <v>#REF!</v>
      </c>
      <c r="BP406" s="9" t="e">
        <f>IF(AND(tbl_Case_mins[[#This Row],[AnaesthStart]]&lt;tbl_Case_mins[[#This Row],[ThClosePm]],tbl_Case_mins[[#This Row],[Anaesth End]]&gt;tbl_Case_mins[[#This Row],[ThClosePm]]),tbl_Case_mins[[#This Row],[Anaesth End]]-tbl_Case_mins[[#This Row],[ThClosePm]],0)</f>
        <v>#REF!</v>
      </c>
      <c r="BQ406" s="9" t="e" cm="1">
        <f t="array" ref="BQ40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6" s="9" t="e" cm="1">
        <f t="array" ref="BR406">IF(tbl_Case_mins[[#This Row],[Rank_Adjust]]=SUMPRODUCT(-(tbl_Case_mins[Surgery Start Date]=tbl_Case_mins[[#This Row],[Surgery Start Date]]),-(tbl_Case_mins[Theatre]=tbl_Case_mins[[#This Row],[Theatre]])),INDEX(Poss_Time,MATCH(TEXT(tbl_Case_mins[[#This Row],[Surgery Start Date]],"ddd"),Day,0)),0)</f>
        <v>#REF!</v>
      </c>
      <c r="BS406" s="9" t="e">
        <f>tbl_Case_mins[[#This Row],[Core_Time]]*Util_Goal</f>
        <v>#REF!</v>
      </c>
      <c r="BT406" s="9" t="e" cm="1">
        <f t="array" ref="BT4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6" s="9" t="e" cm="1">
        <f t="array" ref="BU40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6" s="9" t="e">
        <f>IF(tbl_Case_mins[[#This Row],[Surgery End Date]]&gt;tbl_Case_mins[[#This Row],[Surgery Start Date]],tbl_Case_mins[[#This Row],[Anaesth End]]-1440,0)</f>
        <v>#REF!</v>
      </c>
      <c r="BY406" s="9" t="e">
        <f>tbl_Case_mins[[#This Row],[Total_NonCore]]-tbl_Case_mins[[#This Row],[NextDay_NonCore]]</f>
        <v>#REF!</v>
      </c>
      <c r="BZ406" s="10" t="e">
        <f>tbl_Case_mins[[#This Row],[InCoreUse]]/60</f>
        <v>#REF!</v>
      </c>
      <c r="CA406" s="10" t="e">
        <f>tbl_Case_mins[[#This Row],[Total_NonCore]]/60</f>
        <v>#REF!</v>
      </c>
      <c r="CB406" t="e" cm="1">
        <f t="array" ref="CB4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6" s="9" t="e" cm="1">
        <f t="array" ref="CC40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6" s="9" t="e" cm="1">
        <f t="array" ref="CD40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6" s="9" t="e" cm="1">
        <f t="array" ref="CE40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6" s="9" cm="1">
        <f t="array" ref="CF406">IFERROR(_xlfn.AGGREGATE(14,6,(tbl_Case_mins[Rank_AnaEnd])/((tbl_Case_mins[Surgery Start Date]=tbl_Case_mins[[#This Row],[Surgery Start Date]])*(tbl_Case_mins[Theatre]=tbl_Case_mins[[#This Row],[Theatre]])*(tbl_Case_mins[NoInCoreTime]=0)),1),-1)</f>
        <v>-1</v>
      </c>
      <c r="CG406" s="9" cm="1">
        <f t="array" ref="CG406">IFERROR(_xlfn.AGGREGATE(15,6,(tbl_Case_mins[Rank_AnaSt])/((tbl_Case_mins[Surgery Start Date]=tbl_Case_mins[[#This Row],[Surgery Start Date]])*(tbl_Case_mins[Theatre]=tbl_Case_mins[[#This Row],[Theatre]])*(tbl_Case_mins[NoInCoreTime]=0)),1),-1)</f>
        <v>-1</v>
      </c>
      <c r="CH40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6" t="e" cm="1">
        <f t="array" ref="CJ40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6" s="9" cm="1">
        <f t="array" ref="CO4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6" s="9" cm="1">
        <f t="array" ref="CP40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6" s="9" cm="1">
        <f t="array" ref="CQ406">IFERROR(IF(AND(tbl_Case_mins[[#This Row],[FirstAMCase]]=0,tbl_Case_mins[[#This Row],[Rank]]=_xlfn.AGGREGATE(14,6,(tbl_Case_mins[Rank])/((tbl_Case_mins[Surgery Start Date]=tbl_Case_mins[[#This Row],[Surgery Start Date]])*(tbl_Case_mins[Theatre]=tbl_Case_mins[[#This Row],[Theatre]])*(tbl_Case_mins[AmCase]=1)),1)),1,0),0)</f>
        <v>0</v>
      </c>
      <c r="CR406" s="9" cm="1">
        <f t="array" ref="CR40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6" s="9" t="e" cm="1">
        <f t="array" ref="CS40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6" s="9" cm="1">
        <f t="array" ref="CT406">IFERROR(IF(tbl_Case_mins[[#This Row],[Rank]]=_xlfn.AGGREGATE(15,6,(tbl_Case_mins[Rank])/((tbl_Case_mins[Surgery Start Date]=tbl_Case_mins[[#This Row],[Surgery Start Date]])*(tbl_Case_mins[Theatre]=tbl_Case_mins[[#This Row],[Theatre]])*(tbl_Case_mins[PmCase]=1)),1),1,0),0)</f>
        <v>0</v>
      </c>
      <c r="CU406">
        <f>IFERROR(#REF!,0)</f>
        <v>0</v>
      </c>
      <c r="CV406" s="9" t="e" cm="1">
        <f t="array" ref="CV40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6" s="9">
        <f>IFERROR(IF(ISBLANK(INDEX(Bay_AmClose,MATCH(1,INDEX((tbl_Case_mins[[#This Row],[Bay]]=BayNo)*(tbl_Case_mins[[#This Row],[Surgery Start Date]]=BDate),0,1),0))*1440),0,INDEX(Bay_AmClose,MATCH(1,INDEX((tbl_Case_mins[[#This Row],[Bay]]=BayNo)*(tbl_Case_mins[[#This Row],[Surgery Start Date]]=BDate),0,1),0))*1440),0)</f>
        <v>0</v>
      </c>
      <c r="CX406" s="9" cm="1">
        <f t="array" ref="CX406">IFERROR(IF(ISBLANK(INDEX(Bay_PmOpen,MATCH(1,INDEX((tbl_Case_mins[[#This Row],[Bay]]=BayNo)*(tbl_Case_mins[[#This Row],[Surgery Start Date]]=BDate),0,1),0))*1440),0,INDEX(Bay_PmOpen,MATCH(1,INDEX((tbl_Case_mins[[#This Row],[Bay]]=BayNo)*(tbl_Case_mins[[#This Row],[Surgery Start Date]]=BDate),0,1),0))*1440),0)</f>
        <v>0</v>
      </c>
      <c r="CY40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6" s="9"/>
    </row>
    <row r="407" spans="1:104" x14ac:dyDescent="0.2">
      <c r="A407">
        <v>406</v>
      </c>
      <c r="B407" t="e">
        <f>#REF!</f>
        <v>#REF!</v>
      </c>
      <c r="C407" t="e">
        <f>#REF!</f>
        <v>#REF!</v>
      </c>
      <c r="D407" t="e">
        <f>#REF!</f>
        <v>#REF!</v>
      </c>
      <c r="E407" t="e">
        <f>#REF!</f>
        <v>#REF!</v>
      </c>
      <c r="F407" t="e">
        <f>#REF!</f>
        <v>#REF!</v>
      </c>
      <c r="G407" t="e">
        <f>#REF!</f>
        <v>#REF!</v>
      </c>
      <c r="H407" t="e">
        <f>#REF!</f>
        <v>#REF!</v>
      </c>
      <c r="I407" t="e">
        <f>IF(#REF!="Case Cancelled",1,IF(#REF!="No Cases",2,0))</f>
        <v>#REF!</v>
      </c>
      <c r="J407" t="e">
        <f>#REF!</f>
        <v>#REF!</v>
      </c>
      <c r="K407" s="4" t="e">
        <f>#REF!</f>
        <v>#REF!</v>
      </c>
      <c r="L407" t="e">
        <f>"Wk "&amp;WEEKNUM(tbl_Case_mins[[#This Row],[Surgery Start Date]],21)</f>
        <v>#REF!</v>
      </c>
      <c r="M407" t="e">
        <f>TEXT(tbl_Case_mins[[#This Row],[Surgery Start Date]],"ddd")</f>
        <v>#REF!</v>
      </c>
      <c r="N407" s="9" t="e">
        <f>(#REF!-TIME(0,0,0))*1440</f>
        <v>#REF!</v>
      </c>
      <c r="O407" t="e">
        <f>IF(AND(ROUND((#REF!-TIME(0,0,0))*1440,0)&gt;0,ROUND((#REF!-TIME(0,0,0))*1440,0)&lt;tbl_Case_mins[[#This Row],[Patient Called]],tbl_Case_mins[[#This Row],[Surgery End Date]]&gt;tbl_Case_mins[[#This Row],[Surgery Start Date]]),ROUND((#REF!-TIME(0,0,0))*1440,0)+1440,ROUND((#REF!-TIME(0,0,0))*1440,0))</f>
        <v>#REF!</v>
      </c>
      <c r="P407" s="9" t="e">
        <f>IF(AND(ROUND((#REF!-TIME(0,0,0))*1440,0)&gt;0,ROUND((#REF!-TIME(0,0,0))*1440,0)&lt;tbl_Case_mins[[#This Row],[Arrival]],tbl_Case_mins[[#This Row],[Surgery End Date]]&gt;tbl_Case_mins[[#This Row],[Surgery Start Date]]),ROUND((#REF!-TIME(0,0,0))*1440,0)+1440,ROUND((#REF!-TIME(0,0,0))*1440,0))</f>
        <v>#REF!</v>
      </c>
      <c r="Q407" s="9" t="e">
        <f>IF(AND(ROUND((#REF!-TIME(0,0,0))*1440,0)&gt;0,ROUND((#REF!-TIME(0,0,0))*1440,0)&lt;tbl_Case_mins[[#This Row],[Into Th or AR]],tbl_Case_mins[[#This Row],[Surgery End Date]]&gt;tbl_Case_mins[[#This Row],[Surgery Start Date]]),ROUND((#REF!-TIME(0,0,0))*1440,0)+1440,ROUND((#REF!-TIME(0,0,0))*1440,0))</f>
        <v>#REF!</v>
      </c>
      <c r="R407" s="9" t="e">
        <f>IF(AND(ROUND((#REF!-TIME(0,0,0))*1440,0)&gt;0,ROUND((#REF!-TIME(0,0,0))*1440,0)&lt;tbl_Case_mins[[#This Row],[AnaesthStart]],tbl_Case_mins[[#This Row],[Surgery End Date]]&gt;tbl_Case_mins[[#This Row],[Surgery Start Date]]),ROUND((#REF!-TIME(0,0,0))*1440,0)+1440,ROUND((#REF!-TIME(0,0,0))*1440,0))</f>
        <v>#REF!</v>
      </c>
      <c r="S407" s="9" t="e">
        <f>IF(AND(ROUND((#REF!-TIME(0,0,0))*1440,0),ROUND((#REF!-TIME(0,0,0))*1440,0)&lt;tbl_Case_mins[[#This Row],[Surgery Start]],tbl_Case_mins[[#This Row],[Surgery End Date]]&gt;tbl_Case_mins[[#This Row],[Surgery Start Date]]),ROUND((#REF!-TIME(0,0,0))*1440,0)+1440,ROUND((#REF!-TIME(0,0,0))*1440,0))</f>
        <v>#REF!</v>
      </c>
      <c r="T407" s="9" t="e">
        <f>IF(AND(ROUND((#REF!-TIME(0,0,0))*1440,0)&gt;0,ROUND((#REF!-TIME(0,0,0))*1440,0)&lt;tbl_Case_mins[[#This Row],[Surgery Finish]],tbl_Case_mins[[#This Row],[Surgery End Date]]&gt;tbl_Case_mins[[#This Row],[Surgery Start Date]]),ROUND((#REF!-TIME(0,0,0))*1440,0)+1440,ROUND((#REF!-TIME(0,0,0))*1440,0))</f>
        <v>#REF!</v>
      </c>
      <c r="U407" s="9" t="e">
        <f>IF(AND(ROUND((#REF!-TIME(0,0,0))*1440,0)&gt;0,ROUND((#REF!-TIME(0,0,0))*1440,0)&lt;tbl_Case_mins[[#This Row],[Anaesth End]],tbl_Case_mins[[#This Row],[Surgery End Date]]&gt;tbl_Case_mins[[#This Row],[Surgery Start Date]]),ROUND((#REF!-TIME(0,0,0))*1440,0)+1440,ROUND((#REF!-TIME(0,0,0))*1440,0))</f>
        <v>#REF!</v>
      </c>
      <c r="V407" s="9" t="e">
        <f>IF(AND(ROUND((#REF!-TIME(0,0,0))*1440,0)&gt;0,ROUND((#REF!-TIME(0,0,0))*1440,0)&lt;tbl_Case_mins[[#This Row],[Into Recov]],tbl_Case_mins[[#This Row],[Surgery End Date]]&gt;tbl_Case_mins[[#This Row],[Surgery Start Date]]),ROUND((#REF!-TIME(0,0,0))*1440,0)+1440,ROUND((#REF!-TIME(0,0,0))*1440,0))</f>
        <v>#REF!</v>
      </c>
      <c r="W407" s="9" t="e">
        <f>IF(AND(ROUND((#REF!-TIME(0,0,0))*1440,0)&gt;0,ROUND((#REF!-TIME(0,0,0))*1440,0)&lt;tbl_Case_mins[[#This Row],[Ward Called]],tbl_Case_mins[[#This Row],[Surgery End Date]]&gt;tbl_Case_mins[[#This Row],[Surgery Start Date]]),ROUND((#REF!-TIME(0,0,0))*1440,0)+1440,ROUND((#REF!-TIME(0,0,0))*1440,0))</f>
        <v>#REF!</v>
      </c>
      <c r="X407" s="4" t="e">
        <f>IF(ISBLANK(#REF!),tbl_Case_mins[[#This Row],[Surgery Start Date]],#REF!)</f>
        <v>#REF!</v>
      </c>
      <c r="Y407">
        <f>IFERROR(IF(VLOOKUP(tbl_Case_mins[[#This Row],[Theatre]],'Mng Theatres'!$C$7:$G$12,3,FALSE)="Yes","Yes","No"),0)</f>
        <v>0</v>
      </c>
      <c r="Z407" s="9" t="e" cm="1">
        <f t="array" ref="Z40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7" s="9" t="e" cm="1">
        <f t="array" ref="AA40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7" s="9" t="e">
        <f>IF(tbl_Case_mins[[#This Row],[Case Type]]="Unsch",1,0)</f>
        <v>#REF!</v>
      </c>
      <c r="AD407" s="9" t="e">
        <f>IF(tbl_Case_mins[[#This Row],[Case Type]]="Sch",1,0)</f>
        <v>#REF!</v>
      </c>
      <c r="AE40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7" s="9">
        <f>IFERROR(IF(ISBLANK(INDEX(Am_Close,MATCH(1,INDEX((tbl_Case_mins[[#This Row],[Theatre]]=Theatre_No)*(tbl_Case_mins[[#This Row],[Surgery Start Date]]=Date),0,1),0))*1440),0,INDEX(Am_Close,MATCH(1,INDEX((tbl_Case_mins[[#This Row],[Theatre]]=Theatre_No)*(tbl_Case_mins[[#This Row],[Surgery Start Date]]=Date),0,1),0))*1440),0)</f>
        <v>0</v>
      </c>
      <c r="AG407" s="9">
        <f>IFERROR(IF(ISBLANK(INDEX(PM_Open,MATCH(1,INDEX((tbl_Case_mins[[#This Row],[Theatre]]=Theatre_No)*(tbl_Case_mins[[#This Row],[Surgery Start Date]]=Date),0,1),0))*1440),0,INDEX(PM_Open,MATCH(1,INDEX((tbl_Case_mins[[#This Row],[Theatre]]=Theatre_No)*(tbl_Case_mins[[#This Row],[Surgery Start Date]]=Date),0,1),0))*1440),0)</f>
        <v>0</v>
      </c>
      <c r="AH40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7" s="9" t="e">
        <f>IF(tbl_Case_mins[[#This Row],[ThOpenAm]]=0,tbl_Case_mins[[#This Row],[ThOpenPM]],tbl_Case_mins[[#This Row],[ThOpenAm]])</f>
        <v>#REF!</v>
      </c>
      <c r="AJ407" s="9" t="e">
        <f>IF(tbl_Case_mins[[#This Row],[ThCloseAm]]&gt;0,IF(tbl_Case_mins[[#This Row],[ThOpenPM]]&gt;0,tbl_Case_mins[[#This Row],[ThClosePm]],tbl_Case_mins[[#This Row],[ThCloseAm]]),tbl_Case_mins[[#This Row],[ThClosePm]])</f>
        <v>#REF!</v>
      </c>
      <c r="AK407" s="9" t="e">
        <f>IF(tbl_Case_mins[[#This Row],[TOT]]&gt;0,1,0)</f>
        <v>#REF!</v>
      </c>
      <c r="AL40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7" s="9" t="e">
        <f>IF(AND(tbl_Case_mins[[#This Row],[Surgery Status]]&lt;&gt;2,tbl_Case_mins[[#This Row],[InCoreCase]]=0,tbl_Case_mins[[#This Row],[CancelledCase]]=0),1,0)</f>
        <v>#REF!</v>
      </c>
      <c r="AN407" s="9" t="e">
        <f>IF(tbl_Case_mins[[#This Row],[Surgery Status]]=1,1,0)</f>
        <v>#REF!</v>
      </c>
      <c r="AO40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7" s="9" t="e">
        <f>IF(AND(tbl_Case_mins[[#This Row],[NonCoreCase]]=1,tbl_Case_mins[[#This Row],[NoInCoreTime]]=0),1,0)</f>
        <v>#REF!</v>
      </c>
      <c r="AQ407" s="9" t="e">
        <f>IF(tbl_Case_mins[[#This Row],[Rank_AnaEnd]]&lt;tbl_Case_mins[[#This Row],[Rank_AnaSt]],1,0)</f>
        <v>#REF!</v>
      </c>
      <c r="AR407" s="9" t="e">
        <f>IF(AND(tbl_Case_mins[[#This Row],[InCoreCase]]=1,tbl_Case_mins[[#This Row],[Sch]]=1),1,0)</f>
        <v>#REF!</v>
      </c>
      <c r="AS407" s="9" t="e">
        <f>IF(AND(tbl_Case_mins[[#This Row],[InCoreCase]]=1,tbl_Case_mins[[#This Row],[Unsch]]=1),1,0)</f>
        <v>#REF!</v>
      </c>
      <c r="AT40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7" s="9" t="e">
        <f>IF(tbl_Case_mins[[#This Row],[Surgery Status]]=0,(tbl_Case_mins[[#This Row],[Anaesth End]]-tbl_Case_mins[[#This Row],[AnaesthStart]]),0)</f>
        <v>#REF!</v>
      </c>
      <c r="AX407" s="9" t="e">
        <f>IF(tbl_Case_mins[[#This Row],[Surgery Status]]=0,(tbl_Case_mins[[#This Row],[Surgery Finish]]-tbl_Case_mins[[#This Row],[Surgery Start]]),0)</f>
        <v>#REF!</v>
      </c>
      <c r="AY407" s="9" t="e">
        <f>tbl_Case_mins[[#This Row],[Surgery Start]]-tbl_Case_mins[[#This Row],[AnaesthStart]]</f>
        <v>#REF!</v>
      </c>
      <c r="AZ407" s="9" t="e">
        <f>tbl_Case_mins[[#This Row],[Anaesth End]]-tbl_Case_mins[[#This Row],[Surgery Finish]]</f>
        <v>#REF!</v>
      </c>
      <c r="BA40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7" s="16" cm="1">
        <f t="array" ref="BC40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7" s="16" t="e">
        <f>IF(AND(tbl_Case_mins[[#This Row],[FirstAMCase]]=1,tbl_Case_mins[[#This Row],[CancelledCase]]=0,OR(tbl_Case_mins[[#This Row],[EarlyStartAM]]&gt;0,tbl_Case_mins[[#This Row],[AnaesthStart]]=tbl_Case_mins[[#This Row],[ThOpenAm]])),1,0)</f>
        <v>#REF!</v>
      </c>
      <c r="BE407" s="16" t="e">
        <f>IF(AND(tbl_Case_mins[[#This Row],[Rank_AnaSt]]=tbl_Case_mins[[#This Row],[Min_RankAnaSt]],tbl_Case_mins[[#This Row],[Anaesth End]]&gt;=tbl_Case_mins[[#This Row],[ThOpenAm]],tbl_Case_mins[[#This Row],[PmCase]]=0),1,0)</f>
        <v>#REF!</v>
      </c>
      <c r="BF40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7" s="9" t="e" cm="1">
        <f t="array" ref="BH40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7" s="9" t="e">
        <f>IF(AND(tbl_Case_mins[[#This Row],[ThOpenPM]]&gt;0,tbl_Case_mins[[#This Row],[AnaesthStart]]&gt;tbl_Case_mins[[#This Row],[ThOpenPM]],tbl_Case_mins[[#This Row],[First PM Case]]=1),tbl_Case_mins[[#This Row],[AnaesthStart]]-tbl_Case_mins[[#This Row],[ThOpenPM]],0)</f>
        <v>#REF!</v>
      </c>
      <c r="BL40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7" s="9" t="e" cm="1">
        <f t="array" ref="BN40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7" s="9" t="e">
        <f>IF(AND(tbl_Case_mins[[#This Row],[ThClosePm]]&gt;0,tbl_Case_mins[[#This Row],[Anaesth End]]&gt;tbl_Case_mins[[#This Row],[ThClosePm]],tbl_Case_mins[[#This Row],[AnaesthStart]]&gt;tbl_Case_mins[[#This Row],[ThClosePm]]),tbl_Case_mins[[#This Row],[Into Recov]]-tbl_Case_mins[[#This Row],[AnaesthStart]],0)</f>
        <v>#REF!</v>
      </c>
      <c r="BP407" s="9" t="e">
        <f>IF(AND(tbl_Case_mins[[#This Row],[AnaesthStart]]&lt;tbl_Case_mins[[#This Row],[ThClosePm]],tbl_Case_mins[[#This Row],[Anaesth End]]&gt;tbl_Case_mins[[#This Row],[ThClosePm]]),tbl_Case_mins[[#This Row],[Anaesth End]]-tbl_Case_mins[[#This Row],[ThClosePm]],0)</f>
        <v>#REF!</v>
      </c>
      <c r="BQ407" s="9" t="e" cm="1">
        <f t="array" ref="BQ40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7" s="9" t="e" cm="1">
        <f t="array" ref="BR407">IF(tbl_Case_mins[[#This Row],[Rank_Adjust]]=SUMPRODUCT(-(tbl_Case_mins[Surgery Start Date]=tbl_Case_mins[[#This Row],[Surgery Start Date]]),-(tbl_Case_mins[Theatre]=tbl_Case_mins[[#This Row],[Theatre]])),INDEX(Poss_Time,MATCH(TEXT(tbl_Case_mins[[#This Row],[Surgery Start Date]],"ddd"),Day,0)),0)</f>
        <v>#REF!</v>
      </c>
      <c r="BS407" s="9" t="e">
        <f>tbl_Case_mins[[#This Row],[Core_Time]]*Util_Goal</f>
        <v>#REF!</v>
      </c>
      <c r="BT407" s="9" t="e" cm="1">
        <f t="array" ref="BT4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7" s="9" t="e" cm="1">
        <f t="array" ref="BU40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7" s="9" t="e">
        <f>IF(tbl_Case_mins[[#This Row],[Surgery End Date]]&gt;tbl_Case_mins[[#This Row],[Surgery Start Date]],tbl_Case_mins[[#This Row],[Anaesth End]]-1440,0)</f>
        <v>#REF!</v>
      </c>
      <c r="BY407" s="9" t="e">
        <f>tbl_Case_mins[[#This Row],[Total_NonCore]]-tbl_Case_mins[[#This Row],[NextDay_NonCore]]</f>
        <v>#REF!</v>
      </c>
      <c r="BZ407" s="10" t="e">
        <f>tbl_Case_mins[[#This Row],[InCoreUse]]/60</f>
        <v>#REF!</v>
      </c>
      <c r="CA407" s="10" t="e">
        <f>tbl_Case_mins[[#This Row],[Total_NonCore]]/60</f>
        <v>#REF!</v>
      </c>
      <c r="CB407" t="e" cm="1">
        <f t="array" ref="CB4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7" s="9" t="e" cm="1">
        <f t="array" ref="CC40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7" s="9" t="e" cm="1">
        <f t="array" ref="CD40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7" s="9" t="e" cm="1">
        <f t="array" ref="CE40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7" s="9" cm="1">
        <f t="array" ref="CF407">IFERROR(_xlfn.AGGREGATE(14,6,(tbl_Case_mins[Rank_AnaEnd])/((tbl_Case_mins[Surgery Start Date]=tbl_Case_mins[[#This Row],[Surgery Start Date]])*(tbl_Case_mins[Theatre]=tbl_Case_mins[[#This Row],[Theatre]])*(tbl_Case_mins[NoInCoreTime]=0)),1),-1)</f>
        <v>-1</v>
      </c>
      <c r="CG407" s="9" cm="1">
        <f t="array" ref="CG407">IFERROR(_xlfn.AGGREGATE(15,6,(tbl_Case_mins[Rank_AnaSt])/((tbl_Case_mins[Surgery Start Date]=tbl_Case_mins[[#This Row],[Surgery Start Date]])*(tbl_Case_mins[Theatre]=tbl_Case_mins[[#This Row],[Theatre]])*(tbl_Case_mins[NoInCoreTime]=0)),1),-1)</f>
        <v>-1</v>
      </c>
      <c r="CH40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7" t="e" cm="1">
        <f t="array" ref="CJ40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7" s="9" cm="1">
        <f t="array" ref="CO4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7" s="9" cm="1">
        <f t="array" ref="CP40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7" s="9" cm="1">
        <f t="array" ref="CQ407">IFERROR(IF(AND(tbl_Case_mins[[#This Row],[FirstAMCase]]=0,tbl_Case_mins[[#This Row],[Rank]]=_xlfn.AGGREGATE(14,6,(tbl_Case_mins[Rank])/((tbl_Case_mins[Surgery Start Date]=tbl_Case_mins[[#This Row],[Surgery Start Date]])*(tbl_Case_mins[Theatre]=tbl_Case_mins[[#This Row],[Theatre]])*(tbl_Case_mins[AmCase]=1)),1)),1,0),0)</f>
        <v>0</v>
      </c>
      <c r="CR407" s="9" cm="1">
        <f t="array" ref="CR40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7" s="9" t="e" cm="1">
        <f t="array" ref="CS40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7" s="9" cm="1">
        <f t="array" ref="CT407">IFERROR(IF(tbl_Case_mins[[#This Row],[Rank]]=_xlfn.AGGREGATE(15,6,(tbl_Case_mins[Rank])/((tbl_Case_mins[Surgery Start Date]=tbl_Case_mins[[#This Row],[Surgery Start Date]])*(tbl_Case_mins[Theatre]=tbl_Case_mins[[#This Row],[Theatre]])*(tbl_Case_mins[PmCase]=1)),1),1,0),0)</f>
        <v>0</v>
      </c>
      <c r="CU407">
        <f>IFERROR(#REF!,0)</f>
        <v>0</v>
      </c>
      <c r="CV407" s="9" t="e" cm="1">
        <f t="array" ref="CV40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7" s="9">
        <f>IFERROR(IF(ISBLANK(INDEX(Bay_AmClose,MATCH(1,INDEX((tbl_Case_mins[[#This Row],[Bay]]=BayNo)*(tbl_Case_mins[[#This Row],[Surgery Start Date]]=BDate),0,1),0))*1440),0,INDEX(Bay_AmClose,MATCH(1,INDEX((tbl_Case_mins[[#This Row],[Bay]]=BayNo)*(tbl_Case_mins[[#This Row],[Surgery Start Date]]=BDate),0,1),0))*1440),0)</f>
        <v>0</v>
      </c>
      <c r="CX407" s="9" cm="1">
        <f t="array" ref="CX407">IFERROR(IF(ISBLANK(INDEX(Bay_PmOpen,MATCH(1,INDEX((tbl_Case_mins[[#This Row],[Bay]]=BayNo)*(tbl_Case_mins[[#This Row],[Surgery Start Date]]=BDate),0,1),0))*1440),0,INDEX(Bay_PmOpen,MATCH(1,INDEX((tbl_Case_mins[[#This Row],[Bay]]=BayNo)*(tbl_Case_mins[[#This Row],[Surgery Start Date]]=BDate),0,1),0))*1440),0)</f>
        <v>0</v>
      </c>
      <c r="CY40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7" s="9"/>
    </row>
    <row r="408" spans="1:104" x14ac:dyDescent="0.2">
      <c r="A408">
        <v>407</v>
      </c>
      <c r="B408" t="e">
        <f>#REF!</f>
        <v>#REF!</v>
      </c>
      <c r="C408" t="e">
        <f>#REF!</f>
        <v>#REF!</v>
      </c>
      <c r="D408" t="e">
        <f>#REF!</f>
        <v>#REF!</v>
      </c>
      <c r="E408" t="e">
        <f>#REF!</f>
        <v>#REF!</v>
      </c>
      <c r="F408" t="e">
        <f>#REF!</f>
        <v>#REF!</v>
      </c>
      <c r="G408" t="e">
        <f>#REF!</f>
        <v>#REF!</v>
      </c>
      <c r="H408" t="e">
        <f>#REF!</f>
        <v>#REF!</v>
      </c>
      <c r="I408" t="e">
        <f>IF(#REF!="Case Cancelled",1,IF(#REF!="No Cases",2,0))</f>
        <v>#REF!</v>
      </c>
      <c r="J408" t="e">
        <f>#REF!</f>
        <v>#REF!</v>
      </c>
      <c r="K408" s="4" t="e">
        <f>#REF!</f>
        <v>#REF!</v>
      </c>
      <c r="L408" t="e">
        <f>"Wk "&amp;WEEKNUM(tbl_Case_mins[[#This Row],[Surgery Start Date]],21)</f>
        <v>#REF!</v>
      </c>
      <c r="M408" t="e">
        <f>TEXT(tbl_Case_mins[[#This Row],[Surgery Start Date]],"ddd")</f>
        <v>#REF!</v>
      </c>
      <c r="N408" s="9" t="e">
        <f>(#REF!-TIME(0,0,0))*1440</f>
        <v>#REF!</v>
      </c>
      <c r="O408" t="e">
        <f>IF(AND(ROUND((#REF!-TIME(0,0,0))*1440,0)&gt;0,ROUND((#REF!-TIME(0,0,0))*1440,0)&lt;tbl_Case_mins[[#This Row],[Patient Called]],tbl_Case_mins[[#This Row],[Surgery End Date]]&gt;tbl_Case_mins[[#This Row],[Surgery Start Date]]),ROUND((#REF!-TIME(0,0,0))*1440,0)+1440,ROUND((#REF!-TIME(0,0,0))*1440,0))</f>
        <v>#REF!</v>
      </c>
      <c r="P408" s="9" t="e">
        <f>IF(AND(ROUND((#REF!-TIME(0,0,0))*1440,0)&gt;0,ROUND((#REF!-TIME(0,0,0))*1440,0)&lt;tbl_Case_mins[[#This Row],[Arrival]],tbl_Case_mins[[#This Row],[Surgery End Date]]&gt;tbl_Case_mins[[#This Row],[Surgery Start Date]]),ROUND((#REF!-TIME(0,0,0))*1440,0)+1440,ROUND((#REF!-TIME(0,0,0))*1440,0))</f>
        <v>#REF!</v>
      </c>
      <c r="Q408" s="9" t="e">
        <f>IF(AND(ROUND((#REF!-TIME(0,0,0))*1440,0)&gt;0,ROUND((#REF!-TIME(0,0,0))*1440,0)&lt;tbl_Case_mins[[#This Row],[Into Th or AR]],tbl_Case_mins[[#This Row],[Surgery End Date]]&gt;tbl_Case_mins[[#This Row],[Surgery Start Date]]),ROUND((#REF!-TIME(0,0,0))*1440,0)+1440,ROUND((#REF!-TIME(0,0,0))*1440,0))</f>
        <v>#REF!</v>
      </c>
      <c r="R408" s="9" t="e">
        <f>IF(AND(ROUND((#REF!-TIME(0,0,0))*1440,0)&gt;0,ROUND((#REF!-TIME(0,0,0))*1440,0)&lt;tbl_Case_mins[[#This Row],[AnaesthStart]],tbl_Case_mins[[#This Row],[Surgery End Date]]&gt;tbl_Case_mins[[#This Row],[Surgery Start Date]]),ROUND((#REF!-TIME(0,0,0))*1440,0)+1440,ROUND((#REF!-TIME(0,0,0))*1440,0))</f>
        <v>#REF!</v>
      </c>
      <c r="S408" s="9" t="e">
        <f>IF(AND(ROUND((#REF!-TIME(0,0,0))*1440,0),ROUND((#REF!-TIME(0,0,0))*1440,0)&lt;tbl_Case_mins[[#This Row],[Surgery Start]],tbl_Case_mins[[#This Row],[Surgery End Date]]&gt;tbl_Case_mins[[#This Row],[Surgery Start Date]]),ROUND((#REF!-TIME(0,0,0))*1440,0)+1440,ROUND((#REF!-TIME(0,0,0))*1440,0))</f>
        <v>#REF!</v>
      </c>
      <c r="T408" s="9" t="e">
        <f>IF(AND(ROUND((#REF!-TIME(0,0,0))*1440,0)&gt;0,ROUND((#REF!-TIME(0,0,0))*1440,0)&lt;tbl_Case_mins[[#This Row],[Surgery Finish]],tbl_Case_mins[[#This Row],[Surgery End Date]]&gt;tbl_Case_mins[[#This Row],[Surgery Start Date]]),ROUND((#REF!-TIME(0,0,0))*1440,0)+1440,ROUND((#REF!-TIME(0,0,0))*1440,0))</f>
        <v>#REF!</v>
      </c>
      <c r="U408" s="9" t="e">
        <f>IF(AND(ROUND((#REF!-TIME(0,0,0))*1440,0)&gt;0,ROUND((#REF!-TIME(0,0,0))*1440,0)&lt;tbl_Case_mins[[#This Row],[Anaesth End]],tbl_Case_mins[[#This Row],[Surgery End Date]]&gt;tbl_Case_mins[[#This Row],[Surgery Start Date]]),ROUND((#REF!-TIME(0,0,0))*1440,0)+1440,ROUND((#REF!-TIME(0,0,0))*1440,0))</f>
        <v>#REF!</v>
      </c>
      <c r="V408" s="9" t="e">
        <f>IF(AND(ROUND((#REF!-TIME(0,0,0))*1440,0)&gt;0,ROUND((#REF!-TIME(0,0,0))*1440,0)&lt;tbl_Case_mins[[#This Row],[Into Recov]],tbl_Case_mins[[#This Row],[Surgery End Date]]&gt;tbl_Case_mins[[#This Row],[Surgery Start Date]]),ROUND((#REF!-TIME(0,0,0))*1440,0)+1440,ROUND((#REF!-TIME(0,0,0))*1440,0))</f>
        <v>#REF!</v>
      </c>
      <c r="W408" s="9" t="e">
        <f>IF(AND(ROUND((#REF!-TIME(0,0,0))*1440,0)&gt;0,ROUND((#REF!-TIME(0,0,0))*1440,0)&lt;tbl_Case_mins[[#This Row],[Ward Called]],tbl_Case_mins[[#This Row],[Surgery End Date]]&gt;tbl_Case_mins[[#This Row],[Surgery Start Date]]),ROUND((#REF!-TIME(0,0,0))*1440,0)+1440,ROUND((#REF!-TIME(0,0,0))*1440,0))</f>
        <v>#REF!</v>
      </c>
      <c r="X408" s="4" t="e">
        <f>IF(ISBLANK(#REF!),tbl_Case_mins[[#This Row],[Surgery Start Date]],#REF!)</f>
        <v>#REF!</v>
      </c>
      <c r="Y408">
        <f>IFERROR(IF(VLOOKUP(tbl_Case_mins[[#This Row],[Theatre]],'Mng Theatres'!$C$7:$G$12,3,FALSE)="Yes","Yes","No"),0)</f>
        <v>0</v>
      </c>
      <c r="Z408" s="9" t="e" cm="1">
        <f t="array" ref="Z40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8" s="9" t="e" cm="1">
        <f t="array" ref="AA40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8" s="9" t="e">
        <f>IF(tbl_Case_mins[[#This Row],[Case Type]]="Unsch",1,0)</f>
        <v>#REF!</v>
      </c>
      <c r="AD408" s="9" t="e">
        <f>IF(tbl_Case_mins[[#This Row],[Case Type]]="Sch",1,0)</f>
        <v>#REF!</v>
      </c>
      <c r="AE40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8" s="9">
        <f>IFERROR(IF(ISBLANK(INDEX(Am_Close,MATCH(1,INDEX((tbl_Case_mins[[#This Row],[Theatre]]=Theatre_No)*(tbl_Case_mins[[#This Row],[Surgery Start Date]]=Date),0,1),0))*1440),0,INDEX(Am_Close,MATCH(1,INDEX((tbl_Case_mins[[#This Row],[Theatre]]=Theatre_No)*(tbl_Case_mins[[#This Row],[Surgery Start Date]]=Date),0,1),0))*1440),0)</f>
        <v>0</v>
      </c>
      <c r="AG408" s="9">
        <f>IFERROR(IF(ISBLANK(INDEX(PM_Open,MATCH(1,INDEX((tbl_Case_mins[[#This Row],[Theatre]]=Theatre_No)*(tbl_Case_mins[[#This Row],[Surgery Start Date]]=Date),0,1),0))*1440),0,INDEX(PM_Open,MATCH(1,INDEX((tbl_Case_mins[[#This Row],[Theatre]]=Theatre_No)*(tbl_Case_mins[[#This Row],[Surgery Start Date]]=Date),0,1),0))*1440),0)</f>
        <v>0</v>
      </c>
      <c r="AH40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8" s="9" t="e">
        <f>IF(tbl_Case_mins[[#This Row],[ThOpenAm]]=0,tbl_Case_mins[[#This Row],[ThOpenPM]],tbl_Case_mins[[#This Row],[ThOpenAm]])</f>
        <v>#REF!</v>
      </c>
      <c r="AJ408" s="9" t="e">
        <f>IF(tbl_Case_mins[[#This Row],[ThCloseAm]]&gt;0,IF(tbl_Case_mins[[#This Row],[ThOpenPM]]&gt;0,tbl_Case_mins[[#This Row],[ThClosePm]],tbl_Case_mins[[#This Row],[ThCloseAm]]),tbl_Case_mins[[#This Row],[ThClosePm]])</f>
        <v>#REF!</v>
      </c>
      <c r="AK408" s="9" t="e">
        <f>IF(tbl_Case_mins[[#This Row],[TOT]]&gt;0,1,0)</f>
        <v>#REF!</v>
      </c>
      <c r="AL40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8" s="9" t="e">
        <f>IF(AND(tbl_Case_mins[[#This Row],[Surgery Status]]&lt;&gt;2,tbl_Case_mins[[#This Row],[InCoreCase]]=0,tbl_Case_mins[[#This Row],[CancelledCase]]=0),1,0)</f>
        <v>#REF!</v>
      </c>
      <c r="AN408" s="9" t="e">
        <f>IF(tbl_Case_mins[[#This Row],[Surgery Status]]=1,1,0)</f>
        <v>#REF!</v>
      </c>
      <c r="AO40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8" s="9" t="e">
        <f>IF(AND(tbl_Case_mins[[#This Row],[NonCoreCase]]=1,tbl_Case_mins[[#This Row],[NoInCoreTime]]=0),1,0)</f>
        <v>#REF!</v>
      </c>
      <c r="AQ408" s="9" t="e">
        <f>IF(tbl_Case_mins[[#This Row],[Rank_AnaEnd]]&lt;tbl_Case_mins[[#This Row],[Rank_AnaSt]],1,0)</f>
        <v>#REF!</v>
      </c>
      <c r="AR408" s="9" t="e">
        <f>IF(AND(tbl_Case_mins[[#This Row],[InCoreCase]]=1,tbl_Case_mins[[#This Row],[Sch]]=1),1,0)</f>
        <v>#REF!</v>
      </c>
      <c r="AS408" s="9" t="e">
        <f>IF(AND(tbl_Case_mins[[#This Row],[InCoreCase]]=1,tbl_Case_mins[[#This Row],[Unsch]]=1),1,0)</f>
        <v>#REF!</v>
      </c>
      <c r="AT40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8" s="9" t="e">
        <f>IF(tbl_Case_mins[[#This Row],[Surgery Status]]=0,(tbl_Case_mins[[#This Row],[Anaesth End]]-tbl_Case_mins[[#This Row],[AnaesthStart]]),0)</f>
        <v>#REF!</v>
      </c>
      <c r="AX408" s="9" t="e">
        <f>IF(tbl_Case_mins[[#This Row],[Surgery Status]]=0,(tbl_Case_mins[[#This Row],[Surgery Finish]]-tbl_Case_mins[[#This Row],[Surgery Start]]),0)</f>
        <v>#REF!</v>
      </c>
      <c r="AY408" s="9" t="e">
        <f>tbl_Case_mins[[#This Row],[Surgery Start]]-tbl_Case_mins[[#This Row],[AnaesthStart]]</f>
        <v>#REF!</v>
      </c>
      <c r="AZ408" s="9" t="e">
        <f>tbl_Case_mins[[#This Row],[Anaesth End]]-tbl_Case_mins[[#This Row],[Surgery Finish]]</f>
        <v>#REF!</v>
      </c>
      <c r="BA40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8" s="16" cm="1">
        <f t="array" ref="BC40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8" s="16" t="e">
        <f>IF(AND(tbl_Case_mins[[#This Row],[FirstAMCase]]=1,tbl_Case_mins[[#This Row],[CancelledCase]]=0,OR(tbl_Case_mins[[#This Row],[EarlyStartAM]]&gt;0,tbl_Case_mins[[#This Row],[AnaesthStart]]=tbl_Case_mins[[#This Row],[ThOpenAm]])),1,0)</f>
        <v>#REF!</v>
      </c>
      <c r="BE408" s="16" t="e">
        <f>IF(AND(tbl_Case_mins[[#This Row],[Rank_AnaSt]]=tbl_Case_mins[[#This Row],[Min_RankAnaSt]],tbl_Case_mins[[#This Row],[Anaesth End]]&gt;=tbl_Case_mins[[#This Row],[ThOpenAm]],tbl_Case_mins[[#This Row],[PmCase]]=0),1,0)</f>
        <v>#REF!</v>
      </c>
      <c r="BF40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8" s="9" t="e" cm="1">
        <f t="array" ref="BH40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8" s="9" t="e">
        <f>IF(AND(tbl_Case_mins[[#This Row],[ThOpenPM]]&gt;0,tbl_Case_mins[[#This Row],[AnaesthStart]]&gt;tbl_Case_mins[[#This Row],[ThOpenPM]],tbl_Case_mins[[#This Row],[First PM Case]]=1),tbl_Case_mins[[#This Row],[AnaesthStart]]-tbl_Case_mins[[#This Row],[ThOpenPM]],0)</f>
        <v>#REF!</v>
      </c>
      <c r="BL40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8" s="9" t="e" cm="1">
        <f t="array" ref="BN40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8" s="9" t="e">
        <f>IF(AND(tbl_Case_mins[[#This Row],[ThClosePm]]&gt;0,tbl_Case_mins[[#This Row],[Anaesth End]]&gt;tbl_Case_mins[[#This Row],[ThClosePm]],tbl_Case_mins[[#This Row],[AnaesthStart]]&gt;tbl_Case_mins[[#This Row],[ThClosePm]]),tbl_Case_mins[[#This Row],[Into Recov]]-tbl_Case_mins[[#This Row],[AnaesthStart]],0)</f>
        <v>#REF!</v>
      </c>
      <c r="BP408" s="9" t="e">
        <f>IF(AND(tbl_Case_mins[[#This Row],[AnaesthStart]]&lt;tbl_Case_mins[[#This Row],[ThClosePm]],tbl_Case_mins[[#This Row],[Anaesth End]]&gt;tbl_Case_mins[[#This Row],[ThClosePm]]),tbl_Case_mins[[#This Row],[Anaesth End]]-tbl_Case_mins[[#This Row],[ThClosePm]],0)</f>
        <v>#REF!</v>
      </c>
      <c r="BQ408" s="9" t="e" cm="1">
        <f t="array" ref="BQ40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8" s="9" t="e" cm="1">
        <f t="array" ref="BR408">IF(tbl_Case_mins[[#This Row],[Rank_Adjust]]=SUMPRODUCT(-(tbl_Case_mins[Surgery Start Date]=tbl_Case_mins[[#This Row],[Surgery Start Date]]),-(tbl_Case_mins[Theatre]=tbl_Case_mins[[#This Row],[Theatre]])),INDEX(Poss_Time,MATCH(TEXT(tbl_Case_mins[[#This Row],[Surgery Start Date]],"ddd"),Day,0)),0)</f>
        <v>#REF!</v>
      </c>
      <c r="BS408" s="9" t="e">
        <f>tbl_Case_mins[[#This Row],[Core_Time]]*Util_Goal</f>
        <v>#REF!</v>
      </c>
      <c r="BT408" s="9" t="e" cm="1">
        <f t="array" ref="BT4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8" s="9" t="e" cm="1">
        <f t="array" ref="BU40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8" s="9" t="e">
        <f>IF(tbl_Case_mins[[#This Row],[Surgery End Date]]&gt;tbl_Case_mins[[#This Row],[Surgery Start Date]],tbl_Case_mins[[#This Row],[Anaesth End]]-1440,0)</f>
        <v>#REF!</v>
      </c>
      <c r="BY408" s="9" t="e">
        <f>tbl_Case_mins[[#This Row],[Total_NonCore]]-tbl_Case_mins[[#This Row],[NextDay_NonCore]]</f>
        <v>#REF!</v>
      </c>
      <c r="BZ408" s="10" t="e">
        <f>tbl_Case_mins[[#This Row],[InCoreUse]]/60</f>
        <v>#REF!</v>
      </c>
      <c r="CA408" s="10" t="e">
        <f>tbl_Case_mins[[#This Row],[Total_NonCore]]/60</f>
        <v>#REF!</v>
      </c>
      <c r="CB408" t="e" cm="1">
        <f t="array" ref="CB4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8" s="9" t="e" cm="1">
        <f t="array" ref="CC40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8" s="9" t="e" cm="1">
        <f t="array" ref="CD40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8" s="9" t="e" cm="1">
        <f t="array" ref="CE40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8" s="9" cm="1">
        <f t="array" ref="CF408">IFERROR(_xlfn.AGGREGATE(14,6,(tbl_Case_mins[Rank_AnaEnd])/((tbl_Case_mins[Surgery Start Date]=tbl_Case_mins[[#This Row],[Surgery Start Date]])*(tbl_Case_mins[Theatre]=tbl_Case_mins[[#This Row],[Theatre]])*(tbl_Case_mins[NoInCoreTime]=0)),1),-1)</f>
        <v>-1</v>
      </c>
      <c r="CG408" s="9" cm="1">
        <f t="array" ref="CG408">IFERROR(_xlfn.AGGREGATE(15,6,(tbl_Case_mins[Rank_AnaSt])/((tbl_Case_mins[Surgery Start Date]=tbl_Case_mins[[#This Row],[Surgery Start Date]])*(tbl_Case_mins[Theatre]=tbl_Case_mins[[#This Row],[Theatre]])*(tbl_Case_mins[NoInCoreTime]=0)),1),-1)</f>
        <v>-1</v>
      </c>
      <c r="CH40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8" t="e" cm="1">
        <f t="array" ref="CJ40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8" s="9" cm="1">
        <f t="array" ref="CO4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8" s="9" cm="1">
        <f t="array" ref="CP40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8" s="9" cm="1">
        <f t="array" ref="CQ408">IFERROR(IF(AND(tbl_Case_mins[[#This Row],[FirstAMCase]]=0,tbl_Case_mins[[#This Row],[Rank]]=_xlfn.AGGREGATE(14,6,(tbl_Case_mins[Rank])/((tbl_Case_mins[Surgery Start Date]=tbl_Case_mins[[#This Row],[Surgery Start Date]])*(tbl_Case_mins[Theatre]=tbl_Case_mins[[#This Row],[Theatre]])*(tbl_Case_mins[AmCase]=1)),1)),1,0),0)</f>
        <v>0</v>
      </c>
      <c r="CR408" s="9" cm="1">
        <f t="array" ref="CR40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8" s="9" t="e" cm="1">
        <f t="array" ref="CS40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8" s="9" cm="1">
        <f t="array" ref="CT408">IFERROR(IF(tbl_Case_mins[[#This Row],[Rank]]=_xlfn.AGGREGATE(15,6,(tbl_Case_mins[Rank])/((tbl_Case_mins[Surgery Start Date]=tbl_Case_mins[[#This Row],[Surgery Start Date]])*(tbl_Case_mins[Theatre]=tbl_Case_mins[[#This Row],[Theatre]])*(tbl_Case_mins[PmCase]=1)),1),1,0),0)</f>
        <v>0</v>
      </c>
      <c r="CU408">
        <f>IFERROR(#REF!,0)</f>
        <v>0</v>
      </c>
      <c r="CV408" s="9" t="e" cm="1">
        <f t="array" ref="CV40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8" s="9">
        <f>IFERROR(IF(ISBLANK(INDEX(Bay_AmClose,MATCH(1,INDEX((tbl_Case_mins[[#This Row],[Bay]]=BayNo)*(tbl_Case_mins[[#This Row],[Surgery Start Date]]=BDate),0,1),0))*1440),0,INDEX(Bay_AmClose,MATCH(1,INDEX((tbl_Case_mins[[#This Row],[Bay]]=BayNo)*(tbl_Case_mins[[#This Row],[Surgery Start Date]]=BDate),0,1),0))*1440),0)</f>
        <v>0</v>
      </c>
      <c r="CX408" s="9" cm="1">
        <f t="array" ref="CX408">IFERROR(IF(ISBLANK(INDEX(Bay_PmOpen,MATCH(1,INDEX((tbl_Case_mins[[#This Row],[Bay]]=BayNo)*(tbl_Case_mins[[#This Row],[Surgery Start Date]]=BDate),0,1),0))*1440),0,INDEX(Bay_PmOpen,MATCH(1,INDEX((tbl_Case_mins[[#This Row],[Bay]]=BayNo)*(tbl_Case_mins[[#This Row],[Surgery Start Date]]=BDate),0,1),0))*1440),0)</f>
        <v>0</v>
      </c>
      <c r="CY40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8" s="9"/>
    </row>
    <row r="409" spans="1:104" x14ac:dyDescent="0.2">
      <c r="A409">
        <v>408</v>
      </c>
      <c r="B409" t="e">
        <f>#REF!</f>
        <v>#REF!</v>
      </c>
      <c r="C409" t="e">
        <f>#REF!</f>
        <v>#REF!</v>
      </c>
      <c r="D409" t="e">
        <f>#REF!</f>
        <v>#REF!</v>
      </c>
      <c r="E409" t="e">
        <f>#REF!</f>
        <v>#REF!</v>
      </c>
      <c r="F409" t="e">
        <f>#REF!</f>
        <v>#REF!</v>
      </c>
      <c r="G409" t="e">
        <f>#REF!</f>
        <v>#REF!</v>
      </c>
      <c r="H409" t="e">
        <f>#REF!</f>
        <v>#REF!</v>
      </c>
      <c r="I409" t="e">
        <f>IF(#REF!="Case Cancelled",1,IF(#REF!="No Cases",2,0))</f>
        <v>#REF!</v>
      </c>
      <c r="J409" t="e">
        <f>#REF!</f>
        <v>#REF!</v>
      </c>
      <c r="K409" s="4" t="e">
        <f>#REF!</f>
        <v>#REF!</v>
      </c>
      <c r="L409" t="e">
        <f>"Wk "&amp;WEEKNUM(tbl_Case_mins[[#This Row],[Surgery Start Date]],21)</f>
        <v>#REF!</v>
      </c>
      <c r="M409" t="e">
        <f>TEXT(tbl_Case_mins[[#This Row],[Surgery Start Date]],"ddd")</f>
        <v>#REF!</v>
      </c>
      <c r="N409" s="9" t="e">
        <f>(#REF!-TIME(0,0,0))*1440</f>
        <v>#REF!</v>
      </c>
      <c r="O409" t="e">
        <f>IF(AND(ROUND((#REF!-TIME(0,0,0))*1440,0)&gt;0,ROUND((#REF!-TIME(0,0,0))*1440,0)&lt;tbl_Case_mins[[#This Row],[Patient Called]],tbl_Case_mins[[#This Row],[Surgery End Date]]&gt;tbl_Case_mins[[#This Row],[Surgery Start Date]]),ROUND((#REF!-TIME(0,0,0))*1440,0)+1440,ROUND((#REF!-TIME(0,0,0))*1440,0))</f>
        <v>#REF!</v>
      </c>
      <c r="P409" s="9" t="e">
        <f>IF(AND(ROUND((#REF!-TIME(0,0,0))*1440,0)&gt;0,ROUND((#REF!-TIME(0,0,0))*1440,0)&lt;tbl_Case_mins[[#This Row],[Arrival]],tbl_Case_mins[[#This Row],[Surgery End Date]]&gt;tbl_Case_mins[[#This Row],[Surgery Start Date]]),ROUND((#REF!-TIME(0,0,0))*1440,0)+1440,ROUND((#REF!-TIME(0,0,0))*1440,0))</f>
        <v>#REF!</v>
      </c>
      <c r="Q409" s="9" t="e">
        <f>IF(AND(ROUND((#REF!-TIME(0,0,0))*1440,0)&gt;0,ROUND((#REF!-TIME(0,0,0))*1440,0)&lt;tbl_Case_mins[[#This Row],[Into Th or AR]],tbl_Case_mins[[#This Row],[Surgery End Date]]&gt;tbl_Case_mins[[#This Row],[Surgery Start Date]]),ROUND((#REF!-TIME(0,0,0))*1440,0)+1440,ROUND((#REF!-TIME(0,0,0))*1440,0))</f>
        <v>#REF!</v>
      </c>
      <c r="R409" s="9" t="e">
        <f>IF(AND(ROUND((#REF!-TIME(0,0,0))*1440,0)&gt;0,ROUND((#REF!-TIME(0,0,0))*1440,0)&lt;tbl_Case_mins[[#This Row],[AnaesthStart]],tbl_Case_mins[[#This Row],[Surgery End Date]]&gt;tbl_Case_mins[[#This Row],[Surgery Start Date]]),ROUND((#REF!-TIME(0,0,0))*1440,0)+1440,ROUND((#REF!-TIME(0,0,0))*1440,0))</f>
        <v>#REF!</v>
      </c>
      <c r="S409" s="9" t="e">
        <f>IF(AND(ROUND((#REF!-TIME(0,0,0))*1440,0),ROUND((#REF!-TIME(0,0,0))*1440,0)&lt;tbl_Case_mins[[#This Row],[Surgery Start]],tbl_Case_mins[[#This Row],[Surgery End Date]]&gt;tbl_Case_mins[[#This Row],[Surgery Start Date]]),ROUND((#REF!-TIME(0,0,0))*1440,0)+1440,ROUND((#REF!-TIME(0,0,0))*1440,0))</f>
        <v>#REF!</v>
      </c>
      <c r="T409" s="9" t="e">
        <f>IF(AND(ROUND((#REF!-TIME(0,0,0))*1440,0)&gt;0,ROUND((#REF!-TIME(0,0,0))*1440,0)&lt;tbl_Case_mins[[#This Row],[Surgery Finish]],tbl_Case_mins[[#This Row],[Surgery End Date]]&gt;tbl_Case_mins[[#This Row],[Surgery Start Date]]),ROUND((#REF!-TIME(0,0,0))*1440,0)+1440,ROUND((#REF!-TIME(0,0,0))*1440,0))</f>
        <v>#REF!</v>
      </c>
      <c r="U409" s="9" t="e">
        <f>IF(AND(ROUND((#REF!-TIME(0,0,0))*1440,0)&gt;0,ROUND((#REF!-TIME(0,0,0))*1440,0)&lt;tbl_Case_mins[[#This Row],[Anaesth End]],tbl_Case_mins[[#This Row],[Surgery End Date]]&gt;tbl_Case_mins[[#This Row],[Surgery Start Date]]),ROUND((#REF!-TIME(0,0,0))*1440,0)+1440,ROUND((#REF!-TIME(0,0,0))*1440,0))</f>
        <v>#REF!</v>
      </c>
      <c r="V409" s="9" t="e">
        <f>IF(AND(ROUND((#REF!-TIME(0,0,0))*1440,0)&gt;0,ROUND((#REF!-TIME(0,0,0))*1440,0)&lt;tbl_Case_mins[[#This Row],[Into Recov]],tbl_Case_mins[[#This Row],[Surgery End Date]]&gt;tbl_Case_mins[[#This Row],[Surgery Start Date]]),ROUND((#REF!-TIME(0,0,0))*1440,0)+1440,ROUND((#REF!-TIME(0,0,0))*1440,0))</f>
        <v>#REF!</v>
      </c>
      <c r="W409" s="9" t="e">
        <f>IF(AND(ROUND((#REF!-TIME(0,0,0))*1440,0)&gt;0,ROUND((#REF!-TIME(0,0,0))*1440,0)&lt;tbl_Case_mins[[#This Row],[Ward Called]],tbl_Case_mins[[#This Row],[Surgery End Date]]&gt;tbl_Case_mins[[#This Row],[Surgery Start Date]]),ROUND((#REF!-TIME(0,0,0))*1440,0)+1440,ROUND((#REF!-TIME(0,0,0))*1440,0))</f>
        <v>#REF!</v>
      </c>
      <c r="X409" s="4" t="e">
        <f>IF(ISBLANK(#REF!),tbl_Case_mins[[#This Row],[Surgery Start Date]],#REF!)</f>
        <v>#REF!</v>
      </c>
      <c r="Y409">
        <f>IFERROR(IF(VLOOKUP(tbl_Case_mins[[#This Row],[Theatre]],'Mng Theatres'!$C$7:$G$12,3,FALSE)="Yes","Yes","No"),0)</f>
        <v>0</v>
      </c>
      <c r="Z409" s="9" t="e" cm="1">
        <f t="array" ref="Z40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09" s="9" t="e" cm="1">
        <f t="array" ref="AA40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0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09" s="9" t="e">
        <f>IF(tbl_Case_mins[[#This Row],[Case Type]]="Unsch",1,0)</f>
        <v>#REF!</v>
      </c>
      <c r="AD409" s="9" t="e">
        <f>IF(tbl_Case_mins[[#This Row],[Case Type]]="Sch",1,0)</f>
        <v>#REF!</v>
      </c>
      <c r="AE40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09" s="9">
        <f>IFERROR(IF(ISBLANK(INDEX(Am_Close,MATCH(1,INDEX((tbl_Case_mins[[#This Row],[Theatre]]=Theatre_No)*(tbl_Case_mins[[#This Row],[Surgery Start Date]]=Date),0,1),0))*1440),0,INDEX(Am_Close,MATCH(1,INDEX((tbl_Case_mins[[#This Row],[Theatre]]=Theatre_No)*(tbl_Case_mins[[#This Row],[Surgery Start Date]]=Date),0,1),0))*1440),0)</f>
        <v>0</v>
      </c>
      <c r="AG409" s="9">
        <f>IFERROR(IF(ISBLANK(INDEX(PM_Open,MATCH(1,INDEX((tbl_Case_mins[[#This Row],[Theatre]]=Theatre_No)*(tbl_Case_mins[[#This Row],[Surgery Start Date]]=Date),0,1),0))*1440),0,INDEX(PM_Open,MATCH(1,INDEX((tbl_Case_mins[[#This Row],[Theatre]]=Theatre_No)*(tbl_Case_mins[[#This Row],[Surgery Start Date]]=Date),0,1),0))*1440),0)</f>
        <v>0</v>
      </c>
      <c r="AH40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09" s="9" t="e">
        <f>IF(tbl_Case_mins[[#This Row],[ThOpenAm]]=0,tbl_Case_mins[[#This Row],[ThOpenPM]],tbl_Case_mins[[#This Row],[ThOpenAm]])</f>
        <v>#REF!</v>
      </c>
      <c r="AJ409" s="9" t="e">
        <f>IF(tbl_Case_mins[[#This Row],[ThCloseAm]]&gt;0,IF(tbl_Case_mins[[#This Row],[ThOpenPM]]&gt;0,tbl_Case_mins[[#This Row],[ThClosePm]],tbl_Case_mins[[#This Row],[ThCloseAm]]),tbl_Case_mins[[#This Row],[ThClosePm]])</f>
        <v>#REF!</v>
      </c>
      <c r="AK409" s="9" t="e">
        <f>IF(tbl_Case_mins[[#This Row],[TOT]]&gt;0,1,0)</f>
        <v>#REF!</v>
      </c>
      <c r="AL40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09" s="9" t="e">
        <f>IF(AND(tbl_Case_mins[[#This Row],[Surgery Status]]&lt;&gt;2,tbl_Case_mins[[#This Row],[InCoreCase]]=0,tbl_Case_mins[[#This Row],[CancelledCase]]=0),1,0)</f>
        <v>#REF!</v>
      </c>
      <c r="AN409" s="9" t="e">
        <f>IF(tbl_Case_mins[[#This Row],[Surgery Status]]=1,1,0)</f>
        <v>#REF!</v>
      </c>
      <c r="AO40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09" s="9" t="e">
        <f>IF(AND(tbl_Case_mins[[#This Row],[NonCoreCase]]=1,tbl_Case_mins[[#This Row],[NoInCoreTime]]=0),1,0)</f>
        <v>#REF!</v>
      </c>
      <c r="AQ409" s="9" t="e">
        <f>IF(tbl_Case_mins[[#This Row],[Rank_AnaEnd]]&lt;tbl_Case_mins[[#This Row],[Rank_AnaSt]],1,0)</f>
        <v>#REF!</v>
      </c>
      <c r="AR409" s="9" t="e">
        <f>IF(AND(tbl_Case_mins[[#This Row],[InCoreCase]]=1,tbl_Case_mins[[#This Row],[Sch]]=1),1,0)</f>
        <v>#REF!</v>
      </c>
      <c r="AS409" s="9" t="e">
        <f>IF(AND(tbl_Case_mins[[#This Row],[InCoreCase]]=1,tbl_Case_mins[[#This Row],[Unsch]]=1),1,0)</f>
        <v>#REF!</v>
      </c>
      <c r="AT40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0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0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09" s="9" t="e">
        <f>IF(tbl_Case_mins[[#This Row],[Surgery Status]]=0,(tbl_Case_mins[[#This Row],[Anaesth End]]-tbl_Case_mins[[#This Row],[AnaesthStart]]),0)</f>
        <v>#REF!</v>
      </c>
      <c r="AX409" s="9" t="e">
        <f>IF(tbl_Case_mins[[#This Row],[Surgery Status]]=0,(tbl_Case_mins[[#This Row],[Surgery Finish]]-tbl_Case_mins[[#This Row],[Surgery Start]]),0)</f>
        <v>#REF!</v>
      </c>
      <c r="AY409" s="9" t="e">
        <f>tbl_Case_mins[[#This Row],[Surgery Start]]-tbl_Case_mins[[#This Row],[AnaesthStart]]</f>
        <v>#REF!</v>
      </c>
      <c r="AZ409" s="9" t="e">
        <f>tbl_Case_mins[[#This Row],[Anaesth End]]-tbl_Case_mins[[#This Row],[Surgery Finish]]</f>
        <v>#REF!</v>
      </c>
      <c r="BA40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0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09" s="16" cm="1">
        <f t="array" ref="BC40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09" s="16" t="e">
        <f>IF(AND(tbl_Case_mins[[#This Row],[FirstAMCase]]=1,tbl_Case_mins[[#This Row],[CancelledCase]]=0,OR(tbl_Case_mins[[#This Row],[EarlyStartAM]]&gt;0,tbl_Case_mins[[#This Row],[AnaesthStart]]=tbl_Case_mins[[#This Row],[ThOpenAm]])),1,0)</f>
        <v>#REF!</v>
      </c>
      <c r="BE409" s="16" t="e">
        <f>IF(AND(tbl_Case_mins[[#This Row],[Rank_AnaSt]]=tbl_Case_mins[[#This Row],[Min_RankAnaSt]],tbl_Case_mins[[#This Row],[Anaesth End]]&gt;=tbl_Case_mins[[#This Row],[ThOpenAm]],tbl_Case_mins[[#This Row],[PmCase]]=0),1,0)</f>
        <v>#REF!</v>
      </c>
      <c r="BF40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0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09" s="9" t="e" cm="1">
        <f t="array" ref="BH40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0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0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09" s="9" t="e">
        <f>IF(AND(tbl_Case_mins[[#This Row],[ThOpenPM]]&gt;0,tbl_Case_mins[[#This Row],[AnaesthStart]]&gt;tbl_Case_mins[[#This Row],[ThOpenPM]],tbl_Case_mins[[#This Row],[First PM Case]]=1),tbl_Case_mins[[#This Row],[AnaesthStart]]-tbl_Case_mins[[#This Row],[ThOpenPM]],0)</f>
        <v>#REF!</v>
      </c>
      <c r="BL40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0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09" s="9" t="e" cm="1">
        <f t="array" ref="BN40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09" s="9" t="e">
        <f>IF(AND(tbl_Case_mins[[#This Row],[ThClosePm]]&gt;0,tbl_Case_mins[[#This Row],[Anaesth End]]&gt;tbl_Case_mins[[#This Row],[ThClosePm]],tbl_Case_mins[[#This Row],[AnaesthStart]]&gt;tbl_Case_mins[[#This Row],[ThClosePm]]),tbl_Case_mins[[#This Row],[Into Recov]]-tbl_Case_mins[[#This Row],[AnaesthStart]],0)</f>
        <v>#REF!</v>
      </c>
      <c r="BP409" s="9" t="e">
        <f>IF(AND(tbl_Case_mins[[#This Row],[AnaesthStart]]&lt;tbl_Case_mins[[#This Row],[ThClosePm]],tbl_Case_mins[[#This Row],[Anaesth End]]&gt;tbl_Case_mins[[#This Row],[ThClosePm]]),tbl_Case_mins[[#This Row],[Anaesth End]]-tbl_Case_mins[[#This Row],[ThClosePm]],0)</f>
        <v>#REF!</v>
      </c>
      <c r="BQ409" s="9" t="e" cm="1">
        <f t="array" ref="BQ40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09" s="9" t="e" cm="1">
        <f t="array" ref="BR409">IF(tbl_Case_mins[[#This Row],[Rank_Adjust]]=SUMPRODUCT(-(tbl_Case_mins[Surgery Start Date]=tbl_Case_mins[[#This Row],[Surgery Start Date]]),-(tbl_Case_mins[Theatre]=tbl_Case_mins[[#This Row],[Theatre]])),INDEX(Poss_Time,MATCH(TEXT(tbl_Case_mins[[#This Row],[Surgery Start Date]],"ddd"),Day,0)),0)</f>
        <v>#REF!</v>
      </c>
      <c r="BS409" s="9" t="e">
        <f>tbl_Case_mins[[#This Row],[Core_Time]]*Util_Goal</f>
        <v>#REF!</v>
      </c>
      <c r="BT409" s="9" t="e" cm="1">
        <f t="array" ref="BT4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09" s="9" t="e" cm="1">
        <f t="array" ref="BU40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0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0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09" s="9" t="e">
        <f>IF(tbl_Case_mins[[#This Row],[Surgery End Date]]&gt;tbl_Case_mins[[#This Row],[Surgery Start Date]],tbl_Case_mins[[#This Row],[Anaesth End]]-1440,0)</f>
        <v>#REF!</v>
      </c>
      <c r="BY409" s="9" t="e">
        <f>tbl_Case_mins[[#This Row],[Total_NonCore]]-tbl_Case_mins[[#This Row],[NextDay_NonCore]]</f>
        <v>#REF!</v>
      </c>
      <c r="BZ409" s="10" t="e">
        <f>tbl_Case_mins[[#This Row],[InCoreUse]]/60</f>
        <v>#REF!</v>
      </c>
      <c r="CA409" s="10" t="e">
        <f>tbl_Case_mins[[#This Row],[Total_NonCore]]/60</f>
        <v>#REF!</v>
      </c>
      <c r="CB409" t="e" cm="1">
        <f t="array" ref="CB4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09" s="9" t="e" cm="1">
        <f t="array" ref="CC40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09" s="9" t="e" cm="1">
        <f t="array" ref="CD40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09" s="9" t="e" cm="1">
        <f t="array" ref="CE40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09" s="9" cm="1">
        <f t="array" ref="CF409">IFERROR(_xlfn.AGGREGATE(14,6,(tbl_Case_mins[Rank_AnaEnd])/((tbl_Case_mins[Surgery Start Date]=tbl_Case_mins[[#This Row],[Surgery Start Date]])*(tbl_Case_mins[Theatre]=tbl_Case_mins[[#This Row],[Theatre]])*(tbl_Case_mins[NoInCoreTime]=0)),1),-1)</f>
        <v>-1</v>
      </c>
      <c r="CG409" s="9" cm="1">
        <f t="array" ref="CG409">IFERROR(_xlfn.AGGREGATE(15,6,(tbl_Case_mins[Rank_AnaSt])/((tbl_Case_mins[Surgery Start Date]=tbl_Case_mins[[#This Row],[Surgery Start Date]])*(tbl_Case_mins[Theatre]=tbl_Case_mins[[#This Row],[Theatre]])*(tbl_Case_mins[NoInCoreTime]=0)),1),-1)</f>
        <v>-1</v>
      </c>
      <c r="CH40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0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09" t="e" cm="1">
        <f t="array" ref="CJ40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0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0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0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09" s="9" cm="1">
        <f t="array" ref="CO4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09" s="9" cm="1">
        <f t="array" ref="CP40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09" s="9" cm="1">
        <f t="array" ref="CQ409">IFERROR(IF(AND(tbl_Case_mins[[#This Row],[FirstAMCase]]=0,tbl_Case_mins[[#This Row],[Rank]]=_xlfn.AGGREGATE(14,6,(tbl_Case_mins[Rank])/((tbl_Case_mins[Surgery Start Date]=tbl_Case_mins[[#This Row],[Surgery Start Date]])*(tbl_Case_mins[Theatre]=tbl_Case_mins[[#This Row],[Theatre]])*(tbl_Case_mins[AmCase]=1)),1)),1,0),0)</f>
        <v>0</v>
      </c>
      <c r="CR409" s="9" cm="1">
        <f t="array" ref="CR40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09" s="9" t="e" cm="1">
        <f t="array" ref="CS40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09" s="9" cm="1">
        <f t="array" ref="CT409">IFERROR(IF(tbl_Case_mins[[#This Row],[Rank]]=_xlfn.AGGREGATE(15,6,(tbl_Case_mins[Rank])/((tbl_Case_mins[Surgery Start Date]=tbl_Case_mins[[#This Row],[Surgery Start Date]])*(tbl_Case_mins[Theatre]=tbl_Case_mins[[#This Row],[Theatre]])*(tbl_Case_mins[PmCase]=1)),1),1,0),0)</f>
        <v>0</v>
      </c>
      <c r="CU409">
        <f>IFERROR(#REF!,0)</f>
        <v>0</v>
      </c>
      <c r="CV409" s="9" t="e" cm="1">
        <f t="array" ref="CV40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09" s="9">
        <f>IFERROR(IF(ISBLANK(INDEX(Bay_AmClose,MATCH(1,INDEX((tbl_Case_mins[[#This Row],[Bay]]=BayNo)*(tbl_Case_mins[[#This Row],[Surgery Start Date]]=BDate),0,1),0))*1440),0,INDEX(Bay_AmClose,MATCH(1,INDEX((tbl_Case_mins[[#This Row],[Bay]]=BayNo)*(tbl_Case_mins[[#This Row],[Surgery Start Date]]=BDate),0,1),0))*1440),0)</f>
        <v>0</v>
      </c>
      <c r="CX409" s="9" cm="1">
        <f t="array" ref="CX409">IFERROR(IF(ISBLANK(INDEX(Bay_PmOpen,MATCH(1,INDEX((tbl_Case_mins[[#This Row],[Bay]]=BayNo)*(tbl_Case_mins[[#This Row],[Surgery Start Date]]=BDate),0,1),0))*1440),0,INDEX(Bay_PmOpen,MATCH(1,INDEX((tbl_Case_mins[[#This Row],[Bay]]=BayNo)*(tbl_Case_mins[[#This Row],[Surgery Start Date]]=BDate),0,1),0))*1440),0)</f>
        <v>0</v>
      </c>
      <c r="CY40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09" s="9"/>
    </row>
    <row r="410" spans="1:104" x14ac:dyDescent="0.2">
      <c r="A410">
        <v>409</v>
      </c>
      <c r="B410" t="e">
        <f>#REF!</f>
        <v>#REF!</v>
      </c>
      <c r="C410" t="e">
        <f>#REF!</f>
        <v>#REF!</v>
      </c>
      <c r="D410" t="e">
        <f>#REF!</f>
        <v>#REF!</v>
      </c>
      <c r="E410" t="e">
        <f>#REF!</f>
        <v>#REF!</v>
      </c>
      <c r="F410" t="e">
        <f>#REF!</f>
        <v>#REF!</v>
      </c>
      <c r="G410" t="e">
        <f>#REF!</f>
        <v>#REF!</v>
      </c>
      <c r="H410" t="e">
        <f>#REF!</f>
        <v>#REF!</v>
      </c>
      <c r="I410" t="e">
        <f>IF(#REF!="Case Cancelled",1,IF(#REF!="No Cases",2,0))</f>
        <v>#REF!</v>
      </c>
      <c r="J410" t="e">
        <f>#REF!</f>
        <v>#REF!</v>
      </c>
      <c r="K410" s="4" t="e">
        <f>#REF!</f>
        <v>#REF!</v>
      </c>
      <c r="L410" t="e">
        <f>"Wk "&amp;WEEKNUM(tbl_Case_mins[[#This Row],[Surgery Start Date]],21)</f>
        <v>#REF!</v>
      </c>
      <c r="M410" t="e">
        <f>TEXT(tbl_Case_mins[[#This Row],[Surgery Start Date]],"ddd")</f>
        <v>#REF!</v>
      </c>
      <c r="N410" s="9" t="e">
        <f>(#REF!-TIME(0,0,0))*1440</f>
        <v>#REF!</v>
      </c>
      <c r="O410" t="e">
        <f>IF(AND(ROUND((#REF!-TIME(0,0,0))*1440,0)&gt;0,ROUND((#REF!-TIME(0,0,0))*1440,0)&lt;tbl_Case_mins[[#This Row],[Patient Called]],tbl_Case_mins[[#This Row],[Surgery End Date]]&gt;tbl_Case_mins[[#This Row],[Surgery Start Date]]),ROUND((#REF!-TIME(0,0,0))*1440,0)+1440,ROUND((#REF!-TIME(0,0,0))*1440,0))</f>
        <v>#REF!</v>
      </c>
      <c r="P410" s="9" t="e">
        <f>IF(AND(ROUND((#REF!-TIME(0,0,0))*1440,0)&gt;0,ROUND((#REF!-TIME(0,0,0))*1440,0)&lt;tbl_Case_mins[[#This Row],[Arrival]],tbl_Case_mins[[#This Row],[Surgery End Date]]&gt;tbl_Case_mins[[#This Row],[Surgery Start Date]]),ROUND((#REF!-TIME(0,0,0))*1440,0)+1440,ROUND((#REF!-TIME(0,0,0))*1440,0))</f>
        <v>#REF!</v>
      </c>
      <c r="Q410" s="9" t="e">
        <f>IF(AND(ROUND((#REF!-TIME(0,0,0))*1440,0)&gt;0,ROUND((#REF!-TIME(0,0,0))*1440,0)&lt;tbl_Case_mins[[#This Row],[Into Th or AR]],tbl_Case_mins[[#This Row],[Surgery End Date]]&gt;tbl_Case_mins[[#This Row],[Surgery Start Date]]),ROUND((#REF!-TIME(0,0,0))*1440,0)+1440,ROUND((#REF!-TIME(0,0,0))*1440,0))</f>
        <v>#REF!</v>
      </c>
      <c r="R410" s="9" t="e">
        <f>IF(AND(ROUND((#REF!-TIME(0,0,0))*1440,0)&gt;0,ROUND((#REF!-TIME(0,0,0))*1440,0)&lt;tbl_Case_mins[[#This Row],[AnaesthStart]],tbl_Case_mins[[#This Row],[Surgery End Date]]&gt;tbl_Case_mins[[#This Row],[Surgery Start Date]]),ROUND((#REF!-TIME(0,0,0))*1440,0)+1440,ROUND((#REF!-TIME(0,0,0))*1440,0))</f>
        <v>#REF!</v>
      </c>
      <c r="S410" s="9" t="e">
        <f>IF(AND(ROUND((#REF!-TIME(0,0,0))*1440,0),ROUND((#REF!-TIME(0,0,0))*1440,0)&lt;tbl_Case_mins[[#This Row],[Surgery Start]],tbl_Case_mins[[#This Row],[Surgery End Date]]&gt;tbl_Case_mins[[#This Row],[Surgery Start Date]]),ROUND((#REF!-TIME(0,0,0))*1440,0)+1440,ROUND((#REF!-TIME(0,0,0))*1440,0))</f>
        <v>#REF!</v>
      </c>
      <c r="T410" s="9" t="e">
        <f>IF(AND(ROUND((#REF!-TIME(0,0,0))*1440,0)&gt;0,ROUND((#REF!-TIME(0,0,0))*1440,0)&lt;tbl_Case_mins[[#This Row],[Surgery Finish]],tbl_Case_mins[[#This Row],[Surgery End Date]]&gt;tbl_Case_mins[[#This Row],[Surgery Start Date]]),ROUND((#REF!-TIME(0,0,0))*1440,0)+1440,ROUND((#REF!-TIME(0,0,0))*1440,0))</f>
        <v>#REF!</v>
      </c>
      <c r="U410" s="9" t="e">
        <f>IF(AND(ROUND((#REF!-TIME(0,0,0))*1440,0)&gt;0,ROUND((#REF!-TIME(0,0,0))*1440,0)&lt;tbl_Case_mins[[#This Row],[Anaesth End]],tbl_Case_mins[[#This Row],[Surgery End Date]]&gt;tbl_Case_mins[[#This Row],[Surgery Start Date]]),ROUND((#REF!-TIME(0,0,0))*1440,0)+1440,ROUND((#REF!-TIME(0,0,0))*1440,0))</f>
        <v>#REF!</v>
      </c>
      <c r="V410" s="9" t="e">
        <f>IF(AND(ROUND((#REF!-TIME(0,0,0))*1440,0)&gt;0,ROUND((#REF!-TIME(0,0,0))*1440,0)&lt;tbl_Case_mins[[#This Row],[Into Recov]],tbl_Case_mins[[#This Row],[Surgery End Date]]&gt;tbl_Case_mins[[#This Row],[Surgery Start Date]]),ROUND((#REF!-TIME(0,0,0))*1440,0)+1440,ROUND((#REF!-TIME(0,0,0))*1440,0))</f>
        <v>#REF!</v>
      </c>
      <c r="W410" s="9" t="e">
        <f>IF(AND(ROUND((#REF!-TIME(0,0,0))*1440,0)&gt;0,ROUND((#REF!-TIME(0,0,0))*1440,0)&lt;tbl_Case_mins[[#This Row],[Ward Called]],tbl_Case_mins[[#This Row],[Surgery End Date]]&gt;tbl_Case_mins[[#This Row],[Surgery Start Date]]),ROUND((#REF!-TIME(0,0,0))*1440,0)+1440,ROUND((#REF!-TIME(0,0,0))*1440,0))</f>
        <v>#REF!</v>
      </c>
      <c r="X410" s="4" t="e">
        <f>IF(ISBLANK(#REF!),tbl_Case_mins[[#This Row],[Surgery Start Date]],#REF!)</f>
        <v>#REF!</v>
      </c>
      <c r="Y410">
        <f>IFERROR(IF(VLOOKUP(tbl_Case_mins[[#This Row],[Theatre]],'Mng Theatres'!$C$7:$G$12,3,FALSE)="Yes","Yes","No"),0)</f>
        <v>0</v>
      </c>
      <c r="Z410" s="9" t="e" cm="1">
        <f t="array" ref="Z41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0" s="9" t="e" cm="1">
        <f t="array" ref="AA41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0" s="9" t="e">
        <f>IF(tbl_Case_mins[[#This Row],[Case Type]]="Unsch",1,0)</f>
        <v>#REF!</v>
      </c>
      <c r="AD410" s="9" t="e">
        <f>IF(tbl_Case_mins[[#This Row],[Case Type]]="Sch",1,0)</f>
        <v>#REF!</v>
      </c>
      <c r="AE41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0" s="9">
        <f>IFERROR(IF(ISBLANK(INDEX(Am_Close,MATCH(1,INDEX((tbl_Case_mins[[#This Row],[Theatre]]=Theatre_No)*(tbl_Case_mins[[#This Row],[Surgery Start Date]]=Date),0,1),0))*1440),0,INDEX(Am_Close,MATCH(1,INDEX((tbl_Case_mins[[#This Row],[Theatre]]=Theatre_No)*(tbl_Case_mins[[#This Row],[Surgery Start Date]]=Date),0,1),0))*1440),0)</f>
        <v>0</v>
      </c>
      <c r="AG410" s="9">
        <f>IFERROR(IF(ISBLANK(INDEX(PM_Open,MATCH(1,INDEX((tbl_Case_mins[[#This Row],[Theatre]]=Theatre_No)*(tbl_Case_mins[[#This Row],[Surgery Start Date]]=Date),0,1),0))*1440),0,INDEX(PM_Open,MATCH(1,INDEX((tbl_Case_mins[[#This Row],[Theatre]]=Theatre_No)*(tbl_Case_mins[[#This Row],[Surgery Start Date]]=Date),0,1),0))*1440),0)</f>
        <v>0</v>
      </c>
      <c r="AH41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0" s="9" t="e">
        <f>IF(tbl_Case_mins[[#This Row],[ThOpenAm]]=0,tbl_Case_mins[[#This Row],[ThOpenPM]],tbl_Case_mins[[#This Row],[ThOpenAm]])</f>
        <v>#REF!</v>
      </c>
      <c r="AJ410" s="9" t="e">
        <f>IF(tbl_Case_mins[[#This Row],[ThCloseAm]]&gt;0,IF(tbl_Case_mins[[#This Row],[ThOpenPM]]&gt;0,tbl_Case_mins[[#This Row],[ThClosePm]],tbl_Case_mins[[#This Row],[ThCloseAm]]),tbl_Case_mins[[#This Row],[ThClosePm]])</f>
        <v>#REF!</v>
      </c>
      <c r="AK410" s="9" t="e">
        <f>IF(tbl_Case_mins[[#This Row],[TOT]]&gt;0,1,0)</f>
        <v>#REF!</v>
      </c>
      <c r="AL41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0" s="9" t="e">
        <f>IF(AND(tbl_Case_mins[[#This Row],[Surgery Status]]&lt;&gt;2,tbl_Case_mins[[#This Row],[InCoreCase]]=0,tbl_Case_mins[[#This Row],[CancelledCase]]=0),1,0)</f>
        <v>#REF!</v>
      </c>
      <c r="AN410" s="9" t="e">
        <f>IF(tbl_Case_mins[[#This Row],[Surgery Status]]=1,1,0)</f>
        <v>#REF!</v>
      </c>
      <c r="AO41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0" s="9" t="e">
        <f>IF(AND(tbl_Case_mins[[#This Row],[NonCoreCase]]=1,tbl_Case_mins[[#This Row],[NoInCoreTime]]=0),1,0)</f>
        <v>#REF!</v>
      </c>
      <c r="AQ410" s="9" t="e">
        <f>IF(tbl_Case_mins[[#This Row],[Rank_AnaEnd]]&lt;tbl_Case_mins[[#This Row],[Rank_AnaSt]],1,0)</f>
        <v>#REF!</v>
      </c>
      <c r="AR410" s="9" t="e">
        <f>IF(AND(tbl_Case_mins[[#This Row],[InCoreCase]]=1,tbl_Case_mins[[#This Row],[Sch]]=1),1,0)</f>
        <v>#REF!</v>
      </c>
      <c r="AS410" s="9" t="e">
        <f>IF(AND(tbl_Case_mins[[#This Row],[InCoreCase]]=1,tbl_Case_mins[[#This Row],[Unsch]]=1),1,0)</f>
        <v>#REF!</v>
      </c>
      <c r="AT41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0" s="9" t="e">
        <f>IF(tbl_Case_mins[[#This Row],[Surgery Status]]=0,(tbl_Case_mins[[#This Row],[Anaesth End]]-tbl_Case_mins[[#This Row],[AnaesthStart]]),0)</f>
        <v>#REF!</v>
      </c>
      <c r="AX410" s="9" t="e">
        <f>IF(tbl_Case_mins[[#This Row],[Surgery Status]]=0,(tbl_Case_mins[[#This Row],[Surgery Finish]]-tbl_Case_mins[[#This Row],[Surgery Start]]),0)</f>
        <v>#REF!</v>
      </c>
      <c r="AY410" s="9" t="e">
        <f>tbl_Case_mins[[#This Row],[Surgery Start]]-tbl_Case_mins[[#This Row],[AnaesthStart]]</f>
        <v>#REF!</v>
      </c>
      <c r="AZ410" s="9" t="e">
        <f>tbl_Case_mins[[#This Row],[Anaesth End]]-tbl_Case_mins[[#This Row],[Surgery Finish]]</f>
        <v>#REF!</v>
      </c>
      <c r="BA41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0" s="16" cm="1">
        <f t="array" ref="BC41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0" s="16" t="e">
        <f>IF(AND(tbl_Case_mins[[#This Row],[FirstAMCase]]=1,tbl_Case_mins[[#This Row],[CancelledCase]]=0,OR(tbl_Case_mins[[#This Row],[EarlyStartAM]]&gt;0,tbl_Case_mins[[#This Row],[AnaesthStart]]=tbl_Case_mins[[#This Row],[ThOpenAm]])),1,0)</f>
        <v>#REF!</v>
      </c>
      <c r="BE410" s="16" t="e">
        <f>IF(AND(tbl_Case_mins[[#This Row],[Rank_AnaSt]]=tbl_Case_mins[[#This Row],[Min_RankAnaSt]],tbl_Case_mins[[#This Row],[Anaesth End]]&gt;=tbl_Case_mins[[#This Row],[ThOpenAm]],tbl_Case_mins[[#This Row],[PmCase]]=0),1,0)</f>
        <v>#REF!</v>
      </c>
      <c r="BF41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0" s="9" t="e" cm="1">
        <f t="array" ref="BH41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0" s="9" t="e">
        <f>IF(AND(tbl_Case_mins[[#This Row],[ThOpenPM]]&gt;0,tbl_Case_mins[[#This Row],[AnaesthStart]]&gt;tbl_Case_mins[[#This Row],[ThOpenPM]],tbl_Case_mins[[#This Row],[First PM Case]]=1),tbl_Case_mins[[#This Row],[AnaesthStart]]-tbl_Case_mins[[#This Row],[ThOpenPM]],0)</f>
        <v>#REF!</v>
      </c>
      <c r="BL41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0" s="9" t="e" cm="1">
        <f t="array" ref="BN41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0" s="9" t="e">
        <f>IF(AND(tbl_Case_mins[[#This Row],[ThClosePm]]&gt;0,tbl_Case_mins[[#This Row],[Anaesth End]]&gt;tbl_Case_mins[[#This Row],[ThClosePm]],tbl_Case_mins[[#This Row],[AnaesthStart]]&gt;tbl_Case_mins[[#This Row],[ThClosePm]]),tbl_Case_mins[[#This Row],[Into Recov]]-tbl_Case_mins[[#This Row],[AnaesthStart]],0)</f>
        <v>#REF!</v>
      </c>
      <c r="BP410" s="9" t="e">
        <f>IF(AND(tbl_Case_mins[[#This Row],[AnaesthStart]]&lt;tbl_Case_mins[[#This Row],[ThClosePm]],tbl_Case_mins[[#This Row],[Anaesth End]]&gt;tbl_Case_mins[[#This Row],[ThClosePm]]),tbl_Case_mins[[#This Row],[Anaesth End]]-tbl_Case_mins[[#This Row],[ThClosePm]],0)</f>
        <v>#REF!</v>
      </c>
      <c r="BQ410" s="9" t="e" cm="1">
        <f t="array" ref="BQ41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0" s="9" t="e" cm="1">
        <f t="array" ref="BR410">IF(tbl_Case_mins[[#This Row],[Rank_Adjust]]=SUMPRODUCT(-(tbl_Case_mins[Surgery Start Date]=tbl_Case_mins[[#This Row],[Surgery Start Date]]),-(tbl_Case_mins[Theatre]=tbl_Case_mins[[#This Row],[Theatre]])),INDEX(Poss_Time,MATCH(TEXT(tbl_Case_mins[[#This Row],[Surgery Start Date]],"ddd"),Day,0)),0)</f>
        <v>#REF!</v>
      </c>
      <c r="BS410" s="9" t="e">
        <f>tbl_Case_mins[[#This Row],[Core_Time]]*Util_Goal</f>
        <v>#REF!</v>
      </c>
      <c r="BT410" s="9" t="e" cm="1">
        <f t="array" ref="BT4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0" s="9" t="e" cm="1">
        <f t="array" ref="BU41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0" s="9" t="e">
        <f>IF(tbl_Case_mins[[#This Row],[Surgery End Date]]&gt;tbl_Case_mins[[#This Row],[Surgery Start Date]],tbl_Case_mins[[#This Row],[Anaesth End]]-1440,0)</f>
        <v>#REF!</v>
      </c>
      <c r="BY410" s="9" t="e">
        <f>tbl_Case_mins[[#This Row],[Total_NonCore]]-tbl_Case_mins[[#This Row],[NextDay_NonCore]]</f>
        <v>#REF!</v>
      </c>
      <c r="BZ410" s="10" t="e">
        <f>tbl_Case_mins[[#This Row],[InCoreUse]]/60</f>
        <v>#REF!</v>
      </c>
      <c r="CA410" s="10" t="e">
        <f>tbl_Case_mins[[#This Row],[Total_NonCore]]/60</f>
        <v>#REF!</v>
      </c>
      <c r="CB410" t="e" cm="1">
        <f t="array" ref="CB4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0" s="9" t="e" cm="1">
        <f t="array" ref="CC41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0" s="9" t="e" cm="1">
        <f t="array" ref="CD41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0" s="9" t="e" cm="1">
        <f t="array" ref="CE41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0" s="9" cm="1">
        <f t="array" ref="CF410">IFERROR(_xlfn.AGGREGATE(14,6,(tbl_Case_mins[Rank_AnaEnd])/((tbl_Case_mins[Surgery Start Date]=tbl_Case_mins[[#This Row],[Surgery Start Date]])*(tbl_Case_mins[Theatre]=tbl_Case_mins[[#This Row],[Theatre]])*(tbl_Case_mins[NoInCoreTime]=0)),1),-1)</f>
        <v>-1</v>
      </c>
      <c r="CG410" s="9" cm="1">
        <f t="array" ref="CG410">IFERROR(_xlfn.AGGREGATE(15,6,(tbl_Case_mins[Rank_AnaSt])/((tbl_Case_mins[Surgery Start Date]=tbl_Case_mins[[#This Row],[Surgery Start Date]])*(tbl_Case_mins[Theatre]=tbl_Case_mins[[#This Row],[Theatre]])*(tbl_Case_mins[NoInCoreTime]=0)),1),-1)</f>
        <v>-1</v>
      </c>
      <c r="CH41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0" t="e" cm="1">
        <f t="array" ref="CJ41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0" s="9" cm="1">
        <f t="array" ref="CO4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0" s="9" cm="1">
        <f t="array" ref="CP41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0" s="9" cm="1">
        <f t="array" ref="CQ410">IFERROR(IF(AND(tbl_Case_mins[[#This Row],[FirstAMCase]]=0,tbl_Case_mins[[#This Row],[Rank]]=_xlfn.AGGREGATE(14,6,(tbl_Case_mins[Rank])/((tbl_Case_mins[Surgery Start Date]=tbl_Case_mins[[#This Row],[Surgery Start Date]])*(tbl_Case_mins[Theatre]=tbl_Case_mins[[#This Row],[Theatre]])*(tbl_Case_mins[AmCase]=1)),1)),1,0),0)</f>
        <v>0</v>
      </c>
      <c r="CR410" s="9" cm="1">
        <f t="array" ref="CR41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0" s="9" t="e" cm="1">
        <f t="array" ref="CS41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0" s="9" cm="1">
        <f t="array" ref="CT410">IFERROR(IF(tbl_Case_mins[[#This Row],[Rank]]=_xlfn.AGGREGATE(15,6,(tbl_Case_mins[Rank])/((tbl_Case_mins[Surgery Start Date]=tbl_Case_mins[[#This Row],[Surgery Start Date]])*(tbl_Case_mins[Theatre]=tbl_Case_mins[[#This Row],[Theatre]])*(tbl_Case_mins[PmCase]=1)),1),1,0),0)</f>
        <v>0</v>
      </c>
      <c r="CU410">
        <f>IFERROR(#REF!,0)</f>
        <v>0</v>
      </c>
      <c r="CV410" s="9" t="e" cm="1">
        <f t="array" ref="CV41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0" s="9">
        <f>IFERROR(IF(ISBLANK(INDEX(Bay_AmClose,MATCH(1,INDEX((tbl_Case_mins[[#This Row],[Bay]]=BayNo)*(tbl_Case_mins[[#This Row],[Surgery Start Date]]=BDate),0,1),0))*1440),0,INDEX(Bay_AmClose,MATCH(1,INDEX((tbl_Case_mins[[#This Row],[Bay]]=BayNo)*(tbl_Case_mins[[#This Row],[Surgery Start Date]]=BDate),0,1),0))*1440),0)</f>
        <v>0</v>
      </c>
      <c r="CX410" s="9" cm="1">
        <f t="array" ref="CX410">IFERROR(IF(ISBLANK(INDEX(Bay_PmOpen,MATCH(1,INDEX((tbl_Case_mins[[#This Row],[Bay]]=BayNo)*(tbl_Case_mins[[#This Row],[Surgery Start Date]]=BDate),0,1),0))*1440),0,INDEX(Bay_PmOpen,MATCH(1,INDEX((tbl_Case_mins[[#This Row],[Bay]]=BayNo)*(tbl_Case_mins[[#This Row],[Surgery Start Date]]=BDate),0,1),0))*1440),0)</f>
        <v>0</v>
      </c>
      <c r="CY41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0" s="9"/>
    </row>
    <row r="411" spans="1:104" x14ac:dyDescent="0.2">
      <c r="A411">
        <v>410</v>
      </c>
      <c r="B411" t="e">
        <f>#REF!</f>
        <v>#REF!</v>
      </c>
      <c r="C411" t="e">
        <f>#REF!</f>
        <v>#REF!</v>
      </c>
      <c r="D411" t="e">
        <f>#REF!</f>
        <v>#REF!</v>
      </c>
      <c r="E411" t="e">
        <f>#REF!</f>
        <v>#REF!</v>
      </c>
      <c r="F411" t="e">
        <f>#REF!</f>
        <v>#REF!</v>
      </c>
      <c r="G411" t="e">
        <f>#REF!</f>
        <v>#REF!</v>
      </c>
      <c r="H411" t="e">
        <f>#REF!</f>
        <v>#REF!</v>
      </c>
      <c r="I411" t="e">
        <f>IF(#REF!="Case Cancelled",1,IF(#REF!="No Cases",2,0))</f>
        <v>#REF!</v>
      </c>
      <c r="J411" t="e">
        <f>#REF!</f>
        <v>#REF!</v>
      </c>
      <c r="K411" s="4" t="e">
        <f>#REF!</f>
        <v>#REF!</v>
      </c>
      <c r="L411" t="e">
        <f>"Wk "&amp;WEEKNUM(tbl_Case_mins[[#This Row],[Surgery Start Date]],21)</f>
        <v>#REF!</v>
      </c>
      <c r="M411" t="e">
        <f>TEXT(tbl_Case_mins[[#This Row],[Surgery Start Date]],"ddd")</f>
        <v>#REF!</v>
      </c>
      <c r="N411" s="9" t="e">
        <f>(#REF!-TIME(0,0,0))*1440</f>
        <v>#REF!</v>
      </c>
      <c r="O411" t="e">
        <f>IF(AND(ROUND((#REF!-TIME(0,0,0))*1440,0)&gt;0,ROUND((#REF!-TIME(0,0,0))*1440,0)&lt;tbl_Case_mins[[#This Row],[Patient Called]],tbl_Case_mins[[#This Row],[Surgery End Date]]&gt;tbl_Case_mins[[#This Row],[Surgery Start Date]]),ROUND((#REF!-TIME(0,0,0))*1440,0)+1440,ROUND((#REF!-TIME(0,0,0))*1440,0))</f>
        <v>#REF!</v>
      </c>
      <c r="P411" s="9" t="e">
        <f>IF(AND(ROUND((#REF!-TIME(0,0,0))*1440,0)&gt;0,ROUND((#REF!-TIME(0,0,0))*1440,0)&lt;tbl_Case_mins[[#This Row],[Arrival]],tbl_Case_mins[[#This Row],[Surgery End Date]]&gt;tbl_Case_mins[[#This Row],[Surgery Start Date]]),ROUND((#REF!-TIME(0,0,0))*1440,0)+1440,ROUND((#REF!-TIME(0,0,0))*1440,0))</f>
        <v>#REF!</v>
      </c>
      <c r="Q411" s="9" t="e">
        <f>IF(AND(ROUND((#REF!-TIME(0,0,0))*1440,0)&gt;0,ROUND((#REF!-TIME(0,0,0))*1440,0)&lt;tbl_Case_mins[[#This Row],[Into Th or AR]],tbl_Case_mins[[#This Row],[Surgery End Date]]&gt;tbl_Case_mins[[#This Row],[Surgery Start Date]]),ROUND((#REF!-TIME(0,0,0))*1440,0)+1440,ROUND((#REF!-TIME(0,0,0))*1440,0))</f>
        <v>#REF!</v>
      </c>
      <c r="R411" s="9" t="e">
        <f>IF(AND(ROUND((#REF!-TIME(0,0,0))*1440,0)&gt;0,ROUND((#REF!-TIME(0,0,0))*1440,0)&lt;tbl_Case_mins[[#This Row],[AnaesthStart]],tbl_Case_mins[[#This Row],[Surgery End Date]]&gt;tbl_Case_mins[[#This Row],[Surgery Start Date]]),ROUND((#REF!-TIME(0,0,0))*1440,0)+1440,ROUND((#REF!-TIME(0,0,0))*1440,0))</f>
        <v>#REF!</v>
      </c>
      <c r="S411" s="9" t="e">
        <f>IF(AND(ROUND((#REF!-TIME(0,0,0))*1440,0),ROUND((#REF!-TIME(0,0,0))*1440,0)&lt;tbl_Case_mins[[#This Row],[Surgery Start]],tbl_Case_mins[[#This Row],[Surgery End Date]]&gt;tbl_Case_mins[[#This Row],[Surgery Start Date]]),ROUND((#REF!-TIME(0,0,0))*1440,0)+1440,ROUND((#REF!-TIME(0,0,0))*1440,0))</f>
        <v>#REF!</v>
      </c>
      <c r="T411" s="9" t="e">
        <f>IF(AND(ROUND((#REF!-TIME(0,0,0))*1440,0)&gt;0,ROUND((#REF!-TIME(0,0,0))*1440,0)&lt;tbl_Case_mins[[#This Row],[Surgery Finish]],tbl_Case_mins[[#This Row],[Surgery End Date]]&gt;tbl_Case_mins[[#This Row],[Surgery Start Date]]),ROUND((#REF!-TIME(0,0,0))*1440,0)+1440,ROUND((#REF!-TIME(0,0,0))*1440,0))</f>
        <v>#REF!</v>
      </c>
      <c r="U411" s="9" t="e">
        <f>IF(AND(ROUND((#REF!-TIME(0,0,0))*1440,0)&gt;0,ROUND((#REF!-TIME(0,0,0))*1440,0)&lt;tbl_Case_mins[[#This Row],[Anaesth End]],tbl_Case_mins[[#This Row],[Surgery End Date]]&gt;tbl_Case_mins[[#This Row],[Surgery Start Date]]),ROUND((#REF!-TIME(0,0,0))*1440,0)+1440,ROUND((#REF!-TIME(0,0,0))*1440,0))</f>
        <v>#REF!</v>
      </c>
      <c r="V411" s="9" t="e">
        <f>IF(AND(ROUND((#REF!-TIME(0,0,0))*1440,0)&gt;0,ROUND((#REF!-TIME(0,0,0))*1440,0)&lt;tbl_Case_mins[[#This Row],[Into Recov]],tbl_Case_mins[[#This Row],[Surgery End Date]]&gt;tbl_Case_mins[[#This Row],[Surgery Start Date]]),ROUND((#REF!-TIME(0,0,0))*1440,0)+1440,ROUND((#REF!-TIME(0,0,0))*1440,0))</f>
        <v>#REF!</v>
      </c>
      <c r="W411" s="9" t="e">
        <f>IF(AND(ROUND((#REF!-TIME(0,0,0))*1440,0)&gt;0,ROUND((#REF!-TIME(0,0,0))*1440,0)&lt;tbl_Case_mins[[#This Row],[Ward Called]],tbl_Case_mins[[#This Row],[Surgery End Date]]&gt;tbl_Case_mins[[#This Row],[Surgery Start Date]]),ROUND((#REF!-TIME(0,0,0))*1440,0)+1440,ROUND((#REF!-TIME(0,0,0))*1440,0))</f>
        <v>#REF!</v>
      </c>
      <c r="X411" s="4" t="e">
        <f>IF(ISBLANK(#REF!),tbl_Case_mins[[#This Row],[Surgery Start Date]],#REF!)</f>
        <v>#REF!</v>
      </c>
      <c r="Y411">
        <f>IFERROR(IF(VLOOKUP(tbl_Case_mins[[#This Row],[Theatre]],'Mng Theatres'!$C$7:$G$12,3,FALSE)="Yes","Yes","No"),0)</f>
        <v>0</v>
      </c>
      <c r="Z411" s="9" t="e" cm="1">
        <f t="array" ref="Z41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1" s="9" t="e" cm="1">
        <f t="array" ref="AA41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1" s="9" t="e">
        <f>IF(tbl_Case_mins[[#This Row],[Case Type]]="Unsch",1,0)</f>
        <v>#REF!</v>
      </c>
      <c r="AD411" s="9" t="e">
        <f>IF(tbl_Case_mins[[#This Row],[Case Type]]="Sch",1,0)</f>
        <v>#REF!</v>
      </c>
      <c r="AE41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1" s="9">
        <f>IFERROR(IF(ISBLANK(INDEX(Am_Close,MATCH(1,INDEX((tbl_Case_mins[[#This Row],[Theatre]]=Theatre_No)*(tbl_Case_mins[[#This Row],[Surgery Start Date]]=Date),0,1),0))*1440),0,INDEX(Am_Close,MATCH(1,INDEX((tbl_Case_mins[[#This Row],[Theatre]]=Theatre_No)*(tbl_Case_mins[[#This Row],[Surgery Start Date]]=Date),0,1),0))*1440),0)</f>
        <v>0</v>
      </c>
      <c r="AG411" s="9">
        <f>IFERROR(IF(ISBLANK(INDEX(PM_Open,MATCH(1,INDEX((tbl_Case_mins[[#This Row],[Theatre]]=Theatre_No)*(tbl_Case_mins[[#This Row],[Surgery Start Date]]=Date),0,1),0))*1440),0,INDEX(PM_Open,MATCH(1,INDEX((tbl_Case_mins[[#This Row],[Theatre]]=Theatre_No)*(tbl_Case_mins[[#This Row],[Surgery Start Date]]=Date),0,1),0))*1440),0)</f>
        <v>0</v>
      </c>
      <c r="AH41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1" s="9" t="e">
        <f>IF(tbl_Case_mins[[#This Row],[ThOpenAm]]=0,tbl_Case_mins[[#This Row],[ThOpenPM]],tbl_Case_mins[[#This Row],[ThOpenAm]])</f>
        <v>#REF!</v>
      </c>
      <c r="AJ411" s="9" t="e">
        <f>IF(tbl_Case_mins[[#This Row],[ThCloseAm]]&gt;0,IF(tbl_Case_mins[[#This Row],[ThOpenPM]]&gt;0,tbl_Case_mins[[#This Row],[ThClosePm]],tbl_Case_mins[[#This Row],[ThCloseAm]]),tbl_Case_mins[[#This Row],[ThClosePm]])</f>
        <v>#REF!</v>
      </c>
      <c r="AK411" s="9" t="e">
        <f>IF(tbl_Case_mins[[#This Row],[TOT]]&gt;0,1,0)</f>
        <v>#REF!</v>
      </c>
      <c r="AL41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1" s="9" t="e">
        <f>IF(AND(tbl_Case_mins[[#This Row],[Surgery Status]]&lt;&gt;2,tbl_Case_mins[[#This Row],[InCoreCase]]=0,tbl_Case_mins[[#This Row],[CancelledCase]]=0),1,0)</f>
        <v>#REF!</v>
      </c>
      <c r="AN411" s="9" t="e">
        <f>IF(tbl_Case_mins[[#This Row],[Surgery Status]]=1,1,0)</f>
        <v>#REF!</v>
      </c>
      <c r="AO41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1" s="9" t="e">
        <f>IF(AND(tbl_Case_mins[[#This Row],[NonCoreCase]]=1,tbl_Case_mins[[#This Row],[NoInCoreTime]]=0),1,0)</f>
        <v>#REF!</v>
      </c>
      <c r="AQ411" s="9" t="e">
        <f>IF(tbl_Case_mins[[#This Row],[Rank_AnaEnd]]&lt;tbl_Case_mins[[#This Row],[Rank_AnaSt]],1,0)</f>
        <v>#REF!</v>
      </c>
      <c r="AR411" s="9" t="e">
        <f>IF(AND(tbl_Case_mins[[#This Row],[InCoreCase]]=1,tbl_Case_mins[[#This Row],[Sch]]=1),1,0)</f>
        <v>#REF!</v>
      </c>
      <c r="AS411" s="9" t="e">
        <f>IF(AND(tbl_Case_mins[[#This Row],[InCoreCase]]=1,tbl_Case_mins[[#This Row],[Unsch]]=1),1,0)</f>
        <v>#REF!</v>
      </c>
      <c r="AT41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1" s="9" t="e">
        <f>IF(tbl_Case_mins[[#This Row],[Surgery Status]]=0,(tbl_Case_mins[[#This Row],[Anaesth End]]-tbl_Case_mins[[#This Row],[AnaesthStart]]),0)</f>
        <v>#REF!</v>
      </c>
      <c r="AX411" s="9" t="e">
        <f>IF(tbl_Case_mins[[#This Row],[Surgery Status]]=0,(tbl_Case_mins[[#This Row],[Surgery Finish]]-tbl_Case_mins[[#This Row],[Surgery Start]]),0)</f>
        <v>#REF!</v>
      </c>
      <c r="AY411" s="9" t="e">
        <f>tbl_Case_mins[[#This Row],[Surgery Start]]-tbl_Case_mins[[#This Row],[AnaesthStart]]</f>
        <v>#REF!</v>
      </c>
      <c r="AZ411" s="9" t="e">
        <f>tbl_Case_mins[[#This Row],[Anaesth End]]-tbl_Case_mins[[#This Row],[Surgery Finish]]</f>
        <v>#REF!</v>
      </c>
      <c r="BA41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1" s="16" cm="1">
        <f t="array" ref="BC41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1" s="16" t="e">
        <f>IF(AND(tbl_Case_mins[[#This Row],[FirstAMCase]]=1,tbl_Case_mins[[#This Row],[CancelledCase]]=0,OR(tbl_Case_mins[[#This Row],[EarlyStartAM]]&gt;0,tbl_Case_mins[[#This Row],[AnaesthStart]]=tbl_Case_mins[[#This Row],[ThOpenAm]])),1,0)</f>
        <v>#REF!</v>
      </c>
      <c r="BE411" s="16" t="e">
        <f>IF(AND(tbl_Case_mins[[#This Row],[Rank_AnaSt]]=tbl_Case_mins[[#This Row],[Min_RankAnaSt]],tbl_Case_mins[[#This Row],[Anaesth End]]&gt;=tbl_Case_mins[[#This Row],[ThOpenAm]],tbl_Case_mins[[#This Row],[PmCase]]=0),1,0)</f>
        <v>#REF!</v>
      </c>
      <c r="BF41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1" s="9" t="e" cm="1">
        <f t="array" ref="BH41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1" s="9" t="e">
        <f>IF(AND(tbl_Case_mins[[#This Row],[ThOpenPM]]&gt;0,tbl_Case_mins[[#This Row],[AnaesthStart]]&gt;tbl_Case_mins[[#This Row],[ThOpenPM]],tbl_Case_mins[[#This Row],[First PM Case]]=1),tbl_Case_mins[[#This Row],[AnaesthStart]]-tbl_Case_mins[[#This Row],[ThOpenPM]],0)</f>
        <v>#REF!</v>
      </c>
      <c r="BL41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1" s="9" t="e" cm="1">
        <f t="array" ref="BN41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1" s="9" t="e">
        <f>IF(AND(tbl_Case_mins[[#This Row],[ThClosePm]]&gt;0,tbl_Case_mins[[#This Row],[Anaesth End]]&gt;tbl_Case_mins[[#This Row],[ThClosePm]],tbl_Case_mins[[#This Row],[AnaesthStart]]&gt;tbl_Case_mins[[#This Row],[ThClosePm]]),tbl_Case_mins[[#This Row],[Into Recov]]-tbl_Case_mins[[#This Row],[AnaesthStart]],0)</f>
        <v>#REF!</v>
      </c>
      <c r="BP411" s="9" t="e">
        <f>IF(AND(tbl_Case_mins[[#This Row],[AnaesthStart]]&lt;tbl_Case_mins[[#This Row],[ThClosePm]],tbl_Case_mins[[#This Row],[Anaesth End]]&gt;tbl_Case_mins[[#This Row],[ThClosePm]]),tbl_Case_mins[[#This Row],[Anaesth End]]-tbl_Case_mins[[#This Row],[ThClosePm]],0)</f>
        <v>#REF!</v>
      </c>
      <c r="BQ411" s="9" t="e" cm="1">
        <f t="array" ref="BQ41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1" s="9" t="e" cm="1">
        <f t="array" ref="BR411">IF(tbl_Case_mins[[#This Row],[Rank_Adjust]]=SUMPRODUCT(-(tbl_Case_mins[Surgery Start Date]=tbl_Case_mins[[#This Row],[Surgery Start Date]]),-(tbl_Case_mins[Theatre]=tbl_Case_mins[[#This Row],[Theatre]])),INDEX(Poss_Time,MATCH(TEXT(tbl_Case_mins[[#This Row],[Surgery Start Date]],"ddd"),Day,0)),0)</f>
        <v>#REF!</v>
      </c>
      <c r="BS411" s="9" t="e">
        <f>tbl_Case_mins[[#This Row],[Core_Time]]*Util_Goal</f>
        <v>#REF!</v>
      </c>
      <c r="BT411" s="9" t="e" cm="1">
        <f t="array" ref="BT4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1" s="9" t="e" cm="1">
        <f t="array" ref="BU41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1" s="9" t="e">
        <f>IF(tbl_Case_mins[[#This Row],[Surgery End Date]]&gt;tbl_Case_mins[[#This Row],[Surgery Start Date]],tbl_Case_mins[[#This Row],[Anaesth End]]-1440,0)</f>
        <v>#REF!</v>
      </c>
      <c r="BY411" s="9" t="e">
        <f>tbl_Case_mins[[#This Row],[Total_NonCore]]-tbl_Case_mins[[#This Row],[NextDay_NonCore]]</f>
        <v>#REF!</v>
      </c>
      <c r="BZ411" s="10" t="e">
        <f>tbl_Case_mins[[#This Row],[InCoreUse]]/60</f>
        <v>#REF!</v>
      </c>
      <c r="CA411" s="10" t="e">
        <f>tbl_Case_mins[[#This Row],[Total_NonCore]]/60</f>
        <v>#REF!</v>
      </c>
      <c r="CB411" t="e" cm="1">
        <f t="array" ref="CB4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1" s="9" t="e" cm="1">
        <f t="array" ref="CC41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1" s="9" t="e" cm="1">
        <f t="array" ref="CD41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1" s="9" t="e" cm="1">
        <f t="array" ref="CE41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1" s="9" cm="1">
        <f t="array" ref="CF411">IFERROR(_xlfn.AGGREGATE(14,6,(tbl_Case_mins[Rank_AnaEnd])/((tbl_Case_mins[Surgery Start Date]=tbl_Case_mins[[#This Row],[Surgery Start Date]])*(tbl_Case_mins[Theatre]=tbl_Case_mins[[#This Row],[Theatre]])*(tbl_Case_mins[NoInCoreTime]=0)),1),-1)</f>
        <v>-1</v>
      </c>
      <c r="CG411" s="9" cm="1">
        <f t="array" ref="CG411">IFERROR(_xlfn.AGGREGATE(15,6,(tbl_Case_mins[Rank_AnaSt])/((tbl_Case_mins[Surgery Start Date]=tbl_Case_mins[[#This Row],[Surgery Start Date]])*(tbl_Case_mins[Theatre]=tbl_Case_mins[[#This Row],[Theatre]])*(tbl_Case_mins[NoInCoreTime]=0)),1),-1)</f>
        <v>-1</v>
      </c>
      <c r="CH41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1" t="e" cm="1">
        <f t="array" ref="CJ41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1" s="9" cm="1">
        <f t="array" ref="CO4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1" s="9" cm="1">
        <f t="array" ref="CP41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1" s="9" cm="1">
        <f t="array" ref="CQ411">IFERROR(IF(AND(tbl_Case_mins[[#This Row],[FirstAMCase]]=0,tbl_Case_mins[[#This Row],[Rank]]=_xlfn.AGGREGATE(14,6,(tbl_Case_mins[Rank])/((tbl_Case_mins[Surgery Start Date]=tbl_Case_mins[[#This Row],[Surgery Start Date]])*(tbl_Case_mins[Theatre]=tbl_Case_mins[[#This Row],[Theatre]])*(tbl_Case_mins[AmCase]=1)),1)),1,0),0)</f>
        <v>0</v>
      </c>
      <c r="CR411" s="9" cm="1">
        <f t="array" ref="CR41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1" s="9" t="e" cm="1">
        <f t="array" ref="CS41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1" s="9" cm="1">
        <f t="array" ref="CT411">IFERROR(IF(tbl_Case_mins[[#This Row],[Rank]]=_xlfn.AGGREGATE(15,6,(tbl_Case_mins[Rank])/((tbl_Case_mins[Surgery Start Date]=tbl_Case_mins[[#This Row],[Surgery Start Date]])*(tbl_Case_mins[Theatre]=tbl_Case_mins[[#This Row],[Theatre]])*(tbl_Case_mins[PmCase]=1)),1),1,0),0)</f>
        <v>0</v>
      </c>
      <c r="CU411">
        <f>IFERROR(#REF!,0)</f>
        <v>0</v>
      </c>
      <c r="CV411" s="9" t="e" cm="1">
        <f t="array" ref="CV41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1" s="9">
        <f>IFERROR(IF(ISBLANK(INDEX(Bay_AmClose,MATCH(1,INDEX((tbl_Case_mins[[#This Row],[Bay]]=BayNo)*(tbl_Case_mins[[#This Row],[Surgery Start Date]]=BDate),0,1),0))*1440),0,INDEX(Bay_AmClose,MATCH(1,INDEX((tbl_Case_mins[[#This Row],[Bay]]=BayNo)*(tbl_Case_mins[[#This Row],[Surgery Start Date]]=BDate),0,1),0))*1440),0)</f>
        <v>0</v>
      </c>
      <c r="CX411" s="9" cm="1">
        <f t="array" ref="CX411">IFERROR(IF(ISBLANK(INDEX(Bay_PmOpen,MATCH(1,INDEX((tbl_Case_mins[[#This Row],[Bay]]=BayNo)*(tbl_Case_mins[[#This Row],[Surgery Start Date]]=BDate),0,1),0))*1440),0,INDEX(Bay_PmOpen,MATCH(1,INDEX((tbl_Case_mins[[#This Row],[Bay]]=BayNo)*(tbl_Case_mins[[#This Row],[Surgery Start Date]]=BDate),0,1),0))*1440),0)</f>
        <v>0</v>
      </c>
      <c r="CY41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1" s="9"/>
    </row>
    <row r="412" spans="1:104" x14ac:dyDescent="0.2">
      <c r="A412">
        <v>411</v>
      </c>
      <c r="B412" t="e">
        <f>#REF!</f>
        <v>#REF!</v>
      </c>
      <c r="C412" t="e">
        <f>#REF!</f>
        <v>#REF!</v>
      </c>
      <c r="D412" t="e">
        <f>#REF!</f>
        <v>#REF!</v>
      </c>
      <c r="E412" t="e">
        <f>#REF!</f>
        <v>#REF!</v>
      </c>
      <c r="F412" t="e">
        <f>#REF!</f>
        <v>#REF!</v>
      </c>
      <c r="G412" t="e">
        <f>#REF!</f>
        <v>#REF!</v>
      </c>
      <c r="H412" t="e">
        <f>#REF!</f>
        <v>#REF!</v>
      </c>
      <c r="I412" t="e">
        <f>IF(#REF!="Case Cancelled",1,IF(#REF!="No Cases",2,0))</f>
        <v>#REF!</v>
      </c>
      <c r="J412" t="e">
        <f>#REF!</f>
        <v>#REF!</v>
      </c>
      <c r="K412" s="4" t="e">
        <f>#REF!</f>
        <v>#REF!</v>
      </c>
      <c r="L412" t="e">
        <f>"Wk "&amp;WEEKNUM(tbl_Case_mins[[#This Row],[Surgery Start Date]],21)</f>
        <v>#REF!</v>
      </c>
      <c r="M412" t="e">
        <f>TEXT(tbl_Case_mins[[#This Row],[Surgery Start Date]],"ddd")</f>
        <v>#REF!</v>
      </c>
      <c r="N412" s="9" t="e">
        <f>(#REF!-TIME(0,0,0))*1440</f>
        <v>#REF!</v>
      </c>
      <c r="O412" t="e">
        <f>IF(AND(ROUND((#REF!-TIME(0,0,0))*1440,0)&gt;0,ROUND((#REF!-TIME(0,0,0))*1440,0)&lt;tbl_Case_mins[[#This Row],[Patient Called]],tbl_Case_mins[[#This Row],[Surgery End Date]]&gt;tbl_Case_mins[[#This Row],[Surgery Start Date]]),ROUND((#REF!-TIME(0,0,0))*1440,0)+1440,ROUND((#REF!-TIME(0,0,0))*1440,0))</f>
        <v>#REF!</v>
      </c>
      <c r="P412" s="9" t="e">
        <f>IF(AND(ROUND((#REF!-TIME(0,0,0))*1440,0)&gt;0,ROUND((#REF!-TIME(0,0,0))*1440,0)&lt;tbl_Case_mins[[#This Row],[Arrival]],tbl_Case_mins[[#This Row],[Surgery End Date]]&gt;tbl_Case_mins[[#This Row],[Surgery Start Date]]),ROUND((#REF!-TIME(0,0,0))*1440,0)+1440,ROUND((#REF!-TIME(0,0,0))*1440,0))</f>
        <v>#REF!</v>
      </c>
      <c r="Q412" s="9" t="e">
        <f>IF(AND(ROUND((#REF!-TIME(0,0,0))*1440,0)&gt;0,ROUND((#REF!-TIME(0,0,0))*1440,0)&lt;tbl_Case_mins[[#This Row],[Into Th or AR]],tbl_Case_mins[[#This Row],[Surgery End Date]]&gt;tbl_Case_mins[[#This Row],[Surgery Start Date]]),ROUND((#REF!-TIME(0,0,0))*1440,0)+1440,ROUND((#REF!-TIME(0,0,0))*1440,0))</f>
        <v>#REF!</v>
      </c>
      <c r="R412" s="9" t="e">
        <f>IF(AND(ROUND((#REF!-TIME(0,0,0))*1440,0)&gt;0,ROUND((#REF!-TIME(0,0,0))*1440,0)&lt;tbl_Case_mins[[#This Row],[AnaesthStart]],tbl_Case_mins[[#This Row],[Surgery End Date]]&gt;tbl_Case_mins[[#This Row],[Surgery Start Date]]),ROUND((#REF!-TIME(0,0,0))*1440,0)+1440,ROUND((#REF!-TIME(0,0,0))*1440,0))</f>
        <v>#REF!</v>
      </c>
      <c r="S412" s="9" t="e">
        <f>IF(AND(ROUND((#REF!-TIME(0,0,0))*1440,0),ROUND((#REF!-TIME(0,0,0))*1440,0)&lt;tbl_Case_mins[[#This Row],[Surgery Start]],tbl_Case_mins[[#This Row],[Surgery End Date]]&gt;tbl_Case_mins[[#This Row],[Surgery Start Date]]),ROUND((#REF!-TIME(0,0,0))*1440,0)+1440,ROUND((#REF!-TIME(0,0,0))*1440,0))</f>
        <v>#REF!</v>
      </c>
      <c r="T412" s="9" t="e">
        <f>IF(AND(ROUND((#REF!-TIME(0,0,0))*1440,0)&gt;0,ROUND((#REF!-TIME(0,0,0))*1440,0)&lt;tbl_Case_mins[[#This Row],[Surgery Finish]],tbl_Case_mins[[#This Row],[Surgery End Date]]&gt;tbl_Case_mins[[#This Row],[Surgery Start Date]]),ROUND((#REF!-TIME(0,0,0))*1440,0)+1440,ROUND((#REF!-TIME(0,0,0))*1440,0))</f>
        <v>#REF!</v>
      </c>
      <c r="U412" s="9" t="e">
        <f>IF(AND(ROUND((#REF!-TIME(0,0,0))*1440,0)&gt;0,ROUND((#REF!-TIME(0,0,0))*1440,0)&lt;tbl_Case_mins[[#This Row],[Anaesth End]],tbl_Case_mins[[#This Row],[Surgery End Date]]&gt;tbl_Case_mins[[#This Row],[Surgery Start Date]]),ROUND((#REF!-TIME(0,0,0))*1440,0)+1440,ROUND((#REF!-TIME(0,0,0))*1440,0))</f>
        <v>#REF!</v>
      </c>
      <c r="V412" s="9" t="e">
        <f>IF(AND(ROUND((#REF!-TIME(0,0,0))*1440,0)&gt;0,ROUND((#REF!-TIME(0,0,0))*1440,0)&lt;tbl_Case_mins[[#This Row],[Into Recov]],tbl_Case_mins[[#This Row],[Surgery End Date]]&gt;tbl_Case_mins[[#This Row],[Surgery Start Date]]),ROUND((#REF!-TIME(0,0,0))*1440,0)+1440,ROUND((#REF!-TIME(0,0,0))*1440,0))</f>
        <v>#REF!</v>
      </c>
      <c r="W412" s="9" t="e">
        <f>IF(AND(ROUND((#REF!-TIME(0,0,0))*1440,0)&gt;0,ROUND((#REF!-TIME(0,0,0))*1440,0)&lt;tbl_Case_mins[[#This Row],[Ward Called]],tbl_Case_mins[[#This Row],[Surgery End Date]]&gt;tbl_Case_mins[[#This Row],[Surgery Start Date]]),ROUND((#REF!-TIME(0,0,0))*1440,0)+1440,ROUND((#REF!-TIME(0,0,0))*1440,0))</f>
        <v>#REF!</v>
      </c>
      <c r="X412" s="4" t="e">
        <f>IF(ISBLANK(#REF!),tbl_Case_mins[[#This Row],[Surgery Start Date]],#REF!)</f>
        <v>#REF!</v>
      </c>
      <c r="Y412">
        <f>IFERROR(IF(VLOOKUP(tbl_Case_mins[[#This Row],[Theatre]],'Mng Theatres'!$C$7:$G$12,3,FALSE)="Yes","Yes","No"),0)</f>
        <v>0</v>
      </c>
      <c r="Z412" s="9" t="e" cm="1">
        <f t="array" ref="Z41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2" s="9" t="e" cm="1">
        <f t="array" ref="AA41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2" s="9" t="e">
        <f>IF(tbl_Case_mins[[#This Row],[Case Type]]="Unsch",1,0)</f>
        <v>#REF!</v>
      </c>
      <c r="AD412" s="9" t="e">
        <f>IF(tbl_Case_mins[[#This Row],[Case Type]]="Sch",1,0)</f>
        <v>#REF!</v>
      </c>
      <c r="AE41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2" s="9">
        <f>IFERROR(IF(ISBLANK(INDEX(Am_Close,MATCH(1,INDEX((tbl_Case_mins[[#This Row],[Theatre]]=Theatre_No)*(tbl_Case_mins[[#This Row],[Surgery Start Date]]=Date),0,1),0))*1440),0,INDEX(Am_Close,MATCH(1,INDEX((tbl_Case_mins[[#This Row],[Theatre]]=Theatre_No)*(tbl_Case_mins[[#This Row],[Surgery Start Date]]=Date),0,1),0))*1440),0)</f>
        <v>0</v>
      </c>
      <c r="AG412" s="9">
        <f>IFERROR(IF(ISBLANK(INDEX(PM_Open,MATCH(1,INDEX((tbl_Case_mins[[#This Row],[Theatre]]=Theatre_No)*(tbl_Case_mins[[#This Row],[Surgery Start Date]]=Date),0,1),0))*1440),0,INDEX(PM_Open,MATCH(1,INDEX((tbl_Case_mins[[#This Row],[Theatre]]=Theatre_No)*(tbl_Case_mins[[#This Row],[Surgery Start Date]]=Date),0,1),0))*1440),0)</f>
        <v>0</v>
      </c>
      <c r="AH41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2" s="9" t="e">
        <f>IF(tbl_Case_mins[[#This Row],[ThOpenAm]]=0,tbl_Case_mins[[#This Row],[ThOpenPM]],tbl_Case_mins[[#This Row],[ThOpenAm]])</f>
        <v>#REF!</v>
      </c>
      <c r="AJ412" s="9" t="e">
        <f>IF(tbl_Case_mins[[#This Row],[ThCloseAm]]&gt;0,IF(tbl_Case_mins[[#This Row],[ThOpenPM]]&gt;0,tbl_Case_mins[[#This Row],[ThClosePm]],tbl_Case_mins[[#This Row],[ThCloseAm]]),tbl_Case_mins[[#This Row],[ThClosePm]])</f>
        <v>#REF!</v>
      </c>
      <c r="AK412" s="9" t="e">
        <f>IF(tbl_Case_mins[[#This Row],[TOT]]&gt;0,1,0)</f>
        <v>#REF!</v>
      </c>
      <c r="AL41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2" s="9" t="e">
        <f>IF(AND(tbl_Case_mins[[#This Row],[Surgery Status]]&lt;&gt;2,tbl_Case_mins[[#This Row],[InCoreCase]]=0,tbl_Case_mins[[#This Row],[CancelledCase]]=0),1,0)</f>
        <v>#REF!</v>
      </c>
      <c r="AN412" s="9" t="e">
        <f>IF(tbl_Case_mins[[#This Row],[Surgery Status]]=1,1,0)</f>
        <v>#REF!</v>
      </c>
      <c r="AO41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2" s="9" t="e">
        <f>IF(AND(tbl_Case_mins[[#This Row],[NonCoreCase]]=1,tbl_Case_mins[[#This Row],[NoInCoreTime]]=0),1,0)</f>
        <v>#REF!</v>
      </c>
      <c r="AQ412" s="9" t="e">
        <f>IF(tbl_Case_mins[[#This Row],[Rank_AnaEnd]]&lt;tbl_Case_mins[[#This Row],[Rank_AnaSt]],1,0)</f>
        <v>#REF!</v>
      </c>
      <c r="AR412" s="9" t="e">
        <f>IF(AND(tbl_Case_mins[[#This Row],[InCoreCase]]=1,tbl_Case_mins[[#This Row],[Sch]]=1),1,0)</f>
        <v>#REF!</v>
      </c>
      <c r="AS412" s="9" t="e">
        <f>IF(AND(tbl_Case_mins[[#This Row],[InCoreCase]]=1,tbl_Case_mins[[#This Row],[Unsch]]=1),1,0)</f>
        <v>#REF!</v>
      </c>
      <c r="AT41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2" s="9" t="e">
        <f>IF(tbl_Case_mins[[#This Row],[Surgery Status]]=0,(tbl_Case_mins[[#This Row],[Anaesth End]]-tbl_Case_mins[[#This Row],[AnaesthStart]]),0)</f>
        <v>#REF!</v>
      </c>
      <c r="AX412" s="9" t="e">
        <f>IF(tbl_Case_mins[[#This Row],[Surgery Status]]=0,(tbl_Case_mins[[#This Row],[Surgery Finish]]-tbl_Case_mins[[#This Row],[Surgery Start]]),0)</f>
        <v>#REF!</v>
      </c>
      <c r="AY412" s="9" t="e">
        <f>tbl_Case_mins[[#This Row],[Surgery Start]]-tbl_Case_mins[[#This Row],[AnaesthStart]]</f>
        <v>#REF!</v>
      </c>
      <c r="AZ412" s="9" t="e">
        <f>tbl_Case_mins[[#This Row],[Anaesth End]]-tbl_Case_mins[[#This Row],[Surgery Finish]]</f>
        <v>#REF!</v>
      </c>
      <c r="BA41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2" s="16" cm="1">
        <f t="array" ref="BC41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2" s="16" t="e">
        <f>IF(AND(tbl_Case_mins[[#This Row],[FirstAMCase]]=1,tbl_Case_mins[[#This Row],[CancelledCase]]=0,OR(tbl_Case_mins[[#This Row],[EarlyStartAM]]&gt;0,tbl_Case_mins[[#This Row],[AnaesthStart]]=tbl_Case_mins[[#This Row],[ThOpenAm]])),1,0)</f>
        <v>#REF!</v>
      </c>
      <c r="BE412" s="16" t="e">
        <f>IF(AND(tbl_Case_mins[[#This Row],[Rank_AnaSt]]=tbl_Case_mins[[#This Row],[Min_RankAnaSt]],tbl_Case_mins[[#This Row],[Anaesth End]]&gt;=tbl_Case_mins[[#This Row],[ThOpenAm]],tbl_Case_mins[[#This Row],[PmCase]]=0),1,0)</f>
        <v>#REF!</v>
      </c>
      <c r="BF41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2" s="9" t="e" cm="1">
        <f t="array" ref="BH41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2" s="9" t="e">
        <f>IF(AND(tbl_Case_mins[[#This Row],[ThOpenPM]]&gt;0,tbl_Case_mins[[#This Row],[AnaesthStart]]&gt;tbl_Case_mins[[#This Row],[ThOpenPM]],tbl_Case_mins[[#This Row],[First PM Case]]=1),tbl_Case_mins[[#This Row],[AnaesthStart]]-tbl_Case_mins[[#This Row],[ThOpenPM]],0)</f>
        <v>#REF!</v>
      </c>
      <c r="BL41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2" s="9" t="e" cm="1">
        <f t="array" ref="BN41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2" s="9" t="e">
        <f>IF(AND(tbl_Case_mins[[#This Row],[ThClosePm]]&gt;0,tbl_Case_mins[[#This Row],[Anaesth End]]&gt;tbl_Case_mins[[#This Row],[ThClosePm]],tbl_Case_mins[[#This Row],[AnaesthStart]]&gt;tbl_Case_mins[[#This Row],[ThClosePm]]),tbl_Case_mins[[#This Row],[Into Recov]]-tbl_Case_mins[[#This Row],[AnaesthStart]],0)</f>
        <v>#REF!</v>
      </c>
      <c r="BP412" s="9" t="e">
        <f>IF(AND(tbl_Case_mins[[#This Row],[AnaesthStart]]&lt;tbl_Case_mins[[#This Row],[ThClosePm]],tbl_Case_mins[[#This Row],[Anaesth End]]&gt;tbl_Case_mins[[#This Row],[ThClosePm]]),tbl_Case_mins[[#This Row],[Anaesth End]]-tbl_Case_mins[[#This Row],[ThClosePm]],0)</f>
        <v>#REF!</v>
      </c>
      <c r="BQ412" s="9" t="e" cm="1">
        <f t="array" ref="BQ41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2" s="9" t="e" cm="1">
        <f t="array" ref="BR412">IF(tbl_Case_mins[[#This Row],[Rank_Adjust]]=SUMPRODUCT(-(tbl_Case_mins[Surgery Start Date]=tbl_Case_mins[[#This Row],[Surgery Start Date]]),-(tbl_Case_mins[Theatre]=tbl_Case_mins[[#This Row],[Theatre]])),INDEX(Poss_Time,MATCH(TEXT(tbl_Case_mins[[#This Row],[Surgery Start Date]],"ddd"),Day,0)),0)</f>
        <v>#REF!</v>
      </c>
      <c r="BS412" s="9" t="e">
        <f>tbl_Case_mins[[#This Row],[Core_Time]]*Util_Goal</f>
        <v>#REF!</v>
      </c>
      <c r="BT412" s="9" t="e" cm="1">
        <f t="array" ref="BT4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2" s="9" t="e" cm="1">
        <f t="array" ref="BU41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2" s="9" t="e">
        <f>IF(tbl_Case_mins[[#This Row],[Surgery End Date]]&gt;tbl_Case_mins[[#This Row],[Surgery Start Date]],tbl_Case_mins[[#This Row],[Anaesth End]]-1440,0)</f>
        <v>#REF!</v>
      </c>
      <c r="BY412" s="9" t="e">
        <f>tbl_Case_mins[[#This Row],[Total_NonCore]]-tbl_Case_mins[[#This Row],[NextDay_NonCore]]</f>
        <v>#REF!</v>
      </c>
      <c r="BZ412" s="10" t="e">
        <f>tbl_Case_mins[[#This Row],[InCoreUse]]/60</f>
        <v>#REF!</v>
      </c>
      <c r="CA412" s="10" t="e">
        <f>tbl_Case_mins[[#This Row],[Total_NonCore]]/60</f>
        <v>#REF!</v>
      </c>
      <c r="CB412" t="e" cm="1">
        <f t="array" ref="CB4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2" s="9" t="e" cm="1">
        <f t="array" ref="CC41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2" s="9" t="e" cm="1">
        <f t="array" ref="CD41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2" s="9" t="e" cm="1">
        <f t="array" ref="CE41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2" s="9" cm="1">
        <f t="array" ref="CF412">IFERROR(_xlfn.AGGREGATE(14,6,(tbl_Case_mins[Rank_AnaEnd])/((tbl_Case_mins[Surgery Start Date]=tbl_Case_mins[[#This Row],[Surgery Start Date]])*(tbl_Case_mins[Theatre]=tbl_Case_mins[[#This Row],[Theatre]])*(tbl_Case_mins[NoInCoreTime]=0)),1),-1)</f>
        <v>-1</v>
      </c>
      <c r="CG412" s="9" cm="1">
        <f t="array" ref="CG412">IFERROR(_xlfn.AGGREGATE(15,6,(tbl_Case_mins[Rank_AnaSt])/((tbl_Case_mins[Surgery Start Date]=tbl_Case_mins[[#This Row],[Surgery Start Date]])*(tbl_Case_mins[Theatre]=tbl_Case_mins[[#This Row],[Theatre]])*(tbl_Case_mins[NoInCoreTime]=0)),1),-1)</f>
        <v>-1</v>
      </c>
      <c r="CH41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2" t="e" cm="1">
        <f t="array" ref="CJ41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2" s="9" cm="1">
        <f t="array" ref="CO4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2" s="9" cm="1">
        <f t="array" ref="CP41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2" s="9" cm="1">
        <f t="array" ref="CQ412">IFERROR(IF(AND(tbl_Case_mins[[#This Row],[FirstAMCase]]=0,tbl_Case_mins[[#This Row],[Rank]]=_xlfn.AGGREGATE(14,6,(tbl_Case_mins[Rank])/((tbl_Case_mins[Surgery Start Date]=tbl_Case_mins[[#This Row],[Surgery Start Date]])*(tbl_Case_mins[Theatre]=tbl_Case_mins[[#This Row],[Theatre]])*(tbl_Case_mins[AmCase]=1)),1)),1,0),0)</f>
        <v>0</v>
      </c>
      <c r="CR412" s="9" cm="1">
        <f t="array" ref="CR41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2" s="9" t="e" cm="1">
        <f t="array" ref="CS41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2" s="9" cm="1">
        <f t="array" ref="CT412">IFERROR(IF(tbl_Case_mins[[#This Row],[Rank]]=_xlfn.AGGREGATE(15,6,(tbl_Case_mins[Rank])/((tbl_Case_mins[Surgery Start Date]=tbl_Case_mins[[#This Row],[Surgery Start Date]])*(tbl_Case_mins[Theatre]=tbl_Case_mins[[#This Row],[Theatre]])*(tbl_Case_mins[PmCase]=1)),1),1,0),0)</f>
        <v>0</v>
      </c>
      <c r="CU412">
        <f>IFERROR(#REF!,0)</f>
        <v>0</v>
      </c>
      <c r="CV412" s="9" t="e" cm="1">
        <f t="array" ref="CV41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2" s="9">
        <f>IFERROR(IF(ISBLANK(INDEX(Bay_AmClose,MATCH(1,INDEX((tbl_Case_mins[[#This Row],[Bay]]=BayNo)*(tbl_Case_mins[[#This Row],[Surgery Start Date]]=BDate),0,1),0))*1440),0,INDEX(Bay_AmClose,MATCH(1,INDEX((tbl_Case_mins[[#This Row],[Bay]]=BayNo)*(tbl_Case_mins[[#This Row],[Surgery Start Date]]=BDate),0,1),0))*1440),0)</f>
        <v>0</v>
      </c>
      <c r="CX412" s="9" cm="1">
        <f t="array" ref="CX412">IFERROR(IF(ISBLANK(INDEX(Bay_PmOpen,MATCH(1,INDEX((tbl_Case_mins[[#This Row],[Bay]]=BayNo)*(tbl_Case_mins[[#This Row],[Surgery Start Date]]=BDate),0,1),0))*1440),0,INDEX(Bay_PmOpen,MATCH(1,INDEX((tbl_Case_mins[[#This Row],[Bay]]=BayNo)*(tbl_Case_mins[[#This Row],[Surgery Start Date]]=BDate),0,1),0))*1440),0)</f>
        <v>0</v>
      </c>
      <c r="CY41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2" s="9"/>
    </row>
    <row r="413" spans="1:104" x14ac:dyDescent="0.2">
      <c r="A413">
        <v>412</v>
      </c>
      <c r="B413" t="e">
        <f>#REF!</f>
        <v>#REF!</v>
      </c>
      <c r="C413" t="e">
        <f>#REF!</f>
        <v>#REF!</v>
      </c>
      <c r="D413" t="e">
        <f>#REF!</f>
        <v>#REF!</v>
      </c>
      <c r="E413" t="e">
        <f>#REF!</f>
        <v>#REF!</v>
      </c>
      <c r="F413" t="e">
        <f>#REF!</f>
        <v>#REF!</v>
      </c>
      <c r="G413" t="e">
        <f>#REF!</f>
        <v>#REF!</v>
      </c>
      <c r="H413" t="e">
        <f>#REF!</f>
        <v>#REF!</v>
      </c>
      <c r="I413" t="e">
        <f>IF(#REF!="Case Cancelled",1,IF(#REF!="No Cases",2,0))</f>
        <v>#REF!</v>
      </c>
      <c r="J413" t="e">
        <f>#REF!</f>
        <v>#REF!</v>
      </c>
      <c r="K413" s="4" t="e">
        <f>#REF!</f>
        <v>#REF!</v>
      </c>
      <c r="L413" t="e">
        <f>"Wk "&amp;WEEKNUM(tbl_Case_mins[[#This Row],[Surgery Start Date]],21)</f>
        <v>#REF!</v>
      </c>
      <c r="M413" t="e">
        <f>TEXT(tbl_Case_mins[[#This Row],[Surgery Start Date]],"ddd")</f>
        <v>#REF!</v>
      </c>
      <c r="N413" s="9" t="e">
        <f>(#REF!-TIME(0,0,0))*1440</f>
        <v>#REF!</v>
      </c>
      <c r="O413" t="e">
        <f>IF(AND(ROUND((#REF!-TIME(0,0,0))*1440,0)&gt;0,ROUND((#REF!-TIME(0,0,0))*1440,0)&lt;tbl_Case_mins[[#This Row],[Patient Called]],tbl_Case_mins[[#This Row],[Surgery End Date]]&gt;tbl_Case_mins[[#This Row],[Surgery Start Date]]),ROUND((#REF!-TIME(0,0,0))*1440,0)+1440,ROUND((#REF!-TIME(0,0,0))*1440,0))</f>
        <v>#REF!</v>
      </c>
      <c r="P413" s="9" t="e">
        <f>IF(AND(ROUND((#REF!-TIME(0,0,0))*1440,0)&gt;0,ROUND((#REF!-TIME(0,0,0))*1440,0)&lt;tbl_Case_mins[[#This Row],[Arrival]],tbl_Case_mins[[#This Row],[Surgery End Date]]&gt;tbl_Case_mins[[#This Row],[Surgery Start Date]]),ROUND((#REF!-TIME(0,0,0))*1440,0)+1440,ROUND((#REF!-TIME(0,0,0))*1440,0))</f>
        <v>#REF!</v>
      </c>
      <c r="Q413" s="9" t="e">
        <f>IF(AND(ROUND((#REF!-TIME(0,0,0))*1440,0)&gt;0,ROUND((#REF!-TIME(0,0,0))*1440,0)&lt;tbl_Case_mins[[#This Row],[Into Th or AR]],tbl_Case_mins[[#This Row],[Surgery End Date]]&gt;tbl_Case_mins[[#This Row],[Surgery Start Date]]),ROUND((#REF!-TIME(0,0,0))*1440,0)+1440,ROUND((#REF!-TIME(0,0,0))*1440,0))</f>
        <v>#REF!</v>
      </c>
      <c r="R413" s="9" t="e">
        <f>IF(AND(ROUND((#REF!-TIME(0,0,0))*1440,0)&gt;0,ROUND((#REF!-TIME(0,0,0))*1440,0)&lt;tbl_Case_mins[[#This Row],[AnaesthStart]],tbl_Case_mins[[#This Row],[Surgery End Date]]&gt;tbl_Case_mins[[#This Row],[Surgery Start Date]]),ROUND((#REF!-TIME(0,0,0))*1440,0)+1440,ROUND((#REF!-TIME(0,0,0))*1440,0))</f>
        <v>#REF!</v>
      </c>
      <c r="S413" s="9" t="e">
        <f>IF(AND(ROUND((#REF!-TIME(0,0,0))*1440,0),ROUND((#REF!-TIME(0,0,0))*1440,0)&lt;tbl_Case_mins[[#This Row],[Surgery Start]],tbl_Case_mins[[#This Row],[Surgery End Date]]&gt;tbl_Case_mins[[#This Row],[Surgery Start Date]]),ROUND((#REF!-TIME(0,0,0))*1440,0)+1440,ROUND((#REF!-TIME(0,0,0))*1440,0))</f>
        <v>#REF!</v>
      </c>
      <c r="T413" s="9" t="e">
        <f>IF(AND(ROUND((#REF!-TIME(0,0,0))*1440,0)&gt;0,ROUND((#REF!-TIME(0,0,0))*1440,0)&lt;tbl_Case_mins[[#This Row],[Surgery Finish]],tbl_Case_mins[[#This Row],[Surgery End Date]]&gt;tbl_Case_mins[[#This Row],[Surgery Start Date]]),ROUND((#REF!-TIME(0,0,0))*1440,0)+1440,ROUND((#REF!-TIME(0,0,0))*1440,0))</f>
        <v>#REF!</v>
      </c>
      <c r="U413" s="9" t="e">
        <f>IF(AND(ROUND((#REF!-TIME(0,0,0))*1440,0)&gt;0,ROUND((#REF!-TIME(0,0,0))*1440,0)&lt;tbl_Case_mins[[#This Row],[Anaesth End]],tbl_Case_mins[[#This Row],[Surgery End Date]]&gt;tbl_Case_mins[[#This Row],[Surgery Start Date]]),ROUND((#REF!-TIME(0,0,0))*1440,0)+1440,ROUND((#REF!-TIME(0,0,0))*1440,0))</f>
        <v>#REF!</v>
      </c>
      <c r="V413" s="9" t="e">
        <f>IF(AND(ROUND((#REF!-TIME(0,0,0))*1440,0)&gt;0,ROUND((#REF!-TIME(0,0,0))*1440,0)&lt;tbl_Case_mins[[#This Row],[Into Recov]],tbl_Case_mins[[#This Row],[Surgery End Date]]&gt;tbl_Case_mins[[#This Row],[Surgery Start Date]]),ROUND((#REF!-TIME(0,0,0))*1440,0)+1440,ROUND((#REF!-TIME(0,0,0))*1440,0))</f>
        <v>#REF!</v>
      </c>
      <c r="W413" s="9" t="e">
        <f>IF(AND(ROUND((#REF!-TIME(0,0,0))*1440,0)&gt;0,ROUND((#REF!-TIME(0,0,0))*1440,0)&lt;tbl_Case_mins[[#This Row],[Ward Called]],tbl_Case_mins[[#This Row],[Surgery End Date]]&gt;tbl_Case_mins[[#This Row],[Surgery Start Date]]),ROUND((#REF!-TIME(0,0,0))*1440,0)+1440,ROUND((#REF!-TIME(0,0,0))*1440,0))</f>
        <v>#REF!</v>
      </c>
      <c r="X413" s="4" t="e">
        <f>IF(ISBLANK(#REF!),tbl_Case_mins[[#This Row],[Surgery Start Date]],#REF!)</f>
        <v>#REF!</v>
      </c>
      <c r="Y413">
        <f>IFERROR(IF(VLOOKUP(tbl_Case_mins[[#This Row],[Theatre]],'Mng Theatres'!$C$7:$G$12,3,FALSE)="Yes","Yes","No"),0)</f>
        <v>0</v>
      </c>
      <c r="Z413" s="9" t="e" cm="1">
        <f t="array" ref="Z41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3" s="9" t="e" cm="1">
        <f t="array" ref="AA41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3" s="9" t="e">
        <f>IF(tbl_Case_mins[[#This Row],[Case Type]]="Unsch",1,0)</f>
        <v>#REF!</v>
      </c>
      <c r="AD413" s="9" t="e">
        <f>IF(tbl_Case_mins[[#This Row],[Case Type]]="Sch",1,0)</f>
        <v>#REF!</v>
      </c>
      <c r="AE41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3" s="9">
        <f>IFERROR(IF(ISBLANK(INDEX(Am_Close,MATCH(1,INDEX((tbl_Case_mins[[#This Row],[Theatre]]=Theatre_No)*(tbl_Case_mins[[#This Row],[Surgery Start Date]]=Date),0,1),0))*1440),0,INDEX(Am_Close,MATCH(1,INDEX((tbl_Case_mins[[#This Row],[Theatre]]=Theatre_No)*(tbl_Case_mins[[#This Row],[Surgery Start Date]]=Date),0,1),0))*1440),0)</f>
        <v>0</v>
      </c>
      <c r="AG413" s="9">
        <f>IFERROR(IF(ISBLANK(INDEX(PM_Open,MATCH(1,INDEX((tbl_Case_mins[[#This Row],[Theatre]]=Theatre_No)*(tbl_Case_mins[[#This Row],[Surgery Start Date]]=Date),0,1),0))*1440),0,INDEX(PM_Open,MATCH(1,INDEX((tbl_Case_mins[[#This Row],[Theatre]]=Theatre_No)*(tbl_Case_mins[[#This Row],[Surgery Start Date]]=Date),0,1),0))*1440),0)</f>
        <v>0</v>
      </c>
      <c r="AH41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3" s="9" t="e">
        <f>IF(tbl_Case_mins[[#This Row],[ThOpenAm]]=0,tbl_Case_mins[[#This Row],[ThOpenPM]],tbl_Case_mins[[#This Row],[ThOpenAm]])</f>
        <v>#REF!</v>
      </c>
      <c r="AJ413" s="9" t="e">
        <f>IF(tbl_Case_mins[[#This Row],[ThCloseAm]]&gt;0,IF(tbl_Case_mins[[#This Row],[ThOpenPM]]&gt;0,tbl_Case_mins[[#This Row],[ThClosePm]],tbl_Case_mins[[#This Row],[ThCloseAm]]),tbl_Case_mins[[#This Row],[ThClosePm]])</f>
        <v>#REF!</v>
      </c>
      <c r="AK413" s="9" t="e">
        <f>IF(tbl_Case_mins[[#This Row],[TOT]]&gt;0,1,0)</f>
        <v>#REF!</v>
      </c>
      <c r="AL41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3" s="9" t="e">
        <f>IF(AND(tbl_Case_mins[[#This Row],[Surgery Status]]&lt;&gt;2,tbl_Case_mins[[#This Row],[InCoreCase]]=0,tbl_Case_mins[[#This Row],[CancelledCase]]=0),1,0)</f>
        <v>#REF!</v>
      </c>
      <c r="AN413" s="9" t="e">
        <f>IF(tbl_Case_mins[[#This Row],[Surgery Status]]=1,1,0)</f>
        <v>#REF!</v>
      </c>
      <c r="AO41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3" s="9" t="e">
        <f>IF(AND(tbl_Case_mins[[#This Row],[NonCoreCase]]=1,tbl_Case_mins[[#This Row],[NoInCoreTime]]=0),1,0)</f>
        <v>#REF!</v>
      </c>
      <c r="AQ413" s="9" t="e">
        <f>IF(tbl_Case_mins[[#This Row],[Rank_AnaEnd]]&lt;tbl_Case_mins[[#This Row],[Rank_AnaSt]],1,0)</f>
        <v>#REF!</v>
      </c>
      <c r="AR413" s="9" t="e">
        <f>IF(AND(tbl_Case_mins[[#This Row],[InCoreCase]]=1,tbl_Case_mins[[#This Row],[Sch]]=1),1,0)</f>
        <v>#REF!</v>
      </c>
      <c r="AS413" s="9" t="e">
        <f>IF(AND(tbl_Case_mins[[#This Row],[InCoreCase]]=1,tbl_Case_mins[[#This Row],[Unsch]]=1),1,0)</f>
        <v>#REF!</v>
      </c>
      <c r="AT41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3" s="9" t="e">
        <f>IF(tbl_Case_mins[[#This Row],[Surgery Status]]=0,(tbl_Case_mins[[#This Row],[Anaesth End]]-tbl_Case_mins[[#This Row],[AnaesthStart]]),0)</f>
        <v>#REF!</v>
      </c>
      <c r="AX413" s="9" t="e">
        <f>IF(tbl_Case_mins[[#This Row],[Surgery Status]]=0,(tbl_Case_mins[[#This Row],[Surgery Finish]]-tbl_Case_mins[[#This Row],[Surgery Start]]),0)</f>
        <v>#REF!</v>
      </c>
      <c r="AY413" s="9" t="e">
        <f>tbl_Case_mins[[#This Row],[Surgery Start]]-tbl_Case_mins[[#This Row],[AnaesthStart]]</f>
        <v>#REF!</v>
      </c>
      <c r="AZ413" s="9" t="e">
        <f>tbl_Case_mins[[#This Row],[Anaesth End]]-tbl_Case_mins[[#This Row],[Surgery Finish]]</f>
        <v>#REF!</v>
      </c>
      <c r="BA41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3" s="16" cm="1">
        <f t="array" ref="BC41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3" s="16" t="e">
        <f>IF(AND(tbl_Case_mins[[#This Row],[FirstAMCase]]=1,tbl_Case_mins[[#This Row],[CancelledCase]]=0,OR(tbl_Case_mins[[#This Row],[EarlyStartAM]]&gt;0,tbl_Case_mins[[#This Row],[AnaesthStart]]=tbl_Case_mins[[#This Row],[ThOpenAm]])),1,0)</f>
        <v>#REF!</v>
      </c>
      <c r="BE413" s="16" t="e">
        <f>IF(AND(tbl_Case_mins[[#This Row],[Rank_AnaSt]]=tbl_Case_mins[[#This Row],[Min_RankAnaSt]],tbl_Case_mins[[#This Row],[Anaesth End]]&gt;=tbl_Case_mins[[#This Row],[ThOpenAm]],tbl_Case_mins[[#This Row],[PmCase]]=0),1,0)</f>
        <v>#REF!</v>
      </c>
      <c r="BF41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3" s="9" t="e" cm="1">
        <f t="array" ref="BH41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3" s="9" t="e">
        <f>IF(AND(tbl_Case_mins[[#This Row],[ThOpenPM]]&gt;0,tbl_Case_mins[[#This Row],[AnaesthStart]]&gt;tbl_Case_mins[[#This Row],[ThOpenPM]],tbl_Case_mins[[#This Row],[First PM Case]]=1),tbl_Case_mins[[#This Row],[AnaesthStart]]-tbl_Case_mins[[#This Row],[ThOpenPM]],0)</f>
        <v>#REF!</v>
      </c>
      <c r="BL41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3" s="9" t="e" cm="1">
        <f t="array" ref="BN41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3" s="9" t="e">
        <f>IF(AND(tbl_Case_mins[[#This Row],[ThClosePm]]&gt;0,tbl_Case_mins[[#This Row],[Anaesth End]]&gt;tbl_Case_mins[[#This Row],[ThClosePm]],tbl_Case_mins[[#This Row],[AnaesthStart]]&gt;tbl_Case_mins[[#This Row],[ThClosePm]]),tbl_Case_mins[[#This Row],[Into Recov]]-tbl_Case_mins[[#This Row],[AnaesthStart]],0)</f>
        <v>#REF!</v>
      </c>
      <c r="BP413" s="9" t="e">
        <f>IF(AND(tbl_Case_mins[[#This Row],[AnaesthStart]]&lt;tbl_Case_mins[[#This Row],[ThClosePm]],tbl_Case_mins[[#This Row],[Anaesth End]]&gt;tbl_Case_mins[[#This Row],[ThClosePm]]),tbl_Case_mins[[#This Row],[Anaesth End]]-tbl_Case_mins[[#This Row],[ThClosePm]],0)</f>
        <v>#REF!</v>
      </c>
      <c r="BQ413" s="9" t="e" cm="1">
        <f t="array" ref="BQ41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3" s="9" t="e" cm="1">
        <f t="array" ref="BR413">IF(tbl_Case_mins[[#This Row],[Rank_Adjust]]=SUMPRODUCT(-(tbl_Case_mins[Surgery Start Date]=tbl_Case_mins[[#This Row],[Surgery Start Date]]),-(tbl_Case_mins[Theatre]=tbl_Case_mins[[#This Row],[Theatre]])),INDEX(Poss_Time,MATCH(TEXT(tbl_Case_mins[[#This Row],[Surgery Start Date]],"ddd"),Day,0)),0)</f>
        <v>#REF!</v>
      </c>
      <c r="BS413" s="9" t="e">
        <f>tbl_Case_mins[[#This Row],[Core_Time]]*Util_Goal</f>
        <v>#REF!</v>
      </c>
      <c r="BT413" s="9" t="e" cm="1">
        <f t="array" ref="BT4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3" s="9" t="e" cm="1">
        <f t="array" ref="BU41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3" s="9" t="e">
        <f>IF(tbl_Case_mins[[#This Row],[Surgery End Date]]&gt;tbl_Case_mins[[#This Row],[Surgery Start Date]],tbl_Case_mins[[#This Row],[Anaesth End]]-1440,0)</f>
        <v>#REF!</v>
      </c>
      <c r="BY413" s="9" t="e">
        <f>tbl_Case_mins[[#This Row],[Total_NonCore]]-tbl_Case_mins[[#This Row],[NextDay_NonCore]]</f>
        <v>#REF!</v>
      </c>
      <c r="BZ413" s="10" t="e">
        <f>tbl_Case_mins[[#This Row],[InCoreUse]]/60</f>
        <v>#REF!</v>
      </c>
      <c r="CA413" s="10" t="e">
        <f>tbl_Case_mins[[#This Row],[Total_NonCore]]/60</f>
        <v>#REF!</v>
      </c>
      <c r="CB413" t="e" cm="1">
        <f t="array" ref="CB4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3" s="9" t="e" cm="1">
        <f t="array" ref="CC41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3" s="9" t="e" cm="1">
        <f t="array" ref="CD41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3" s="9" t="e" cm="1">
        <f t="array" ref="CE41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3" s="9" cm="1">
        <f t="array" ref="CF413">IFERROR(_xlfn.AGGREGATE(14,6,(tbl_Case_mins[Rank_AnaEnd])/((tbl_Case_mins[Surgery Start Date]=tbl_Case_mins[[#This Row],[Surgery Start Date]])*(tbl_Case_mins[Theatre]=tbl_Case_mins[[#This Row],[Theatre]])*(tbl_Case_mins[NoInCoreTime]=0)),1),-1)</f>
        <v>-1</v>
      </c>
      <c r="CG413" s="9" cm="1">
        <f t="array" ref="CG413">IFERROR(_xlfn.AGGREGATE(15,6,(tbl_Case_mins[Rank_AnaSt])/((tbl_Case_mins[Surgery Start Date]=tbl_Case_mins[[#This Row],[Surgery Start Date]])*(tbl_Case_mins[Theatre]=tbl_Case_mins[[#This Row],[Theatre]])*(tbl_Case_mins[NoInCoreTime]=0)),1),-1)</f>
        <v>-1</v>
      </c>
      <c r="CH41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3" t="e" cm="1">
        <f t="array" ref="CJ41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3" s="9" cm="1">
        <f t="array" ref="CO4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3" s="9" cm="1">
        <f t="array" ref="CP41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3" s="9" cm="1">
        <f t="array" ref="CQ413">IFERROR(IF(AND(tbl_Case_mins[[#This Row],[FirstAMCase]]=0,tbl_Case_mins[[#This Row],[Rank]]=_xlfn.AGGREGATE(14,6,(tbl_Case_mins[Rank])/((tbl_Case_mins[Surgery Start Date]=tbl_Case_mins[[#This Row],[Surgery Start Date]])*(tbl_Case_mins[Theatre]=tbl_Case_mins[[#This Row],[Theatre]])*(tbl_Case_mins[AmCase]=1)),1)),1,0),0)</f>
        <v>0</v>
      </c>
      <c r="CR413" s="9" cm="1">
        <f t="array" ref="CR41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3" s="9" t="e" cm="1">
        <f t="array" ref="CS41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3" s="9" cm="1">
        <f t="array" ref="CT413">IFERROR(IF(tbl_Case_mins[[#This Row],[Rank]]=_xlfn.AGGREGATE(15,6,(tbl_Case_mins[Rank])/((tbl_Case_mins[Surgery Start Date]=tbl_Case_mins[[#This Row],[Surgery Start Date]])*(tbl_Case_mins[Theatre]=tbl_Case_mins[[#This Row],[Theatre]])*(tbl_Case_mins[PmCase]=1)),1),1,0),0)</f>
        <v>0</v>
      </c>
      <c r="CU413">
        <f>IFERROR(#REF!,0)</f>
        <v>0</v>
      </c>
      <c r="CV413" s="9" t="e" cm="1">
        <f t="array" ref="CV41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3" s="9">
        <f>IFERROR(IF(ISBLANK(INDEX(Bay_AmClose,MATCH(1,INDEX((tbl_Case_mins[[#This Row],[Bay]]=BayNo)*(tbl_Case_mins[[#This Row],[Surgery Start Date]]=BDate),0,1),0))*1440),0,INDEX(Bay_AmClose,MATCH(1,INDEX((tbl_Case_mins[[#This Row],[Bay]]=BayNo)*(tbl_Case_mins[[#This Row],[Surgery Start Date]]=BDate),0,1),0))*1440),0)</f>
        <v>0</v>
      </c>
      <c r="CX413" s="9" cm="1">
        <f t="array" ref="CX413">IFERROR(IF(ISBLANK(INDEX(Bay_PmOpen,MATCH(1,INDEX((tbl_Case_mins[[#This Row],[Bay]]=BayNo)*(tbl_Case_mins[[#This Row],[Surgery Start Date]]=BDate),0,1),0))*1440),0,INDEX(Bay_PmOpen,MATCH(1,INDEX((tbl_Case_mins[[#This Row],[Bay]]=BayNo)*(tbl_Case_mins[[#This Row],[Surgery Start Date]]=BDate),0,1),0))*1440),0)</f>
        <v>0</v>
      </c>
      <c r="CY41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3" s="9"/>
    </row>
    <row r="414" spans="1:104" x14ac:dyDescent="0.2">
      <c r="A414">
        <v>413</v>
      </c>
      <c r="B414" t="e">
        <f>#REF!</f>
        <v>#REF!</v>
      </c>
      <c r="C414" t="e">
        <f>#REF!</f>
        <v>#REF!</v>
      </c>
      <c r="D414" t="e">
        <f>#REF!</f>
        <v>#REF!</v>
      </c>
      <c r="E414" t="e">
        <f>#REF!</f>
        <v>#REF!</v>
      </c>
      <c r="F414" t="e">
        <f>#REF!</f>
        <v>#REF!</v>
      </c>
      <c r="G414" t="e">
        <f>#REF!</f>
        <v>#REF!</v>
      </c>
      <c r="H414" t="e">
        <f>#REF!</f>
        <v>#REF!</v>
      </c>
      <c r="I414" t="e">
        <f>IF(#REF!="Case Cancelled",1,IF(#REF!="No Cases",2,0))</f>
        <v>#REF!</v>
      </c>
      <c r="J414" t="e">
        <f>#REF!</f>
        <v>#REF!</v>
      </c>
      <c r="K414" s="4" t="e">
        <f>#REF!</f>
        <v>#REF!</v>
      </c>
      <c r="L414" t="e">
        <f>"Wk "&amp;WEEKNUM(tbl_Case_mins[[#This Row],[Surgery Start Date]],21)</f>
        <v>#REF!</v>
      </c>
      <c r="M414" t="e">
        <f>TEXT(tbl_Case_mins[[#This Row],[Surgery Start Date]],"ddd")</f>
        <v>#REF!</v>
      </c>
      <c r="N414" s="9" t="e">
        <f>(#REF!-TIME(0,0,0))*1440</f>
        <v>#REF!</v>
      </c>
      <c r="O414" t="e">
        <f>IF(AND(ROUND((#REF!-TIME(0,0,0))*1440,0)&gt;0,ROUND((#REF!-TIME(0,0,0))*1440,0)&lt;tbl_Case_mins[[#This Row],[Patient Called]],tbl_Case_mins[[#This Row],[Surgery End Date]]&gt;tbl_Case_mins[[#This Row],[Surgery Start Date]]),ROUND((#REF!-TIME(0,0,0))*1440,0)+1440,ROUND((#REF!-TIME(0,0,0))*1440,0))</f>
        <v>#REF!</v>
      </c>
      <c r="P414" s="9" t="e">
        <f>IF(AND(ROUND((#REF!-TIME(0,0,0))*1440,0)&gt;0,ROUND((#REF!-TIME(0,0,0))*1440,0)&lt;tbl_Case_mins[[#This Row],[Arrival]],tbl_Case_mins[[#This Row],[Surgery End Date]]&gt;tbl_Case_mins[[#This Row],[Surgery Start Date]]),ROUND((#REF!-TIME(0,0,0))*1440,0)+1440,ROUND((#REF!-TIME(0,0,0))*1440,0))</f>
        <v>#REF!</v>
      </c>
      <c r="Q414" s="9" t="e">
        <f>IF(AND(ROUND((#REF!-TIME(0,0,0))*1440,0)&gt;0,ROUND((#REF!-TIME(0,0,0))*1440,0)&lt;tbl_Case_mins[[#This Row],[Into Th or AR]],tbl_Case_mins[[#This Row],[Surgery End Date]]&gt;tbl_Case_mins[[#This Row],[Surgery Start Date]]),ROUND((#REF!-TIME(0,0,0))*1440,0)+1440,ROUND((#REF!-TIME(0,0,0))*1440,0))</f>
        <v>#REF!</v>
      </c>
      <c r="R414" s="9" t="e">
        <f>IF(AND(ROUND((#REF!-TIME(0,0,0))*1440,0)&gt;0,ROUND((#REF!-TIME(0,0,0))*1440,0)&lt;tbl_Case_mins[[#This Row],[AnaesthStart]],tbl_Case_mins[[#This Row],[Surgery End Date]]&gt;tbl_Case_mins[[#This Row],[Surgery Start Date]]),ROUND((#REF!-TIME(0,0,0))*1440,0)+1440,ROUND((#REF!-TIME(0,0,0))*1440,0))</f>
        <v>#REF!</v>
      </c>
      <c r="S414" s="9" t="e">
        <f>IF(AND(ROUND((#REF!-TIME(0,0,0))*1440,0),ROUND((#REF!-TIME(0,0,0))*1440,0)&lt;tbl_Case_mins[[#This Row],[Surgery Start]],tbl_Case_mins[[#This Row],[Surgery End Date]]&gt;tbl_Case_mins[[#This Row],[Surgery Start Date]]),ROUND((#REF!-TIME(0,0,0))*1440,0)+1440,ROUND((#REF!-TIME(0,0,0))*1440,0))</f>
        <v>#REF!</v>
      </c>
      <c r="T414" s="9" t="e">
        <f>IF(AND(ROUND((#REF!-TIME(0,0,0))*1440,0)&gt;0,ROUND((#REF!-TIME(0,0,0))*1440,0)&lt;tbl_Case_mins[[#This Row],[Surgery Finish]],tbl_Case_mins[[#This Row],[Surgery End Date]]&gt;tbl_Case_mins[[#This Row],[Surgery Start Date]]),ROUND((#REF!-TIME(0,0,0))*1440,0)+1440,ROUND((#REF!-TIME(0,0,0))*1440,0))</f>
        <v>#REF!</v>
      </c>
      <c r="U414" s="9" t="e">
        <f>IF(AND(ROUND((#REF!-TIME(0,0,0))*1440,0)&gt;0,ROUND((#REF!-TIME(0,0,0))*1440,0)&lt;tbl_Case_mins[[#This Row],[Anaesth End]],tbl_Case_mins[[#This Row],[Surgery End Date]]&gt;tbl_Case_mins[[#This Row],[Surgery Start Date]]),ROUND((#REF!-TIME(0,0,0))*1440,0)+1440,ROUND((#REF!-TIME(0,0,0))*1440,0))</f>
        <v>#REF!</v>
      </c>
      <c r="V414" s="9" t="e">
        <f>IF(AND(ROUND((#REF!-TIME(0,0,0))*1440,0)&gt;0,ROUND((#REF!-TIME(0,0,0))*1440,0)&lt;tbl_Case_mins[[#This Row],[Into Recov]],tbl_Case_mins[[#This Row],[Surgery End Date]]&gt;tbl_Case_mins[[#This Row],[Surgery Start Date]]),ROUND((#REF!-TIME(0,0,0))*1440,0)+1440,ROUND((#REF!-TIME(0,0,0))*1440,0))</f>
        <v>#REF!</v>
      </c>
      <c r="W414" s="9" t="e">
        <f>IF(AND(ROUND((#REF!-TIME(0,0,0))*1440,0)&gt;0,ROUND((#REF!-TIME(0,0,0))*1440,0)&lt;tbl_Case_mins[[#This Row],[Ward Called]],tbl_Case_mins[[#This Row],[Surgery End Date]]&gt;tbl_Case_mins[[#This Row],[Surgery Start Date]]),ROUND((#REF!-TIME(0,0,0))*1440,0)+1440,ROUND((#REF!-TIME(0,0,0))*1440,0))</f>
        <v>#REF!</v>
      </c>
      <c r="X414" s="4" t="e">
        <f>IF(ISBLANK(#REF!),tbl_Case_mins[[#This Row],[Surgery Start Date]],#REF!)</f>
        <v>#REF!</v>
      </c>
      <c r="Y414">
        <f>IFERROR(IF(VLOOKUP(tbl_Case_mins[[#This Row],[Theatre]],'Mng Theatres'!$C$7:$G$12,3,FALSE)="Yes","Yes","No"),0)</f>
        <v>0</v>
      </c>
      <c r="Z414" s="9" t="e" cm="1">
        <f t="array" ref="Z41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4" s="9" t="e" cm="1">
        <f t="array" ref="AA41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4" s="9" t="e">
        <f>IF(tbl_Case_mins[[#This Row],[Case Type]]="Unsch",1,0)</f>
        <v>#REF!</v>
      </c>
      <c r="AD414" s="9" t="e">
        <f>IF(tbl_Case_mins[[#This Row],[Case Type]]="Sch",1,0)</f>
        <v>#REF!</v>
      </c>
      <c r="AE41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4" s="9">
        <f>IFERROR(IF(ISBLANK(INDEX(Am_Close,MATCH(1,INDEX((tbl_Case_mins[[#This Row],[Theatre]]=Theatre_No)*(tbl_Case_mins[[#This Row],[Surgery Start Date]]=Date),0,1),0))*1440),0,INDEX(Am_Close,MATCH(1,INDEX((tbl_Case_mins[[#This Row],[Theatre]]=Theatre_No)*(tbl_Case_mins[[#This Row],[Surgery Start Date]]=Date),0,1),0))*1440),0)</f>
        <v>0</v>
      </c>
      <c r="AG414" s="9">
        <f>IFERROR(IF(ISBLANK(INDEX(PM_Open,MATCH(1,INDEX((tbl_Case_mins[[#This Row],[Theatre]]=Theatre_No)*(tbl_Case_mins[[#This Row],[Surgery Start Date]]=Date),0,1),0))*1440),0,INDEX(PM_Open,MATCH(1,INDEX((tbl_Case_mins[[#This Row],[Theatre]]=Theatre_No)*(tbl_Case_mins[[#This Row],[Surgery Start Date]]=Date),0,1),0))*1440),0)</f>
        <v>0</v>
      </c>
      <c r="AH41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4" s="9" t="e">
        <f>IF(tbl_Case_mins[[#This Row],[ThOpenAm]]=0,tbl_Case_mins[[#This Row],[ThOpenPM]],tbl_Case_mins[[#This Row],[ThOpenAm]])</f>
        <v>#REF!</v>
      </c>
      <c r="AJ414" s="9" t="e">
        <f>IF(tbl_Case_mins[[#This Row],[ThCloseAm]]&gt;0,IF(tbl_Case_mins[[#This Row],[ThOpenPM]]&gt;0,tbl_Case_mins[[#This Row],[ThClosePm]],tbl_Case_mins[[#This Row],[ThCloseAm]]),tbl_Case_mins[[#This Row],[ThClosePm]])</f>
        <v>#REF!</v>
      </c>
      <c r="AK414" s="9" t="e">
        <f>IF(tbl_Case_mins[[#This Row],[TOT]]&gt;0,1,0)</f>
        <v>#REF!</v>
      </c>
      <c r="AL41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4" s="9" t="e">
        <f>IF(AND(tbl_Case_mins[[#This Row],[Surgery Status]]&lt;&gt;2,tbl_Case_mins[[#This Row],[InCoreCase]]=0,tbl_Case_mins[[#This Row],[CancelledCase]]=0),1,0)</f>
        <v>#REF!</v>
      </c>
      <c r="AN414" s="9" t="e">
        <f>IF(tbl_Case_mins[[#This Row],[Surgery Status]]=1,1,0)</f>
        <v>#REF!</v>
      </c>
      <c r="AO41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4" s="9" t="e">
        <f>IF(AND(tbl_Case_mins[[#This Row],[NonCoreCase]]=1,tbl_Case_mins[[#This Row],[NoInCoreTime]]=0),1,0)</f>
        <v>#REF!</v>
      </c>
      <c r="AQ414" s="9" t="e">
        <f>IF(tbl_Case_mins[[#This Row],[Rank_AnaEnd]]&lt;tbl_Case_mins[[#This Row],[Rank_AnaSt]],1,0)</f>
        <v>#REF!</v>
      </c>
      <c r="AR414" s="9" t="e">
        <f>IF(AND(tbl_Case_mins[[#This Row],[InCoreCase]]=1,tbl_Case_mins[[#This Row],[Sch]]=1),1,0)</f>
        <v>#REF!</v>
      </c>
      <c r="AS414" s="9" t="e">
        <f>IF(AND(tbl_Case_mins[[#This Row],[InCoreCase]]=1,tbl_Case_mins[[#This Row],[Unsch]]=1),1,0)</f>
        <v>#REF!</v>
      </c>
      <c r="AT41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4" s="9" t="e">
        <f>IF(tbl_Case_mins[[#This Row],[Surgery Status]]=0,(tbl_Case_mins[[#This Row],[Anaesth End]]-tbl_Case_mins[[#This Row],[AnaesthStart]]),0)</f>
        <v>#REF!</v>
      </c>
      <c r="AX414" s="9" t="e">
        <f>IF(tbl_Case_mins[[#This Row],[Surgery Status]]=0,(tbl_Case_mins[[#This Row],[Surgery Finish]]-tbl_Case_mins[[#This Row],[Surgery Start]]),0)</f>
        <v>#REF!</v>
      </c>
      <c r="AY414" s="9" t="e">
        <f>tbl_Case_mins[[#This Row],[Surgery Start]]-tbl_Case_mins[[#This Row],[AnaesthStart]]</f>
        <v>#REF!</v>
      </c>
      <c r="AZ414" s="9" t="e">
        <f>tbl_Case_mins[[#This Row],[Anaesth End]]-tbl_Case_mins[[#This Row],[Surgery Finish]]</f>
        <v>#REF!</v>
      </c>
      <c r="BA41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4" s="16" cm="1">
        <f t="array" ref="BC41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4" s="16" t="e">
        <f>IF(AND(tbl_Case_mins[[#This Row],[FirstAMCase]]=1,tbl_Case_mins[[#This Row],[CancelledCase]]=0,OR(tbl_Case_mins[[#This Row],[EarlyStartAM]]&gt;0,tbl_Case_mins[[#This Row],[AnaesthStart]]=tbl_Case_mins[[#This Row],[ThOpenAm]])),1,0)</f>
        <v>#REF!</v>
      </c>
      <c r="BE414" s="16" t="e">
        <f>IF(AND(tbl_Case_mins[[#This Row],[Rank_AnaSt]]=tbl_Case_mins[[#This Row],[Min_RankAnaSt]],tbl_Case_mins[[#This Row],[Anaesth End]]&gt;=tbl_Case_mins[[#This Row],[ThOpenAm]],tbl_Case_mins[[#This Row],[PmCase]]=0),1,0)</f>
        <v>#REF!</v>
      </c>
      <c r="BF41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4" s="9" t="e" cm="1">
        <f t="array" ref="BH41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4" s="9" t="e">
        <f>IF(AND(tbl_Case_mins[[#This Row],[ThOpenPM]]&gt;0,tbl_Case_mins[[#This Row],[AnaesthStart]]&gt;tbl_Case_mins[[#This Row],[ThOpenPM]],tbl_Case_mins[[#This Row],[First PM Case]]=1),tbl_Case_mins[[#This Row],[AnaesthStart]]-tbl_Case_mins[[#This Row],[ThOpenPM]],0)</f>
        <v>#REF!</v>
      </c>
      <c r="BL41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4" s="9" t="e" cm="1">
        <f t="array" ref="BN41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4" s="9" t="e">
        <f>IF(AND(tbl_Case_mins[[#This Row],[ThClosePm]]&gt;0,tbl_Case_mins[[#This Row],[Anaesth End]]&gt;tbl_Case_mins[[#This Row],[ThClosePm]],tbl_Case_mins[[#This Row],[AnaesthStart]]&gt;tbl_Case_mins[[#This Row],[ThClosePm]]),tbl_Case_mins[[#This Row],[Into Recov]]-tbl_Case_mins[[#This Row],[AnaesthStart]],0)</f>
        <v>#REF!</v>
      </c>
      <c r="BP414" s="9" t="e">
        <f>IF(AND(tbl_Case_mins[[#This Row],[AnaesthStart]]&lt;tbl_Case_mins[[#This Row],[ThClosePm]],tbl_Case_mins[[#This Row],[Anaesth End]]&gt;tbl_Case_mins[[#This Row],[ThClosePm]]),tbl_Case_mins[[#This Row],[Anaesth End]]-tbl_Case_mins[[#This Row],[ThClosePm]],0)</f>
        <v>#REF!</v>
      </c>
      <c r="BQ414" s="9" t="e" cm="1">
        <f t="array" ref="BQ41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4" s="9" t="e" cm="1">
        <f t="array" ref="BR414">IF(tbl_Case_mins[[#This Row],[Rank_Adjust]]=SUMPRODUCT(-(tbl_Case_mins[Surgery Start Date]=tbl_Case_mins[[#This Row],[Surgery Start Date]]),-(tbl_Case_mins[Theatre]=tbl_Case_mins[[#This Row],[Theatre]])),INDEX(Poss_Time,MATCH(TEXT(tbl_Case_mins[[#This Row],[Surgery Start Date]],"ddd"),Day,0)),0)</f>
        <v>#REF!</v>
      </c>
      <c r="BS414" s="9" t="e">
        <f>tbl_Case_mins[[#This Row],[Core_Time]]*Util_Goal</f>
        <v>#REF!</v>
      </c>
      <c r="BT414" s="9" t="e" cm="1">
        <f t="array" ref="BT4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4" s="9" t="e" cm="1">
        <f t="array" ref="BU41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4" s="9" t="e">
        <f>IF(tbl_Case_mins[[#This Row],[Surgery End Date]]&gt;tbl_Case_mins[[#This Row],[Surgery Start Date]],tbl_Case_mins[[#This Row],[Anaesth End]]-1440,0)</f>
        <v>#REF!</v>
      </c>
      <c r="BY414" s="9" t="e">
        <f>tbl_Case_mins[[#This Row],[Total_NonCore]]-tbl_Case_mins[[#This Row],[NextDay_NonCore]]</f>
        <v>#REF!</v>
      </c>
      <c r="BZ414" s="10" t="e">
        <f>tbl_Case_mins[[#This Row],[InCoreUse]]/60</f>
        <v>#REF!</v>
      </c>
      <c r="CA414" s="10" t="e">
        <f>tbl_Case_mins[[#This Row],[Total_NonCore]]/60</f>
        <v>#REF!</v>
      </c>
      <c r="CB414" t="e" cm="1">
        <f t="array" ref="CB4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4" s="9" t="e" cm="1">
        <f t="array" ref="CC41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4" s="9" t="e" cm="1">
        <f t="array" ref="CD41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4" s="9" t="e" cm="1">
        <f t="array" ref="CE41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4" s="9" cm="1">
        <f t="array" ref="CF414">IFERROR(_xlfn.AGGREGATE(14,6,(tbl_Case_mins[Rank_AnaEnd])/((tbl_Case_mins[Surgery Start Date]=tbl_Case_mins[[#This Row],[Surgery Start Date]])*(tbl_Case_mins[Theatre]=tbl_Case_mins[[#This Row],[Theatre]])*(tbl_Case_mins[NoInCoreTime]=0)),1),-1)</f>
        <v>-1</v>
      </c>
      <c r="CG414" s="9" cm="1">
        <f t="array" ref="CG414">IFERROR(_xlfn.AGGREGATE(15,6,(tbl_Case_mins[Rank_AnaSt])/((tbl_Case_mins[Surgery Start Date]=tbl_Case_mins[[#This Row],[Surgery Start Date]])*(tbl_Case_mins[Theatre]=tbl_Case_mins[[#This Row],[Theatre]])*(tbl_Case_mins[NoInCoreTime]=0)),1),-1)</f>
        <v>-1</v>
      </c>
      <c r="CH41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4" t="e" cm="1">
        <f t="array" ref="CJ41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4" s="9" cm="1">
        <f t="array" ref="CO4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4" s="9" cm="1">
        <f t="array" ref="CP41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4" s="9" cm="1">
        <f t="array" ref="CQ414">IFERROR(IF(AND(tbl_Case_mins[[#This Row],[FirstAMCase]]=0,tbl_Case_mins[[#This Row],[Rank]]=_xlfn.AGGREGATE(14,6,(tbl_Case_mins[Rank])/((tbl_Case_mins[Surgery Start Date]=tbl_Case_mins[[#This Row],[Surgery Start Date]])*(tbl_Case_mins[Theatre]=tbl_Case_mins[[#This Row],[Theatre]])*(tbl_Case_mins[AmCase]=1)),1)),1,0),0)</f>
        <v>0</v>
      </c>
      <c r="CR414" s="9" cm="1">
        <f t="array" ref="CR41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4" s="9" t="e" cm="1">
        <f t="array" ref="CS41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4" s="9" cm="1">
        <f t="array" ref="CT414">IFERROR(IF(tbl_Case_mins[[#This Row],[Rank]]=_xlfn.AGGREGATE(15,6,(tbl_Case_mins[Rank])/((tbl_Case_mins[Surgery Start Date]=tbl_Case_mins[[#This Row],[Surgery Start Date]])*(tbl_Case_mins[Theatre]=tbl_Case_mins[[#This Row],[Theatre]])*(tbl_Case_mins[PmCase]=1)),1),1,0),0)</f>
        <v>0</v>
      </c>
      <c r="CU414">
        <f>IFERROR(#REF!,0)</f>
        <v>0</v>
      </c>
      <c r="CV414" s="9" t="e" cm="1">
        <f t="array" ref="CV41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4" s="9">
        <f>IFERROR(IF(ISBLANK(INDEX(Bay_AmClose,MATCH(1,INDEX((tbl_Case_mins[[#This Row],[Bay]]=BayNo)*(tbl_Case_mins[[#This Row],[Surgery Start Date]]=BDate),0,1),0))*1440),0,INDEX(Bay_AmClose,MATCH(1,INDEX((tbl_Case_mins[[#This Row],[Bay]]=BayNo)*(tbl_Case_mins[[#This Row],[Surgery Start Date]]=BDate),0,1),0))*1440),0)</f>
        <v>0</v>
      </c>
      <c r="CX414" s="9" cm="1">
        <f t="array" ref="CX414">IFERROR(IF(ISBLANK(INDEX(Bay_PmOpen,MATCH(1,INDEX((tbl_Case_mins[[#This Row],[Bay]]=BayNo)*(tbl_Case_mins[[#This Row],[Surgery Start Date]]=BDate),0,1),0))*1440),0,INDEX(Bay_PmOpen,MATCH(1,INDEX((tbl_Case_mins[[#This Row],[Bay]]=BayNo)*(tbl_Case_mins[[#This Row],[Surgery Start Date]]=BDate),0,1),0))*1440),0)</f>
        <v>0</v>
      </c>
      <c r="CY41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4" s="9"/>
    </row>
    <row r="415" spans="1:104" x14ac:dyDescent="0.2">
      <c r="A415">
        <v>414</v>
      </c>
      <c r="B415" t="e">
        <f>#REF!</f>
        <v>#REF!</v>
      </c>
      <c r="C415" t="e">
        <f>#REF!</f>
        <v>#REF!</v>
      </c>
      <c r="D415" t="e">
        <f>#REF!</f>
        <v>#REF!</v>
      </c>
      <c r="E415" t="e">
        <f>#REF!</f>
        <v>#REF!</v>
      </c>
      <c r="F415" t="e">
        <f>#REF!</f>
        <v>#REF!</v>
      </c>
      <c r="G415" t="e">
        <f>#REF!</f>
        <v>#REF!</v>
      </c>
      <c r="H415" t="e">
        <f>#REF!</f>
        <v>#REF!</v>
      </c>
      <c r="I415" t="e">
        <f>IF(#REF!="Case Cancelled",1,IF(#REF!="No Cases",2,0))</f>
        <v>#REF!</v>
      </c>
      <c r="J415" t="e">
        <f>#REF!</f>
        <v>#REF!</v>
      </c>
      <c r="K415" s="4" t="e">
        <f>#REF!</f>
        <v>#REF!</v>
      </c>
      <c r="L415" t="e">
        <f>"Wk "&amp;WEEKNUM(tbl_Case_mins[[#This Row],[Surgery Start Date]],21)</f>
        <v>#REF!</v>
      </c>
      <c r="M415" t="e">
        <f>TEXT(tbl_Case_mins[[#This Row],[Surgery Start Date]],"ddd")</f>
        <v>#REF!</v>
      </c>
      <c r="N415" s="9" t="e">
        <f>(#REF!-TIME(0,0,0))*1440</f>
        <v>#REF!</v>
      </c>
      <c r="O415" t="e">
        <f>IF(AND(ROUND((#REF!-TIME(0,0,0))*1440,0)&gt;0,ROUND((#REF!-TIME(0,0,0))*1440,0)&lt;tbl_Case_mins[[#This Row],[Patient Called]],tbl_Case_mins[[#This Row],[Surgery End Date]]&gt;tbl_Case_mins[[#This Row],[Surgery Start Date]]),ROUND((#REF!-TIME(0,0,0))*1440,0)+1440,ROUND((#REF!-TIME(0,0,0))*1440,0))</f>
        <v>#REF!</v>
      </c>
      <c r="P415" s="9" t="e">
        <f>IF(AND(ROUND((#REF!-TIME(0,0,0))*1440,0)&gt;0,ROUND((#REF!-TIME(0,0,0))*1440,0)&lt;tbl_Case_mins[[#This Row],[Arrival]],tbl_Case_mins[[#This Row],[Surgery End Date]]&gt;tbl_Case_mins[[#This Row],[Surgery Start Date]]),ROUND((#REF!-TIME(0,0,0))*1440,0)+1440,ROUND((#REF!-TIME(0,0,0))*1440,0))</f>
        <v>#REF!</v>
      </c>
      <c r="Q415" s="9" t="e">
        <f>IF(AND(ROUND((#REF!-TIME(0,0,0))*1440,0)&gt;0,ROUND((#REF!-TIME(0,0,0))*1440,0)&lt;tbl_Case_mins[[#This Row],[Into Th or AR]],tbl_Case_mins[[#This Row],[Surgery End Date]]&gt;tbl_Case_mins[[#This Row],[Surgery Start Date]]),ROUND((#REF!-TIME(0,0,0))*1440,0)+1440,ROUND((#REF!-TIME(0,0,0))*1440,0))</f>
        <v>#REF!</v>
      </c>
      <c r="R415" s="9" t="e">
        <f>IF(AND(ROUND((#REF!-TIME(0,0,0))*1440,0)&gt;0,ROUND((#REF!-TIME(0,0,0))*1440,0)&lt;tbl_Case_mins[[#This Row],[AnaesthStart]],tbl_Case_mins[[#This Row],[Surgery End Date]]&gt;tbl_Case_mins[[#This Row],[Surgery Start Date]]),ROUND((#REF!-TIME(0,0,0))*1440,0)+1440,ROUND((#REF!-TIME(0,0,0))*1440,0))</f>
        <v>#REF!</v>
      </c>
      <c r="S415" s="9" t="e">
        <f>IF(AND(ROUND((#REF!-TIME(0,0,0))*1440,0),ROUND((#REF!-TIME(0,0,0))*1440,0)&lt;tbl_Case_mins[[#This Row],[Surgery Start]],tbl_Case_mins[[#This Row],[Surgery End Date]]&gt;tbl_Case_mins[[#This Row],[Surgery Start Date]]),ROUND((#REF!-TIME(0,0,0))*1440,0)+1440,ROUND((#REF!-TIME(0,0,0))*1440,0))</f>
        <v>#REF!</v>
      </c>
      <c r="T415" s="9" t="e">
        <f>IF(AND(ROUND((#REF!-TIME(0,0,0))*1440,0)&gt;0,ROUND((#REF!-TIME(0,0,0))*1440,0)&lt;tbl_Case_mins[[#This Row],[Surgery Finish]],tbl_Case_mins[[#This Row],[Surgery End Date]]&gt;tbl_Case_mins[[#This Row],[Surgery Start Date]]),ROUND((#REF!-TIME(0,0,0))*1440,0)+1440,ROUND((#REF!-TIME(0,0,0))*1440,0))</f>
        <v>#REF!</v>
      </c>
      <c r="U415" s="9" t="e">
        <f>IF(AND(ROUND((#REF!-TIME(0,0,0))*1440,0)&gt;0,ROUND((#REF!-TIME(0,0,0))*1440,0)&lt;tbl_Case_mins[[#This Row],[Anaesth End]],tbl_Case_mins[[#This Row],[Surgery End Date]]&gt;tbl_Case_mins[[#This Row],[Surgery Start Date]]),ROUND((#REF!-TIME(0,0,0))*1440,0)+1440,ROUND((#REF!-TIME(0,0,0))*1440,0))</f>
        <v>#REF!</v>
      </c>
      <c r="V415" s="9" t="e">
        <f>IF(AND(ROUND((#REF!-TIME(0,0,0))*1440,0)&gt;0,ROUND((#REF!-TIME(0,0,0))*1440,0)&lt;tbl_Case_mins[[#This Row],[Into Recov]],tbl_Case_mins[[#This Row],[Surgery End Date]]&gt;tbl_Case_mins[[#This Row],[Surgery Start Date]]),ROUND((#REF!-TIME(0,0,0))*1440,0)+1440,ROUND((#REF!-TIME(0,0,0))*1440,0))</f>
        <v>#REF!</v>
      </c>
      <c r="W415" s="9" t="e">
        <f>IF(AND(ROUND((#REF!-TIME(0,0,0))*1440,0)&gt;0,ROUND((#REF!-TIME(0,0,0))*1440,0)&lt;tbl_Case_mins[[#This Row],[Ward Called]],tbl_Case_mins[[#This Row],[Surgery End Date]]&gt;tbl_Case_mins[[#This Row],[Surgery Start Date]]),ROUND((#REF!-TIME(0,0,0))*1440,0)+1440,ROUND((#REF!-TIME(0,0,0))*1440,0))</f>
        <v>#REF!</v>
      </c>
      <c r="X415" s="4" t="e">
        <f>IF(ISBLANK(#REF!),tbl_Case_mins[[#This Row],[Surgery Start Date]],#REF!)</f>
        <v>#REF!</v>
      </c>
      <c r="Y415">
        <f>IFERROR(IF(VLOOKUP(tbl_Case_mins[[#This Row],[Theatre]],'Mng Theatres'!$C$7:$G$12,3,FALSE)="Yes","Yes","No"),0)</f>
        <v>0</v>
      </c>
      <c r="Z415" s="9" t="e" cm="1">
        <f t="array" ref="Z41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5" s="9" t="e" cm="1">
        <f t="array" ref="AA41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5" s="9" t="e">
        <f>IF(tbl_Case_mins[[#This Row],[Case Type]]="Unsch",1,0)</f>
        <v>#REF!</v>
      </c>
      <c r="AD415" s="9" t="e">
        <f>IF(tbl_Case_mins[[#This Row],[Case Type]]="Sch",1,0)</f>
        <v>#REF!</v>
      </c>
      <c r="AE41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5" s="9">
        <f>IFERROR(IF(ISBLANK(INDEX(Am_Close,MATCH(1,INDEX((tbl_Case_mins[[#This Row],[Theatre]]=Theatre_No)*(tbl_Case_mins[[#This Row],[Surgery Start Date]]=Date),0,1),0))*1440),0,INDEX(Am_Close,MATCH(1,INDEX((tbl_Case_mins[[#This Row],[Theatre]]=Theatre_No)*(tbl_Case_mins[[#This Row],[Surgery Start Date]]=Date),0,1),0))*1440),0)</f>
        <v>0</v>
      </c>
      <c r="AG415" s="9">
        <f>IFERROR(IF(ISBLANK(INDEX(PM_Open,MATCH(1,INDEX((tbl_Case_mins[[#This Row],[Theatre]]=Theatre_No)*(tbl_Case_mins[[#This Row],[Surgery Start Date]]=Date),0,1),0))*1440),0,INDEX(PM_Open,MATCH(1,INDEX((tbl_Case_mins[[#This Row],[Theatre]]=Theatre_No)*(tbl_Case_mins[[#This Row],[Surgery Start Date]]=Date),0,1),0))*1440),0)</f>
        <v>0</v>
      </c>
      <c r="AH41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5" s="9" t="e">
        <f>IF(tbl_Case_mins[[#This Row],[ThOpenAm]]=0,tbl_Case_mins[[#This Row],[ThOpenPM]],tbl_Case_mins[[#This Row],[ThOpenAm]])</f>
        <v>#REF!</v>
      </c>
      <c r="AJ415" s="9" t="e">
        <f>IF(tbl_Case_mins[[#This Row],[ThCloseAm]]&gt;0,IF(tbl_Case_mins[[#This Row],[ThOpenPM]]&gt;0,tbl_Case_mins[[#This Row],[ThClosePm]],tbl_Case_mins[[#This Row],[ThCloseAm]]),tbl_Case_mins[[#This Row],[ThClosePm]])</f>
        <v>#REF!</v>
      </c>
      <c r="AK415" s="9" t="e">
        <f>IF(tbl_Case_mins[[#This Row],[TOT]]&gt;0,1,0)</f>
        <v>#REF!</v>
      </c>
      <c r="AL41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5" s="9" t="e">
        <f>IF(AND(tbl_Case_mins[[#This Row],[Surgery Status]]&lt;&gt;2,tbl_Case_mins[[#This Row],[InCoreCase]]=0,tbl_Case_mins[[#This Row],[CancelledCase]]=0),1,0)</f>
        <v>#REF!</v>
      </c>
      <c r="AN415" s="9" t="e">
        <f>IF(tbl_Case_mins[[#This Row],[Surgery Status]]=1,1,0)</f>
        <v>#REF!</v>
      </c>
      <c r="AO41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5" s="9" t="e">
        <f>IF(AND(tbl_Case_mins[[#This Row],[NonCoreCase]]=1,tbl_Case_mins[[#This Row],[NoInCoreTime]]=0),1,0)</f>
        <v>#REF!</v>
      </c>
      <c r="AQ415" s="9" t="e">
        <f>IF(tbl_Case_mins[[#This Row],[Rank_AnaEnd]]&lt;tbl_Case_mins[[#This Row],[Rank_AnaSt]],1,0)</f>
        <v>#REF!</v>
      </c>
      <c r="AR415" s="9" t="e">
        <f>IF(AND(tbl_Case_mins[[#This Row],[InCoreCase]]=1,tbl_Case_mins[[#This Row],[Sch]]=1),1,0)</f>
        <v>#REF!</v>
      </c>
      <c r="AS415" s="9" t="e">
        <f>IF(AND(tbl_Case_mins[[#This Row],[InCoreCase]]=1,tbl_Case_mins[[#This Row],[Unsch]]=1),1,0)</f>
        <v>#REF!</v>
      </c>
      <c r="AT41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5" s="9" t="e">
        <f>IF(tbl_Case_mins[[#This Row],[Surgery Status]]=0,(tbl_Case_mins[[#This Row],[Anaesth End]]-tbl_Case_mins[[#This Row],[AnaesthStart]]),0)</f>
        <v>#REF!</v>
      </c>
      <c r="AX415" s="9" t="e">
        <f>IF(tbl_Case_mins[[#This Row],[Surgery Status]]=0,(tbl_Case_mins[[#This Row],[Surgery Finish]]-tbl_Case_mins[[#This Row],[Surgery Start]]),0)</f>
        <v>#REF!</v>
      </c>
      <c r="AY415" s="9" t="e">
        <f>tbl_Case_mins[[#This Row],[Surgery Start]]-tbl_Case_mins[[#This Row],[AnaesthStart]]</f>
        <v>#REF!</v>
      </c>
      <c r="AZ415" s="9" t="e">
        <f>tbl_Case_mins[[#This Row],[Anaesth End]]-tbl_Case_mins[[#This Row],[Surgery Finish]]</f>
        <v>#REF!</v>
      </c>
      <c r="BA41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5" s="16" cm="1">
        <f t="array" ref="BC41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5" s="16" t="e">
        <f>IF(AND(tbl_Case_mins[[#This Row],[FirstAMCase]]=1,tbl_Case_mins[[#This Row],[CancelledCase]]=0,OR(tbl_Case_mins[[#This Row],[EarlyStartAM]]&gt;0,tbl_Case_mins[[#This Row],[AnaesthStart]]=tbl_Case_mins[[#This Row],[ThOpenAm]])),1,0)</f>
        <v>#REF!</v>
      </c>
      <c r="BE415" s="16" t="e">
        <f>IF(AND(tbl_Case_mins[[#This Row],[Rank_AnaSt]]=tbl_Case_mins[[#This Row],[Min_RankAnaSt]],tbl_Case_mins[[#This Row],[Anaesth End]]&gt;=tbl_Case_mins[[#This Row],[ThOpenAm]],tbl_Case_mins[[#This Row],[PmCase]]=0),1,0)</f>
        <v>#REF!</v>
      </c>
      <c r="BF41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5" s="9" t="e" cm="1">
        <f t="array" ref="BH41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5" s="9" t="e">
        <f>IF(AND(tbl_Case_mins[[#This Row],[ThOpenPM]]&gt;0,tbl_Case_mins[[#This Row],[AnaesthStart]]&gt;tbl_Case_mins[[#This Row],[ThOpenPM]],tbl_Case_mins[[#This Row],[First PM Case]]=1),tbl_Case_mins[[#This Row],[AnaesthStart]]-tbl_Case_mins[[#This Row],[ThOpenPM]],0)</f>
        <v>#REF!</v>
      </c>
      <c r="BL41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5" s="9" t="e" cm="1">
        <f t="array" ref="BN41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5" s="9" t="e">
        <f>IF(AND(tbl_Case_mins[[#This Row],[ThClosePm]]&gt;0,tbl_Case_mins[[#This Row],[Anaesth End]]&gt;tbl_Case_mins[[#This Row],[ThClosePm]],tbl_Case_mins[[#This Row],[AnaesthStart]]&gt;tbl_Case_mins[[#This Row],[ThClosePm]]),tbl_Case_mins[[#This Row],[Into Recov]]-tbl_Case_mins[[#This Row],[AnaesthStart]],0)</f>
        <v>#REF!</v>
      </c>
      <c r="BP415" s="9" t="e">
        <f>IF(AND(tbl_Case_mins[[#This Row],[AnaesthStart]]&lt;tbl_Case_mins[[#This Row],[ThClosePm]],tbl_Case_mins[[#This Row],[Anaesth End]]&gt;tbl_Case_mins[[#This Row],[ThClosePm]]),tbl_Case_mins[[#This Row],[Anaesth End]]-tbl_Case_mins[[#This Row],[ThClosePm]],0)</f>
        <v>#REF!</v>
      </c>
      <c r="BQ415" s="9" t="e" cm="1">
        <f t="array" ref="BQ41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5" s="9" t="e" cm="1">
        <f t="array" ref="BR415">IF(tbl_Case_mins[[#This Row],[Rank_Adjust]]=SUMPRODUCT(-(tbl_Case_mins[Surgery Start Date]=tbl_Case_mins[[#This Row],[Surgery Start Date]]),-(tbl_Case_mins[Theatre]=tbl_Case_mins[[#This Row],[Theatre]])),INDEX(Poss_Time,MATCH(TEXT(tbl_Case_mins[[#This Row],[Surgery Start Date]],"ddd"),Day,0)),0)</f>
        <v>#REF!</v>
      </c>
      <c r="BS415" s="9" t="e">
        <f>tbl_Case_mins[[#This Row],[Core_Time]]*Util_Goal</f>
        <v>#REF!</v>
      </c>
      <c r="BT415" s="9" t="e" cm="1">
        <f t="array" ref="BT4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5" s="9" t="e" cm="1">
        <f t="array" ref="BU41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5" s="9" t="e">
        <f>IF(tbl_Case_mins[[#This Row],[Surgery End Date]]&gt;tbl_Case_mins[[#This Row],[Surgery Start Date]],tbl_Case_mins[[#This Row],[Anaesth End]]-1440,0)</f>
        <v>#REF!</v>
      </c>
      <c r="BY415" s="9" t="e">
        <f>tbl_Case_mins[[#This Row],[Total_NonCore]]-tbl_Case_mins[[#This Row],[NextDay_NonCore]]</f>
        <v>#REF!</v>
      </c>
      <c r="BZ415" s="10" t="e">
        <f>tbl_Case_mins[[#This Row],[InCoreUse]]/60</f>
        <v>#REF!</v>
      </c>
      <c r="CA415" s="10" t="e">
        <f>tbl_Case_mins[[#This Row],[Total_NonCore]]/60</f>
        <v>#REF!</v>
      </c>
      <c r="CB415" t="e" cm="1">
        <f t="array" ref="CB4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5" s="9" t="e" cm="1">
        <f t="array" ref="CC41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5" s="9" t="e" cm="1">
        <f t="array" ref="CD41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5" s="9" t="e" cm="1">
        <f t="array" ref="CE41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5" s="9" cm="1">
        <f t="array" ref="CF415">IFERROR(_xlfn.AGGREGATE(14,6,(tbl_Case_mins[Rank_AnaEnd])/((tbl_Case_mins[Surgery Start Date]=tbl_Case_mins[[#This Row],[Surgery Start Date]])*(tbl_Case_mins[Theatre]=tbl_Case_mins[[#This Row],[Theatre]])*(tbl_Case_mins[NoInCoreTime]=0)),1),-1)</f>
        <v>-1</v>
      </c>
      <c r="CG415" s="9" cm="1">
        <f t="array" ref="CG415">IFERROR(_xlfn.AGGREGATE(15,6,(tbl_Case_mins[Rank_AnaSt])/((tbl_Case_mins[Surgery Start Date]=tbl_Case_mins[[#This Row],[Surgery Start Date]])*(tbl_Case_mins[Theatre]=tbl_Case_mins[[#This Row],[Theatre]])*(tbl_Case_mins[NoInCoreTime]=0)),1),-1)</f>
        <v>-1</v>
      </c>
      <c r="CH41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5" t="e" cm="1">
        <f t="array" ref="CJ41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5" s="9" cm="1">
        <f t="array" ref="CO4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5" s="9" cm="1">
        <f t="array" ref="CP41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5" s="9" cm="1">
        <f t="array" ref="CQ415">IFERROR(IF(AND(tbl_Case_mins[[#This Row],[FirstAMCase]]=0,tbl_Case_mins[[#This Row],[Rank]]=_xlfn.AGGREGATE(14,6,(tbl_Case_mins[Rank])/((tbl_Case_mins[Surgery Start Date]=tbl_Case_mins[[#This Row],[Surgery Start Date]])*(tbl_Case_mins[Theatre]=tbl_Case_mins[[#This Row],[Theatre]])*(tbl_Case_mins[AmCase]=1)),1)),1,0),0)</f>
        <v>0</v>
      </c>
      <c r="CR415" s="9" cm="1">
        <f t="array" ref="CR41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5" s="9" t="e" cm="1">
        <f t="array" ref="CS41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5" s="9" cm="1">
        <f t="array" ref="CT415">IFERROR(IF(tbl_Case_mins[[#This Row],[Rank]]=_xlfn.AGGREGATE(15,6,(tbl_Case_mins[Rank])/((tbl_Case_mins[Surgery Start Date]=tbl_Case_mins[[#This Row],[Surgery Start Date]])*(tbl_Case_mins[Theatre]=tbl_Case_mins[[#This Row],[Theatre]])*(tbl_Case_mins[PmCase]=1)),1),1,0),0)</f>
        <v>0</v>
      </c>
      <c r="CU415">
        <f>IFERROR(#REF!,0)</f>
        <v>0</v>
      </c>
      <c r="CV415" s="9" t="e" cm="1">
        <f t="array" ref="CV41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5" s="9">
        <f>IFERROR(IF(ISBLANK(INDEX(Bay_AmClose,MATCH(1,INDEX((tbl_Case_mins[[#This Row],[Bay]]=BayNo)*(tbl_Case_mins[[#This Row],[Surgery Start Date]]=BDate),0,1),0))*1440),0,INDEX(Bay_AmClose,MATCH(1,INDEX((tbl_Case_mins[[#This Row],[Bay]]=BayNo)*(tbl_Case_mins[[#This Row],[Surgery Start Date]]=BDate),0,1),0))*1440),0)</f>
        <v>0</v>
      </c>
      <c r="CX415" s="9" cm="1">
        <f t="array" ref="CX415">IFERROR(IF(ISBLANK(INDEX(Bay_PmOpen,MATCH(1,INDEX((tbl_Case_mins[[#This Row],[Bay]]=BayNo)*(tbl_Case_mins[[#This Row],[Surgery Start Date]]=BDate),0,1),0))*1440),0,INDEX(Bay_PmOpen,MATCH(1,INDEX((tbl_Case_mins[[#This Row],[Bay]]=BayNo)*(tbl_Case_mins[[#This Row],[Surgery Start Date]]=BDate),0,1),0))*1440),0)</f>
        <v>0</v>
      </c>
      <c r="CY41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5" s="9"/>
    </row>
    <row r="416" spans="1:104" x14ac:dyDescent="0.2">
      <c r="A416">
        <v>415</v>
      </c>
      <c r="B416" t="e">
        <f>#REF!</f>
        <v>#REF!</v>
      </c>
      <c r="C416" t="e">
        <f>#REF!</f>
        <v>#REF!</v>
      </c>
      <c r="D416" t="e">
        <f>#REF!</f>
        <v>#REF!</v>
      </c>
      <c r="E416" t="e">
        <f>#REF!</f>
        <v>#REF!</v>
      </c>
      <c r="F416" t="e">
        <f>#REF!</f>
        <v>#REF!</v>
      </c>
      <c r="G416" t="e">
        <f>#REF!</f>
        <v>#REF!</v>
      </c>
      <c r="H416" t="e">
        <f>#REF!</f>
        <v>#REF!</v>
      </c>
      <c r="I416" t="e">
        <f>IF(#REF!="Case Cancelled",1,IF(#REF!="No Cases",2,0))</f>
        <v>#REF!</v>
      </c>
      <c r="J416" t="e">
        <f>#REF!</f>
        <v>#REF!</v>
      </c>
      <c r="K416" s="4" t="e">
        <f>#REF!</f>
        <v>#REF!</v>
      </c>
      <c r="L416" t="e">
        <f>"Wk "&amp;WEEKNUM(tbl_Case_mins[[#This Row],[Surgery Start Date]],21)</f>
        <v>#REF!</v>
      </c>
      <c r="M416" t="e">
        <f>TEXT(tbl_Case_mins[[#This Row],[Surgery Start Date]],"ddd")</f>
        <v>#REF!</v>
      </c>
      <c r="N416" s="9" t="e">
        <f>(#REF!-TIME(0,0,0))*1440</f>
        <v>#REF!</v>
      </c>
      <c r="O416" t="e">
        <f>IF(AND(ROUND((#REF!-TIME(0,0,0))*1440,0)&gt;0,ROUND((#REF!-TIME(0,0,0))*1440,0)&lt;tbl_Case_mins[[#This Row],[Patient Called]],tbl_Case_mins[[#This Row],[Surgery End Date]]&gt;tbl_Case_mins[[#This Row],[Surgery Start Date]]),ROUND((#REF!-TIME(0,0,0))*1440,0)+1440,ROUND((#REF!-TIME(0,0,0))*1440,0))</f>
        <v>#REF!</v>
      </c>
      <c r="P416" s="9" t="e">
        <f>IF(AND(ROUND((#REF!-TIME(0,0,0))*1440,0)&gt;0,ROUND((#REF!-TIME(0,0,0))*1440,0)&lt;tbl_Case_mins[[#This Row],[Arrival]],tbl_Case_mins[[#This Row],[Surgery End Date]]&gt;tbl_Case_mins[[#This Row],[Surgery Start Date]]),ROUND((#REF!-TIME(0,0,0))*1440,0)+1440,ROUND((#REF!-TIME(0,0,0))*1440,0))</f>
        <v>#REF!</v>
      </c>
      <c r="Q416" s="9" t="e">
        <f>IF(AND(ROUND((#REF!-TIME(0,0,0))*1440,0)&gt;0,ROUND((#REF!-TIME(0,0,0))*1440,0)&lt;tbl_Case_mins[[#This Row],[Into Th or AR]],tbl_Case_mins[[#This Row],[Surgery End Date]]&gt;tbl_Case_mins[[#This Row],[Surgery Start Date]]),ROUND((#REF!-TIME(0,0,0))*1440,0)+1440,ROUND((#REF!-TIME(0,0,0))*1440,0))</f>
        <v>#REF!</v>
      </c>
      <c r="R416" s="9" t="e">
        <f>IF(AND(ROUND((#REF!-TIME(0,0,0))*1440,0)&gt;0,ROUND((#REF!-TIME(0,0,0))*1440,0)&lt;tbl_Case_mins[[#This Row],[AnaesthStart]],tbl_Case_mins[[#This Row],[Surgery End Date]]&gt;tbl_Case_mins[[#This Row],[Surgery Start Date]]),ROUND((#REF!-TIME(0,0,0))*1440,0)+1440,ROUND((#REF!-TIME(0,0,0))*1440,0))</f>
        <v>#REF!</v>
      </c>
      <c r="S416" s="9" t="e">
        <f>IF(AND(ROUND((#REF!-TIME(0,0,0))*1440,0),ROUND((#REF!-TIME(0,0,0))*1440,0)&lt;tbl_Case_mins[[#This Row],[Surgery Start]],tbl_Case_mins[[#This Row],[Surgery End Date]]&gt;tbl_Case_mins[[#This Row],[Surgery Start Date]]),ROUND((#REF!-TIME(0,0,0))*1440,0)+1440,ROUND((#REF!-TIME(0,0,0))*1440,0))</f>
        <v>#REF!</v>
      </c>
      <c r="T416" s="9" t="e">
        <f>IF(AND(ROUND((#REF!-TIME(0,0,0))*1440,0)&gt;0,ROUND((#REF!-TIME(0,0,0))*1440,0)&lt;tbl_Case_mins[[#This Row],[Surgery Finish]],tbl_Case_mins[[#This Row],[Surgery End Date]]&gt;tbl_Case_mins[[#This Row],[Surgery Start Date]]),ROUND((#REF!-TIME(0,0,0))*1440,0)+1440,ROUND((#REF!-TIME(0,0,0))*1440,0))</f>
        <v>#REF!</v>
      </c>
      <c r="U416" s="9" t="e">
        <f>IF(AND(ROUND((#REF!-TIME(0,0,0))*1440,0)&gt;0,ROUND((#REF!-TIME(0,0,0))*1440,0)&lt;tbl_Case_mins[[#This Row],[Anaesth End]],tbl_Case_mins[[#This Row],[Surgery End Date]]&gt;tbl_Case_mins[[#This Row],[Surgery Start Date]]),ROUND((#REF!-TIME(0,0,0))*1440,0)+1440,ROUND((#REF!-TIME(0,0,0))*1440,0))</f>
        <v>#REF!</v>
      </c>
      <c r="V416" s="9" t="e">
        <f>IF(AND(ROUND((#REF!-TIME(0,0,0))*1440,0)&gt;0,ROUND((#REF!-TIME(0,0,0))*1440,0)&lt;tbl_Case_mins[[#This Row],[Into Recov]],tbl_Case_mins[[#This Row],[Surgery End Date]]&gt;tbl_Case_mins[[#This Row],[Surgery Start Date]]),ROUND((#REF!-TIME(0,0,0))*1440,0)+1440,ROUND((#REF!-TIME(0,0,0))*1440,0))</f>
        <v>#REF!</v>
      </c>
      <c r="W416" s="9" t="e">
        <f>IF(AND(ROUND((#REF!-TIME(0,0,0))*1440,0)&gt;0,ROUND((#REF!-TIME(0,0,0))*1440,0)&lt;tbl_Case_mins[[#This Row],[Ward Called]],tbl_Case_mins[[#This Row],[Surgery End Date]]&gt;tbl_Case_mins[[#This Row],[Surgery Start Date]]),ROUND((#REF!-TIME(0,0,0))*1440,0)+1440,ROUND((#REF!-TIME(0,0,0))*1440,0))</f>
        <v>#REF!</v>
      </c>
      <c r="X416" s="4" t="e">
        <f>IF(ISBLANK(#REF!),tbl_Case_mins[[#This Row],[Surgery Start Date]],#REF!)</f>
        <v>#REF!</v>
      </c>
      <c r="Y416">
        <f>IFERROR(IF(VLOOKUP(tbl_Case_mins[[#This Row],[Theatre]],'Mng Theatres'!$C$7:$G$12,3,FALSE)="Yes","Yes","No"),0)</f>
        <v>0</v>
      </c>
      <c r="Z416" s="9" t="e" cm="1">
        <f t="array" ref="Z41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6" s="9" t="e" cm="1">
        <f t="array" ref="AA41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6" s="9" t="e">
        <f>IF(tbl_Case_mins[[#This Row],[Case Type]]="Unsch",1,0)</f>
        <v>#REF!</v>
      </c>
      <c r="AD416" s="9" t="e">
        <f>IF(tbl_Case_mins[[#This Row],[Case Type]]="Sch",1,0)</f>
        <v>#REF!</v>
      </c>
      <c r="AE41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6" s="9">
        <f>IFERROR(IF(ISBLANK(INDEX(Am_Close,MATCH(1,INDEX((tbl_Case_mins[[#This Row],[Theatre]]=Theatre_No)*(tbl_Case_mins[[#This Row],[Surgery Start Date]]=Date),0,1),0))*1440),0,INDEX(Am_Close,MATCH(1,INDEX((tbl_Case_mins[[#This Row],[Theatre]]=Theatre_No)*(tbl_Case_mins[[#This Row],[Surgery Start Date]]=Date),0,1),0))*1440),0)</f>
        <v>0</v>
      </c>
      <c r="AG416" s="9">
        <f>IFERROR(IF(ISBLANK(INDEX(PM_Open,MATCH(1,INDEX((tbl_Case_mins[[#This Row],[Theatre]]=Theatre_No)*(tbl_Case_mins[[#This Row],[Surgery Start Date]]=Date),0,1),0))*1440),0,INDEX(PM_Open,MATCH(1,INDEX((tbl_Case_mins[[#This Row],[Theatre]]=Theatre_No)*(tbl_Case_mins[[#This Row],[Surgery Start Date]]=Date),0,1),0))*1440),0)</f>
        <v>0</v>
      </c>
      <c r="AH41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6" s="9" t="e">
        <f>IF(tbl_Case_mins[[#This Row],[ThOpenAm]]=0,tbl_Case_mins[[#This Row],[ThOpenPM]],tbl_Case_mins[[#This Row],[ThOpenAm]])</f>
        <v>#REF!</v>
      </c>
      <c r="AJ416" s="9" t="e">
        <f>IF(tbl_Case_mins[[#This Row],[ThCloseAm]]&gt;0,IF(tbl_Case_mins[[#This Row],[ThOpenPM]]&gt;0,tbl_Case_mins[[#This Row],[ThClosePm]],tbl_Case_mins[[#This Row],[ThCloseAm]]),tbl_Case_mins[[#This Row],[ThClosePm]])</f>
        <v>#REF!</v>
      </c>
      <c r="AK416" s="9" t="e">
        <f>IF(tbl_Case_mins[[#This Row],[TOT]]&gt;0,1,0)</f>
        <v>#REF!</v>
      </c>
      <c r="AL41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6" s="9" t="e">
        <f>IF(AND(tbl_Case_mins[[#This Row],[Surgery Status]]&lt;&gt;2,tbl_Case_mins[[#This Row],[InCoreCase]]=0,tbl_Case_mins[[#This Row],[CancelledCase]]=0),1,0)</f>
        <v>#REF!</v>
      </c>
      <c r="AN416" s="9" t="e">
        <f>IF(tbl_Case_mins[[#This Row],[Surgery Status]]=1,1,0)</f>
        <v>#REF!</v>
      </c>
      <c r="AO41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6" s="9" t="e">
        <f>IF(AND(tbl_Case_mins[[#This Row],[NonCoreCase]]=1,tbl_Case_mins[[#This Row],[NoInCoreTime]]=0),1,0)</f>
        <v>#REF!</v>
      </c>
      <c r="AQ416" s="9" t="e">
        <f>IF(tbl_Case_mins[[#This Row],[Rank_AnaEnd]]&lt;tbl_Case_mins[[#This Row],[Rank_AnaSt]],1,0)</f>
        <v>#REF!</v>
      </c>
      <c r="AR416" s="9" t="e">
        <f>IF(AND(tbl_Case_mins[[#This Row],[InCoreCase]]=1,tbl_Case_mins[[#This Row],[Sch]]=1),1,0)</f>
        <v>#REF!</v>
      </c>
      <c r="AS416" s="9" t="e">
        <f>IF(AND(tbl_Case_mins[[#This Row],[InCoreCase]]=1,tbl_Case_mins[[#This Row],[Unsch]]=1),1,0)</f>
        <v>#REF!</v>
      </c>
      <c r="AT41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6" s="9" t="e">
        <f>IF(tbl_Case_mins[[#This Row],[Surgery Status]]=0,(tbl_Case_mins[[#This Row],[Anaesth End]]-tbl_Case_mins[[#This Row],[AnaesthStart]]),0)</f>
        <v>#REF!</v>
      </c>
      <c r="AX416" s="9" t="e">
        <f>IF(tbl_Case_mins[[#This Row],[Surgery Status]]=0,(tbl_Case_mins[[#This Row],[Surgery Finish]]-tbl_Case_mins[[#This Row],[Surgery Start]]),0)</f>
        <v>#REF!</v>
      </c>
      <c r="AY416" s="9" t="e">
        <f>tbl_Case_mins[[#This Row],[Surgery Start]]-tbl_Case_mins[[#This Row],[AnaesthStart]]</f>
        <v>#REF!</v>
      </c>
      <c r="AZ416" s="9" t="e">
        <f>tbl_Case_mins[[#This Row],[Anaesth End]]-tbl_Case_mins[[#This Row],[Surgery Finish]]</f>
        <v>#REF!</v>
      </c>
      <c r="BA41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6" s="16" cm="1">
        <f t="array" ref="BC41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6" s="16" t="e">
        <f>IF(AND(tbl_Case_mins[[#This Row],[FirstAMCase]]=1,tbl_Case_mins[[#This Row],[CancelledCase]]=0,OR(tbl_Case_mins[[#This Row],[EarlyStartAM]]&gt;0,tbl_Case_mins[[#This Row],[AnaesthStart]]=tbl_Case_mins[[#This Row],[ThOpenAm]])),1,0)</f>
        <v>#REF!</v>
      </c>
      <c r="BE416" s="16" t="e">
        <f>IF(AND(tbl_Case_mins[[#This Row],[Rank_AnaSt]]=tbl_Case_mins[[#This Row],[Min_RankAnaSt]],tbl_Case_mins[[#This Row],[Anaesth End]]&gt;=tbl_Case_mins[[#This Row],[ThOpenAm]],tbl_Case_mins[[#This Row],[PmCase]]=0),1,0)</f>
        <v>#REF!</v>
      </c>
      <c r="BF41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6" s="9" t="e" cm="1">
        <f t="array" ref="BH41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6" s="9" t="e">
        <f>IF(AND(tbl_Case_mins[[#This Row],[ThOpenPM]]&gt;0,tbl_Case_mins[[#This Row],[AnaesthStart]]&gt;tbl_Case_mins[[#This Row],[ThOpenPM]],tbl_Case_mins[[#This Row],[First PM Case]]=1),tbl_Case_mins[[#This Row],[AnaesthStart]]-tbl_Case_mins[[#This Row],[ThOpenPM]],0)</f>
        <v>#REF!</v>
      </c>
      <c r="BL41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6" s="9" t="e" cm="1">
        <f t="array" ref="BN41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6" s="9" t="e">
        <f>IF(AND(tbl_Case_mins[[#This Row],[ThClosePm]]&gt;0,tbl_Case_mins[[#This Row],[Anaesth End]]&gt;tbl_Case_mins[[#This Row],[ThClosePm]],tbl_Case_mins[[#This Row],[AnaesthStart]]&gt;tbl_Case_mins[[#This Row],[ThClosePm]]),tbl_Case_mins[[#This Row],[Into Recov]]-tbl_Case_mins[[#This Row],[AnaesthStart]],0)</f>
        <v>#REF!</v>
      </c>
      <c r="BP416" s="9" t="e">
        <f>IF(AND(tbl_Case_mins[[#This Row],[AnaesthStart]]&lt;tbl_Case_mins[[#This Row],[ThClosePm]],tbl_Case_mins[[#This Row],[Anaesth End]]&gt;tbl_Case_mins[[#This Row],[ThClosePm]]),tbl_Case_mins[[#This Row],[Anaesth End]]-tbl_Case_mins[[#This Row],[ThClosePm]],0)</f>
        <v>#REF!</v>
      </c>
      <c r="BQ416" s="9" t="e" cm="1">
        <f t="array" ref="BQ41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6" s="9" t="e" cm="1">
        <f t="array" ref="BR416">IF(tbl_Case_mins[[#This Row],[Rank_Adjust]]=SUMPRODUCT(-(tbl_Case_mins[Surgery Start Date]=tbl_Case_mins[[#This Row],[Surgery Start Date]]),-(tbl_Case_mins[Theatre]=tbl_Case_mins[[#This Row],[Theatre]])),INDEX(Poss_Time,MATCH(TEXT(tbl_Case_mins[[#This Row],[Surgery Start Date]],"ddd"),Day,0)),0)</f>
        <v>#REF!</v>
      </c>
      <c r="BS416" s="9" t="e">
        <f>tbl_Case_mins[[#This Row],[Core_Time]]*Util_Goal</f>
        <v>#REF!</v>
      </c>
      <c r="BT416" s="9" t="e" cm="1">
        <f t="array" ref="BT4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6" s="9" t="e" cm="1">
        <f t="array" ref="BU41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6" s="9" t="e">
        <f>IF(tbl_Case_mins[[#This Row],[Surgery End Date]]&gt;tbl_Case_mins[[#This Row],[Surgery Start Date]],tbl_Case_mins[[#This Row],[Anaesth End]]-1440,0)</f>
        <v>#REF!</v>
      </c>
      <c r="BY416" s="9" t="e">
        <f>tbl_Case_mins[[#This Row],[Total_NonCore]]-tbl_Case_mins[[#This Row],[NextDay_NonCore]]</f>
        <v>#REF!</v>
      </c>
      <c r="BZ416" s="10" t="e">
        <f>tbl_Case_mins[[#This Row],[InCoreUse]]/60</f>
        <v>#REF!</v>
      </c>
      <c r="CA416" s="10" t="e">
        <f>tbl_Case_mins[[#This Row],[Total_NonCore]]/60</f>
        <v>#REF!</v>
      </c>
      <c r="CB416" t="e" cm="1">
        <f t="array" ref="CB4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6" s="9" t="e" cm="1">
        <f t="array" ref="CC41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6" s="9" t="e" cm="1">
        <f t="array" ref="CD41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6" s="9" t="e" cm="1">
        <f t="array" ref="CE41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6" s="9" cm="1">
        <f t="array" ref="CF416">IFERROR(_xlfn.AGGREGATE(14,6,(tbl_Case_mins[Rank_AnaEnd])/((tbl_Case_mins[Surgery Start Date]=tbl_Case_mins[[#This Row],[Surgery Start Date]])*(tbl_Case_mins[Theatre]=tbl_Case_mins[[#This Row],[Theatre]])*(tbl_Case_mins[NoInCoreTime]=0)),1),-1)</f>
        <v>-1</v>
      </c>
      <c r="CG416" s="9" cm="1">
        <f t="array" ref="CG416">IFERROR(_xlfn.AGGREGATE(15,6,(tbl_Case_mins[Rank_AnaSt])/((tbl_Case_mins[Surgery Start Date]=tbl_Case_mins[[#This Row],[Surgery Start Date]])*(tbl_Case_mins[Theatre]=tbl_Case_mins[[#This Row],[Theatre]])*(tbl_Case_mins[NoInCoreTime]=0)),1),-1)</f>
        <v>-1</v>
      </c>
      <c r="CH41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6" t="e" cm="1">
        <f t="array" ref="CJ41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6" s="9" cm="1">
        <f t="array" ref="CO4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6" s="9" cm="1">
        <f t="array" ref="CP41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6" s="9" cm="1">
        <f t="array" ref="CQ416">IFERROR(IF(AND(tbl_Case_mins[[#This Row],[FirstAMCase]]=0,tbl_Case_mins[[#This Row],[Rank]]=_xlfn.AGGREGATE(14,6,(tbl_Case_mins[Rank])/((tbl_Case_mins[Surgery Start Date]=tbl_Case_mins[[#This Row],[Surgery Start Date]])*(tbl_Case_mins[Theatre]=tbl_Case_mins[[#This Row],[Theatre]])*(tbl_Case_mins[AmCase]=1)),1)),1,0),0)</f>
        <v>0</v>
      </c>
      <c r="CR416" s="9" cm="1">
        <f t="array" ref="CR41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6" s="9" t="e" cm="1">
        <f t="array" ref="CS41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6" s="9" cm="1">
        <f t="array" ref="CT416">IFERROR(IF(tbl_Case_mins[[#This Row],[Rank]]=_xlfn.AGGREGATE(15,6,(tbl_Case_mins[Rank])/((tbl_Case_mins[Surgery Start Date]=tbl_Case_mins[[#This Row],[Surgery Start Date]])*(tbl_Case_mins[Theatre]=tbl_Case_mins[[#This Row],[Theatre]])*(tbl_Case_mins[PmCase]=1)),1),1,0),0)</f>
        <v>0</v>
      </c>
      <c r="CU416">
        <f>IFERROR(#REF!,0)</f>
        <v>0</v>
      </c>
      <c r="CV416" s="9" t="e" cm="1">
        <f t="array" ref="CV41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6" s="9">
        <f>IFERROR(IF(ISBLANK(INDEX(Bay_AmClose,MATCH(1,INDEX((tbl_Case_mins[[#This Row],[Bay]]=BayNo)*(tbl_Case_mins[[#This Row],[Surgery Start Date]]=BDate),0,1),0))*1440),0,INDEX(Bay_AmClose,MATCH(1,INDEX((tbl_Case_mins[[#This Row],[Bay]]=BayNo)*(tbl_Case_mins[[#This Row],[Surgery Start Date]]=BDate),0,1),0))*1440),0)</f>
        <v>0</v>
      </c>
      <c r="CX416" s="9" cm="1">
        <f t="array" ref="CX416">IFERROR(IF(ISBLANK(INDEX(Bay_PmOpen,MATCH(1,INDEX((tbl_Case_mins[[#This Row],[Bay]]=BayNo)*(tbl_Case_mins[[#This Row],[Surgery Start Date]]=BDate),0,1),0))*1440),0,INDEX(Bay_PmOpen,MATCH(1,INDEX((tbl_Case_mins[[#This Row],[Bay]]=BayNo)*(tbl_Case_mins[[#This Row],[Surgery Start Date]]=BDate),0,1),0))*1440),0)</f>
        <v>0</v>
      </c>
      <c r="CY41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6" s="9"/>
    </row>
    <row r="417" spans="1:104" x14ac:dyDescent="0.2">
      <c r="A417">
        <v>416</v>
      </c>
      <c r="B417" t="e">
        <f>#REF!</f>
        <v>#REF!</v>
      </c>
      <c r="C417" t="e">
        <f>#REF!</f>
        <v>#REF!</v>
      </c>
      <c r="D417" t="e">
        <f>#REF!</f>
        <v>#REF!</v>
      </c>
      <c r="E417" t="e">
        <f>#REF!</f>
        <v>#REF!</v>
      </c>
      <c r="F417" t="e">
        <f>#REF!</f>
        <v>#REF!</v>
      </c>
      <c r="G417" t="e">
        <f>#REF!</f>
        <v>#REF!</v>
      </c>
      <c r="H417" t="e">
        <f>#REF!</f>
        <v>#REF!</v>
      </c>
      <c r="I417" t="e">
        <f>IF(#REF!="Case Cancelled",1,IF(#REF!="No Cases",2,0))</f>
        <v>#REF!</v>
      </c>
      <c r="J417" t="e">
        <f>#REF!</f>
        <v>#REF!</v>
      </c>
      <c r="K417" s="4" t="e">
        <f>#REF!</f>
        <v>#REF!</v>
      </c>
      <c r="L417" t="e">
        <f>"Wk "&amp;WEEKNUM(tbl_Case_mins[[#This Row],[Surgery Start Date]],21)</f>
        <v>#REF!</v>
      </c>
      <c r="M417" t="e">
        <f>TEXT(tbl_Case_mins[[#This Row],[Surgery Start Date]],"ddd")</f>
        <v>#REF!</v>
      </c>
      <c r="N417" s="9" t="e">
        <f>(#REF!-TIME(0,0,0))*1440</f>
        <v>#REF!</v>
      </c>
      <c r="O417" t="e">
        <f>IF(AND(ROUND((#REF!-TIME(0,0,0))*1440,0)&gt;0,ROUND((#REF!-TIME(0,0,0))*1440,0)&lt;tbl_Case_mins[[#This Row],[Patient Called]],tbl_Case_mins[[#This Row],[Surgery End Date]]&gt;tbl_Case_mins[[#This Row],[Surgery Start Date]]),ROUND((#REF!-TIME(0,0,0))*1440,0)+1440,ROUND((#REF!-TIME(0,0,0))*1440,0))</f>
        <v>#REF!</v>
      </c>
      <c r="P417" s="9" t="e">
        <f>IF(AND(ROUND((#REF!-TIME(0,0,0))*1440,0)&gt;0,ROUND((#REF!-TIME(0,0,0))*1440,0)&lt;tbl_Case_mins[[#This Row],[Arrival]],tbl_Case_mins[[#This Row],[Surgery End Date]]&gt;tbl_Case_mins[[#This Row],[Surgery Start Date]]),ROUND((#REF!-TIME(0,0,0))*1440,0)+1440,ROUND((#REF!-TIME(0,0,0))*1440,0))</f>
        <v>#REF!</v>
      </c>
      <c r="Q417" s="9" t="e">
        <f>IF(AND(ROUND((#REF!-TIME(0,0,0))*1440,0)&gt;0,ROUND((#REF!-TIME(0,0,0))*1440,0)&lt;tbl_Case_mins[[#This Row],[Into Th or AR]],tbl_Case_mins[[#This Row],[Surgery End Date]]&gt;tbl_Case_mins[[#This Row],[Surgery Start Date]]),ROUND((#REF!-TIME(0,0,0))*1440,0)+1440,ROUND((#REF!-TIME(0,0,0))*1440,0))</f>
        <v>#REF!</v>
      </c>
      <c r="R417" s="9" t="e">
        <f>IF(AND(ROUND((#REF!-TIME(0,0,0))*1440,0)&gt;0,ROUND((#REF!-TIME(0,0,0))*1440,0)&lt;tbl_Case_mins[[#This Row],[AnaesthStart]],tbl_Case_mins[[#This Row],[Surgery End Date]]&gt;tbl_Case_mins[[#This Row],[Surgery Start Date]]),ROUND((#REF!-TIME(0,0,0))*1440,0)+1440,ROUND((#REF!-TIME(0,0,0))*1440,0))</f>
        <v>#REF!</v>
      </c>
      <c r="S417" s="9" t="e">
        <f>IF(AND(ROUND((#REF!-TIME(0,0,0))*1440,0),ROUND((#REF!-TIME(0,0,0))*1440,0)&lt;tbl_Case_mins[[#This Row],[Surgery Start]],tbl_Case_mins[[#This Row],[Surgery End Date]]&gt;tbl_Case_mins[[#This Row],[Surgery Start Date]]),ROUND((#REF!-TIME(0,0,0))*1440,0)+1440,ROUND((#REF!-TIME(0,0,0))*1440,0))</f>
        <v>#REF!</v>
      </c>
      <c r="T417" s="9" t="e">
        <f>IF(AND(ROUND((#REF!-TIME(0,0,0))*1440,0)&gt;0,ROUND((#REF!-TIME(0,0,0))*1440,0)&lt;tbl_Case_mins[[#This Row],[Surgery Finish]],tbl_Case_mins[[#This Row],[Surgery End Date]]&gt;tbl_Case_mins[[#This Row],[Surgery Start Date]]),ROUND((#REF!-TIME(0,0,0))*1440,0)+1440,ROUND((#REF!-TIME(0,0,0))*1440,0))</f>
        <v>#REF!</v>
      </c>
      <c r="U417" s="9" t="e">
        <f>IF(AND(ROUND((#REF!-TIME(0,0,0))*1440,0)&gt;0,ROUND((#REF!-TIME(0,0,0))*1440,0)&lt;tbl_Case_mins[[#This Row],[Anaesth End]],tbl_Case_mins[[#This Row],[Surgery End Date]]&gt;tbl_Case_mins[[#This Row],[Surgery Start Date]]),ROUND((#REF!-TIME(0,0,0))*1440,0)+1440,ROUND((#REF!-TIME(0,0,0))*1440,0))</f>
        <v>#REF!</v>
      </c>
      <c r="V417" s="9" t="e">
        <f>IF(AND(ROUND((#REF!-TIME(0,0,0))*1440,0)&gt;0,ROUND((#REF!-TIME(0,0,0))*1440,0)&lt;tbl_Case_mins[[#This Row],[Into Recov]],tbl_Case_mins[[#This Row],[Surgery End Date]]&gt;tbl_Case_mins[[#This Row],[Surgery Start Date]]),ROUND((#REF!-TIME(0,0,0))*1440,0)+1440,ROUND((#REF!-TIME(0,0,0))*1440,0))</f>
        <v>#REF!</v>
      </c>
      <c r="W417" s="9" t="e">
        <f>IF(AND(ROUND((#REF!-TIME(0,0,0))*1440,0)&gt;0,ROUND((#REF!-TIME(0,0,0))*1440,0)&lt;tbl_Case_mins[[#This Row],[Ward Called]],tbl_Case_mins[[#This Row],[Surgery End Date]]&gt;tbl_Case_mins[[#This Row],[Surgery Start Date]]),ROUND((#REF!-TIME(0,0,0))*1440,0)+1440,ROUND((#REF!-TIME(0,0,0))*1440,0))</f>
        <v>#REF!</v>
      </c>
      <c r="X417" s="4" t="e">
        <f>IF(ISBLANK(#REF!),tbl_Case_mins[[#This Row],[Surgery Start Date]],#REF!)</f>
        <v>#REF!</v>
      </c>
      <c r="Y417">
        <f>IFERROR(IF(VLOOKUP(tbl_Case_mins[[#This Row],[Theatre]],'Mng Theatres'!$C$7:$G$12,3,FALSE)="Yes","Yes","No"),0)</f>
        <v>0</v>
      </c>
      <c r="Z417" s="9" t="e" cm="1">
        <f t="array" ref="Z41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7" s="9" t="e" cm="1">
        <f t="array" ref="AA41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7" s="9" t="e">
        <f>IF(tbl_Case_mins[[#This Row],[Case Type]]="Unsch",1,0)</f>
        <v>#REF!</v>
      </c>
      <c r="AD417" s="9" t="e">
        <f>IF(tbl_Case_mins[[#This Row],[Case Type]]="Sch",1,0)</f>
        <v>#REF!</v>
      </c>
      <c r="AE41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7" s="9">
        <f>IFERROR(IF(ISBLANK(INDEX(Am_Close,MATCH(1,INDEX((tbl_Case_mins[[#This Row],[Theatre]]=Theatre_No)*(tbl_Case_mins[[#This Row],[Surgery Start Date]]=Date),0,1),0))*1440),0,INDEX(Am_Close,MATCH(1,INDEX((tbl_Case_mins[[#This Row],[Theatre]]=Theatre_No)*(tbl_Case_mins[[#This Row],[Surgery Start Date]]=Date),0,1),0))*1440),0)</f>
        <v>0</v>
      </c>
      <c r="AG417" s="9">
        <f>IFERROR(IF(ISBLANK(INDEX(PM_Open,MATCH(1,INDEX((tbl_Case_mins[[#This Row],[Theatre]]=Theatre_No)*(tbl_Case_mins[[#This Row],[Surgery Start Date]]=Date),0,1),0))*1440),0,INDEX(PM_Open,MATCH(1,INDEX((tbl_Case_mins[[#This Row],[Theatre]]=Theatre_No)*(tbl_Case_mins[[#This Row],[Surgery Start Date]]=Date),0,1),0))*1440),0)</f>
        <v>0</v>
      </c>
      <c r="AH41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7" s="9" t="e">
        <f>IF(tbl_Case_mins[[#This Row],[ThOpenAm]]=0,tbl_Case_mins[[#This Row],[ThOpenPM]],tbl_Case_mins[[#This Row],[ThOpenAm]])</f>
        <v>#REF!</v>
      </c>
      <c r="AJ417" s="9" t="e">
        <f>IF(tbl_Case_mins[[#This Row],[ThCloseAm]]&gt;0,IF(tbl_Case_mins[[#This Row],[ThOpenPM]]&gt;0,tbl_Case_mins[[#This Row],[ThClosePm]],tbl_Case_mins[[#This Row],[ThCloseAm]]),tbl_Case_mins[[#This Row],[ThClosePm]])</f>
        <v>#REF!</v>
      </c>
      <c r="AK417" s="9" t="e">
        <f>IF(tbl_Case_mins[[#This Row],[TOT]]&gt;0,1,0)</f>
        <v>#REF!</v>
      </c>
      <c r="AL41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7" s="9" t="e">
        <f>IF(AND(tbl_Case_mins[[#This Row],[Surgery Status]]&lt;&gt;2,tbl_Case_mins[[#This Row],[InCoreCase]]=0,tbl_Case_mins[[#This Row],[CancelledCase]]=0),1,0)</f>
        <v>#REF!</v>
      </c>
      <c r="AN417" s="9" t="e">
        <f>IF(tbl_Case_mins[[#This Row],[Surgery Status]]=1,1,0)</f>
        <v>#REF!</v>
      </c>
      <c r="AO41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7" s="9" t="e">
        <f>IF(AND(tbl_Case_mins[[#This Row],[NonCoreCase]]=1,tbl_Case_mins[[#This Row],[NoInCoreTime]]=0),1,0)</f>
        <v>#REF!</v>
      </c>
      <c r="AQ417" s="9" t="e">
        <f>IF(tbl_Case_mins[[#This Row],[Rank_AnaEnd]]&lt;tbl_Case_mins[[#This Row],[Rank_AnaSt]],1,0)</f>
        <v>#REF!</v>
      </c>
      <c r="AR417" s="9" t="e">
        <f>IF(AND(tbl_Case_mins[[#This Row],[InCoreCase]]=1,tbl_Case_mins[[#This Row],[Sch]]=1),1,0)</f>
        <v>#REF!</v>
      </c>
      <c r="AS417" s="9" t="e">
        <f>IF(AND(tbl_Case_mins[[#This Row],[InCoreCase]]=1,tbl_Case_mins[[#This Row],[Unsch]]=1),1,0)</f>
        <v>#REF!</v>
      </c>
      <c r="AT41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7" s="9" t="e">
        <f>IF(tbl_Case_mins[[#This Row],[Surgery Status]]=0,(tbl_Case_mins[[#This Row],[Anaesth End]]-tbl_Case_mins[[#This Row],[AnaesthStart]]),0)</f>
        <v>#REF!</v>
      </c>
      <c r="AX417" s="9" t="e">
        <f>IF(tbl_Case_mins[[#This Row],[Surgery Status]]=0,(tbl_Case_mins[[#This Row],[Surgery Finish]]-tbl_Case_mins[[#This Row],[Surgery Start]]),0)</f>
        <v>#REF!</v>
      </c>
      <c r="AY417" s="9" t="e">
        <f>tbl_Case_mins[[#This Row],[Surgery Start]]-tbl_Case_mins[[#This Row],[AnaesthStart]]</f>
        <v>#REF!</v>
      </c>
      <c r="AZ417" s="9" t="e">
        <f>tbl_Case_mins[[#This Row],[Anaesth End]]-tbl_Case_mins[[#This Row],[Surgery Finish]]</f>
        <v>#REF!</v>
      </c>
      <c r="BA41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7" s="16" cm="1">
        <f t="array" ref="BC41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7" s="16" t="e">
        <f>IF(AND(tbl_Case_mins[[#This Row],[FirstAMCase]]=1,tbl_Case_mins[[#This Row],[CancelledCase]]=0,OR(tbl_Case_mins[[#This Row],[EarlyStartAM]]&gt;0,tbl_Case_mins[[#This Row],[AnaesthStart]]=tbl_Case_mins[[#This Row],[ThOpenAm]])),1,0)</f>
        <v>#REF!</v>
      </c>
      <c r="BE417" s="16" t="e">
        <f>IF(AND(tbl_Case_mins[[#This Row],[Rank_AnaSt]]=tbl_Case_mins[[#This Row],[Min_RankAnaSt]],tbl_Case_mins[[#This Row],[Anaesth End]]&gt;=tbl_Case_mins[[#This Row],[ThOpenAm]],tbl_Case_mins[[#This Row],[PmCase]]=0),1,0)</f>
        <v>#REF!</v>
      </c>
      <c r="BF41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7" s="9" t="e" cm="1">
        <f t="array" ref="BH41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7" s="9" t="e">
        <f>IF(AND(tbl_Case_mins[[#This Row],[ThOpenPM]]&gt;0,tbl_Case_mins[[#This Row],[AnaesthStart]]&gt;tbl_Case_mins[[#This Row],[ThOpenPM]],tbl_Case_mins[[#This Row],[First PM Case]]=1),tbl_Case_mins[[#This Row],[AnaesthStart]]-tbl_Case_mins[[#This Row],[ThOpenPM]],0)</f>
        <v>#REF!</v>
      </c>
      <c r="BL41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7" s="9" t="e" cm="1">
        <f t="array" ref="BN41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7" s="9" t="e">
        <f>IF(AND(tbl_Case_mins[[#This Row],[ThClosePm]]&gt;0,tbl_Case_mins[[#This Row],[Anaesth End]]&gt;tbl_Case_mins[[#This Row],[ThClosePm]],tbl_Case_mins[[#This Row],[AnaesthStart]]&gt;tbl_Case_mins[[#This Row],[ThClosePm]]),tbl_Case_mins[[#This Row],[Into Recov]]-tbl_Case_mins[[#This Row],[AnaesthStart]],0)</f>
        <v>#REF!</v>
      </c>
      <c r="BP417" s="9" t="e">
        <f>IF(AND(tbl_Case_mins[[#This Row],[AnaesthStart]]&lt;tbl_Case_mins[[#This Row],[ThClosePm]],tbl_Case_mins[[#This Row],[Anaesth End]]&gt;tbl_Case_mins[[#This Row],[ThClosePm]]),tbl_Case_mins[[#This Row],[Anaesth End]]-tbl_Case_mins[[#This Row],[ThClosePm]],0)</f>
        <v>#REF!</v>
      </c>
      <c r="BQ417" s="9" t="e" cm="1">
        <f t="array" ref="BQ41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7" s="9" t="e" cm="1">
        <f t="array" ref="BR417">IF(tbl_Case_mins[[#This Row],[Rank_Adjust]]=SUMPRODUCT(-(tbl_Case_mins[Surgery Start Date]=tbl_Case_mins[[#This Row],[Surgery Start Date]]),-(tbl_Case_mins[Theatre]=tbl_Case_mins[[#This Row],[Theatre]])),INDEX(Poss_Time,MATCH(TEXT(tbl_Case_mins[[#This Row],[Surgery Start Date]],"ddd"),Day,0)),0)</f>
        <v>#REF!</v>
      </c>
      <c r="BS417" s="9" t="e">
        <f>tbl_Case_mins[[#This Row],[Core_Time]]*Util_Goal</f>
        <v>#REF!</v>
      </c>
      <c r="BT417" s="9" t="e" cm="1">
        <f t="array" ref="BT4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7" s="9" t="e" cm="1">
        <f t="array" ref="BU41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7" s="9" t="e">
        <f>IF(tbl_Case_mins[[#This Row],[Surgery End Date]]&gt;tbl_Case_mins[[#This Row],[Surgery Start Date]],tbl_Case_mins[[#This Row],[Anaesth End]]-1440,0)</f>
        <v>#REF!</v>
      </c>
      <c r="BY417" s="9" t="e">
        <f>tbl_Case_mins[[#This Row],[Total_NonCore]]-tbl_Case_mins[[#This Row],[NextDay_NonCore]]</f>
        <v>#REF!</v>
      </c>
      <c r="BZ417" s="10" t="e">
        <f>tbl_Case_mins[[#This Row],[InCoreUse]]/60</f>
        <v>#REF!</v>
      </c>
      <c r="CA417" s="10" t="e">
        <f>tbl_Case_mins[[#This Row],[Total_NonCore]]/60</f>
        <v>#REF!</v>
      </c>
      <c r="CB417" t="e" cm="1">
        <f t="array" ref="CB4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7" s="9" t="e" cm="1">
        <f t="array" ref="CC41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7" s="9" t="e" cm="1">
        <f t="array" ref="CD41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7" s="9" t="e" cm="1">
        <f t="array" ref="CE41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7" s="9" cm="1">
        <f t="array" ref="CF417">IFERROR(_xlfn.AGGREGATE(14,6,(tbl_Case_mins[Rank_AnaEnd])/((tbl_Case_mins[Surgery Start Date]=tbl_Case_mins[[#This Row],[Surgery Start Date]])*(tbl_Case_mins[Theatre]=tbl_Case_mins[[#This Row],[Theatre]])*(tbl_Case_mins[NoInCoreTime]=0)),1),-1)</f>
        <v>-1</v>
      </c>
      <c r="CG417" s="9" cm="1">
        <f t="array" ref="CG417">IFERROR(_xlfn.AGGREGATE(15,6,(tbl_Case_mins[Rank_AnaSt])/((tbl_Case_mins[Surgery Start Date]=tbl_Case_mins[[#This Row],[Surgery Start Date]])*(tbl_Case_mins[Theatre]=tbl_Case_mins[[#This Row],[Theatre]])*(tbl_Case_mins[NoInCoreTime]=0)),1),-1)</f>
        <v>-1</v>
      </c>
      <c r="CH41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7" t="e" cm="1">
        <f t="array" ref="CJ41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7" s="9" cm="1">
        <f t="array" ref="CO4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7" s="9" cm="1">
        <f t="array" ref="CP41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7" s="9" cm="1">
        <f t="array" ref="CQ417">IFERROR(IF(AND(tbl_Case_mins[[#This Row],[FirstAMCase]]=0,tbl_Case_mins[[#This Row],[Rank]]=_xlfn.AGGREGATE(14,6,(tbl_Case_mins[Rank])/((tbl_Case_mins[Surgery Start Date]=tbl_Case_mins[[#This Row],[Surgery Start Date]])*(tbl_Case_mins[Theatre]=tbl_Case_mins[[#This Row],[Theatre]])*(tbl_Case_mins[AmCase]=1)),1)),1,0),0)</f>
        <v>0</v>
      </c>
      <c r="CR417" s="9" cm="1">
        <f t="array" ref="CR41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7" s="9" t="e" cm="1">
        <f t="array" ref="CS41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7" s="9" cm="1">
        <f t="array" ref="CT417">IFERROR(IF(tbl_Case_mins[[#This Row],[Rank]]=_xlfn.AGGREGATE(15,6,(tbl_Case_mins[Rank])/((tbl_Case_mins[Surgery Start Date]=tbl_Case_mins[[#This Row],[Surgery Start Date]])*(tbl_Case_mins[Theatre]=tbl_Case_mins[[#This Row],[Theatre]])*(tbl_Case_mins[PmCase]=1)),1),1,0),0)</f>
        <v>0</v>
      </c>
      <c r="CU417">
        <f>IFERROR(#REF!,0)</f>
        <v>0</v>
      </c>
      <c r="CV417" s="9" t="e" cm="1">
        <f t="array" ref="CV41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7" s="9">
        <f>IFERROR(IF(ISBLANK(INDEX(Bay_AmClose,MATCH(1,INDEX((tbl_Case_mins[[#This Row],[Bay]]=BayNo)*(tbl_Case_mins[[#This Row],[Surgery Start Date]]=BDate),0,1),0))*1440),0,INDEX(Bay_AmClose,MATCH(1,INDEX((tbl_Case_mins[[#This Row],[Bay]]=BayNo)*(tbl_Case_mins[[#This Row],[Surgery Start Date]]=BDate),0,1),0))*1440),0)</f>
        <v>0</v>
      </c>
      <c r="CX417" s="9" cm="1">
        <f t="array" ref="CX417">IFERROR(IF(ISBLANK(INDEX(Bay_PmOpen,MATCH(1,INDEX((tbl_Case_mins[[#This Row],[Bay]]=BayNo)*(tbl_Case_mins[[#This Row],[Surgery Start Date]]=BDate),0,1),0))*1440),0,INDEX(Bay_PmOpen,MATCH(1,INDEX((tbl_Case_mins[[#This Row],[Bay]]=BayNo)*(tbl_Case_mins[[#This Row],[Surgery Start Date]]=BDate),0,1),0))*1440),0)</f>
        <v>0</v>
      </c>
      <c r="CY41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7" s="9"/>
    </row>
    <row r="418" spans="1:104" x14ac:dyDescent="0.2">
      <c r="A418">
        <v>417</v>
      </c>
      <c r="B418" t="e">
        <f>#REF!</f>
        <v>#REF!</v>
      </c>
      <c r="C418" t="e">
        <f>#REF!</f>
        <v>#REF!</v>
      </c>
      <c r="D418" t="e">
        <f>#REF!</f>
        <v>#REF!</v>
      </c>
      <c r="E418" t="e">
        <f>#REF!</f>
        <v>#REF!</v>
      </c>
      <c r="F418" t="e">
        <f>#REF!</f>
        <v>#REF!</v>
      </c>
      <c r="G418" t="e">
        <f>#REF!</f>
        <v>#REF!</v>
      </c>
      <c r="H418" t="e">
        <f>#REF!</f>
        <v>#REF!</v>
      </c>
      <c r="I418" t="e">
        <f>IF(#REF!="Case Cancelled",1,IF(#REF!="No Cases",2,0))</f>
        <v>#REF!</v>
      </c>
      <c r="J418" t="e">
        <f>#REF!</f>
        <v>#REF!</v>
      </c>
      <c r="K418" s="4" t="e">
        <f>#REF!</f>
        <v>#REF!</v>
      </c>
      <c r="L418" t="e">
        <f>"Wk "&amp;WEEKNUM(tbl_Case_mins[[#This Row],[Surgery Start Date]],21)</f>
        <v>#REF!</v>
      </c>
      <c r="M418" t="e">
        <f>TEXT(tbl_Case_mins[[#This Row],[Surgery Start Date]],"ddd")</f>
        <v>#REF!</v>
      </c>
      <c r="N418" s="9" t="e">
        <f>(#REF!-TIME(0,0,0))*1440</f>
        <v>#REF!</v>
      </c>
      <c r="O418" t="e">
        <f>IF(AND(ROUND((#REF!-TIME(0,0,0))*1440,0)&gt;0,ROUND((#REF!-TIME(0,0,0))*1440,0)&lt;tbl_Case_mins[[#This Row],[Patient Called]],tbl_Case_mins[[#This Row],[Surgery End Date]]&gt;tbl_Case_mins[[#This Row],[Surgery Start Date]]),ROUND((#REF!-TIME(0,0,0))*1440,0)+1440,ROUND((#REF!-TIME(0,0,0))*1440,0))</f>
        <v>#REF!</v>
      </c>
      <c r="P418" s="9" t="e">
        <f>IF(AND(ROUND((#REF!-TIME(0,0,0))*1440,0)&gt;0,ROUND((#REF!-TIME(0,0,0))*1440,0)&lt;tbl_Case_mins[[#This Row],[Arrival]],tbl_Case_mins[[#This Row],[Surgery End Date]]&gt;tbl_Case_mins[[#This Row],[Surgery Start Date]]),ROUND((#REF!-TIME(0,0,0))*1440,0)+1440,ROUND((#REF!-TIME(0,0,0))*1440,0))</f>
        <v>#REF!</v>
      </c>
      <c r="Q418" s="9" t="e">
        <f>IF(AND(ROUND((#REF!-TIME(0,0,0))*1440,0)&gt;0,ROUND((#REF!-TIME(0,0,0))*1440,0)&lt;tbl_Case_mins[[#This Row],[Into Th or AR]],tbl_Case_mins[[#This Row],[Surgery End Date]]&gt;tbl_Case_mins[[#This Row],[Surgery Start Date]]),ROUND((#REF!-TIME(0,0,0))*1440,0)+1440,ROUND((#REF!-TIME(0,0,0))*1440,0))</f>
        <v>#REF!</v>
      </c>
      <c r="R418" s="9" t="e">
        <f>IF(AND(ROUND((#REF!-TIME(0,0,0))*1440,0)&gt;0,ROUND((#REF!-TIME(0,0,0))*1440,0)&lt;tbl_Case_mins[[#This Row],[AnaesthStart]],tbl_Case_mins[[#This Row],[Surgery End Date]]&gt;tbl_Case_mins[[#This Row],[Surgery Start Date]]),ROUND((#REF!-TIME(0,0,0))*1440,0)+1440,ROUND((#REF!-TIME(0,0,0))*1440,0))</f>
        <v>#REF!</v>
      </c>
      <c r="S418" s="9" t="e">
        <f>IF(AND(ROUND((#REF!-TIME(0,0,0))*1440,0),ROUND((#REF!-TIME(0,0,0))*1440,0)&lt;tbl_Case_mins[[#This Row],[Surgery Start]],tbl_Case_mins[[#This Row],[Surgery End Date]]&gt;tbl_Case_mins[[#This Row],[Surgery Start Date]]),ROUND((#REF!-TIME(0,0,0))*1440,0)+1440,ROUND((#REF!-TIME(0,0,0))*1440,0))</f>
        <v>#REF!</v>
      </c>
      <c r="T418" s="9" t="e">
        <f>IF(AND(ROUND((#REF!-TIME(0,0,0))*1440,0)&gt;0,ROUND((#REF!-TIME(0,0,0))*1440,0)&lt;tbl_Case_mins[[#This Row],[Surgery Finish]],tbl_Case_mins[[#This Row],[Surgery End Date]]&gt;tbl_Case_mins[[#This Row],[Surgery Start Date]]),ROUND((#REF!-TIME(0,0,0))*1440,0)+1440,ROUND((#REF!-TIME(0,0,0))*1440,0))</f>
        <v>#REF!</v>
      </c>
      <c r="U418" s="9" t="e">
        <f>IF(AND(ROUND((#REF!-TIME(0,0,0))*1440,0)&gt;0,ROUND((#REF!-TIME(0,0,0))*1440,0)&lt;tbl_Case_mins[[#This Row],[Anaesth End]],tbl_Case_mins[[#This Row],[Surgery End Date]]&gt;tbl_Case_mins[[#This Row],[Surgery Start Date]]),ROUND((#REF!-TIME(0,0,0))*1440,0)+1440,ROUND((#REF!-TIME(0,0,0))*1440,0))</f>
        <v>#REF!</v>
      </c>
      <c r="V418" s="9" t="e">
        <f>IF(AND(ROUND((#REF!-TIME(0,0,0))*1440,0)&gt;0,ROUND((#REF!-TIME(0,0,0))*1440,0)&lt;tbl_Case_mins[[#This Row],[Into Recov]],tbl_Case_mins[[#This Row],[Surgery End Date]]&gt;tbl_Case_mins[[#This Row],[Surgery Start Date]]),ROUND((#REF!-TIME(0,0,0))*1440,0)+1440,ROUND((#REF!-TIME(0,0,0))*1440,0))</f>
        <v>#REF!</v>
      </c>
      <c r="W418" s="9" t="e">
        <f>IF(AND(ROUND((#REF!-TIME(0,0,0))*1440,0)&gt;0,ROUND((#REF!-TIME(0,0,0))*1440,0)&lt;tbl_Case_mins[[#This Row],[Ward Called]],tbl_Case_mins[[#This Row],[Surgery End Date]]&gt;tbl_Case_mins[[#This Row],[Surgery Start Date]]),ROUND((#REF!-TIME(0,0,0))*1440,0)+1440,ROUND((#REF!-TIME(0,0,0))*1440,0))</f>
        <v>#REF!</v>
      </c>
      <c r="X418" s="4" t="e">
        <f>IF(ISBLANK(#REF!),tbl_Case_mins[[#This Row],[Surgery Start Date]],#REF!)</f>
        <v>#REF!</v>
      </c>
      <c r="Y418">
        <f>IFERROR(IF(VLOOKUP(tbl_Case_mins[[#This Row],[Theatre]],'Mng Theatres'!$C$7:$G$12,3,FALSE)="Yes","Yes","No"),0)</f>
        <v>0</v>
      </c>
      <c r="Z418" s="9" t="e" cm="1">
        <f t="array" ref="Z41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8" s="9" t="e" cm="1">
        <f t="array" ref="AA41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8" s="9" t="e">
        <f>IF(tbl_Case_mins[[#This Row],[Case Type]]="Unsch",1,0)</f>
        <v>#REF!</v>
      </c>
      <c r="AD418" s="9" t="e">
        <f>IF(tbl_Case_mins[[#This Row],[Case Type]]="Sch",1,0)</f>
        <v>#REF!</v>
      </c>
      <c r="AE41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8" s="9">
        <f>IFERROR(IF(ISBLANK(INDEX(Am_Close,MATCH(1,INDEX((tbl_Case_mins[[#This Row],[Theatre]]=Theatre_No)*(tbl_Case_mins[[#This Row],[Surgery Start Date]]=Date),0,1),0))*1440),0,INDEX(Am_Close,MATCH(1,INDEX((tbl_Case_mins[[#This Row],[Theatre]]=Theatre_No)*(tbl_Case_mins[[#This Row],[Surgery Start Date]]=Date),0,1),0))*1440),0)</f>
        <v>0</v>
      </c>
      <c r="AG418" s="9">
        <f>IFERROR(IF(ISBLANK(INDEX(PM_Open,MATCH(1,INDEX((tbl_Case_mins[[#This Row],[Theatre]]=Theatre_No)*(tbl_Case_mins[[#This Row],[Surgery Start Date]]=Date),0,1),0))*1440),0,INDEX(PM_Open,MATCH(1,INDEX((tbl_Case_mins[[#This Row],[Theatre]]=Theatre_No)*(tbl_Case_mins[[#This Row],[Surgery Start Date]]=Date),0,1),0))*1440),0)</f>
        <v>0</v>
      </c>
      <c r="AH41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8" s="9" t="e">
        <f>IF(tbl_Case_mins[[#This Row],[ThOpenAm]]=0,tbl_Case_mins[[#This Row],[ThOpenPM]],tbl_Case_mins[[#This Row],[ThOpenAm]])</f>
        <v>#REF!</v>
      </c>
      <c r="AJ418" s="9" t="e">
        <f>IF(tbl_Case_mins[[#This Row],[ThCloseAm]]&gt;0,IF(tbl_Case_mins[[#This Row],[ThOpenPM]]&gt;0,tbl_Case_mins[[#This Row],[ThClosePm]],tbl_Case_mins[[#This Row],[ThCloseAm]]),tbl_Case_mins[[#This Row],[ThClosePm]])</f>
        <v>#REF!</v>
      </c>
      <c r="AK418" s="9" t="e">
        <f>IF(tbl_Case_mins[[#This Row],[TOT]]&gt;0,1,0)</f>
        <v>#REF!</v>
      </c>
      <c r="AL41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8" s="9" t="e">
        <f>IF(AND(tbl_Case_mins[[#This Row],[Surgery Status]]&lt;&gt;2,tbl_Case_mins[[#This Row],[InCoreCase]]=0,tbl_Case_mins[[#This Row],[CancelledCase]]=0),1,0)</f>
        <v>#REF!</v>
      </c>
      <c r="AN418" s="9" t="e">
        <f>IF(tbl_Case_mins[[#This Row],[Surgery Status]]=1,1,0)</f>
        <v>#REF!</v>
      </c>
      <c r="AO41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8" s="9" t="e">
        <f>IF(AND(tbl_Case_mins[[#This Row],[NonCoreCase]]=1,tbl_Case_mins[[#This Row],[NoInCoreTime]]=0),1,0)</f>
        <v>#REF!</v>
      </c>
      <c r="AQ418" s="9" t="e">
        <f>IF(tbl_Case_mins[[#This Row],[Rank_AnaEnd]]&lt;tbl_Case_mins[[#This Row],[Rank_AnaSt]],1,0)</f>
        <v>#REF!</v>
      </c>
      <c r="AR418" s="9" t="e">
        <f>IF(AND(tbl_Case_mins[[#This Row],[InCoreCase]]=1,tbl_Case_mins[[#This Row],[Sch]]=1),1,0)</f>
        <v>#REF!</v>
      </c>
      <c r="AS418" s="9" t="e">
        <f>IF(AND(tbl_Case_mins[[#This Row],[InCoreCase]]=1,tbl_Case_mins[[#This Row],[Unsch]]=1),1,0)</f>
        <v>#REF!</v>
      </c>
      <c r="AT41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8" s="9" t="e">
        <f>IF(tbl_Case_mins[[#This Row],[Surgery Status]]=0,(tbl_Case_mins[[#This Row],[Anaesth End]]-tbl_Case_mins[[#This Row],[AnaesthStart]]),0)</f>
        <v>#REF!</v>
      </c>
      <c r="AX418" s="9" t="e">
        <f>IF(tbl_Case_mins[[#This Row],[Surgery Status]]=0,(tbl_Case_mins[[#This Row],[Surgery Finish]]-tbl_Case_mins[[#This Row],[Surgery Start]]),0)</f>
        <v>#REF!</v>
      </c>
      <c r="AY418" s="9" t="e">
        <f>tbl_Case_mins[[#This Row],[Surgery Start]]-tbl_Case_mins[[#This Row],[AnaesthStart]]</f>
        <v>#REF!</v>
      </c>
      <c r="AZ418" s="9" t="e">
        <f>tbl_Case_mins[[#This Row],[Anaesth End]]-tbl_Case_mins[[#This Row],[Surgery Finish]]</f>
        <v>#REF!</v>
      </c>
      <c r="BA41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8" s="16" cm="1">
        <f t="array" ref="BC41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8" s="16" t="e">
        <f>IF(AND(tbl_Case_mins[[#This Row],[FirstAMCase]]=1,tbl_Case_mins[[#This Row],[CancelledCase]]=0,OR(tbl_Case_mins[[#This Row],[EarlyStartAM]]&gt;0,tbl_Case_mins[[#This Row],[AnaesthStart]]=tbl_Case_mins[[#This Row],[ThOpenAm]])),1,0)</f>
        <v>#REF!</v>
      </c>
      <c r="BE418" s="16" t="e">
        <f>IF(AND(tbl_Case_mins[[#This Row],[Rank_AnaSt]]=tbl_Case_mins[[#This Row],[Min_RankAnaSt]],tbl_Case_mins[[#This Row],[Anaesth End]]&gt;=tbl_Case_mins[[#This Row],[ThOpenAm]],tbl_Case_mins[[#This Row],[PmCase]]=0),1,0)</f>
        <v>#REF!</v>
      </c>
      <c r="BF41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8" s="9" t="e" cm="1">
        <f t="array" ref="BH41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8" s="9" t="e">
        <f>IF(AND(tbl_Case_mins[[#This Row],[ThOpenPM]]&gt;0,tbl_Case_mins[[#This Row],[AnaesthStart]]&gt;tbl_Case_mins[[#This Row],[ThOpenPM]],tbl_Case_mins[[#This Row],[First PM Case]]=1),tbl_Case_mins[[#This Row],[AnaesthStart]]-tbl_Case_mins[[#This Row],[ThOpenPM]],0)</f>
        <v>#REF!</v>
      </c>
      <c r="BL41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8" s="9" t="e" cm="1">
        <f t="array" ref="BN41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8" s="9" t="e">
        <f>IF(AND(tbl_Case_mins[[#This Row],[ThClosePm]]&gt;0,tbl_Case_mins[[#This Row],[Anaesth End]]&gt;tbl_Case_mins[[#This Row],[ThClosePm]],tbl_Case_mins[[#This Row],[AnaesthStart]]&gt;tbl_Case_mins[[#This Row],[ThClosePm]]),tbl_Case_mins[[#This Row],[Into Recov]]-tbl_Case_mins[[#This Row],[AnaesthStart]],0)</f>
        <v>#REF!</v>
      </c>
      <c r="BP418" s="9" t="e">
        <f>IF(AND(tbl_Case_mins[[#This Row],[AnaesthStart]]&lt;tbl_Case_mins[[#This Row],[ThClosePm]],tbl_Case_mins[[#This Row],[Anaesth End]]&gt;tbl_Case_mins[[#This Row],[ThClosePm]]),tbl_Case_mins[[#This Row],[Anaesth End]]-tbl_Case_mins[[#This Row],[ThClosePm]],0)</f>
        <v>#REF!</v>
      </c>
      <c r="BQ418" s="9" t="e" cm="1">
        <f t="array" ref="BQ41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8" s="9" t="e" cm="1">
        <f t="array" ref="BR418">IF(tbl_Case_mins[[#This Row],[Rank_Adjust]]=SUMPRODUCT(-(tbl_Case_mins[Surgery Start Date]=tbl_Case_mins[[#This Row],[Surgery Start Date]]),-(tbl_Case_mins[Theatre]=tbl_Case_mins[[#This Row],[Theatre]])),INDEX(Poss_Time,MATCH(TEXT(tbl_Case_mins[[#This Row],[Surgery Start Date]],"ddd"),Day,0)),0)</f>
        <v>#REF!</v>
      </c>
      <c r="BS418" s="9" t="e">
        <f>tbl_Case_mins[[#This Row],[Core_Time]]*Util_Goal</f>
        <v>#REF!</v>
      </c>
      <c r="BT418" s="9" t="e" cm="1">
        <f t="array" ref="BT4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8" s="9" t="e" cm="1">
        <f t="array" ref="BU41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8" s="9" t="e">
        <f>IF(tbl_Case_mins[[#This Row],[Surgery End Date]]&gt;tbl_Case_mins[[#This Row],[Surgery Start Date]],tbl_Case_mins[[#This Row],[Anaesth End]]-1440,0)</f>
        <v>#REF!</v>
      </c>
      <c r="BY418" s="9" t="e">
        <f>tbl_Case_mins[[#This Row],[Total_NonCore]]-tbl_Case_mins[[#This Row],[NextDay_NonCore]]</f>
        <v>#REF!</v>
      </c>
      <c r="BZ418" s="10" t="e">
        <f>tbl_Case_mins[[#This Row],[InCoreUse]]/60</f>
        <v>#REF!</v>
      </c>
      <c r="CA418" s="10" t="e">
        <f>tbl_Case_mins[[#This Row],[Total_NonCore]]/60</f>
        <v>#REF!</v>
      </c>
      <c r="CB418" t="e" cm="1">
        <f t="array" ref="CB4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8" s="9" t="e" cm="1">
        <f t="array" ref="CC41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8" s="9" t="e" cm="1">
        <f t="array" ref="CD41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8" s="9" t="e" cm="1">
        <f t="array" ref="CE41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8" s="9" cm="1">
        <f t="array" ref="CF418">IFERROR(_xlfn.AGGREGATE(14,6,(tbl_Case_mins[Rank_AnaEnd])/((tbl_Case_mins[Surgery Start Date]=tbl_Case_mins[[#This Row],[Surgery Start Date]])*(tbl_Case_mins[Theatre]=tbl_Case_mins[[#This Row],[Theatre]])*(tbl_Case_mins[NoInCoreTime]=0)),1),-1)</f>
        <v>-1</v>
      </c>
      <c r="CG418" s="9" cm="1">
        <f t="array" ref="CG418">IFERROR(_xlfn.AGGREGATE(15,6,(tbl_Case_mins[Rank_AnaSt])/((tbl_Case_mins[Surgery Start Date]=tbl_Case_mins[[#This Row],[Surgery Start Date]])*(tbl_Case_mins[Theatre]=tbl_Case_mins[[#This Row],[Theatre]])*(tbl_Case_mins[NoInCoreTime]=0)),1),-1)</f>
        <v>-1</v>
      </c>
      <c r="CH41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8" t="e" cm="1">
        <f t="array" ref="CJ41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8" s="9" cm="1">
        <f t="array" ref="CO4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8" s="9" cm="1">
        <f t="array" ref="CP41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8" s="9" cm="1">
        <f t="array" ref="CQ418">IFERROR(IF(AND(tbl_Case_mins[[#This Row],[FirstAMCase]]=0,tbl_Case_mins[[#This Row],[Rank]]=_xlfn.AGGREGATE(14,6,(tbl_Case_mins[Rank])/((tbl_Case_mins[Surgery Start Date]=tbl_Case_mins[[#This Row],[Surgery Start Date]])*(tbl_Case_mins[Theatre]=tbl_Case_mins[[#This Row],[Theatre]])*(tbl_Case_mins[AmCase]=1)),1)),1,0),0)</f>
        <v>0</v>
      </c>
      <c r="CR418" s="9" cm="1">
        <f t="array" ref="CR41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8" s="9" t="e" cm="1">
        <f t="array" ref="CS41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8" s="9" cm="1">
        <f t="array" ref="CT418">IFERROR(IF(tbl_Case_mins[[#This Row],[Rank]]=_xlfn.AGGREGATE(15,6,(tbl_Case_mins[Rank])/((tbl_Case_mins[Surgery Start Date]=tbl_Case_mins[[#This Row],[Surgery Start Date]])*(tbl_Case_mins[Theatre]=tbl_Case_mins[[#This Row],[Theatre]])*(tbl_Case_mins[PmCase]=1)),1),1,0),0)</f>
        <v>0</v>
      </c>
      <c r="CU418">
        <f>IFERROR(#REF!,0)</f>
        <v>0</v>
      </c>
      <c r="CV418" s="9" t="e" cm="1">
        <f t="array" ref="CV41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8" s="9">
        <f>IFERROR(IF(ISBLANK(INDEX(Bay_AmClose,MATCH(1,INDEX((tbl_Case_mins[[#This Row],[Bay]]=BayNo)*(tbl_Case_mins[[#This Row],[Surgery Start Date]]=BDate),0,1),0))*1440),0,INDEX(Bay_AmClose,MATCH(1,INDEX((tbl_Case_mins[[#This Row],[Bay]]=BayNo)*(tbl_Case_mins[[#This Row],[Surgery Start Date]]=BDate),0,1),0))*1440),0)</f>
        <v>0</v>
      </c>
      <c r="CX418" s="9" cm="1">
        <f t="array" ref="CX418">IFERROR(IF(ISBLANK(INDEX(Bay_PmOpen,MATCH(1,INDEX((tbl_Case_mins[[#This Row],[Bay]]=BayNo)*(tbl_Case_mins[[#This Row],[Surgery Start Date]]=BDate),0,1),0))*1440),0,INDEX(Bay_PmOpen,MATCH(1,INDEX((tbl_Case_mins[[#This Row],[Bay]]=BayNo)*(tbl_Case_mins[[#This Row],[Surgery Start Date]]=BDate),0,1),0))*1440),0)</f>
        <v>0</v>
      </c>
      <c r="CY41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8" s="9"/>
    </row>
    <row r="419" spans="1:104" x14ac:dyDescent="0.2">
      <c r="A419">
        <v>418</v>
      </c>
      <c r="B419" t="e">
        <f>#REF!</f>
        <v>#REF!</v>
      </c>
      <c r="C419" t="e">
        <f>#REF!</f>
        <v>#REF!</v>
      </c>
      <c r="D419" t="e">
        <f>#REF!</f>
        <v>#REF!</v>
      </c>
      <c r="E419" t="e">
        <f>#REF!</f>
        <v>#REF!</v>
      </c>
      <c r="F419" t="e">
        <f>#REF!</f>
        <v>#REF!</v>
      </c>
      <c r="G419" t="e">
        <f>#REF!</f>
        <v>#REF!</v>
      </c>
      <c r="H419" t="e">
        <f>#REF!</f>
        <v>#REF!</v>
      </c>
      <c r="I419" t="e">
        <f>IF(#REF!="Case Cancelled",1,IF(#REF!="No Cases",2,0))</f>
        <v>#REF!</v>
      </c>
      <c r="J419" t="e">
        <f>#REF!</f>
        <v>#REF!</v>
      </c>
      <c r="K419" s="4" t="e">
        <f>#REF!</f>
        <v>#REF!</v>
      </c>
      <c r="L419" t="e">
        <f>"Wk "&amp;WEEKNUM(tbl_Case_mins[[#This Row],[Surgery Start Date]],21)</f>
        <v>#REF!</v>
      </c>
      <c r="M419" t="e">
        <f>TEXT(tbl_Case_mins[[#This Row],[Surgery Start Date]],"ddd")</f>
        <v>#REF!</v>
      </c>
      <c r="N419" s="9" t="e">
        <f>(#REF!-TIME(0,0,0))*1440</f>
        <v>#REF!</v>
      </c>
      <c r="O419" t="e">
        <f>IF(AND(ROUND((#REF!-TIME(0,0,0))*1440,0)&gt;0,ROUND((#REF!-TIME(0,0,0))*1440,0)&lt;tbl_Case_mins[[#This Row],[Patient Called]],tbl_Case_mins[[#This Row],[Surgery End Date]]&gt;tbl_Case_mins[[#This Row],[Surgery Start Date]]),ROUND((#REF!-TIME(0,0,0))*1440,0)+1440,ROUND((#REF!-TIME(0,0,0))*1440,0))</f>
        <v>#REF!</v>
      </c>
      <c r="P419" s="9" t="e">
        <f>IF(AND(ROUND((#REF!-TIME(0,0,0))*1440,0)&gt;0,ROUND((#REF!-TIME(0,0,0))*1440,0)&lt;tbl_Case_mins[[#This Row],[Arrival]],tbl_Case_mins[[#This Row],[Surgery End Date]]&gt;tbl_Case_mins[[#This Row],[Surgery Start Date]]),ROUND((#REF!-TIME(0,0,0))*1440,0)+1440,ROUND((#REF!-TIME(0,0,0))*1440,0))</f>
        <v>#REF!</v>
      </c>
      <c r="Q419" s="9" t="e">
        <f>IF(AND(ROUND((#REF!-TIME(0,0,0))*1440,0)&gt;0,ROUND((#REF!-TIME(0,0,0))*1440,0)&lt;tbl_Case_mins[[#This Row],[Into Th or AR]],tbl_Case_mins[[#This Row],[Surgery End Date]]&gt;tbl_Case_mins[[#This Row],[Surgery Start Date]]),ROUND((#REF!-TIME(0,0,0))*1440,0)+1440,ROUND((#REF!-TIME(0,0,0))*1440,0))</f>
        <v>#REF!</v>
      </c>
      <c r="R419" s="9" t="e">
        <f>IF(AND(ROUND((#REF!-TIME(0,0,0))*1440,0)&gt;0,ROUND((#REF!-TIME(0,0,0))*1440,0)&lt;tbl_Case_mins[[#This Row],[AnaesthStart]],tbl_Case_mins[[#This Row],[Surgery End Date]]&gt;tbl_Case_mins[[#This Row],[Surgery Start Date]]),ROUND((#REF!-TIME(0,0,0))*1440,0)+1440,ROUND((#REF!-TIME(0,0,0))*1440,0))</f>
        <v>#REF!</v>
      </c>
      <c r="S419" s="9" t="e">
        <f>IF(AND(ROUND((#REF!-TIME(0,0,0))*1440,0),ROUND((#REF!-TIME(0,0,0))*1440,0)&lt;tbl_Case_mins[[#This Row],[Surgery Start]],tbl_Case_mins[[#This Row],[Surgery End Date]]&gt;tbl_Case_mins[[#This Row],[Surgery Start Date]]),ROUND((#REF!-TIME(0,0,0))*1440,0)+1440,ROUND((#REF!-TIME(0,0,0))*1440,0))</f>
        <v>#REF!</v>
      </c>
      <c r="T419" s="9" t="e">
        <f>IF(AND(ROUND((#REF!-TIME(0,0,0))*1440,0)&gt;0,ROUND((#REF!-TIME(0,0,0))*1440,0)&lt;tbl_Case_mins[[#This Row],[Surgery Finish]],tbl_Case_mins[[#This Row],[Surgery End Date]]&gt;tbl_Case_mins[[#This Row],[Surgery Start Date]]),ROUND((#REF!-TIME(0,0,0))*1440,0)+1440,ROUND((#REF!-TIME(0,0,0))*1440,0))</f>
        <v>#REF!</v>
      </c>
      <c r="U419" s="9" t="e">
        <f>IF(AND(ROUND((#REF!-TIME(0,0,0))*1440,0)&gt;0,ROUND((#REF!-TIME(0,0,0))*1440,0)&lt;tbl_Case_mins[[#This Row],[Anaesth End]],tbl_Case_mins[[#This Row],[Surgery End Date]]&gt;tbl_Case_mins[[#This Row],[Surgery Start Date]]),ROUND((#REF!-TIME(0,0,0))*1440,0)+1440,ROUND((#REF!-TIME(0,0,0))*1440,0))</f>
        <v>#REF!</v>
      </c>
      <c r="V419" s="9" t="e">
        <f>IF(AND(ROUND((#REF!-TIME(0,0,0))*1440,0)&gt;0,ROUND((#REF!-TIME(0,0,0))*1440,0)&lt;tbl_Case_mins[[#This Row],[Into Recov]],tbl_Case_mins[[#This Row],[Surgery End Date]]&gt;tbl_Case_mins[[#This Row],[Surgery Start Date]]),ROUND((#REF!-TIME(0,0,0))*1440,0)+1440,ROUND((#REF!-TIME(0,0,0))*1440,0))</f>
        <v>#REF!</v>
      </c>
      <c r="W419" s="9" t="e">
        <f>IF(AND(ROUND((#REF!-TIME(0,0,0))*1440,0)&gt;0,ROUND((#REF!-TIME(0,0,0))*1440,0)&lt;tbl_Case_mins[[#This Row],[Ward Called]],tbl_Case_mins[[#This Row],[Surgery End Date]]&gt;tbl_Case_mins[[#This Row],[Surgery Start Date]]),ROUND((#REF!-TIME(0,0,0))*1440,0)+1440,ROUND((#REF!-TIME(0,0,0))*1440,0))</f>
        <v>#REF!</v>
      </c>
      <c r="X419" s="4" t="e">
        <f>IF(ISBLANK(#REF!),tbl_Case_mins[[#This Row],[Surgery Start Date]],#REF!)</f>
        <v>#REF!</v>
      </c>
      <c r="Y419">
        <f>IFERROR(IF(VLOOKUP(tbl_Case_mins[[#This Row],[Theatre]],'Mng Theatres'!$C$7:$G$12,3,FALSE)="Yes","Yes","No"),0)</f>
        <v>0</v>
      </c>
      <c r="Z419" s="9" t="e" cm="1">
        <f t="array" ref="Z41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19" s="9" t="e" cm="1">
        <f t="array" ref="AA41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1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19" s="9" t="e">
        <f>IF(tbl_Case_mins[[#This Row],[Case Type]]="Unsch",1,0)</f>
        <v>#REF!</v>
      </c>
      <c r="AD419" s="9" t="e">
        <f>IF(tbl_Case_mins[[#This Row],[Case Type]]="Sch",1,0)</f>
        <v>#REF!</v>
      </c>
      <c r="AE41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19" s="9">
        <f>IFERROR(IF(ISBLANK(INDEX(Am_Close,MATCH(1,INDEX((tbl_Case_mins[[#This Row],[Theatre]]=Theatre_No)*(tbl_Case_mins[[#This Row],[Surgery Start Date]]=Date),0,1),0))*1440),0,INDEX(Am_Close,MATCH(1,INDEX((tbl_Case_mins[[#This Row],[Theatre]]=Theatre_No)*(tbl_Case_mins[[#This Row],[Surgery Start Date]]=Date),0,1),0))*1440),0)</f>
        <v>0</v>
      </c>
      <c r="AG419" s="9">
        <f>IFERROR(IF(ISBLANK(INDEX(PM_Open,MATCH(1,INDEX((tbl_Case_mins[[#This Row],[Theatre]]=Theatre_No)*(tbl_Case_mins[[#This Row],[Surgery Start Date]]=Date),0,1),0))*1440),0,INDEX(PM_Open,MATCH(1,INDEX((tbl_Case_mins[[#This Row],[Theatre]]=Theatre_No)*(tbl_Case_mins[[#This Row],[Surgery Start Date]]=Date),0,1),0))*1440),0)</f>
        <v>0</v>
      </c>
      <c r="AH41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19" s="9" t="e">
        <f>IF(tbl_Case_mins[[#This Row],[ThOpenAm]]=0,tbl_Case_mins[[#This Row],[ThOpenPM]],tbl_Case_mins[[#This Row],[ThOpenAm]])</f>
        <v>#REF!</v>
      </c>
      <c r="AJ419" s="9" t="e">
        <f>IF(tbl_Case_mins[[#This Row],[ThCloseAm]]&gt;0,IF(tbl_Case_mins[[#This Row],[ThOpenPM]]&gt;0,tbl_Case_mins[[#This Row],[ThClosePm]],tbl_Case_mins[[#This Row],[ThCloseAm]]),tbl_Case_mins[[#This Row],[ThClosePm]])</f>
        <v>#REF!</v>
      </c>
      <c r="AK419" s="9" t="e">
        <f>IF(tbl_Case_mins[[#This Row],[TOT]]&gt;0,1,0)</f>
        <v>#REF!</v>
      </c>
      <c r="AL41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19" s="9" t="e">
        <f>IF(AND(tbl_Case_mins[[#This Row],[Surgery Status]]&lt;&gt;2,tbl_Case_mins[[#This Row],[InCoreCase]]=0,tbl_Case_mins[[#This Row],[CancelledCase]]=0),1,0)</f>
        <v>#REF!</v>
      </c>
      <c r="AN419" s="9" t="e">
        <f>IF(tbl_Case_mins[[#This Row],[Surgery Status]]=1,1,0)</f>
        <v>#REF!</v>
      </c>
      <c r="AO41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19" s="9" t="e">
        <f>IF(AND(tbl_Case_mins[[#This Row],[NonCoreCase]]=1,tbl_Case_mins[[#This Row],[NoInCoreTime]]=0),1,0)</f>
        <v>#REF!</v>
      </c>
      <c r="AQ419" s="9" t="e">
        <f>IF(tbl_Case_mins[[#This Row],[Rank_AnaEnd]]&lt;tbl_Case_mins[[#This Row],[Rank_AnaSt]],1,0)</f>
        <v>#REF!</v>
      </c>
      <c r="AR419" s="9" t="e">
        <f>IF(AND(tbl_Case_mins[[#This Row],[InCoreCase]]=1,tbl_Case_mins[[#This Row],[Sch]]=1),1,0)</f>
        <v>#REF!</v>
      </c>
      <c r="AS419" s="9" t="e">
        <f>IF(AND(tbl_Case_mins[[#This Row],[InCoreCase]]=1,tbl_Case_mins[[#This Row],[Unsch]]=1),1,0)</f>
        <v>#REF!</v>
      </c>
      <c r="AT41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1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1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19" s="9" t="e">
        <f>IF(tbl_Case_mins[[#This Row],[Surgery Status]]=0,(tbl_Case_mins[[#This Row],[Anaesth End]]-tbl_Case_mins[[#This Row],[AnaesthStart]]),0)</f>
        <v>#REF!</v>
      </c>
      <c r="AX419" s="9" t="e">
        <f>IF(tbl_Case_mins[[#This Row],[Surgery Status]]=0,(tbl_Case_mins[[#This Row],[Surgery Finish]]-tbl_Case_mins[[#This Row],[Surgery Start]]),0)</f>
        <v>#REF!</v>
      </c>
      <c r="AY419" s="9" t="e">
        <f>tbl_Case_mins[[#This Row],[Surgery Start]]-tbl_Case_mins[[#This Row],[AnaesthStart]]</f>
        <v>#REF!</v>
      </c>
      <c r="AZ419" s="9" t="e">
        <f>tbl_Case_mins[[#This Row],[Anaesth End]]-tbl_Case_mins[[#This Row],[Surgery Finish]]</f>
        <v>#REF!</v>
      </c>
      <c r="BA41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1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19" s="16" cm="1">
        <f t="array" ref="BC41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19" s="16" t="e">
        <f>IF(AND(tbl_Case_mins[[#This Row],[FirstAMCase]]=1,tbl_Case_mins[[#This Row],[CancelledCase]]=0,OR(tbl_Case_mins[[#This Row],[EarlyStartAM]]&gt;0,tbl_Case_mins[[#This Row],[AnaesthStart]]=tbl_Case_mins[[#This Row],[ThOpenAm]])),1,0)</f>
        <v>#REF!</v>
      </c>
      <c r="BE419" s="16" t="e">
        <f>IF(AND(tbl_Case_mins[[#This Row],[Rank_AnaSt]]=tbl_Case_mins[[#This Row],[Min_RankAnaSt]],tbl_Case_mins[[#This Row],[Anaesth End]]&gt;=tbl_Case_mins[[#This Row],[ThOpenAm]],tbl_Case_mins[[#This Row],[PmCase]]=0),1,0)</f>
        <v>#REF!</v>
      </c>
      <c r="BF41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1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19" s="9" t="e" cm="1">
        <f t="array" ref="BH41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1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1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19" s="9" t="e">
        <f>IF(AND(tbl_Case_mins[[#This Row],[ThOpenPM]]&gt;0,tbl_Case_mins[[#This Row],[AnaesthStart]]&gt;tbl_Case_mins[[#This Row],[ThOpenPM]],tbl_Case_mins[[#This Row],[First PM Case]]=1),tbl_Case_mins[[#This Row],[AnaesthStart]]-tbl_Case_mins[[#This Row],[ThOpenPM]],0)</f>
        <v>#REF!</v>
      </c>
      <c r="BL41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1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19" s="9" t="e" cm="1">
        <f t="array" ref="BN41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19" s="9" t="e">
        <f>IF(AND(tbl_Case_mins[[#This Row],[ThClosePm]]&gt;0,tbl_Case_mins[[#This Row],[Anaesth End]]&gt;tbl_Case_mins[[#This Row],[ThClosePm]],tbl_Case_mins[[#This Row],[AnaesthStart]]&gt;tbl_Case_mins[[#This Row],[ThClosePm]]),tbl_Case_mins[[#This Row],[Into Recov]]-tbl_Case_mins[[#This Row],[AnaesthStart]],0)</f>
        <v>#REF!</v>
      </c>
      <c r="BP419" s="9" t="e">
        <f>IF(AND(tbl_Case_mins[[#This Row],[AnaesthStart]]&lt;tbl_Case_mins[[#This Row],[ThClosePm]],tbl_Case_mins[[#This Row],[Anaesth End]]&gt;tbl_Case_mins[[#This Row],[ThClosePm]]),tbl_Case_mins[[#This Row],[Anaesth End]]-tbl_Case_mins[[#This Row],[ThClosePm]],0)</f>
        <v>#REF!</v>
      </c>
      <c r="BQ419" s="9" t="e" cm="1">
        <f t="array" ref="BQ41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19" s="9" t="e" cm="1">
        <f t="array" ref="BR419">IF(tbl_Case_mins[[#This Row],[Rank_Adjust]]=SUMPRODUCT(-(tbl_Case_mins[Surgery Start Date]=tbl_Case_mins[[#This Row],[Surgery Start Date]]),-(tbl_Case_mins[Theatre]=tbl_Case_mins[[#This Row],[Theatre]])),INDEX(Poss_Time,MATCH(TEXT(tbl_Case_mins[[#This Row],[Surgery Start Date]],"ddd"),Day,0)),0)</f>
        <v>#REF!</v>
      </c>
      <c r="BS419" s="9" t="e">
        <f>tbl_Case_mins[[#This Row],[Core_Time]]*Util_Goal</f>
        <v>#REF!</v>
      </c>
      <c r="BT419" s="9" t="e" cm="1">
        <f t="array" ref="BT4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19" s="9" t="e" cm="1">
        <f t="array" ref="BU41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1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1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19" s="9" t="e">
        <f>IF(tbl_Case_mins[[#This Row],[Surgery End Date]]&gt;tbl_Case_mins[[#This Row],[Surgery Start Date]],tbl_Case_mins[[#This Row],[Anaesth End]]-1440,0)</f>
        <v>#REF!</v>
      </c>
      <c r="BY419" s="9" t="e">
        <f>tbl_Case_mins[[#This Row],[Total_NonCore]]-tbl_Case_mins[[#This Row],[NextDay_NonCore]]</f>
        <v>#REF!</v>
      </c>
      <c r="BZ419" s="10" t="e">
        <f>tbl_Case_mins[[#This Row],[InCoreUse]]/60</f>
        <v>#REF!</v>
      </c>
      <c r="CA419" s="10" t="e">
        <f>tbl_Case_mins[[#This Row],[Total_NonCore]]/60</f>
        <v>#REF!</v>
      </c>
      <c r="CB419" t="e" cm="1">
        <f t="array" ref="CB4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19" s="9" t="e" cm="1">
        <f t="array" ref="CC41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19" s="9" t="e" cm="1">
        <f t="array" ref="CD41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19" s="9" t="e" cm="1">
        <f t="array" ref="CE41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19" s="9" cm="1">
        <f t="array" ref="CF419">IFERROR(_xlfn.AGGREGATE(14,6,(tbl_Case_mins[Rank_AnaEnd])/((tbl_Case_mins[Surgery Start Date]=tbl_Case_mins[[#This Row],[Surgery Start Date]])*(tbl_Case_mins[Theatre]=tbl_Case_mins[[#This Row],[Theatre]])*(tbl_Case_mins[NoInCoreTime]=0)),1),-1)</f>
        <v>-1</v>
      </c>
      <c r="CG419" s="9" cm="1">
        <f t="array" ref="CG419">IFERROR(_xlfn.AGGREGATE(15,6,(tbl_Case_mins[Rank_AnaSt])/((tbl_Case_mins[Surgery Start Date]=tbl_Case_mins[[#This Row],[Surgery Start Date]])*(tbl_Case_mins[Theatre]=tbl_Case_mins[[#This Row],[Theatre]])*(tbl_Case_mins[NoInCoreTime]=0)),1),-1)</f>
        <v>-1</v>
      </c>
      <c r="CH41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1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19" t="e" cm="1">
        <f t="array" ref="CJ41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1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1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1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19" s="9" cm="1">
        <f t="array" ref="CO4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19" s="9" cm="1">
        <f t="array" ref="CP41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19" s="9" cm="1">
        <f t="array" ref="CQ419">IFERROR(IF(AND(tbl_Case_mins[[#This Row],[FirstAMCase]]=0,tbl_Case_mins[[#This Row],[Rank]]=_xlfn.AGGREGATE(14,6,(tbl_Case_mins[Rank])/((tbl_Case_mins[Surgery Start Date]=tbl_Case_mins[[#This Row],[Surgery Start Date]])*(tbl_Case_mins[Theatre]=tbl_Case_mins[[#This Row],[Theatre]])*(tbl_Case_mins[AmCase]=1)),1)),1,0),0)</f>
        <v>0</v>
      </c>
      <c r="CR419" s="9" cm="1">
        <f t="array" ref="CR41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19" s="9" t="e" cm="1">
        <f t="array" ref="CS41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19" s="9" cm="1">
        <f t="array" ref="CT419">IFERROR(IF(tbl_Case_mins[[#This Row],[Rank]]=_xlfn.AGGREGATE(15,6,(tbl_Case_mins[Rank])/((tbl_Case_mins[Surgery Start Date]=tbl_Case_mins[[#This Row],[Surgery Start Date]])*(tbl_Case_mins[Theatre]=tbl_Case_mins[[#This Row],[Theatre]])*(tbl_Case_mins[PmCase]=1)),1),1,0),0)</f>
        <v>0</v>
      </c>
      <c r="CU419">
        <f>IFERROR(#REF!,0)</f>
        <v>0</v>
      </c>
      <c r="CV419" s="9" t="e" cm="1">
        <f t="array" ref="CV41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19" s="9">
        <f>IFERROR(IF(ISBLANK(INDEX(Bay_AmClose,MATCH(1,INDEX((tbl_Case_mins[[#This Row],[Bay]]=BayNo)*(tbl_Case_mins[[#This Row],[Surgery Start Date]]=BDate),0,1),0))*1440),0,INDEX(Bay_AmClose,MATCH(1,INDEX((tbl_Case_mins[[#This Row],[Bay]]=BayNo)*(tbl_Case_mins[[#This Row],[Surgery Start Date]]=BDate),0,1),0))*1440),0)</f>
        <v>0</v>
      </c>
      <c r="CX419" s="9" cm="1">
        <f t="array" ref="CX419">IFERROR(IF(ISBLANK(INDEX(Bay_PmOpen,MATCH(1,INDEX((tbl_Case_mins[[#This Row],[Bay]]=BayNo)*(tbl_Case_mins[[#This Row],[Surgery Start Date]]=BDate),0,1),0))*1440),0,INDEX(Bay_PmOpen,MATCH(1,INDEX((tbl_Case_mins[[#This Row],[Bay]]=BayNo)*(tbl_Case_mins[[#This Row],[Surgery Start Date]]=BDate),0,1),0))*1440),0)</f>
        <v>0</v>
      </c>
      <c r="CY41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19" s="9"/>
    </row>
    <row r="420" spans="1:104" x14ac:dyDescent="0.2">
      <c r="A420">
        <v>419</v>
      </c>
      <c r="B420" t="e">
        <f>#REF!</f>
        <v>#REF!</v>
      </c>
      <c r="C420" t="e">
        <f>#REF!</f>
        <v>#REF!</v>
      </c>
      <c r="D420" t="e">
        <f>#REF!</f>
        <v>#REF!</v>
      </c>
      <c r="E420" t="e">
        <f>#REF!</f>
        <v>#REF!</v>
      </c>
      <c r="F420" t="e">
        <f>#REF!</f>
        <v>#REF!</v>
      </c>
      <c r="G420" t="e">
        <f>#REF!</f>
        <v>#REF!</v>
      </c>
      <c r="H420" t="e">
        <f>#REF!</f>
        <v>#REF!</v>
      </c>
      <c r="I420" t="e">
        <f>IF(#REF!="Case Cancelled",1,IF(#REF!="No Cases",2,0))</f>
        <v>#REF!</v>
      </c>
      <c r="J420" t="e">
        <f>#REF!</f>
        <v>#REF!</v>
      </c>
      <c r="K420" s="4" t="e">
        <f>#REF!</f>
        <v>#REF!</v>
      </c>
      <c r="L420" t="e">
        <f>"Wk "&amp;WEEKNUM(tbl_Case_mins[[#This Row],[Surgery Start Date]],21)</f>
        <v>#REF!</v>
      </c>
      <c r="M420" t="e">
        <f>TEXT(tbl_Case_mins[[#This Row],[Surgery Start Date]],"ddd")</f>
        <v>#REF!</v>
      </c>
      <c r="N420" s="9" t="e">
        <f>(#REF!-TIME(0,0,0))*1440</f>
        <v>#REF!</v>
      </c>
      <c r="O420" t="e">
        <f>IF(AND(ROUND((#REF!-TIME(0,0,0))*1440,0)&gt;0,ROUND((#REF!-TIME(0,0,0))*1440,0)&lt;tbl_Case_mins[[#This Row],[Patient Called]],tbl_Case_mins[[#This Row],[Surgery End Date]]&gt;tbl_Case_mins[[#This Row],[Surgery Start Date]]),ROUND((#REF!-TIME(0,0,0))*1440,0)+1440,ROUND((#REF!-TIME(0,0,0))*1440,0))</f>
        <v>#REF!</v>
      </c>
      <c r="P420" s="9" t="e">
        <f>IF(AND(ROUND((#REF!-TIME(0,0,0))*1440,0)&gt;0,ROUND((#REF!-TIME(0,0,0))*1440,0)&lt;tbl_Case_mins[[#This Row],[Arrival]],tbl_Case_mins[[#This Row],[Surgery End Date]]&gt;tbl_Case_mins[[#This Row],[Surgery Start Date]]),ROUND((#REF!-TIME(0,0,0))*1440,0)+1440,ROUND((#REF!-TIME(0,0,0))*1440,0))</f>
        <v>#REF!</v>
      </c>
      <c r="Q420" s="9" t="e">
        <f>IF(AND(ROUND((#REF!-TIME(0,0,0))*1440,0)&gt;0,ROUND((#REF!-TIME(0,0,0))*1440,0)&lt;tbl_Case_mins[[#This Row],[Into Th or AR]],tbl_Case_mins[[#This Row],[Surgery End Date]]&gt;tbl_Case_mins[[#This Row],[Surgery Start Date]]),ROUND((#REF!-TIME(0,0,0))*1440,0)+1440,ROUND((#REF!-TIME(0,0,0))*1440,0))</f>
        <v>#REF!</v>
      </c>
      <c r="R420" s="9" t="e">
        <f>IF(AND(ROUND((#REF!-TIME(0,0,0))*1440,0)&gt;0,ROUND((#REF!-TIME(0,0,0))*1440,0)&lt;tbl_Case_mins[[#This Row],[AnaesthStart]],tbl_Case_mins[[#This Row],[Surgery End Date]]&gt;tbl_Case_mins[[#This Row],[Surgery Start Date]]),ROUND((#REF!-TIME(0,0,0))*1440,0)+1440,ROUND((#REF!-TIME(0,0,0))*1440,0))</f>
        <v>#REF!</v>
      </c>
      <c r="S420" s="9" t="e">
        <f>IF(AND(ROUND((#REF!-TIME(0,0,0))*1440,0),ROUND((#REF!-TIME(0,0,0))*1440,0)&lt;tbl_Case_mins[[#This Row],[Surgery Start]],tbl_Case_mins[[#This Row],[Surgery End Date]]&gt;tbl_Case_mins[[#This Row],[Surgery Start Date]]),ROUND((#REF!-TIME(0,0,0))*1440,0)+1440,ROUND((#REF!-TIME(0,0,0))*1440,0))</f>
        <v>#REF!</v>
      </c>
      <c r="T420" s="9" t="e">
        <f>IF(AND(ROUND((#REF!-TIME(0,0,0))*1440,0)&gt;0,ROUND((#REF!-TIME(0,0,0))*1440,0)&lt;tbl_Case_mins[[#This Row],[Surgery Finish]],tbl_Case_mins[[#This Row],[Surgery End Date]]&gt;tbl_Case_mins[[#This Row],[Surgery Start Date]]),ROUND((#REF!-TIME(0,0,0))*1440,0)+1440,ROUND((#REF!-TIME(0,0,0))*1440,0))</f>
        <v>#REF!</v>
      </c>
      <c r="U420" s="9" t="e">
        <f>IF(AND(ROUND((#REF!-TIME(0,0,0))*1440,0)&gt;0,ROUND((#REF!-TIME(0,0,0))*1440,0)&lt;tbl_Case_mins[[#This Row],[Anaesth End]],tbl_Case_mins[[#This Row],[Surgery End Date]]&gt;tbl_Case_mins[[#This Row],[Surgery Start Date]]),ROUND((#REF!-TIME(0,0,0))*1440,0)+1440,ROUND((#REF!-TIME(0,0,0))*1440,0))</f>
        <v>#REF!</v>
      </c>
      <c r="V420" s="9" t="e">
        <f>IF(AND(ROUND((#REF!-TIME(0,0,0))*1440,0)&gt;0,ROUND((#REF!-TIME(0,0,0))*1440,0)&lt;tbl_Case_mins[[#This Row],[Into Recov]],tbl_Case_mins[[#This Row],[Surgery End Date]]&gt;tbl_Case_mins[[#This Row],[Surgery Start Date]]),ROUND((#REF!-TIME(0,0,0))*1440,0)+1440,ROUND((#REF!-TIME(0,0,0))*1440,0))</f>
        <v>#REF!</v>
      </c>
      <c r="W420" s="9" t="e">
        <f>IF(AND(ROUND((#REF!-TIME(0,0,0))*1440,0)&gt;0,ROUND((#REF!-TIME(0,0,0))*1440,0)&lt;tbl_Case_mins[[#This Row],[Ward Called]],tbl_Case_mins[[#This Row],[Surgery End Date]]&gt;tbl_Case_mins[[#This Row],[Surgery Start Date]]),ROUND((#REF!-TIME(0,0,0))*1440,0)+1440,ROUND((#REF!-TIME(0,0,0))*1440,0))</f>
        <v>#REF!</v>
      </c>
      <c r="X420" s="4" t="e">
        <f>IF(ISBLANK(#REF!),tbl_Case_mins[[#This Row],[Surgery Start Date]],#REF!)</f>
        <v>#REF!</v>
      </c>
      <c r="Y420">
        <f>IFERROR(IF(VLOOKUP(tbl_Case_mins[[#This Row],[Theatre]],'Mng Theatres'!$C$7:$G$12,3,FALSE)="Yes","Yes","No"),0)</f>
        <v>0</v>
      </c>
      <c r="Z420" s="9" t="e" cm="1">
        <f t="array" ref="Z42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0" s="9" t="e" cm="1">
        <f t="array" ref="AA42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0" s="9" t="e">
        <f>IF(tbl_Case_mins[[#This Row],[Case Type]]="Unsch",1,0)</f>
        <v>#REF!</v>
      </c>
      <c r="AD420" s="9" t="e">
        <f>IF(tbl_Case_mins[[#This Row],[Case Type]]="Sch",1,0)</f>
        <v>#REF!</v>
      </c>
      <c r="AE42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0" s="9">
        <f>IFERROR(IF(ISBLANK(INDEX(Am_Close,MATCH(1,INDEX((tbl_Case_mins[[#This Row],[Theatre]]=Theatre_No)*(tbl_Case_mins[[#This Row],[Surgery Start Date]]=Date),0,1),0))*1440),0,INDEX(Am_Close,MATCH(1,INDEX((tbl_Case_mins[[#This Row],[Theatre]]=Theatre_No)*(tbl_Case_mins[[#This Row],[Surgery Start Date]]=Date),0,1),0))*1440),0)</f>
        <v>0</v>
      </c>
      <c r="AG420" s="9">
        <f>IFERROR(IF(ISBLANK(INDEX(PM_Open,MATCH(1,INDEX((tbl_Case_mins[[#This Row],[Theatre]]=Theatre_No)*(tbl_Case_mins[[#This Row],[Surgery Start Date]]=Date),0,1),0))*1440),0,INDEX(PM_Open,MATCH(1,INDEX((tbl_Case_mins[[#This Row],[Theatre]]=Theatre_No)*(tbl_Case_mins[[#This Row],[Surgery Start Date]]=Date),0,1),0))*1440),0)</f>
        <v>0</v>
      </c>
      <c r="AH42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0" s="9" t="e">
        <f>IF(tbl_Case_mins[[#This Row],[ThOpenAm]]=0,tbl_Case_mins[[#This Row],[ThOpenPM]],tbl_Case_mins[[#This Row],[ThOpenAm]])</f>
        <v>#REF!</v>
      </c>
      <c r="AJ420" s="9" t="e">
        <f>IF(tbl_Case_mins[[#This Row],[ThCloseAm]]&gt;0,IF(tbl_Case_mins[[#This Row],[ThOpenPM]]&gt;0,tbl_Case_mins[[#This Row],[ThClosePm]],tbl_Case_mins[[#This Row],[ThCloseAm]]),tbl_Case_mins[[#This Row],[ThClosePm]])</f>
        <v>#REF!</v>
      </c>
      <c r="AK420" s="9" t="e">
        <f>IF(tbl_Case_mins[[#This Row],[TOT]]&gt;0,1,0)</f>
        <v>#REF!</v>
      </c>
      <c r="AL42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0" s="9" t="e">
        <f>IF(AND(tbl_Case_mins[[#This Row],[Surgery Status]]&lt;&gt;2,tbl_Case_mins[[#This Row],[InCoreCase]]=0,tbl_Case_mins[[#This Row],[CancelledCase]]=0),1,0)</f>
        <v>#REF!</v>
      </c>
      <c r="AN420" s="9" t="e">
        <f>IF(tbl_Case_mins[[#This Row],[Surgery Status]]=1,1,0)</f>
        <v>#REF!</v>
      </c>
      <c r="AO42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0" s="9" t="e">
        <f>IF(AND(tbl_Case_mins[[#This Row],[NonCoreCase]]=1,tbl_Case_mins[[#This Row],[NoInCoreTime]]=0),1,0)</f>
        <v>#REF!</v>
      </c>
      <c r="AQ420" s="9" t="e">
        <f>IF(tbl_Case_mins[[#This Row],[Rank_AnaEnd]]&lt;tbl_Case_mins[[#This Row],[Rank_AnaSt]],1,0)</f>
        <v>#REF!</v>
      </c>
      <c r="AR420" s="9" t="e">
        <f>IF(AND(tbl_Case_mins[[#This Row],[InCoreCase]]=1,tbl_Case_mins[[#This Row],[Sch]]=1),1,0)</f>
        <v>#REF!</v>
      </c>
      <c r="AS420" s="9" t="e">
        <f>IF(AND(tbl_Case_mins[[#This Row],[InCoreCase]]=1,tbl_Case_mins[[#This Row],[Unsch]]=1),1,0)</f>
        <v>#REF!</v>
      </c>
      <c r="AT42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0" s="9" t="e">
        <f>IF(tbl_Case_mins[[#This Row],[Surgery Status]]=0,(tbl_Case_mins[[#This Row],[Anaesth End]]-tbl_Case_mins[[#This Row],[AnaesthStart]]),0)</f>
        <v>#REF!</v>
      </c>
      <c r="AX420" s="9" t="e">
        <f>IF(tbl_Case_mins[[#This Row],[Surgery Status]]=0,(tbl_Case_mins[[#This Row],[Surgery Finish]]-tbl_Case_mins[[#This Row],[Surgery Start]]),0)</f>
        <v>#REF!</v>
      </c>
      <c r="AY420" s="9" t="e">
        <f>tbl_Case_mins[[#This Row],[Surgery Start]]-tbl_Case_mins[[#This Row],[AnaesthStart]]</f>
        <v>#REF!</v>
      </c>
      <c r="AZ420" s="9" t="e">
        <f>tbl_Case_mins[[#This Row],[Anaesth End]]-tbl_Case_mins[[#This Row],[Surgery Finish]]</f>
        <v>#REF!</v>
      </c>
      <c r="BA42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0" s="16" cm="1">
        <f t="array" ref="BC42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0" s="16" t="e">
        <f>IF(AND(tbl_Case_mins[[#This Row],[FirstAMCase]]=1,tbl_Case_mins[[#This Row],[CancelledCase]]=0,OR(tbl_Case_mins[[#This Row],[EarlyStartAM]]&gt;0,tbl_Case_mins[[#This Row],[AnaesthStart]]=tbl_Case_mins[[#This Row],[ThOpenAm]])),1,0)</f>
        <v>#REF!</v>
      </c>
      <c r="BE420" s="16" t="e">
        <f>IF(AND(tbl_Case_mins[[#This Row],[Rank_AnaSt]]=tbl_Case_mins[[#This Row],[Min_RankAnaSt]],tbl_Case_mins[[#This Row],[Anaesth End]]&gt;=tbl_Case_mins[[#This Row],[ThOpenAm]],tbl_Case_mins[[#This Row],[PmCase]]=0),1,0)</f>
        <v>#REF!</v>
      </c>
      <c r="BF42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0" s="9" t="e" cm="1">
        <f t="array" ref="BH42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0" s="9" t="e">
        <f>IF(AND(tbl_Case_mins[[#This Row],[ThOpenPM]]&gt;0,tbl_Case_mins[[#This Row],[AnaesthStart]]&gt;tbl_Case_mins[[#This Row],[ThOpenPM]],tbl_Case_mins[[#This Row],[First PM Case]]=1),tbl_Case_mins[[#This Row],[AnaesthStart]]-tbl_Case_mins[[#This Row],[ThOpenPM]],0)</f>
        <v>#REF!</v>
      </c>
      <c r="BL42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0" s="9" t="e" cm="1">
        <f t="array" ref="BN42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0" s="9" t="e">
        <f>IF(AND(tbl_Case_mins[[#This Row],[ThClosePm]]&gt;0,tbl_Case_mins[[#This Row],[Anaesth End]]&gt;tbl_Case_mins[[#This Row],[ThClosePm]],tbl_Case_mins[[#This Row],[AnaesthStart]]&gt;tbl_Case_mins[[#This Row],[ThClosePm]]),tbl_Case_mins[[#This Row],[Into Recov]]-tbl_Case_mins[[#This Row],[AnaesthStart]],0)</f>
        <v>#REF!</v>
      </c>
      <c r="BP420" s="9" t="e">
        <f>IF(AND(tbl_Case_mins[[#This Row],[AnaesthStart]]&lt;tbl_Case_mins[[#This Row],[ThClosePm]],tbl_Case_mins[[#This Row],[Anaesth End]]&gt;tbl_Case_mins[[#This Row],[ThClosePm]]),tbl_Case_mins[[#This Row],[Anaesth End]]-tbl_Case_mins[[#This Row],[ThClosePm]],0)</f>
        <v>#REF!</v>
      </c>
      <c r="BQ420" s="9" t="e" cm="1">
        <f t="array" ref="BQ42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0" s="9" t="e" cm="1">
        <f t="array" ref="BR420">IF(tbl_Case_mins[[#This Row],[Rank_Adjust]]=SUMPRODUCT(-(tbl_Case_mins[Surgery Start Date]=tbl_Case_mins[[#This Row],[Surgery Start Date]]),-(tbl_Case_mins[Theatre]=tbl_Case_mins[[#This Row],[Theatre]])),INDEX(Poss_Time,MATCH(TEXT(tbl_Case_mins[[#This Row],[Surgery Start Date]],"ddd"),Day,0)),0)</f>
        <v>#REF!</v>
      </c>
      <c r="BS420" s="9" t="e">
        <f>tbl_Case_mins[[#This Row],[Core_Time]]*Util_Goal</f>
        <v>#REF!</v>
      </c>
      <c r="BT420" s="9" t="e" cm="1">
        <f t="array" ref="BT4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0" s="9" t="e" cm="1">
        <f t="array" ref="BU42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0" s="9" t="e">
        <f>IF(tbl_Case_mins[[#This Row],[Surgery End Date]]&gt;tbl_Case_mins[[#This Row],[Surgery Start Date]],tbl_Case_mins[[#This Row],[Anaesth End]]-1440,0)</f>
        <v>#REF!</v>
      </c>
      <c r="BY420" s="9" t="e">
        <f>tbl_Case_mins[[#This Row],[Total_NonCore]]-tbl_Case_mins[[#This Row],[NextDay_NonCore]]</f>
        <v>#REF!</v>
      </c>
      <c r="BZ420" s="10" t="e">
        <f>tbl_Case_mins[[#This Row],[InCoreUse]]/60</f>
        <v>#REF!</v>
      </c>
      <c r="CA420" s="10" t="e">
        <f>tbl_Case_mins[[#This Row],[Total_NonCore]]/60</f>
        <v>#REF!</v>
      </c>
      <c r="CB420" t="e" cm="1">
        <f t="array" ref="CB4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0" s="9" t="e" cm="1">
        <f t="array" ref="CC42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0" s="9" t="e" cm="1">
        <f t="array" ref="CD42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0" s="9" t="e" cm="1">
        <f t="array" ref="CE42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0" s="9" cm="1">
        <f t="array" ref="CF420">IFERROR(_xlfn.AGGREGATE(14,6,(tbl_Case_mins[Rank_AnaEnd])/((tbl_Case_mins[Surgery Start Date]=tbl_Case_mins[[#This Row],[Surgery Start Date]])*(tbl_Case_mins[Theatre]=tbl_Case_mins[[#This Row],[Theatre]])*(tbl_Case_mins[NoInCoreTime]=0)),1),-1)</f>
        <v>-1</v>
      </c>
      <c r="CG420" s="9" cm="1">
        <f t="array" ref="CG420">IFERROR(_xlfn.AGGREGATE(15,6,(tbl_Case_mins[Rank_AnaSt])/((tbl_Case_mins[Surgery Start Date]=tbl_Case_mins[[#This Row],[Surgery Start Date]])*(tbl_Case_mins[Theatre]=tbl_Case_mins[[#This Row],[Theatre]])*(tbl_Case_mins[NoInCoreTime]=0)),1),-1)</f>
        <v>-1</v>
      </c>
      <c r="CH42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0" t="e" cm="1">
        <f t="array" ref="CJ42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0" s="9" cm="1">
        <f t="array" ref="CO4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0" s="9" cm="1">
        <f t="array" ref="CP42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0" s="9" cm="1">
        <f t="array" ref="CQ420">IFERROR(IF(AND(tbl_Case_mins[[#This Row],[FirstAMCase]]=0,tbl_Case_mins[[#This Row],[Rank]]=_xlfn.AGGREGATE(14,6,(tbl_Case_mins[Rank])/((tbl_Case_mins[Surgery Start Date]=tbl_Case_mins[[#This Row],[Surgery Start Date]])*(tbl_Case_mins[Theatre]=tbl_Case_mins[[#This Row],[Theatre]])*(tbl_Case_mins[AmCase]=1)),1)),1,0),0)</f>
        <v>0</v>
      </c>
      <c r="CR420" s="9" cm="1">
        <f t="array" ref="CR42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0" s="9" t="e" cm="1">
        <f t="array" ref="CS42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0" s="9" cm="1">
        <f t="array" ref="CT420">IFERROR(IF(tbl_Case_mins[[#This Row],[Rank]]=_xlfn.AGGREGATE(15,6,(tbl_Case_mins[Rank])/((tbl_Case_mins[Surgery Start Date]=tbl_Case_mins[[#This Row],[Surgery Start Date]])*(tbl_Case_mins[Theatre]=tbl_Case_mins[[#This Row],[Theatre]])*(tbl_Case_mins[PmCase]=1)),1),1,0),0)</f>
        <v>0</v>
      </c>
      <c r="CU420">
        <f>IFERROR(#REF!,0)</f>
        <v>0</v>
      </c>
      <c r="CV420" s="9" t="e" cm="1">
        <f t="array" ref="CV42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0" s="9">
        <f>IFERROR(IF(ISBLANK(INDEX(Bay_AmClose,MATCH(1,INDEX((tbl_Case_mins[[#This Row],[Bay]]=BayNo)*(tbl_Case_mins[[#This Row],[Surgery Start Date]]=BDate),0,1),0))*1440),0,INDEX(Bay_AmClose,MATCH(1,INDEX((tbl_Case_mins[[#This Row],[Bay]]=BayNo)*(tbl_Case_mins[[#This Row],[Surgery Start Date]]=BDate),0,1),0))*1440),0)</f>
        <v>0</v>
      </c>
      <c r="CX420" s="9" cm="1">
        <f t="array" ref="CX420">IFERROR(IF(ISBLANK(INDEX(Bay_PmOpen,MATCH(1,INDEX((tbl_Case_mins[[#This Row],[Bay]]=BayNo)*(tbl_Case_mins[[#This Row],[Surgery Start Date]]=BDate),0,1),0))*1440),0,INDEX(Bay_PmOpen,MATCH(1,INDEX((tbl_Case_mins[[#This Row],[Bay]]=BayNo)*(tbl_Case_mins[[#This Row],[Surgery Start Date]]=BDate),0,1),0))*1440),0)</f>
        <v>0</v>
      </c>
      <c r="CY42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0" s="9"/>
    </row>
    <row r="421" spans="1:104" x14ac:dyDescent="0.2">
      <c r="A421">
        <v>420</v>
      </c>
      <c r="B421" t="e">
        <f>#REF!</f>
        <v>#REF!</v>
      </c>
      <c r="C421" t="e">
        <f>#REF!</f>
        <v>#REF!</v>
      </c>
      <c r="D421" t="e">
        <f>#REF!</f>
        <v>#REF!</v>
      </c>
      <c r="E421" t="e">
        <f>#REF!</f>
        <v>#REF!</v>
      </c>
      <c r="F421" t="e">
        <f>#REF!</f>
        <v>#REF!</v>
      </c>
      <c r="G421" t="e">
        <f>#REF!</f>
        <v>#REF!</v>
      </c>
      <c r="H421" t="e">
        <f>#REF!</f>
        <v>#REF!</v>
      </c>
      <c r="I421" t="e">
        <f>IF(#REF!="Case Cancelled",1,IF(#REF!="No Cases",2,0))</f>
        <v>#REF!</v>
      </c>
      <c r="J421" t="e">
        <f>#REF!</f>
        <v>#REF!</v>
      </c>
      <c r="K421" s="4" t="e">
        <f>#REF!</f>
        <v>#REF!</v>
      </c>
      <c r="L421" t="e">
        <f>"Wk "&amp;WEEKNUM(tbl_Case_mins[[#This Row],[Surgery Start Date]],21)</f>
        <v>#REF!</v>
      </c>
      <c r="M421" t="e">
        <f>TEXT(tbl_Case_mins[[#This Row],[Surgery Start Date]],"ddd")</f>
        <v>#REF!</v>
      </c>
      <c r="N421" s="9" t="e">
        <f>(#REF!-TIME(0,0,0))*1440</f>
        <v>#REF!</v>
      </c>
      <c r="O421" t="e">
        <f>IF(AND(ROUND((#REF!-TIME(0,0,0))*1440,0)&gt;0,ROUND((#REF!-TIME(0,0,0))*1440,0)&lt;tbl_Case_mins[[#This Row],[Patient Called]],tbl_Case_mins[[#This Row],[Surgery End Date]]&gt;tbl_Case_mins[[#This Row],[Surgery Start Date]]),ROUND((#REF!-TIME(0,0,0))*1440,0)+1440,ROUND((#REF!-TIME(0,0,0))*1440,0))</f>
        <v>#REF!</v>
      </c>
      <c r="P421" s="9" t="e">
        <f>IF(AND(ROUND((#REF!-TIME(0,0,0))*1440,0)&gt;0,ROUND((#REF!-TIME(0,0,0))*1440,0)&lt;tbl_Case_mins[[#This Row],[Arrival]],tbl_Case_mins[[#This Row],[Surgery End Date]]&gt;tbl_Case_mins[[#This Row],[Surgery Start Date]]),ROUND((#REF!-TIME(0,0,0))*1440,0)+1440,ROUND((#REF!-TIME(0,0,0))*1440,0))</f>
        <v>#REF!</v>
      </c>
      <c r="Q421" s="9" t="e">
        <f>IF(AND(ROUND((#REF!-TIME(0,0,0))*1440,0)&gt;0,ROUND((#REF!-TIME(0,0,0))*1440,0)&lt;tbl_Case_mins[[#This Row],[Into Th or AR]],tbl_Case_mins[[#This Row],[Surgery End Date]]&gt;tbl_Case_mins[[#This Row],[Surgery Start Date]]),ROUND((#REF!-TIME(0,0,0))*1440,0)+1440,ROUND((#REF!-TIME(0,0,0))*1440,0))</f>
        <v>#REF!</v>
      </c>
      <c r="R421" s="9" t="e">
        <f>IF(AND(ROUND((#REF!-TIME(0,0,0))*1440,0)&gt;0,ROUND((#REF!-TIME(0,0,0))*1440,0)&lt;tbl_Case_mins[[#This Row],[AnaesthStart]],tbl_Case_mins[[#This Row],[Surgery End Date]]&gt;tbl_Case_mins[[#This Row],[Surgery Start Date]]),ROUND((#REF!-TIME(0,0,0))*1440,0)+1440,ROUND((#REF!-TIME(0,0,0))*1440,0))</f>
        <v>#REF!</v>
      </c>
      <c r="S421" s="9" t="e">
        <f>IF(AND(ROUND((#REF!-TIME(0,0,0))*1440,0),ROUND((#REF!-TIME(0,0,0))*1440,0)&lt;tbl_Case_mins[[#This Row],[Surgery Start]],tbl_Case_mins[[#This Row],[Surgery End Date]]&gt;tbl_Case_mins[[#This Row],[Surgery Start Date]]),ROUND((#REF!-TIME(0,0,0))*1440,0)+1440,ROUND((#REF!-TIME(0,0,0))*1440,0))</f>
        <v>#REF!</v>
      </c>
      <c r="T421" s="9" t="e">
        <f>IF(AND(ROUND((#REF!-TIME(0,0,0))*1440,0)&gt;0,ROUND((#REF!-TIME(0,0,0))*1440,0)&lt;tbl_Case_mins[[#This Row],[Surgery Finish]],tbl_Case_mins[[#This Row],[Surgery End Date]]&gt;tbl_Case_mins[[#This Row],[Surgery Start Date]]),ROUND((#REF!-TIME(0,0,0))*1440,0)+1440,ROUND((#REF!-TIME(0,0,0))*1440,0))</f>
        <v>#REF!</v>
      </c>
      <c r="U421" s="9" t="e">
        <f>IF(AND(ROUND((#REF!-TIME(0,0,0))*1440,0)&gt;0,ROUND((#REF!-TIME(0,0,0))*1440,0)&lt;tbl_Case_mins[[#This Row],[Anaesth End]],tbl_Case_mins[[#This Row],[Surgery End Date]]&gt;tbl_Case_mins[[#This Row],[Surgery Start Date]]),ROUND((#REF!-TIME(0,0,0))*1440,0)+1440,ROUND((#REF!-TIME(0,0,0))*1440,0))</f>
        <v>#REF!</v>
      </c>
      <c r="V421" s="9" t="e">
        <f>IF(AND(ROUND((#REF!-TIME(0,0,0))*1440,0)&gt;0,ROUND((#REF!-TIME(0,0,0))*1440,0)&lt;tbl_Case_mins[[#This Row],[Into Recov]],tbl_Case_mins[[#This Row],[Surgery End Date]]&gt;tbl_Case_mins[[#This Row],[Surgery Start Date]]),ROUND((#REF!-TIME(0,0,0))*1440,0)+1440,ROUND((#REF!-TIME(0,0,0))*1440,0))</f>
        <v>#REF!</v>
      </c>
      <c r="W421" s="9" t="e">
        <f>IF(AND(ROUND((#REF!-TIME(0,0,0))*1440,0)&gt;0,ROUND((#REF!-TIME(0,0,0))*1440,0)&lt;tbl_Case_mins[[#This Row],[Ward Called]],tbl_Case_mins[[#This Row],[Surgery End Date]]&gt;tbl_Case_mins[[#This Row],[Surgery Start Date]]),ROUND((#REF!-TIME(0,0,0))*1440,0)+1440,ROUND((#REF!-TIME(0,0,0))*1440,0))</f>
        <v>#REF!</v>
      </c>
      <c r="X421" s="4" t="e">
        <f>IF(ISBLANK(#REF!),tbl_Case_mins[[#This Row],[Surgery Start Date]],#REF!)</f>
        <v>#REF!</v>
      </c>
      <c r="Y421">
        <f>IFERROR(IF(VLOOKUP(tbl_Case_mins[[#This Row],[Theatre]],'Mng Theatres'!$C$7:$G$12,3,FALSE)="Yes","Yes","No"),0)</f>
        <v>0</v>
      </c>
      <c r="Z421" s="9" t="e" cm="1">
        <f t="array" ref="Z42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1" s="9" t="e" cm="1">
        <f t="array" ref="AA42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1" s="9" t="e">
        <f>IF(tbl_Case_mins[[#This Row],[Case Type]]="Unsch",1,0)</f>
        <v>#REF!</v>
      </c>
      <c r="AD421" s="9" t="e">
        <f>IF(tbl_Case_mins[[#This Row],[Case Type]]="Sch",1,0)</f>
        <v>#REF!</v>
      </c>
      <c r="AE42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1" s="9">
        <f>IFERROR(IF(ISBLANK(INDEX(Am_Close,MATCH(1,INDEX((tbl_Case_mins[[#This Row],[Theatre]]=Theatre_No)*(tbl_Case_mins[[#This Row],[Surgery Start Date]]=Date),0,1),0))*1440),0,INDEX(Am_Close,MATCH(1,INDEX((tbl_Case_mins[[#This Row],[Theatre]]=Theatre_No)*(tbl_Case_mins[[#This Row],[Surgery Start Date]]=Date),0,1),0))*1440),0)</f>
        <v>0</v>
      </c>
      <c r="AG421" s="9">
        <f>IFERROR(IF(ISBLANK(INDEX(PM_Open,MATCH(1,INDEX((tbl_Case_mins[[#This Row],[Theatre]]=Theatre_No)*(tbl_Case_mins[[#This Row],[Surgery Start Date]]=Date),0,1),0))*1440),0,INDEX(PM_Open,MATCH(1,INDEX((tbl_Case_mins[[#This Row],[Theatre]]=Theatre_No)*(tbl_Case_mins[[#This Row],[Surgery Start Date]]=Date),0,1),0))*1440),0)</f>
        <v>0</v>
      </c>
      <c r="AH42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1" s="9" t="e">
        <f>IF(tbl_Case_mins[[#This Row],[ThOpenAm]]=0,tbl_Case_mins[[#This Row],[ThOpenPM]],tbl_Case_mins[[#This Row],[ThOpenAm]])</f>
        <v>#REF!</v>
      </c>
      <c r="AJ421" s="9" t="e">
        <f>IF(tbl_Case_mins[[#This Row],[ThCloseAm]]&gt;0,IF(tbl_Case_mins[[#This Row],[ThOpenPM]]&gt;0,tbl_Case_mins[[#This Row],[ThClosePm]],tbl_Case_mins[[#This Row],[ThCloseAm]]),tbl_Case_mins[[#This Row],[ThClosePm]])</f>
        <v>#REF!</v>
      </c>
      <c r="AK421" s="9" t="e">
        <f>IF(tbl_Case_mins[[#This Row],[TOT]]&gt;0,1,0)</f>
        <v>#REF!</v>
      </c>
      <c r="AL42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1" s="9" t="e">
        <f>IF(AND(tbl_Case_mins[[#This Row],[Surgery Status]]&lt;&gt;2,tbl_Case_mins[[#This Row],[InCoreCase]]=0,tbl_Case_mins[[#This Row],[CancelledCase]]=0),1,0)</f>
        <v>#REF!</v>
      </c>
      <c r="AN421" s="9" t="e">
        <f>IF(tbl_Case_mins[[#This Row],[Surgery Status]]=1,1,0)</f>
        <v>#REF!</v>
      </c>
      <c r="AO42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1" s="9" t="e">
        <f>IF(AND(tbl_Case_mins[[#This Row],[NonCoreCase]]=1,tbl_Case_mins[[#This Row],[NoInCoreTime]]=0),1,0)</f>
        <v>#REF!</v>
      </c>
      <c r="AQ421" s="9" t="e">
        <f>IF(tbl_Case_mins[[#This Row],[Rank_AnaEnd]]&lt;tbl_Case_mins[[#This Row],[Rank_AnaSt]],1,0)</f>
        <v>#REF!</v>
      </c>
      <c r="AR421" s="9" t="e">
        <f>IF(AND(tbl_Case_mins[[#This Row],[InCoreCase]]=1,tbl_Case_mins[[#This Row],[Sch]]=1),1,0)</f>
        <v>#REF!</v>
      </c>
      <c r="AS421" s="9" t="e">
        <f>IF(AND(tbl_Case_mins[[#This Row],[InCoreCase]]=1,tbl_Case_mins[[#This Row],[Unsch]]=1),1,0)</f>
        <v>#REF!</v>
      </c>
      <c r="AT42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1" s="9" t="e">
        <f>IF(tbl_Case_mins[[#This Row],[Surgery Status]]=0,(tbl_Case_mins[[#This Row],[Anaesth End]]-tbl_Case_mins[[#This Row],[AnaesthStart]]),0)</f>
        <v>#REF!</v>
      </c>
      <c r="AX421" s="9" t="e">
        <f>IF(tbl_Case_mins[[#This Row],[Surgery Status]]=0,(tbl_Case_mins[[#This Row],[Surgery Finish]]-tbl_Case_mins[[#This Row],[Surgery Start]]),0)</f>
        <v>#REF!</v>
      </c>
      <c r="AY421" s="9" t="e">
        <f>tbl_Case_mins[[#This Row],[Surgery Start]]-tbl_Case_mins[[#This Row],[AnaesthStart]]</f>
        <v>#REF!</v>
      </c>
      <c r="AZ421" s="9" t="e">
        <f>tbl_Case_mins[[#This Row],[Anaesth End]]-tbl_Case_mins[[#This Row],[Surgery Finish]]</f>
        <v>#REF!</v>
      </c>
      <c r="BA42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1" s="16" cm="1">
        <f t="array" ref="BC42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1" s="16" t="e">
        <f>IF(AND(tbl_Case_mins[[#This Row],[FirstAMCase]]=1,tbl_Case_mins[[#This Row],[CancelledCase]]=0,OR(tbl_Case_mins[[#This Row],[EarlyStartAM]]&gt;0,tbl_Case_mins[[#This Row],[AnaesthStart]]=tbl_Case_mins[[#This Row],[ThOpenAm]])),1,0)</f>
        <v>#REF!</v>
      </c>
      <c r="BE421" s="16" t="e">
        <f>IF(AND(tbl_Case_mins[[#This Row],[Rank_AnaSt]]=tbl_Case_mins[[#This Row],[Min_RankAnaSt]],tbl_Case_mins[[#This Row],[Anaesth End]]&gt;=tbl_Case_mins[[#This Row],[ThOpenAm]],tbl_Case_mins[[#This Row],[PmCase]]=0),1,0)</f>
        <v>#REF!</v>
      </c>
      <c r="BF42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1" s="9" t="e" cm="1">
        <f t="array" ref="BH42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1" s="9" t="e">
        <f>IF(AND(tbl_Case_mins[[#This Row],[ThOpenPM]]&gt;0,tbl_Case_mins[[#This Row],[AnaesthStart]]&gt;tbl_Case_mins[[#This Row],[ThOpenPM]],tbl_Case_mins[[#This Row],[First PM Case]]=1),tbl_Case_mins[[#This Row],[AnaesthStart]]-tbl_Case_mins[[#This Row],[ThOpenPM]],0)</f>
        <v>#REF!</v>
      </c>
      <c r="BL42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1" s="9" t="e" cm="1">
        <f t="array" ref="BN42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1" s="9" t="e">
        <f>IF(AND(tbl_Case_mins[[#This Row],[ThClosePm]]&gt;0,tbl_Case_mins[[#This Row],[Anaesth End]]&gt;tbl_Case_mins[[#This Row],[ThClosePm]],tbl_Case_mins[[#This Row],[AnaesthStart]]&gt;tbl_Case_mins[[#This Row],[ThClosePm]]),tbl_Case_mins[[#This Row],[Into Recov]]-tbl_Case_mins[[#This Row],[AnaesthStart]],0)</f>
        <v>#REF!</v>
      </c>
      <c r="BP421" s="9" t="e">
        <f>IF(AND(tbl_Case_mins[[#This Row],[AnaesthStart]]&lt;tbl_Case_mins[[#This Row],[ThClosePm]],tbl_Case_mins[[#This Row],[Anaesth End]]&gt;tbl_Case_mins[[#This Row],[ThClosePm]]),tbl_Case_mins[[#This Row],[Anaesth End]]-tbl_Case_mins[[#This Row],[ThClosePm]],0)</f>
        <v>#REF!</v>
      </c>
      <c r="BQ421" s="9" t="e" cm="1">
        <f t="array" ref="BQ42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1" s="9" t="e" cm="1">
        <f t="array" ref="BR421">IF(tbl_Case_mins[[#This Row],[Rank_Adjust]]=SUMPRODUCT(-(tbl_Case_mins[Surgery Start Date]=tbl_Case_mins[[#This Row],[Surgery Start Date]]),-(tbl_Case_mins[Theatre]=tbl_Case_mins[[#This Row],[Theatre]])),INDEX(Poss_Time,MATCH(TEXT(tbl_Case_mins[[#This Row],[Surgery Start Date]],"ddd"),Day,0)),0)</f>
        <v>#REF!</v>
      </c>
      <c r="BS421" s="9" t="e">
        <f>tbl_Case_mins[[#This Row],[Core_Time]]*Util_Goal</f>
        <v>#REF!</v>
      </c>
      <c r="BT421" s="9" t="e" cm="1">
        <f t="array" ref="BT4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1" s="9" t="e" cm="1">
        <f t="array" ref="BU42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1" s="9" t="e">
        <f>IF(tbl_Case_mins[[#This Row],[Surgery End Date]]&gt;tbl_Case_mins[[#This Row],[Surgery Start Date]],tbl_Case_mins[[#This Row],[Anaesth End]]-1440,0)</f>
        <v>#REF!</v>
      </c>
      <c r="BY421" s="9" t="e">
        <f>tbl_Case_mins[[#This Row],[Total_NonCore]]-tbl_Case_mins[[#This Row],[NextDay_NonCore]]</f>
        <v>#REF!</v>
      </c>
      <c r="BZ421" s="10" t="e">
        <f>tbl_Case_mins[[#This Row],[InCoreUse]]/60</f>
        <v>#REF!</v>
      </c>
      <c r="CA421" s="10" t="e">
        <f>tbl_Case_mins[[#This Row],[Total_NonCore]]/60</f>
        <v>#REF!</v>
      </c>
      <c r="CB421" t="e" cm="1">
        <f t="array" ref="CB4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1" s="9" t="e" cm="1">
        <f t="array" ref="CC42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1" s="9" t="e" cm="1">
        <f t="array" ref="CD42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1" s="9" t="e" cm="1">
        <f t="array" ref="CE42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1" s="9" cm="1">
        <f t="array" ref="CF421">IFERROR(_xlfn.AGGREGATE(14,6,(tbl_Case_mins[Rank_AnaEnd])/((tbl_Case_mins[Surgery Start Date]=tbl_Case_mins[[#This Row],[Surgery Start Date]])*(tbl_Case_mins[Theatre]=tbl_Case_mins[[#This Row],[Theatre]])*(tbl_Case_mins[NoInCoreTime]=0)),1),-1)</f>
        <v>-1</v>
      </c>
      <c r="CG421" s="9" cm="1">
        <f t="array" ref="CG421">IFERROR(_xlfn.AGGREGATE(15,6,(tbl_Case_mins[Rank_AnaSt])/((tbl_Case_mins[Surgery Start Date]=tbl_Case_mins[[#This Row],[Surgery Start Date]])*(tbl_Case_mins[Theatre]=tbl_Case_mins[[#This Row],[Theatre]])*(tbl_Case_mins[NoInCoreTime]=0)),1),-1)</f>
        <v>-1</v>
      </c>
      <c r="CH42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1" t="e" cm="1">
        <f t="array" ref="CJ42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1" s="9" cm="1">
        <f t="array" ref="CO4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1" s="9" cm="1">
        <f t="array" ref="CP42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1" s="9" cm="1">
        <f t="array" ref="CQ421">IFERROR(IF(AND(tbl_Case_mins[[#This Row],[FirstAMCase]]=0,tbl_Case_mins[[#This Row],[Rank]]=_xlfn.AGGREGATE(14,6,(tbl_Case_mins[Rank])/((tbl_Case_mins[Surgery Start Date]=tbl_Case_mins[[#This Row],[Surgery Start Date]])*(tbl_Case_mins[Theatre]=tbl_Case_mins[[#This Row],[Theatre]])*(tbl_Case_mins[AmCase]=1)),1)),1,0),0)</f>
        <v>0</v>
      </c>
      <c r="CR421" s="9" cm="1">
        <f t="array" ref="CR42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1" s="9" t="e" cm="1">
        <f t="array" ref="CS42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1" s="9" cm="1">
        <f t="array" ref="CT421">IFERROR(IF(tbl_Case_mins[[#This Row],[Rank]]=_xlfn.AGGREGATE(15,6,(tbl_Case_mins[Rank])/((tbl_Case_mins[Surgery Start Date]=tbl_Case_mins[[#This Row],[Surgery Start Date]])*(tbl_Case_mins[Theatre]=tbl_Case_mins[[#This Row],[Theatre]])*(tbl_Case_mins[PmCase]=1)),1),1,0),0)</f>
        <v>0</v>
      </c>
      <c r="CU421">
        <f>IFERROR(#REF!,0)</f>
        <v>0</v>
      </c>
      <c r="CV421" s="9" t="e" cm="1">
        <f t="array" ref="CV42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1" s="9">
        <f>IFERROR(IF(ISBLANK(INDEX(Bay_AmClose,MATCH(1,INDEX((tbl_Case_mins[[#This Row],[Bay]]=BayNo)*(tbl_Case_mins[[#This Row],[Surgery Start Date]]=BDate),0,1),0))*1440),0,INDEX(Bay_AmClose,MATCH(1,INDEX((tbl_Case_mins[[#This Row],[Bay]]=BayNo)*(tbl_Case_mins[[#This Row],[Surgery Start Date]]=BDate),0,1),0))*1440),0)</f>
        <v>0</v>
      </c>
      <c r="CX421" s="9" cm="1">
        <f t="array" ref="CX421">IFERROR(IF(ISBLANK(INDEX(Bay_PmOpen,MATCH(1,INDEX((tbl_Case_mins[[#This Row],[Bay]]=BayNo)*(tbl_Case_mins[[#This Row],[Surgery Start Date]]=BDate),0,1),0))*1440),0,INDEX(Bay_PmOpen,MATCH(1,INDEX((tbl_Case_mins[[#This Row],[Bay]]=BayNo)*(tbl_Case_mins[[#This Row],[Surgery Start Date]]=BDate),0,1),0))*1440),0)</f>
        <v>0</v>
      </c>
      <c r="CY42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1" s="9"/>
    </row>
    <row r="422" spans="1:104" x14ac:dyDescent="0.2">
      <c r="A422">
        <v>421</v>
      </c>
      <c r="B422" t="e">
        <f>#REF!</f>
        <v>#REF!</v>
      </c>
      <c r="C422" t="e">
        <f>#REF!</f>
        <v>#REF!</v>
      </c>
      <c r="D422" t="e">
        <f>#REF!</f>
        <v>#REF!</v>
      </c>
      <c r="E422" t="e">
        <f>#REF!</f>
        <v>#REF!</v>
      </c>
      <c r="F422" t="e">
        <f>#REF!</f>
        <v>#REF!</v>
      </c>
      <c r="G422" t="e">
        <f>#REF!</f>
        <v>#REF!</v>
      </c>
      <c r="H422" t="e">
        <f>#REF!</f>
        <v>#REF!</v>
      </c>
      <c r="I422" t="e">
        <f>IF(#REF!="Case Cancelled",1,IF(#REF!="No Cases",2,0))</f>
        <v>#REF!</v>
      </c>
      <c r="J422" t="e">
        <f>#REF!</f>
        <v>#REF!</v>
      </c>
      <c r="K422" s="4" t="e">
        <f>#REF!</f>
        <v>#REF!</v>
      </c>
      <c r="L422" t="e">
        <f>"Wk "&amp;WEEKNUM(tbl_Case_mins[[#This Row],[Surgery Start Date]],21)</f>
        <v>#REF!</v>
      </c>
      <c r="M422" t="e">
        <f>TEXT(tbl_Case_mins[[#This Row],[Surgery Start Date]],"ddd")</f>
        <v>#REF!</v>
      </c>
      <c r="N422" s="9" t="e">
        <f>(#REF!-TIME(0,0,0))*1440</f>
        <v>#REF!</v>
      </c>
      <c r="O422" t="e">
        <f>IF(AND(ROUND((#REF!-TIME(0,0,0))*1440,0)&gt;0,ROUND((#REF!-TIME(0,0,0))*1440,0)&lt;tbl_Case_mins[[#This Row],[Patient Called]],tbl_Case_mins[[#This Row],[Surgery End Date]]&gt;tbl_Case_mins[[#This Row],[Surgery Start Date]]),ROUND((#REF!-TIME(0,0,0))*1440,0)+1440,ROUND((#REF!-TIME(0,0,0))*1440,0))</f>
        <v>#REF!</v>
      </c>
      <c r="P422" s="9" t="e">
        <f>IF(AND(ROUND((#REF!-TIME(0,0,0))*1440,0)&gt;0,ROUND((#REF!-TIME(0,0,0))*1440,0)&lt;tbl_Case_mins[[#This Row],[Arrival]],tbl_Case_mins[[#This Row],[Surgery End Date]]&gt;tbl_Case_mins[[#This Row],[Surgery Start Date]]),ROUND((#REF!-TIME(0,0,0))*1440,0)+1440,ROUND((#REF!-TIME(0,0,0))*1440,0))</f>
        <v>#REF!</v>
      </c>
      <c r="Q422" s="9" t="e">
        <f>IF(AND(ROUND((#REF!-TIME(0,0,0))*1440,0)&gt;0,ROUND((#REF!-TIME(0,0,0))*1440,0)&lt;tbl_Case_mins[[#This Row],[Into Th or AR]],tbl_Case_mins[[#This Row],[Surgery End Date]]&gt;tbl_Case_mins[[#This Row],[Surgery Start Date]]),ROUND((#REF!-TIME(0,0,0))*1440,0)+1440,ROUND((#REF!-TIME(0,0,0))*1440,0))</f>
        <v>#REF!</v>
      </c>
      <c r="R422" s="9" t="e">
        <f>IF(AND(ROUND((#REF!-TIME(0,0,0))*1440,0)&gt;0,ROUND((#REF!-TIME(0,0,0))*1440,0)&lt;tbl_Case_mins[[#This Row],[AnaesthStart]],tbl_Case_mins[[#This Row],[Surgery End Date]]&gt;tbl_Case_mins[[#This Row],[Surgery Start Date]]),ROUND((#REF!-TIME(0,0,0))*1440,0)+1440,ROUND((#REF!-TIME(0,0,0))*1440,0))</f>
        <v>#REF!</v>
      </c>
      <c r="S422" s="9" t="e">
        <f>IF(AND(ROUND((#REF!-TIME(0,0,0))*1440,0),ROUND((#REF!-TIME(0,0,0))*1440,0)&lt;tbl_Case_mins[[#This Row],[Surgery Start]],tbl_Case_mins[[#This Row],[Surgery End Date]]&gt;tbl_Case_mins[[#This Row],[Surgery Start Date]]),ROUND((#REF!-TIME(0,0,0))*1440,0)+1440,ROUND((#REF!-TIME(0,0,0))*1440,0))</f>
        <v>#REF!</v>
      </c>
      <c r="T422" s="9" t="e">
        <f>IF(AND(ROUND((#REF!-TIME(0,0,0))*1440,0)&gt;0,ROUND((#REF!-TIME(0,0,0))*1440,0)&lt;tbl_Case_mins[[#This Row],[Surgery Finish]],tbl_Case_mins[[#This Row],[Surgery End Date]]&gt;tbl_Case_mins[[#This Row],[Surgery Start Date]]),ROUND((#REF!-TIME(0,0,0))*1440,0)+1440,ROUND((#REF!-TIME(0,0,0))*1440,0))</f>
        <v>#REF!</v>
      </c>
      <c r="U422" s="9" t="e">
        <f>IF(AND(ROUND((#REF!-TIME(0,0,0))*1440,0)&gt;0,ROUND((#REF!-TIME(0,0,0))*1440,0)&lt;tbl_Case_mins[[#This Row],[Anaesth End]],tbl_Case_mins[[#This Row],[Surgery End Date]]&gt;tbl_Case_mins[[#This Row],[Surgery Start Date]]),ROUND((#REF!-TIME(0,0,0))*1440,0)+1440,ROUND((#REF!-TIME(0,0,0))*1440,0))</f>
        <v>#REF!</v>
      </c>
      <c r="V422" s="9" t="e">
        <f>IF(AND(ROUND((#REF!-TIME(0,0,0))*1440,0)&gt;0,ROUND((#REF!-TIME(0,0,0))*1440,0)&lt;tbl_Case_mins[[#This Row],[Into Recov]],tbl_Case_mins[[#This Row],[Surgery End Date]]&gt;tbl_Case_mins[[#This Row],[Surgery Start Date]]),ROUND((#REF!-TIME(0,0,0))*1440,0)+1440,ROUND((#REF!-TIME(0,0,0))*1440,0))</f>
        <v>#REF!</v>
      </c>
      <c r="W422" s="9" t="e">
        <f>IF(AND(ROUND((#REF!-TIME(0,0,0))*1440,0)&gt;0,ROUND((#REF!-TIME(0,0,0))*1440,0)&lt;tbl_Case_mins[[#This Row],[Ward Called]],tbl_Case_mins[[#This Row],[Surgery End Date]]&gt;tbl_Case_mins[[#This Row],[Surgery Start Date]]),ROUND((#REF!-TIME(0,0,0))*1440,0)+1440,ROUND((#REF!-TIME(0,0,0))*1440,0))</f>
        <v>#REF!</v>
      </c>
      <c r="X422" s="4" t="e">
        <f>IF(ISBLANK(#REF!),tbl_Case_mins[[#This Row],[Surgery Start Date]],#REF!)</f>
        <v>#REF!</v>
      </c>
      <c r="Y422">
        <f>IFERROR(IF(VLOOKUP(tbl_Case_mins[[#This Row],[Theatre]],'Mng Theatres'!$C$7:$G$12,3,FALSE)="Yes","Yes","No"),0)</f>
        <v>0</v>
      </c>
      <c r="Z422" s="9" t="e" cm="1">
        <f t="array" ref="Z42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2" s="9" t="e" cm="1">
        <f t="array" ref="AA42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2" s="9" t="e">
        <f>IF(tbl_Case_mins[[#This Row],[Case Type]]="Unsch",1,0)</f>
        <v>#REF!</v>
      </c>
      <c r="AD422" s="9" t="e">
        <f>IF(tbl_Case_mins[[#This Row],[Case Type]]="Sch",1,0)</f>
        <v>#REF!</v>
      </c>
      <c r="AE42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2" s="9">
        <f>IFERROR(IF(ISBLANK(INDEX(Am_Close,MATCH(1,INDEX((tbl_Case_mins[[#This Row],[Theatre]]=Theatre_No)*(tbl_Case_mins[[#This Row],[Surgery Start Date]]=Date),0,1),0))*1440),0,INDEX(Am_Close,MATCH(1,INDEX((tbl_Case_mins[[#This Row],[Theatre]]=Theatre_No)*(tbl_Case_mins[[#This Row],[Surgery Start Date]]=Date),0,1),0))*1440),0)</f>
        <v>0</v>
      </c>
      <c r="AG422" s="9">
        <f>IFERROR(IF(ISBLANK(INDEX(PM_Open,MATCH(1,INDEX((tbl_Case_mins[[#This Row],[Theatre]]=Theatre_No)*(tbl_Case_mins[[#This Row],[Surgery Start Date]]=Date),0,1),0))*1440),0,INDEX(PM_Open,MATCH(1,INDEX((tbl_Case_mins[[#This Row],[Theatre]]=Theatre_No)*(tbl_Case_mins[[#This Row],[Surgery Start Date]]=Date),0,1),0))*1440),0)</f>
        <v>0</v>
      </c>
      <c r="AH42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2" s="9" t="e">
        <f>IF(tbl_Case_mins[[#This Row],[ThOpenAm]]=0,tbl_Case_mins[[#This Row],[ThOpenPM]],tbl_Case_mins[[#This Row],[ThOpenAm]])</f>
        <v>#REF!</v>
      </c>
      <c r="AJ422" s="9" t="e">
        <f>IF(tbl_Case_mins[[#This Row],[ThCloseAm]]&gt;0,IF(tbl_Case_mins[[#This Row],[ThOpenPM]]&gt;0,tbl_Case_mins[[#This Row],[ThClosePm]],tbl_Case_mins[[#This Row],[ThCloseAm]]),tbl_Case_mins[[#This Row],[ThClosePm]])</f>
        <v>#REF!</v>
      </c>
      <c r="AK422" s="9" t="e">
        <f>IF(tbl_Case_mins[[#This Row],[TOT]]&gt;0,1,0)</f>
        <v>#REF!</v>
      </c>
      <c r="AL42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2" s="9" t="e">
        <f>IF(AND(tbl_Case_mins[[#This Row],[Surgery Status]]&lt;&gt;2,tbl_Case_mins[[#This Row],[InCoreCase]]=0,tbl_Case_mins[[#This Row],[CancelledCase]]=0),1,0)</f>
        <v>#REF!</v>
      </c>
      <c r="AN422" s="9" t="e">
        <f>IF(tbl_Case_mins[[#This Row],[Surgery Status]]=1,1,0)</f>
        <v>#REF!</v>
      </c>
      <c r="AO42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2" s="9" t="e">
        <f>IF(AND(tbl_Case_mins[[#This Row],[NonCoreCase]]=1,tbl_Case_mins[[#This Row],[NoInCoreTime]]=0),1,0)</f>
        <v>#REF!</v>
      </c>
      <c r="AQ422" s="9" t="e">
        <f>IF(tbl_Case_mins[[#This Row],[Rank_AnaEnd]]&lt;tbl_Case_mins[[#This Row],[Rank_AnaSt]],1,0)</f>
        <v>#REF!</v>
      </c>
      <c r="AR422" s="9" t="e">
        <f>IF(AND(tbl_Case_mins[[#This Row],[InCoreCase]]=1,tbl_Case_mins[[#This Row],[Sch]]=1),1,0)</f>
        <v>#REF!</v>
      </c>
      <c r="AS422" s="9" t="e">
        <f>IF(AND(tbl_Case_mins[[#This Row],[InCoreCase]]=1,tbl_Case_mins[[#This Row],[Unsch]]=1),1,0)</f>
        <v>#REF!</v>
      </c>
      <c r="AT42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2" s="9" t="e">
        <f>IF(tbl_Case_mins[[#This Row],[Surgery Status]]=0,(tbl_Case_mins[[#This Row],[Anaesth End]]-tbl_Case_mins[[#This Row],[AnaesthStart]]),0)</f>
        <v>#REF!</v>
      </c>
      <c r="AX422" s="9" t="e">
        <f>IF(tbl_Case_mins[[#This Row],[Surgery Status]]=0,(tbl_Case_mins[[#This Row],[Surgery Finish]]-tbl_Case_mins[[#This Row],[Surgery Start]]),0)</f>
        <v>#REF!</v>
      </c>
      <c r="AY422" s="9" t="e">
        <f>tbl_Case_mins[[#This Row],[Surgery Start]]-tbl_Case_mins[[#This Row],[AnaesthStart]]</f>
        <v>#REF!</v>
      </c>
      <c r="AZ422" s="9" t="e">
        <f>tbl_Case_mins[[#This Row],[Anaesth End]]-tbl_Case_mins[[#This Row],[Surgery Finish]]</f>
        <v>#REF!</v>
      </c>
      <c r="BA42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2" s="16" cm="1">
        <f t="array" ref="BC42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2" s="16" t="e">
        <f>IF(AND(tbl_Case_mins[[#This Row],[FirstAMCase]]=1,tbl_Case_mins[[#This Row],[CancelledCase]]=0,OR(tbl_Case_mins[[#This Row],[EarlyStartAM]]&gt;0,tbl_Case_mins[[#This Row],[AnaesthStart]]=tbl_Case_mins[[#This Row],[ThOpenAm]])),1,0)</f>
        <v>#REF!</v>
      </c>
      <c r="BE422" s="16" t="e">
        <f>IF(AND(tbl_Case_mins[[#This Row],[Rank_AnaSt]]=tbl_Case_mins[[#This Row],[Min_RankAnaSt]],tbl_Case_mins[[#This Row],[Anaesth End]]&gt;=tbl_Case_mins[[#This Row],[ThOpenAm]],tbl_Case_mins[[#This Row],[PmCase]]=0),1,0)</f>
        <v>#REF!</v>
      </c>
      <c r="BF42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2" s="9" t="e" cm="1">
        <f t="array" ref="BH42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2" s="9" t="e">
        <f>IF(AND(tbl_Case_mins[[#This Row],[ThOpenPM]]&gt;0,tbl_Case_mins[[#This Row],[AnaesthStart]]&gt;tbl_Case_mins[[#This Row],[ThOpenPM]],tbl_Case_mins[[#This Row],[First PM Case]]=1),tbl_Case_mins[[#This Row],[AnaesthStart]]-tbl_Case_mins[[#This Row],[ThOpenPM]],0)</f>
        <v>#REF!</v>
      </c>
      <c r="BL42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2" s="9" t="e" cm="1">
        <f t="array" ref="BN42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2" s="9" t="e">
        <f>IF(AND(tbl_Case_mins[[#This Row],[ThClosePm]]&gt;0,tbl_Case_mins[[#This Row],[Anaesth End]]&gt;tbl_Case_mins[[#This Row],[ThClosePm]],tbl_Case_mins[[#This Row],[AnaesthStart]]&gt;tbl_Case_mins[[#This Row],[ThClosePm]]),tbl_Case_mins[[#This Row],[Into Recov]]-tbl_Case_mins[[#This Row],[AnaesthStart]],0)</f>
        <v>#REF!</v>
      </c>
      <c r="BP422" s="9" t="e">
        <f>IF(AND(tbl_Case_mins[[#This Row],[AnaesthStart]]&lt;tbl_Case_mins[[#This Row],[ThClosePm]],tbl_Case_mins[[#This Row],[Anaesth End]]&gt;tbl_Case_mins[[#This Row],[ThClosePm]]),tbl_Case_mins[[#This Row],[Anaesth End]]-tbl_Case_mins[[#This Row],[ThClosePm]],0)</f>
        <v>#REF!</v>
      </c>
      <c r="BQ422" s="9" t="e" cm="1">
        <f t="array" ref="BQ42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2" s="9" t="e" cm="1">
        <f t="array" ref="BR422">IF(tbl_Case_mins[[#This Row],[Rank_Adjust]]=SUMPRODUCT(-(tbl_Case_mins[Surgery Start Date]=tbl_Case_mins[[#This Row],[Surgery Start Date]]),-(tbl_Case_mins[Theatre]=tbl_Case_mins[[#This Row],[Theatre]])),INDEX(Poss_Time,MATCH(TEXT(tbl_Case_mins[[#This Row],[Surgery Start Date]],"ddd"),Day,0)),0)</f>
        <v>#REF!</v>
      </c>
      <c r="BS422" s="9" t="e">
        <f>tbl_Case_mins[[#This Row],[Core_Time]]*Util_Goal</f>
        <v>#REF!</v>
      </c>
      <c r="BT422" s="9" t="e" cm="1">
        <f t="array" ref="BT4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2" s="9" t="e" cm="1">
        <f t="array" ref="BU42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2" s="9" t="e">
        <f>IF(tbl_Case_mins[[#This Row],[Surgery End Date]]&gt;tbl_Case_mins[[#This Row],[Surgery Start Date]],tbl_Case_mins[[#This Row],[Anaesth End]]-1440,0)</f>
        <v>#REF!</v>
      </c>
      <c r="BY422" s="9" t="e">
        <f>tbl_Case_mins[[#This Row],[Total_NonCore]]-tbl_Case_mins[[#This Row],[NextDay_NonCore]]</f>
        <v>#REF!</v>
      </c>
      <c r="BZ422" s="10" t="e">
        <f>tbl_Case_mins[[#This Row],[InCoreUse]]/60</f>
        <v>#REF!</v>
      </c>
      <c r="CA422" s="10" t="e">
        <f>tbl_Case_mins[[#This Row],[Total_NonCore]]/60</f>
        <v>#REF!</v>
      </c>
      <c r="CB422" t="e" cm="1">
        <f t="array" ref="CB4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2" s="9" t="e" cm="1">
        <f t="array" ref="CC42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2" s="9" t="e" cm="1">
        <f t="array" ref="CD42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2" s="9" t="e" cm="1">
        <f t="array" ref="CE42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2" s="9" cm="1">
        <f t="array" ref="CF422">IFERROR(_xlfn.AGGREGATE(14,6,(tbl_Case_mins[Rank_AnaEnd])/((tbl_Case_mins[Surgery Start Date]=tbl_Case_mins[[#This Row],[Surgery Start Date]])*(tbl_Case_mins[Theatre]=tbl_Case_mins[[#This Row],[Theatre]])*(tbl_Case_mins[NoInCoreTime]=0)),1),-1)</f>
        <v>-1</v>
      </c>
      <c r="CG422" s="9" cm="1">
        <f t="array" ref="CG422">IFERROR(_xlfn.AGGREGATE(15,6,(tbl_Case_mins[Rank_AnaSt])/((tbl_Case_mins[Surgery Start Date]=tbl_Case_mins[[#This Row],[Surgery Start Date]])*(tbl_Case_mins[Theatre]=tbl_Case_mins[[#This Row],[Theatre]])*(tbl_Case_mins[NoInCoreTime]=0)),1),-1)</f>
        <v>-1</v>
      </c>
      <c r="CH42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2" t="e" cm="1">
        <f t="array" ref="CJ42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2" s="9" cm="1">
        <f t="array" ref="CO4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2" s="9" cm="1">
        <f t="array" ref="CP42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2" s="9" cm="1">
        <f t="array" ref="CQ422">IFERROR(IF(AND(tbl_Case_mins[[#This Row],[FirstAMCase]]=0,tbl_Case_mins[[#This Row],[Rank]]=_xlfn.AGGREGATE(14,6,(tbl_Case_mins[Rank])/((tbl_Case_mins[Surgery Start Date]=tbl_Case_mins[[#This Row],[Surgery Start Date]])*(tbl_Case_mins[Theatre]=tbl_Case_mins[[#This Row],[Theatre]])*(tbl_Case_mins[AmCase]=1)),1)),1,0),0)</f>
        <v>0</v>
      </c>
      <c r="CR422" s="9" cm="1">
        <f t="array" ref="CR42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2" s="9" t="e" cm="1">
        <f t="array" ref="CS42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2" s="9" cm="1">
        <f t="array" ref="CT422">IFERROR(IF(tbl_Case_mins[[#This Row],[Rank]]=_xlfn.AGGREGATE(15,6,(tbl_Case_mins[Rank])/((tbl_Case_mins[Surgery Start Date]=tbl_Case_mins[[#This Row],[Surgery Start Date]])*(tbl_Case_mins[Theatre]=tbl_Case_mins[[#This Row],[Theatre]])*(tbl_Case_mins[PmCase]=1)),1),1,0),0)</f>
        <v>0</v>
      </c>
      <c r="CU422">
        <f>IFERROR(#REF!,0)</f>
        <v>0</v>
      </c>
      <c r="CV422" s="9" t="e" cm="1">
        <f t="array" ref="CV42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2" s="9">
        <f>IFERROR(IF(ISBLANK(INDEX(Bay_AmClose,MATCH(1,INDEX((tbl_Case_mins[[#This Row],[Bay]]=BayNo)*(tbl_Case_mins[[#This Row],[Surgery Start Date]]=BDate),0,1),0))*1440),0,INDEX(Bay_AmClose,MATCH(1,INDEX((tbl_Case_mins[[#This Row],[Bay]]=BayNo)*(tbl_Case_mins[[#This Row],[Surgery Start Date]]=BDate),0,1),0))*1440),0)</f>
        <v>0</v>
      </c>
      <c r="CX422" s="9" cm="1">
        <f t="array" ref="CX422">IFERROR(IF(ISBLANK(INDEX(Bay_PmOpen,MATCH(1,INDEX((tbl_Case_mins[[#This Row],[Bay]]=BayNo)*(tbl_Case_mins[[#This Row],[Surgery Start Date]]=BDate),0,1),0))*1440),0,INDEX(Bay_PmOpen,MATCH(1,INDEX((tbl_Case_mins[[#This Row],[Bay]]=BayNo)*(tbl_Case_mins[[#This Row],[Surgery Start Date]]=BDate),0,1),0))*1440),0)</f>
        <v>0</v>
      </c>
      <c r="CY42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2" s="9"/>
    </row>
    <row r="423" spans="1:104" x14ac:dyDescent="0.2">
      <c r="A423">
        <v>422</v>
      </c>
      <c r="B423" t="e">
        <f>#REF!</f>
        <v>#REF!</v>
      </c>
      <c r="C423" t="e">
        <f>#REF!</f>
        <v>#REF!</v>
      </c>
      <c r="D423" t="e">
        <f>#REF!</f>
        <v>#REF!</v>
      </c>
      <c r="E423" t="e">
        <f>#REF!</f>
        <v>#REF!</v>
      </c>
      <c r="F423" t="e">
        <f>#REF!</f>
        <v>#REF!</v>
      </c>
      <c r="G423" t="e">
        <f>#REF!</f>
        <v>#REF!</v>
      </c>
      <c r="H423" t="e">
        <f>#REF!</f>
        <v>#REF!</v>
      </c>
      <c r="I423" t="e">
        <f>IF(#REF!="Case Cancelled",1,IF(#REF!="No Cases",2,0))</f>
        <v>#REF!</v>
      </c>
      <c r="J423" t="e">
        <f>#REF!</f>
        <v>#REF!</v>
      </c>
      <c r="K423" s="4" t="e">
        <f>#REF!</f>
        <v>#REF!</v>
      </c>
      <c r="L423" t="e">
        <f>"Wk "&amp;WEEKNUM(tbl_Case_mins[[#This Row],[Surgery Start Date]],21)</f>
        <v>#REF!</v>
      </c>
      <c r="M423" t="e">
        <f>TEXT(tbl_Case_mins[[#This Row],[Surgery Start Date]],"ddd")</f>
        <v>#REF!</v>
      </c>
      <c r="N423" s="9" t="e">
        <f>(#REF!-TIME(0,0,0))*1440</f>
        <v>#REF!</v>
      </c>
      <c r="O423" t="e">
        <f>IF(AND(ROUND((#REF!-TIME(0,0,0))*1440,0)&gt;0,ROUND((#REF!-TIME(0,0,0))*1440,0)&lt;tbl_Case_mins[[#This Row],[Patient Called]],tbl_Case_mins[[#This Row],[Surgery End Date]]&gt;tbl_Case_mins[[#This Row],[Surgery Start Date]]),ROUND((#REF!-TIME(0,0,0))*1440,0)+1440,ROUND((#REF!-TIME(0,0,0))*1440,0))</f>
        <v>#REF!</v>
      </c>
      <c r="P423" s="9" t="e">
        <f>IF(AND(ROUND((#REF!-TIME(0,0,0))*1440,0)&gt;0,ROUND((#REF!-TIME(0,0,0))*1440,0)&lt;tbl_Case_mins[[#This Row],[Arrival]],tbl_Case_mins[[#This Row],[Surgery End Date]]&gt;tbl_Case_mins[[#This Row],[Surgery Start Date]]),ROUND((#REF!-TIME(0,0,0))*1440,0)+1440,ROUND((#REF!-TIME(0,0,0))*1440,0))</f>
        <v>#REF!</v>
      </c>
      <c r="Q423" s="9" t="e">
        <f>IF(AND(ROUND((#REF!-TIME(0,0,0))*1440,0)&gt;0,ROUND((#REF!-TIME(0,0,0))*1440,0)&lt;tbl_Case_mins[[#This Row],[Into Th or AR]],tbl_Case_mins[[#This Row],[Surgery End Date]]&gt;tbl_Case_mins[[#This Row],[Surgery Start Date]]),ROUND((#REF!-TIME(0,0,0))*1440,0)+1440,ROUND((#REF!-TIME(0,0,0))*1440,0))</f>
        <v>#REF!</v>
      </c>
      <c r="R423" s="9" t="e">
        <f>IF(AND(ROUND((#REF!-TIME(0,0,0))*1440,0)&gt;0,ROUND((#REF!-TIME(0,0,0))*1440,0)&lt;tbl_Case_mins[[#This Row],[AnaesthStart]],tbl_Case_mins[[#This Row],[Surgery End Date]]&gt;tbl_Case_mins[[#This Row],[Surgery Start Date]]),ROUND((#REF!-TIME(0,0,0))*1440,0)+1440,ROUND((#REF!-TIME(0,0,0))*1440,0))</f>
        <v>#REF!</v>
      </c>
      <c r="S423" s="9" t="e">
        <f>IF(AND(ROUND((#REF!-TIME(0,0,0))*1440,0),ROUND((#REF!-TIME(0,0,0))*1440,0)&lt;tbl_Case_mins[[#This Row],[Surgery Start]],tbl_Case_mins[[#This Row],[Surgery End Date]]&gt;tbl_Case_mins[[#This Row],[Surgery Start Date]]),ROUND((#REF!-TIME(0,0,0))*1440,0)+1440,ROUND((#REF!-TIME(0,0,0))*1440,0))</f>
        <v>#REF!</v>
      </c>
      <c r="T423" s="9" t="e">
        <f>IF(AND(ROUND((#REF!-TIME(0,0,0))*1440,0)&gt;0,ROUND((#REF!-TIME(0,0,0))*1440,0)&lt;tbl_Case_mins[[#This Row],[Surgery Finish]],tbl_Case_mins[[#This Row],[Surgery End Date]]&gt;tbl_Case_mins[[#This Row],[Surgery Start Date]]),ROUND((#REF!-TIME(0,0,0))*1440,0)+1440,ROUND((#REF!-TIME(0,0,0))*1440,0))</f>
        <v>#REF!</v>
      </c>
      <c r="U423" s="9" t="e">
        <f>IF(AND(ROUND((#REF!-TIME(0,0,0))*1440,0)&gt;0,ROUND((#REF!-TIME(0,0,0))*1440,0)&lt;tbl_Case_mins[[#This Row],[Anaesth End]],tbl_Case_mins[[#This Row],[Surgery End Date]]&gt;tbl_Case_mins[[#This Row],[Surgery Start Date]]),ROUND((#REF!-TIME(0,0,0))*1440,0)+1440,ROUND((#REF!-TIME(0,0,0))*1440,0))</f>
        <v>#REF!</v>
      </c>
      <c r="V423" s="9" t="e">
        <f>IF(AND(ROUND((#REF!-TIME(0,0,0))*1440,0)&gt;0,ROUND((#REF!-TIME(0,0,0))*1440,0)&lt;tbl_Case_mins[[#This Row],[Into Recov]],tbl_Case_mins[[#This Row],[Surgery End Date]]&gt;tbl_Case_mins[[#This Row],[Surgery Start Date]]),ROUND((#REF!-TIME(0,0,0))*1440,0)+1440,ROUND((#REF!-TIME(0,0,0))*1440,0))</f>
        <v>#REF!</v>
      </c>
      <c r="W423" s="9" t="e">
        <f>IF(AND(ROUND((#REF!-TIME(0,0,0))*1440,0)&gt;0,ROUND((#REF!-TIME(0,0,0))*1440,0)&lt;tbl_Case_mins[[#This Row],[Ward Called]],tbl_Case_mins[[#This Row],[Surgery End Date]]&gt;tbl_Case_mins[[#This Row],[Surgery Start Date]]),ROUND((#REF!-TIME(0,0,0))*1440,0)+1440,ROUND((#REF!-TIME(0,0,0))*1440,0))</f>
        <v>#REF!</v>
      </c>
      <c r="X423" s="4" t="e">
        <f>IF(ISBLANK(#REF!),tbl_Case_mins[[#This Row],[Surgery Start Date]],#REF!)</f>
        <v>#REF!</v>
      </c>
      <c r="Y423">
        <f>IFERROR(IF(VLOOKUP(tbl_Case_mins[[#This Row],[Theatre]],'Mng Theatres'!$C$7:$G$12,3,FALSE)="Yes","Yes","No"),0)</f>
        <v>0</v>
      </c>
      <c r="Z423" s="9" t="e" cm="1">
        <f t="array" ref="Z42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3" s="9" t="e" cm="1">
        <f t="array" ref="AA42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3" s="9" t="e">
        <f>IF(tbl_Case_mins[[#This Row],[Case Type]]="Unsch",1,0)</f>
        <v>#REF!</v>
      </c>
      <c r="AD423" s="9" t="e">
        <f>IF(tbl_Case_mins[[#This Row],[Case Type]]="Sch",1,0)</f>
        <v>#REF!</v>
      </c>
      <c r="AE42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3" s="9">
        <f>IFERROR(IF(ISBLANK(INDEX(Am_Close,MATCH(1,INDEX((tbl_Case_mins[[#This Row],[Theatre]]=Theatre_No)*(tbl_Case_mins[[#This Row],[Surgery Start Date]]=Date),0,1),0))*1440),0,INDEX(Am_Close,MATCH(1,INDEX((tbl_Case_mins[[#This Row],[Theatre]]=Theatre_No)*(tbl_Case_mins[[#This Row],[Surgery Start Date]]=Date),0,1),0))*1440),0)</f>
        <v>0</v>
      </c>
      <c r="AG423" s="9">
        <f>IFERROR(IF(ISBLANK(INDEX(PM_Open,MATCH(1,INDEX((tbl_Case_mins[[#This Row],[Theatre]]=Theatre_No)*(tbl_Case_mins[[#This Row],[Surgery Start Date]]=Date),0,1),0))*1440),0,INDEX(PM_Open,MATCH(1,INDEX((tbl_Case_mins[[#This Row],[Theatre]]=Theatre_No)*(tbl_Case_mins[[#This Row],[Surgery Start Date]]=Date),0,1),0))*1440),0)</f>
        <v>0</v>
      </c>
      <c r="AH42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3" s="9" t="e">
        <f>IF(tbl_Case_mins[[#This Row],[ThOpenAm]]=0,tbl_Case_mins[[#This Row],[ThOpenPM]],tbl_Case_mins[[#This Row],[ThOpenAm]])</f>
        <v>#REF!</v>
      </c>
      <c r="AJ423" s="9" t="e">
        <f>IF(tbl_Case_mins[[#This Row],[ThCloseAm]]&gt;0,IF(tbl_Case_mins[[#This Row],[ThOpenPM]]&gt;0,tbl_Case_mins[[#This Row],[ThClosePm]],tbl_Case_mins[[#This Row],[ThCloseAm]]),tbl_Case_mins[[#This Row],[ThClosePm]])</f>
        <v>#REF!</v>
      </c>
      <c r="AK423" s="9" t="e">
        <f>IF(tbl_Case_mins[[#This Row],[TOT]]&gt;0,1,0)</f>
        <v>#REF!</v>
      </c>
      <c r="AL42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3" s="9" t="e">
        <f>IF(AND(tbl_Case_mins[[#This Row],[Surgery Status]]&lt;&gt;2,tbl_Case_mins[[#This Row],[InCoreCase]]=0,tbl_Case_mins[[#This Row],[CancelledCase]]=0),1,0)</f>
        <v>#REF!</v>
      </c>
      <c r="AN423" s="9" t="e">
        <f>IF(tbl_Case_mins[[#This Row],[Surgery Status]]=1,1,0)</f>
        <v>#REF!</v>
      </c>
      <c r="AO42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3" s="9" t="e">
        <f>IF(AND(tbl_Case_mins[[#This Row],[NonCoreCase]]=1,tbl_Case_mins[[#This Row],[NoInCoreTime]]=0),1,0)</f>
        <v>#REF!</v>
      </c>
      <c r="AQ423" s="9" t="e">
        <f>IF(tbl_Case_mins[[#This Row],[Rank_AnaEnd]]&lt;tbl_Case_mins[[#This Row],[Rank_AnaSt]],1,0)</f>
        <v>#REF!</v>
      </c>
      <c r="AR423" s="9" t="e">
        <f>IF(AND(tbl_Case_mins[[#This Row],[InCoreCase]]=1,tbl_Case_mins[[#This Row],[Sch]]=1),1,0)</f>
        <v>#REF!</v>
      </c>
      <c r="AS423" s="9" t="e">
        <f>IF(AND(tbl_Case_mins[[#This Row],[InCoreCase]]=1,tbl_Case_mins[[#This Row],[Unsch]]=1),1,0)</f>
        <v>#REF!</v>
      </c>
      <c r="AT42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3" s="9" t="e">
        <f>IF(tbl_Case_mins[[#This Row],[Surgery Status]]=0,(tbl_Case_mins[[#This Row],[Anaesth End]]-tbl_Case_mins[[#This Row],[AnaesthStart]]),0)</f>
        <v>#REF!</v>
      </c>
      <c r="AX423" s="9" t="e">
        <f>IF(tbl_Case_mins[[#This Row],[Surgery Status]]=0,(tbl_Case_mins[[#This Row],[Surgery Finish]]-tbl_Case_mins[[#This Row],[Surgery Start]]),0)</f>
        <v>#REF!</v>
      </c>
      <c r="AY423" s="9" t="e">
        <f>tbl_Case_mins[[#This Row],[Surgery Start]]-tbl_Case_mins[[#This Row],[AnaesthStart]]</f>
        <v>#REF!</v>
      </c>
      <c r="AZ423" s="9" t="e">
        <f>tbl_Case_mins[[#This Row],[Anaesth End]]-tbl_Case_mins[[#This Row],[Surgery Finish]]</f>
        <v>#REF!</v>
      </c>
      <c r="BA42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3" s="16" cm="1">
        <f t="array" ref="BC42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3" s="16" t="e">
        <f>IF(AND(tbl_Case_mins[[#This Row],[FirstAMCase]]=1,tbl_Case_mins[[#This Row],[CancelledCase]]=0,OR(tbl_Case_mins[[#This Row],[EarlyStartAM]]&gt;0,tbl_Case_mins[[#This Row],[AnaesthStart]]=tbl_Case_mins[[#This Row],[ThOpenAm]])),1,0)</f>
        <v>#REF!</v>
      </c>
      <c r="BE423" s="16" t="e">
        <f>IF(AND(tbl_Case_mins[[#This Row],[Rank_AnaSt]]=tbl_Case_mins[[#This Row],[Min_RankAnaSt]],tbl_Case_mins[[#This Row],[Anaesth End]]&gt;=tbl_Case_mins[[#This Row],[ThOpenAm]],tbl_Case_mins[[#This Row],[PmCase]]=0),1,0)</f>
        <v>#REF!</v>
      </c>
      <c r="BF42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3" s="9" t="e" cm="1">
        <f t="array" ref="BH42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3" s="9" t="e">
        <f>IF(AND(tbl_Case_mins[[#This Row],[ThOpenPM]]&gt;0,tbl_Case_mins[[#This Row],[AnaesthStart]]&gt;tbl_Case_mins[[#This Row],[ThOpenPM]],tbl_Case_mins[[#This Row],[First PM Case]]=1),tbl_Case_mins[[#This Row],[AnaesthStart]]-tbl_Case_mins[[#This Row],[ThOpenPM]],0)</f>
        <v>#REF!</v>
      </c>
      <c r="BL42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3" s="9" t="e" cm="1">
        <f t="array" ref="BN42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3" s="9" t="e">
        <f>IF(AND(tbl_Case_mins[[#This Row],[ThClosePm]]&gt;0,tbl_Case_mins[[#This Row],[Anaesth End]]&gt;tbl_Case_mins[[#This Row],[ThClosePm]],tbl_Case_mins[[#This Row],[AnaesthStart]]&gt;tbl_Case_mins[[#This Row],[ThClosePm]]),tbl_Case_mins[[#This Row],[Into Recov]]-tbl_Case_mins[[#This Row],[AnaesthStart]],0)</f>
        <v>#REF!</v>
      </c>
      <c r="BP423" s="9" t="e">
        <f>IF(AND(tbl_Case_mins[[#This Row],[AnaesthStart]]&lt;tbl_Case_mins[[#This Row],[ThClosePm]],tbl_Case_mins[[#This Row],[Anaesth End]]&gt;tbl_Case_mins[[#This Row],[ThClosePm]]),tbl_Case_mins[[#This Row],[Anaesth End]]-tbl_Case_mins[[#This Row],[ThClosePm]],0)</f>
        <v>#REF!</v>
      </c>
      <c r="BQ423" s="9" t="e" cm="1">
        <f t="array" ref="BQ42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3" s="9" t="e" cm="1">
        <f t="array" ref="BR423">IF(tbl_Case_mins[[#This Row],[Rank_Adjust]]=SUMPRODUCT(-(tbl_Case_mins[Surgery Start Date]=tbl_Case_mins[[#This Row],[Surgery Start Date]]),-(tbl_Case_mins[Theatre]=tbl_Case_mins[[#This Row],[Theatre]])),INDEX(Poss_Time,MATCH(TEXT(tbl_Case_mins[[#This Row],[Surgery Start Date]],"ddd"),Day,0)),0)</f>
        <v>#REF!</v>
      </c>
      <c r="BS423" s="9" t="e">
        <f>tbl_Case_mins[[#This Row],[Core_Time]]*Util_Goal</f>
        <v>#REF!</v>
      </c>
      <c r="BT423" s="9" t="e" cm="1">
        <f t="array" ref="BT4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3" s="9" t="e" cm="1">
        <f t="array" ref="BU42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3" s="9" t="e">
        <f>IF(tbl_Case_mins[[#This Row],[Surgery End Date]]&gt;tbl_Case_mins[[#This Row],[Surgery Start Date]],tbl_Case_mins[[#This Row],[Anaesth End]]-1440,0)</f>
        <v>#REF!</v>
      </c>
      <c r="BY423" s="9" t="e">
        <f>tbl_Case_mins[[#This Row],[Total_NonCore]]-tbl_Case_mins[[#This Row],[NextDay_NonCore]]</f>
        <v>#REF!</v>
      </c>
      <c r="BZ423" s="10" t="e">
        <f>tbl_Case_mins[[#This Row],[InCoreUse]]/60</f>
        <v>#REF!</v>
      </c>
      <c r="CA423" s="10" t="e">
        <f>tbl_Case_mins[[#This Row],[Total_NonCore]]/60</f>
        <v>#REF!</v>
      </c>
      <c r="CB423" t="e" cm="1">
        <f t="array" ref="CB4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3" s="9" t="e" cm="1">
        <f t="array" ref="CC42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3" s="9" t="e" cm="1">
        <f t="array" ref="CD42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3" s="9" t="e" cm="1">
        <f t="array" ref="CE42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3" s="9" cm="1">
        <f t="array" ref="CF423">IFERROR(_xlfn.AGGREGATE(14,6,(tbl_Case_mins[Rank_AnaEnd])/((tbl_Case_mins[Surgery Start Date]=tbl_Case_mins[[#This Row],[Surgery Start Date]])*(tbl_Case_mins[Theatre]=tbl_Case_mins[[#This Row],[Theatre]])*(tbl_Case_mins[NoInCoreTime]=0)),1),-1)</f>
        <v>-1</v>
      </c>
      <c r="CG423" s="9" cm="1">
        <f t="array" ref="CG423">IFERROR(_xlfn.AGGREGATE(15,6,(tbl_Case_mins[Rank_AnaSt])/((tbl_Case_mins[Surgery Start Date]=tbl_Case_mins[[#This Row],[Surgery Start Date]])*(tbl_Case_mins[Theatre]=tbl_Case_mins[[#This Row],[Theatre]])*(tbl_Case_mins[NoInCoreTime]=0)),1),-1)</f>
        <v>-1</v>
      </c>
      <c r="CH42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3" t="e" cm="1">
        <f t="array" ref="CJ42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3" s="9" cm="1">
        <f t="array" ref="CO4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3" s="9" cm="1">
        <f t="array" ref="CP42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3" s="9" cm="1">
        <f t="array" ref="CQ423">IFERROR(IF(AND(tbl_Case_mins[[#This Row],[FirstAMCase]]=0,tbl_Case_mins[[#This Row],[Rank]]=_xlfn.AGGREGATE(14,6,(tbl_Case_mins[Rank])/((tbl_Case_mins[Surgery Start Date]=tbl_Case_mins[[#This Row],[Surgery Start Date]])*(tbl_Case_mins[Theatre]=tbl_Case_mins[[#This Row],[Theatre]])*(tbl_Case_mins[AmCase]=1)),1)),1,0),0)</f>
        <v>0</v>
      </c>
      <c r="CR423" s="9" cm="1">
        <f t="array" ref="CR42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3" s="9" t="e" cm="1">
        <f t="array" ref="CS42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3" s="9" cm="1">
        <f t="array" ref="CT423">IFERROR(IF(tbl_Case_mins[[#This Row],[Rank]]=_xlfn.AGGREGATE(15,6,(tbl_Case_mins[Rank])/((tbl_Case_mins[Surgery Start Date]=tbl_Case_mins[[#This Row],[Surgery Start Date]])*(tbl_Case_mins[Theatre]=tbl_Case_mins[[#This Row],[Theatre]])*(tbl_Case_mins[PmCase]=1)),1),1,0),0)</f>
        <v>0</v>
      </c>
      <c r="CU423">
        <f>IFERROR(#REF!,0)</f>
        <v>0</v>
      </c>
      <c r="CV423" s="9" t="e" cm="1">
        <f t="array" ref="CV42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3" s="9">
        <f>IFERROR(IF(ISBLANK(INDEX(Bay_AmClose,MATCH(1,INDEX((tbl_Case_mins[[#This Row],[Bay]]=BayNo)*(tbl_Case_mins[[#This Row],[Surgery Start Date]]=BDate),0,1),0))*1440),0,INDEX(Bay_AmClose,MATCH(1,INDEX((tbl_Case_mins[[#This Row],[Bay]]=BayNo)*(tbl_Case_mins[[#This Row],[Surgery Start Date]]=BDate),0,1),0))*1440),0)</f>
        <v>0</v>
      </c>
      <c r="CX423" s="9" cm="1">
        <f t="array" ref="CX423">IFERROR(IF(ISBLANK(INDEX(Bay_PmOpen,MATCH(1,INDEX((tbl_Case_mins[[#This Row],[Bay]]=BayNo)*(tbl_Case_mins[[#This Row],[Surgery Start Date]]=BDate),0,1),0))*1440),0,INDEX(Bay_PmOpen,MATCH(1,INDEX((tbl_Case_mins[[#This Row],[Bay]]=BayNo)*(tbl_Case_mins[[#This Row],[Surgery Start Date]]=BDate),0,1),0))*1440),0)</f>
        <v>0</v>
      </c>
      <c r="CY42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3" s="9"/>
    </row>
    <row r="424" spans="1:104" x14ac:dyDescent="0.2">
      <c r="A424">
        <v>423</v>
      </c>
      <c r="B424" t="e">
        <f>#REF!</f>
        <v>#REF!</v>
      </c>
      <c r="C424" t="e">
        <f>#REF!</f>
        <v>#REF!</v>
      </c>
      <c r="D424" t="e">
        <f>#REF!</f>
        <v>#REF!</v>
      </c>
      <c r="E424" t="e">
        <f>#REF!</f>
        <v>#REF!</v>
      </c>
      <c r="F424" t="e">
        <f>#REF!</f>
        <v>#REF!</v>
      </c>
      <c r="G424" t="e">
        <f>#REF!</f>
        <v>#REF!</v>
      </c>
      <c r="H424" t="e">
        <f>#REF!</f>
        <v>#REF!</v>
      </c>
      <c r="I424" t="e">
        <f>IF(#REF!="Case Cancelled",1,IF(#REF!="No Cases",2,0))</f>
        <v>#REF!</v>
      </c>
      <c r="J424" t="e">
        <f>#REF!</f>
        <v>#REF!</v>
      </c>
      <c r="K424" s="4" t="e">
        <f>#REF!</f>
        <v>#REF!</v>
      </c>
      <c r="L424" t="e">
        <f>"Wk "&amp;WEEKNUM(tbl_Case_mins[[#This Row],[Surgery Start Date]],21)</f>
        <v>#REF!</v>
      </c>
      <c r="M424" t="e">
        <f>TEXT(tbl_Case_mins[[#This Row],[Surgery Start Date]],"ddd")</f>
        <v>#REF!</v>
      </c>
      <c r="N424" s="9" t="e">
        <f>(#REF!-TIME(0,0,0))*1440</f>
        <v>#REF!</v>
      </c>
      <c r="O424" t="e">
        <f>IF(AND(ROUND((#REF!-TIME(0,0,0))*1440,0)&gt;0,ROUND((#REF!-TIME(0,0,0))*1440,0)&lt;tbl_Case_mins[[#This Row],[Patient Called]],tbl_Case_mins[[#This Row],[Surgery End Date]]&gt;tbl_Case_mins[[#This Row],[Surgery Start Date]]),ROUND((#REF!-TIME(0,0,0))*1440,0)+1440,ROUND((#REF!-TIME(0,0,0))*1440,0))</f>
        <v>#REF!</v>
      </c>
      <c r="P424" s="9" t="e">
        <f>IF(AND(ROUND((#REF!-TIME(0,0,0))*1440,0)&gt;0,ROUND((#REF!-TIME(0,0,0))*1440,0)&lt;tbl_Case_mins[[#This Row],[Arrival]],tbl_Case_mins[[#This Row],[Surgery End Date]]&gt;tbl_Case_mins[[#This Row],[Surgery Start Date]]),ROUND((#REF!-TIME(0,0,0))*1440,0)+1440,ROUND((#REF!-TIME(0,0,0))*1440,0))</f>
        <v>#REF!</v>
      </c>
      <c r="Q424" s="9" t="e">
        <f>IF(AND(ROUND((#REF!-TIME(0,0,0))*1440,0)&gt;0,ROUND((#REF!-TIME(0,0,0))*1440,0)&lt;tbl_Case_mins[[#This Row],[Into Th or AR]],tbl_Case_mins[[#This Row],[Surgery End Date]]&gt;tbl_Case_mins[[#This Row],[Surgery Start Date]]),ROUND((#REF!-TIME(0,0,0))*1440,0)+1440,ROUND((#REF!-TIME(0,0,0))*1440,0))</f>
        <v>#REF!</v>
      </c>
      <c r="R424" s="9" t="e">
        <f>IF(AND(ROUND((#REF!-TIME(0,0,0))*1440,0)&gt;0,ROUND((#REF!-TIME(0,0,0))*1440,0)&lt;tbl_Case_mins[[#This Row],[AnaesthStart]],tbl_Case_mins[[#This Row],[Surgery End Date]]&gt;tbl_Case_mins[[#This Row],[Surgery Start Date]]),ROUND((#REF!-TIME(0,0,0))*1440,0)+1440,ROUND((#REF!-TIME(0,0,0))*1440,0))</f>
        <v>#REF!</v>
      </c>
      <c r="S424" s="9" t="e">
        <f>IF(AND(ROUND((#REF!-TIME(0,0,0))*1440,0),ROUND((#REF!-TIME(0,0,0))*1440,0)&lt;tbl_Case_mins[[#This Row],[Surgery Start]],tbl_Case_mins[[#This Row],[Surgery End Date]]&gt;tbl_Case_mins[[#This Row],[Surgery Start Date]]),ROUND((#REF!-TIME(0,0,0))*1440,0)+1440,ROUND((#REF!-TIME(0,0,0))*1440,0))</f>
        <v>#REF!</v>
      </c>
      <c r="T424" s="9" t="e">
        <f>IF(AND(ROUND((#REF!-TIME(0,0,0))*1440,0)&gt;0,ROUND((#REF!-TIME(0,0,0))*1440,0)&lt;tbl_Case_mins[[#This Row],[Surgery Finish]],tbl_Case_mins[[#This Row],[Surgery End Date]]&gt;tbl_Case_mins[[#This Row],[Surgery Start Date]]),ROUND((#REF!-TIME(0,0,0))*1440,0)+1440,ROUND((#REF!-TIME(0,0,0))*1440,0))</f>
        <v>#REF!</v>
      </c>
      <c r="U424" s="9" t="e">
        <f>IF(AND(ROUND((#REF!-TIME(0,0,0))*1440,0)&gt;0,ROUND((#REF!-TIME(0,0,0))*1440,0)&lt;tbl_Case_mins[[#This Row],[Anaesth End]],tbl_Case_mins[[#This Row],[Surgery End Date]]&gt;tbl_Case_mins[[#This Row],[Surgery Start Date]]),ROUND((#REF!-TIME(0,0,0))*1440,0)+1440,ROUND((#REF!-TIME(0,0,0))*1440,0))</f>
        <v>#REF!</v>
      </c>
      <c r="V424" s="9" t="e">
        <f>IF(AND(ROUND((#REF!-TIME(0,0,0))*1440,0)&gt;0,ROUND((#REF!-TIME(0,0,0))*1440,0)&lt;tbl_Case_mins[[#This Row],[Into Recov]],tbl_Case_mins[[#This Row],[Surgery End Date]]&gt;tbl_Case_mins[[#This Row],[Surgery Start Date]]),ROUND((#REF!-TIME(0,0,0))*1440,0)+1440,ROUND((#REF!-TIME(0,0,0))*1440,0))</f>
        <v>#REF!</v>
      </c>
      <c r="W424" s="9" t="e">
        <f>IF(AND(ROUND((#REF!-TIME(0,0,0))*1440,0)&gt;0,ROUND((#REF!-TIME(0,0,0))*1440,0)&lt;tbl_Case_mins[[#This Row],[Ward Called]],tbl_Case_mins[[#This Row],[Surgery End Date]]&gt;tbl_Case_mins[[#This Row],[Surgery Start Date]]),ROUND((#REF!-TIME(0,0,0))*1440,0)+1440,ROUND((#REF!-TIME(0,0,0))*1440,0))</f>
        <v>#REF!</v>
      </c>
      <c r="X424" s="4" t="e">
        <f>IF(ISBLANK(#REF!),tbl_Case_mins[[#This Row],[Surgery Start Date]],#REF!)</f>
        <v>#REF!</v>
      </c>
      <c r="Y424">
        <f>IFERROR(IF(VLOOKUP(tbl_Case_mins[[#This Row],[Theatre]],'Mng Theatres'!$C$7:$G$12,3,FALSE)="Yes","Yes","No"),0)</f>
        <v>0</v>
      </c>
      <c r="Z424" s="9" t="e" cm="1">
        <f t="array" ref="Z42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4" s="9" t="e" cm="1">
        <f t="array" ref="AA42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4" s="9" t="e">
        <f>IF(tbl_Case_mins[[#This Row],[Case Type]]="Unsch",1,0)</f>
        <v>#REF!</v>
      </c>
      <c r="AD424" s="9" t="e">
        <f>IF(tbl_Case_mins[[#This Row],[Case Type]]="Sch",1,0)</f>
        <v>#REF!</v>
      </c>
      <c r="AE42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4" s="9">
        <f>IFERROR(IF(ISBLANK(INDEX(Am_Close,MATCH(1,INDEX((tbl_Case_mins[[#This Row],[Theatre]]=Theatre_No)*(tbl_Case_mins[[#This Row],[Surgery Start Date]]=Date),0,1),0))*1440),0,INDEX(Am_Close,MATCH(1,INDEX((tbl_Case_mins[[#This Row],[Theatre]]=Theatre_No)*(tbl_Case_mins[[#This Row],[Surgery Start Date]]=Date),0,1),0))*1440),0)</f>
        <v>0</v>
      </c>
      <c r="AG424" s="9">
        <f>IFERROR(IF(ISBLANK(INDEX(PM_Open,MATCH(1,INDEX((tbl_Case_mins[[#This Row],[Theatre]]=Theatre_No)*(tbl_Case_mins[[#This Row],[Surgery Start Date]]=Date),0,1),0))*1440),0,INDEX(PM_Open,MATCH(1,INDEX((tbl_Case_mins[[#This Row],[Theatre]]=Theatre_No)*(tbl_Case_mins[[#This Row],[Surgery Start Date]]=Date),0,1),0))*1440),0)</f>
        <v>0</v>
      </c>
      <c r="AH42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4" s="9" t="e">
        <f>IF(tbl_Case_mins[[#This Row],[ThOpenAm]]=0,tbl_Case_mins[[#This Row],[ThOpenPM]],tbl_Case_mins[[#This Row],[ThOpenAm]])</f>
        <v>#REF!</v>
      </c>
      <c r="AJ424" s="9" t="e">
        <f>IF(tbl_Case_mins[[#This Row],[ThCloseAm]]&gt;0,IF(tbl_Case_mins[[#This Row],[ThOpenPM]]&gt;0,tbl_Case_mins[[#This Row],[ThClosePm]],tbl_Case_mins[[#This Row],[ThCloseAm]]),tbl_Case_mins[[#This Row],[ThClosePm]])</f>
        <v>#REF!</v>
      </c>
      <c r="AK424" s="9" t="e">
        <f>IF(tbl_Case_mins[[#This Row],[TOT]]&gt;0,1,0)</f>
        <v>#REF!</v>
      </c>
      <c r="AL42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4" s="9" t="e">
        <f>IF(AND(tbl_Case_mins[[#This Row],[Surgery Status]]&lt;&gt;2,tbl_Case_mins[[#This Row],[InCoreCase]]=0,tbl_Case_mins[[#This Row],[CancelledCase]]=0),1,0)</f>
        <v>#REF!</v>
      </c>
      <c r="AN424" s="9" t="e">
        <f>IF(tbl_Case_mins[[#This Row],[Surgery Status]]=1,1,0)</f>
        <v>#REF!</v>
      </c>
      <c r="AO42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4" s="9" t="e">
        <f>IF(AND(tbl_Case_mins[[#This Row],[NonCoreCase]]=1,tbl_Case_mins[[#This Row],[NoInCoreTime]]=0),1,0)</f>
        <v>#REF!</v>
      </c>
      <c r="AQ424" s="9" t="e">
        <f>IF(tbl_Case_mins[[#This Row],[Rank_AnaEnd]]&lt;tbl_Case_mins[[#This Row],[Rank_AnaSt]],1,0)</f>
        <v>#REF!</v>
      </c>
      <c r="AR424" s="9" t="e">
        <f>IF(AND(tbl_Case_mins[[#This Row],[InCoreCase]]=1,tbl_Case_mins[[#This Row],[Sch]]=1),1,0)</f>
        <v>#REF!</v>
      </c>
      <c r="AS424" s="9" t="e">
        <f>IF(AND(tbl_Case_mins[[#This Row],[InCoreCase]]=1,tbl_Case_mins[[#This Row],[Unsch]]=1),1,0)</f>
        <v>#REF!</v>
      </c>
      <c r="AT42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4" s="9" t="e">
        <f>IF(tbl_Case_mins[[#This Row],[Surgery Status]]=0,(tbl_Case_mins[[#This Row],[Anaesth End]]-tbl_Case_mins[[#This Row],[AnaesthStart]]),0)</f>
        <v>#REF!</v>
      </c>
      <c r="AX424" s="9" t="e">
        <f>IF(tbl_Case_mins[[#This Row],[Surgery Status]]=0,(tbl_Case_mins[[#This Row],[Surgery Finish]]-tbl_Case_mins[[#This Row],[Surgery Start]]),0)</f>
        <v>#REF!</v>
      </c>
      <c r="AY424" s="9" t="e">
        <f>tbl_Case_mins[[#This Row],[Surgery Start]]-tbl_Case_mins[[#This Row],[AnaesthStart]]</f>
        <v>#REF!</v>
      </c>
      <c r="AZ424" s="9" t="e">
        <f>tbl_Case_mins[[#This Row],[Anaesth End]]-tbl_Case_mins[[#This Row],[Surgery Finish]]</f>
        <v>#REF!</v>
      </c>
      <c r="BA42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4" s="16" cm="1">
        <f t="array" ref="BC42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4" s="16" t="e">
        <f>IF(AND(tbl_Case_mins[[#This Row],[FirstAMCase]]=1,tbl_Case_mins[[#This Row],[CancelledCase]]=0,OR(tbl_Case_mins[[#This Row],[EarlyStartAM]]&gt;0,tbl_Case_mins[[#This Row],[AnaesthStart]]=tbl_Case_mins[[#This Row],[ThOpenAm]])),1,0)</f>
        <v>#REF!</v>
      </c>
      <c r="BE424" s="16" t="e">
        <f>IF(AND(tbl_Case_mins[[#This Row],[Rank_AnaSt]]=tbl_Case_mins[[#This Row],[Min_RankAnaSt]],tbl_Case_mins[[#This Row],[Anaesth End]]&gt;=tbl_Case_mins[[#This Row],[ThOpenAm]],tbl_Case_mins[[#This Row],[PmCase]]=0),1,0)</f>
        <v>#REF!</v>
      </c>
      <c r="BF42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4" s="9" t="e" cm="1">
        <f t="array" ref="BH42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4" s="9" t="e">
        <f>IF(AND(tbl_Case_mins[[#This Row],[ThOpenPM]]&gt;0,tbl_Case_mins[[#This Row],[AnaesthStart]]&gt;tbl_Case_mins[[#This Row],[ThOpenPM]],tbl_Case_mins[[#This Row],[First PM Case]]=1),tbl_Case_mins[[#This Row],[AnaesthStart]]-tbl_Case_mins[[#This Row],[ThOpenPM]],0)</f>
        <v>#REF!</v>
      </c>
      <c r="BL42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4" s="9" t="e" cm="1">
        <f t="array" ref="BN42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4" s="9" t="e">
        <f>IF(AND(tbl_Case_mins[[#This Row],[ThClosePm]]&gt;0,tbl_Case_mins[[#This Row],[Anaesth End]]&gt;tbl_Case_mins[[#This Row],[ThClosePm]],tbl_Case_mins[[#This Row],[AnaesthStart]]&gt;tbl_Case_mins[[#This Row],[ThClosePm]]),tbl_Case_mins[[#This Row],[Into Recov]]-tbl_Case_mins[[#This Row],[AnaesthStart]],0)</f>
        <v>#REF!</v>
      </c>
      <c r="BP424" s="9" t="e">
        <f>IF(AND(tbl_Case_mins[[#This Row],[AnaesthStart]]&lt;tbl_Case_mins[[#This Row],[ThClosePm]],tbl_Case_mins[[#This Row],[Anaesth End]]&gt;tbl_Case_mins[[#This Row],[ThClosePm]]),tbl_Case_mins[[#This Row],[Anaesth End]]-tbl_Case_mins[[#This Row],[ThClosePm]],0)</f>
        <v>#REF!</v>
      </c>
      <c r="BQ424" s="9" t="e" cm="1">
        <f t="array" ref="BQ42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4" s="9" t="e" cm="1">
        <f t="array" ref="BR424">IF(tbl_Case_mins[[#This Row],[Rank_Adjust]]=SUMPRODUCT(-(tbl_Case_mins[Surgery Start Date]=tbl_Case_mins[[#This Row],[Surgery Start Date]]),-(tbl_Case_mins[Theatre]=tbl_Case_mins[[#This Row],[Theatre]])),INDEX(Poss_Time,MATCH(TEXT(tbl_Case_mins[[#This Row],[Surgery Start Date]],"ddd"),Day,0)),0)</f>
        <v>#REF!</v>
      </c>
      <c r="BS424" s="9" t="e">
        <f>tbl_Case_mins[[#This Row],[Core_Time]]*Util_Goal</f>
        <v>#REF!</v>
      </c>
      <c r="BT424" s="9" t="e" cm="1">
        <f t="array" ref="BT4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4" s="9" t="e" cm="1">
        <f t="array" ref="BU42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4" s="9" t="e">
        <f>IF(tbl_Case_mins[[#This Row],[Surgery End Date]]&gt;tbl_Case_mins[[#This Row],[Surgery Start Date]],tbl_Case_mins[[#This Row],[Anaesth End]]-1440,0)</f>
        <v>#REF!</v>
      </c>
      <c r="BY424" s="9" t="e">
        <f>tbl_Case_mins[[#This Row],[Total_NonCore]]-tbl_Case_mins[[#This Row],[NextDay_NonCore]]</f>
        <v>#REF!</v>
      </c>
      <c r="BZ424" s="10" t="e">
        <f>tbl_Case_mins[[#This Row],[InCoreUse]]/60</f>
        <v>#REF!</v>
      </c>
      <c r="CA424" s="10" t="e">
        <f>tbl_Case_mins[[#This Row],[Total_NonCore]]/60</f>
        <v>#REF!</v>
      </c>
      <c r="CB424" t="e" cm="1">
        <f t="array" ref="CB4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4" s="9" t="e" cm="1">
        <f t="array" ref="CC42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4" s="9" t="e" cm="1">
        <f t="array" ref="CD42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4" s="9" t="e" cm="1">
        <f t="array" ref="CE42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4" s="9" cm="1">
        <f t="array" ref="CF424">IFERROR(_xlfn.AGGREGATE(14,6,(tbl_Case_mins[Rank_AnaEnd])/((tbl_Case_mins[Surgery Start Date]=tbl_Case_mins[[#This Row],[Surgery Start Date]])*(tbl_Case_mins[Theatre]=tbl_Case_mins[[#This Row],[Theatre]])*(tbl_Case_mins[NoInCoreTime]=0)),1),-1)</f>
        <v>-1</v>
      </c>
      <c r="CG424" s="9" cm="1">
        <f t="array" ref="CG424">IFERROR(_xlfn.AGGREGATE(15,6,(tbl_Case_mins[Rank_AnaSt])/((tbl_Case_mins[Surgery Start Date]=tbl_Case_mins[[#This Row],[Surgery Start Date]])*(tbl_Case_mins[Theatre]=tbl_Case_mins[[#This Row],[Theatre]])*(tbl_Case_mins[NoInCoreTime]=0)),1),-1)</f>
        <v>-1</v>
      </c>
      <c r="CH42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4" t="e" cm="1">
        <f t="array" ref="CJ42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4" s="9" cm="1">
        <f t="array" ref="CO4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4" s="9" cm="1">
        <f t="array" ref="CP42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4" s="9" cm="1">
        <f t="array" ref="CQ424">IFERROR(IF(AND(tbl_Case_mins[[#This Row],[FirstAMCase]]=0,tbl_Case_mins[[#This Row],[Rank]]=_xlfn.AGGREGATE(14,6,(tbl_Case_mins[Rank])/((tbl_Case_mins[Surgery Start Date]=tbl_Case_mins[[#This Row],[Surgery Start Date]])*(tbl_Case_mins[Theatre]=tbl_Case_mins[[#This Row],[Theatre]])*(tbl_Case_mins[AmCase]=1)),1)),1,0),0)</f>
        <v>0</v>
      </c>
      <c r="CR424" s="9" cm="1">
        <f t="array" ref="CR42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4" s="9" t="e" cm="1">
        <f t="array" ref="CS42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4" s="9" cm="1">
        <f t="array" ref="CT424">IFERROR(IF(tbl_Case_mins[[#This Row],[Rank]]=_xlfn.AGGREGATE(15,6,(tbl_Case_mins[Rank])/((tbl_Case_mins[Surgery Start Date]=tbl_Case_mins[[#This Row],[Surgery Start Date]])*(tbl_Case_mins[Theatre]=tbl_Case_mins[[#This Row],[Theatre]])*(tbl_Case_mins[PmCase]=1)),1),1,0),0)</f>
        <v>0</v>
      </c>
      <c r="CU424">
        <f>IFERROR(#REF!,0)</f>
        <v>0</v>
      </c>
      <c r="CV424" s="9" t="e" cm="1">
        <f t="array" ref="CV42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4" s="9">
        <f>IFERROR(IF(ISBLANK(INDEX(Bay_AmClose,MATCH(1,INDEX((tbl_Case_mins[[#This Row],[Bay]]=BayNo)*(tbl_Case_mins[[#This Row],[Surgery Start Date]]=BDate),0,1),0))*1440),0,INDEX(Bay_AmClose,MATCH(1,INDEX((tbl_Case_mins[[#This Row],[Bay]]=BayNo)*(tbl_Case_mins[[#This Row],[Surgery Start Date]]=BDate),0,1),0))*1440),0)</f>
        <v>0</v>
      </c>
      <c r="CX424" s="9" cm="1">
        <f t="array" ref="CX424">IFERROR(IF(ISBLANK(INDEX(Bay_PmOpen,MATCH(1,INDEX((tbl_Case_mins[[#This Row],[Bay]]=BayNo)*(tbl_Case_mins[[#This Row],[Surgery Start Date]]=BDate),0,1),0))*1440),0,INDEX(Bay_PmOpen,MATCH(1,INDEX((tbl_Case_mins[[#This Row],[Bay]]=BayNo)*(tbl_Case_mins[[#This Row],[Surgery Start Date]]=BDate),0,1),0))*1440),0)</f>
        <v>0</v>
      </c>
      <c r="CY42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4" s="9"/>
    </row>
    <row r="425" spans="1:104" x14ac:dyDescent="0.2">
      <c r="A425">
        <v>424</v>
      </c>
      <c r="B425" t="e">
        <f>#REF!</f>
        <v>#REF!</v>
      </c>
      <c r="C425" t="e">
        <f>#REF!</f>
        <v>#REF!</v>
      </c>
      <c r="D425" t="e">
        <f>#REF!</f>
        <v>#REF!</v>
      </c>
      <c r="E425" t="e">
        <f>#REF!</f>
        <v>#REF!</v>
      </c>
      <c r="F425" t="e">
        <f>#REF!</f>
        <v>#REF!</v>
      </c>
      <c r="G425" t="e">
        <f>#REF!</f>
        <v>#REF!</v>
      </c>
      <c r="H425" t="e">
        <f>#REF!</f>
        <v>#REF!</v>
      </c>
      <c r="I425" t="e">
        <f>IF(#REF!="Case Cancelled",1,IF(#REF!="No Cases",2,0))</f>
        <v>#REF!</v>
      </c>
      <c r="J425" t="e">
        <f>#REF!</f>
        <v>#REF!</v>
      </c>
      <c r="K425" s="4" t="e">
        <f>#REF!</f>
        <v>#REF!</v>
      </c>
      <c r="L425" t="e">
        <f>"Wk "&amp;WEEKNUM(tbl_Case_mins[[#This Row],[Surgery Start Date]],21)</f>
        <v>#REF!</v>
      </c>
      <c r="M425" t="e">
        <f>TEXT(tbl_Case_mins[[#This Row],[Surgery Start Date]],"ddd")</f>
        <v>#REF!</v>
      </c>
      <c r="N425" s="9" t="e">
        <f>(#REF!-TIME(0,0,0))*1440</f>
        <v>#REF!</v>
      </c>
      <c r="O425" t="e">
        <f>IF(AND(ROUND((#REF!-TIME(0,0,0))*1440,0)&gt;0,ROUND((#REF!-TIME(0,0,0))*1440,0)&lt;tbl_Case_mins[[#This Row],[Patient Called]],tbl_Case_mins[[#This Row],[Surgery End Date]]&gt;tbl_Case_mins[[#This Row],[Surgery Start Date]]),ROUND((#REF!-TIME(0,0,0))*1440,0)+1440,ROUND((#REF!-TIME(0,0,0))*1440,0))</f>
        <v>#REF!</v>
      </c>
      <c r="P425" s="9" t="e">
        <f>IF(AND(ROUND((#REF!-TIME(0,0,0))*1440,0)&gt;0,ROUND((#REF!-TIME(0,0,0))*1440,0)&lt;tbl_Case_mins[[#This Row],[Arrival]],tbl_Case_mins[[#This Row],[Surgery End Date]]&gt;tbl_Case_mins[[#This Row],[Surgery Start Date]]),ROUND((#REF!-TIME(0,0,0))*1440,0)+1440,ROUND((#REF!-TIME(0,0,0))*1440,0))</f>
        <v>#REF!</v>
      </c>
      <c r="Q425" s="9" t="e">
        <f>IF(AND(ROUND((#REF!-TIME(0,0,0))*1440,0)&gt;0,ROUND((#REF!-TIME(0,0,0))*1440,0)&lt;tbl_Case_mins[[#This Row],[Into Th or AR]],tbl_Case_mins[[#This Row],[Surgery End Date]]&gt;tbl_Case_mins[[#This Row],[Surgery Start Date]]),ROUND((#REF!-TIME(0,0,0))*1440,0)+1440,ROUND((#REF!-TIME(0,0,0))*1440,0))</f>
        <v>#REF!</v>
      </c>
      <c r="R425" s="9" t="e">
        <f>IF(AND(ROUND((#REF!-TIME(0,0,0))*1440,0)&gt;0,ROUND((#REF!-TIME(0,0,0))*1440,0)&lt;tbl_Case_mins[[#This Row],[AnaesthStart]],tbl_Case_mins[[#This Row],[Surgery End Date]]&gt;tbl_Case_mins[[#This Row],[Surgery Start Date]]),ROUND((#REF!-TIME(0,0,0))*1440,0)+1440,ROUND((#REF!-TIME(0,0,0))*1440,0))</f>
        <v>#REF!</v>
      </c>
      <c r="S425" s="9" t="e">
        <f>IF(AND(ROUND((#REF!-TIME(0,0,0))*1440,0),ROUND((#REF!-TIME(0,0,0))*1440,0)&lt;tbl_Case_mins[[#This Row],[Surgery Start]],tbl_Case_mins[[#This Row],[Surgery End Date]]&gt;tbl_Case_mins[[#This Row],[Surgery Start Date]]),ROUND((#REF!-TIME(0,0,0))*1440,0)+1440,ROUND((#REF!-TIME(0,0,0))*1440,0))</f>
        <v>#REF!</v>
      </c>
      <c r="T425" s="9" t="e">
        <f>IF(AND(ROUND((#REF!-TIME(0,0,0))*1440,0)&gt;0,ROUND((#REF!-TIME(0,0,0))*1440,0)&lt;tbl_Case_mins[[#This Row],[Surgery Finish]],tbl_Case_mins[[#This Row],[Surgery End Date]]&gt;tbl_Case_mins[[#This Row],[Surgery Start Date]]),ROUND((#REF!-TIME(0,0,0))*1440,0)+1440,ROUND((#REF!-TIME(0,0,0))*1440,0))</f>
        <v>#REF!</v>
      </c>
      <c r="U425" s="9" t="e">
        <f>IF(AND(ROUND((#REF!-TIME(0,0,0))*1440,0)&gt;0,ROUND((#REF!-TIME(0,0,0))*1440,0)&lt;tbl_Case_mins[[#This Row],[Anaesth End]],tbl_Case_mins[[#This Row],[Surgery End Date]]&gt;tbl_Case_mins[[#This Row],[Surgery Start Date]]),ROUND((#REF!-TIME(0,0,0))*1440,0)+1440,ROUND((#REF!-TIME(0,0,0))*1440,0))</f>
        <v>#REF!</v>
      </c>
      <c r="V425" s="9" t="e">
        <f>IF(AND(ROUND((#REF!-TIME(0,0,0))*1440,0)&gt;0,ROUND((#REF!-TIME(0,0,0))*1440,0)&lt;tbl_Case_mins[[#This Row],[Into Recov]],tbl_Case_mins[[#This Row],[Surgery End Date]]&gt;tbl_Case_mins[[#This Row],[Surgery Start Date]]),ROUND((#REF!-TIME(0,0,0))*1440,0)+1440,ROUND((#REF!-TIME(0,0,0))*1440,0))</f>
        <v>#REF!</v>
      </c>
      <c r="W425" s="9" t="e">
        <f>IF(AND(ROUND((#REF!-TIME(0,0,0))*1440,0)&gt;0,ROUND((#REF!-TIME(0,0,0))*1440,0)&lt;tbl_Case_mins[[#This Row],[Ward Called]],tbl_Case_mins[[#This Row],[Surgery End Date]]&gt;tbl_Case_mins[[#This Row],[Surgery Start Date]]),ROUND((#REF!-TIME(0,0,0))*1440,0)+1440,ROUND((#REF!-TIME(0,0,0))*1440,0))</f>
        <v>#REF!</v>
      </c>
      <c r="X425" s="4" t="e">
        <f>IF(ISBLANK(#REF!),tbl_Case_mins[[#This Row],[Surgery Start Date]],#REF!)</f>
        <v>#REF!</v>
      </c>
      <c r="Y425">
        <f>IFERROR(IF(VLOOKUP(tbl_Case_mins[[#This Row],[Theatre]],'Mng Theatres'!$C$7:$G$12,3,FALSE)="Yes","Yes","No"),0)</f>
        <v>0</v>
      </c>
      <c r="Z425" s="9" t="e" cm="1">
        <f t="array" ref="Z42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5" s="9" t="e" cm="1">
        <f t="array" ref="AA42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5" s="9" t="e">
        <f>IF(tbl_Case_mins[[#This Row],[Case Type]]="Unsch",1,0)</f>
        <v>#REF!</v>
      </c>
      <c r="AD425" s="9" t="e">
        <f>IF(tbl_Case_mins[[#This Row],[Case Type]]="Sch",1,0)</f>
        <v>#REF!</v>
      </c>
      <c r="AE42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5" s="9">
        <f>IFERROR(IF(ISBLANK(INDEX(Am_Close,MATCH(1,INDEX((tbl_Case_mins[[#This Row],[Theatre]]=Theatre_No)*(tbl_Case_mins[[#This Row],[Surgery Start Date]]=Date),0,1),0))*1440),0,INDEX(Am_Close,MATCH(1,INDEX((tbl_Case_mins[[#This Row],[Theatre]]=Theatre_No)*(tbl_Case_mins[[#This Row],[Surgery Start Date]]=Date),0,1),0))*1440),0)</f>
        <v>0</v>
      </c>
      <c r="AG425" s="9">
        <f>IFERROR(IF(ISBLANK(INDEX(PM_Open,MATCH(1,INDEX((tbl_Case_mins[[#This Row],[Theatre]]=Theatre_No)*(tbl_Case_mins[[#This Row],[Surgery Start Date]]=Date),0,1),0))*1440),0,INDEX(PM_Open,MATCH(1,INDEX((tbl_Case_mins[[#This Row],[Theatre]]=Theatre_No)*(tbl_Case_mins[[#This Row],[Surgery Start Date]]=Date),0,1),0))*1440),0)</f>
        <v>0</v>
      </c>
      <c r="AH42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5" s="9" t="e">
        <f>IF(tbl_Case_mins[[#This Row],[ThOpenAm]]=0,tbl_Case_mins[[#This Row],[ThOpenPM]],tbl_Case_mins[[#This Row],[ThOpenAm]])</f>
        <v>#REF!</v>
      </c>
      <c r="AJ425" s="9" t="e">
        <f>IF(tbl_Case_mins[[#This Row],[ThCloseAm]]&gt;0,IF(tbl_Case_mins[[#This Row],[ThOpenPM]]&gt;0,tbl_Case_mins[[#This Row],[ThClosePm]],tbl_Case_mins[[#This Row],[ThCloseAm]]),tbl_Case_mins[[#This Row],[ThClosePm]])</f>
        <v>#REF!</v>
      </c>
      <c r="AK425" s="9" t="e">
        <f>IF(tbl_Case_mins[[#This Row],[TOT]]&gt;0,1,0)</f>
        <v>#REF!</v>
      </c>
      <c r="AL42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5" s="9" t="e">
        <f>IF(AND(tbl_Case_mins[[#This Row],[Surgery Status]]&lt;&gt;2,tbl_Case_mins[[#This Row],[InCoreCase]]=0,tbl_Case_mins[[#This Row],[CancelledCase]]=0),1,0)</f>
        <v>#REF!</v>
      </c>
      <c r="AN425" s="9" t="e">
        <f>IF(tbl_Case_mins[[#This Row],[Surgery Status]]=1,1,0)</f>
        <v>#REF!</v>
      </c>
      <c r="AO42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5" s="9" t="e">
        <f>IF(AND(tbl_Case_mins[[#This Row],[NonCoreCase]]=1,tbl_Case_mins[[#This Row],[NoInCoreTime]]=0),1,0)</f>
        <v>#REF!</v>
      </c>
      <c r="AQ425" s="9" t="e">
        <f>IF(tbl_Case_mins[[#This Row],[Rank_AnaEnd]]&lt;tbl_Case_mins[[#This Row],[Rank_AnaSt]],1,0)</f>
        <v>#REF!</v>
      </c>
      <c r="AR425" s="9" t="e">
        <f>IF(AND(tbl_Case_mins[[#This Row],[InCoreCase]]=1,tbl_Case_mins[[#This Row],[Sch]]=1),1,0)</f>
        <v>#REF!</v>
      </c>
      <c r="AS425" s="9" t="e">
        <f>IF(AND(tbl_Case_mins[[#This Row],[InCoreCase]]=1,tbl_Case_mins[[#This Row],[Unsch]]=1),1,0)</f>
        <v>#REF!</v>
      </c>
      <c r="AT42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5" s="9" t="e">
        <f>IF(tbl_Case_mins[[#This Row],[Surgery Status]]=0,(tbl_Case_mins[[#This Row],[Anaesth End]]-tbl_Case_mins[[#This Row],[AnaesthStart]]),0)</f>
        <v>#REF!</v>
      </c>
      <c r="AX425" s="9" t="e">
        <f>IF(tbl_Case_mins[[#This Row],[Surgery Status]]=0,(tbl_Case_mins[[#This Row],[Surgery Finish]]-tbl_Case_mins[[#This Row],[Surgery Start]]),0)</f>
        <v>#REF!</v>
      </c>
      <c r="AY425" s="9" t="e">
        <f>tbl_Case_mins[[#This Row],[Surgery Start]]-tbl_Case_mins[[#This Row],[AnaesthStart]]</f>
        <v>#REF!</v>
      </c>
      <c r="AZ425" s="9" t="e">
        <f>tbl_Case_mins[[#This Row],[Anaesth End]]-tbl_Case_mins[[#This Row],[Surgery Finish]]</f>
        <v>#REF!</v>
      </c>
      <c r="BA42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5" s="16" cm="1">
        <f t="array" ref="BC42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5" s="16" t="e">
        <f>IF(AND(tbl_Case_mins[[#This Row],[FirstAMCase]]=1,tbl_Case_mins[[#This Row],[CancelledCase]]=0,OR(tbl_Case_mins[[#This Row],[EarlyStartAM]]&gt;0,tbl_Case_mins[[#This Row],[AnaesthStart]]=tbl_Case_mins[[#This Row],[ThOpenAm]])),1,0)</f>
        <v>#REF!</v>
      </c>
      <c r="BE425" s="16" t="e">
        <f>IF(AND(tbl_Case_mins[[#This Row],[Rank_AnaSt]]=tbl_Case_mins[[#This Row],[Min_RankAnaSt]],tbl_Case_mins[[#This Row],[Anaesth End]]&gt;=tbl_Case_mins[[#This Row],[ThOpenAm]],tbl_Case_mins[[#This Row],[PmCase]]=0),1,0)</f>
        <v>#REF!</v>
      </c>
      <c r="BF42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5" s="9" t="e" cm="1">
        <f t="array" ref="BH42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5" s="9" t="e">
        <f>IF(AND(tbl_Case_mins[[#This Row],[ThOpenPM]]&gt;0,tbl_Case_mins[[#This Row],[AnaesthStart]]&gt;tbl_Case_mins[[#This Row],[ThOpenPM]],tbl_Case_mins[[#This Row],[First PM Case]]=1),tbl_Case_mins[[#This Row],[AnaesthStart]]-tbl_Case_mins[[#This Row],[ThOpenPM]],0)</f>
        <v>#REF!</v>
      </c>
      <c r="BL42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5" s="9" t="e" cm="1">
        <f t="array" ref="BN42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5" s="9" t="e">
        <f>IF(AND(tbl_Case_mins[[#This Row],[ThClosePm]]&gt;0,tbl_Case_mins[[#This Row],[Anaesth End]]&gt;tbl_Case_mins[[#This Row],[ThClosePm]],tbl_Case_mins[[#This Row],[AnaesthStart]]&gt;tbl_Case_mins[[#This Row],[ThClosePm]]),tbl_Case_mins[[#This Row],[Into Recov]]-tbl_Case_mins[[#This Row],[AnaesthStart]],0)</f>
        <v>#REF!</v>
      </c>
      <c r="BP425" s="9" t="e">
        <f>IF(AND(tbl_Case_mins[[#This Row],[AnaesthStart]]&lt;tbl_Case_mins[[#This Row],[ThClosePm]],tbl_Case_mins[[#This Row],[Anaesth End]]&gt;tbl_Case_mins[[#This Row],[ThClosePm]]),tbl_Case_mins[[#This Row],[Anaesth End]]-tbl_Case_mins[[#This Row],[ThClosePm]],0)</f>
        <v>#REF!</v>
      </c>
      <c r="BQ425" s="9" t="e" cm="1">
        <f t="array" ref="BQ42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5" s="9" t="e" cm="1">
        <f t="array" ref="BR425">IF(tbl_Case_mins[[#This Row],[Rank_Adjust]]=SUMPRODUCT(-(tbl_Case_mins[Surgery Start Date]=tbl_Case_mins[[#This Row],[Surgery Start Date]]),-(tbl_Case_mins[Theatre]=tbl_Case_mins[[#This Row],[Theatre]])),INDEX(Poss_Time,MATCH(TEXT(tbl_Case_mins[[#This Row],[Surgery Start Date]],"ddd"),Day,0)),0)</f>
        <v>#REF!</v>
      </c>
      <c r="BS425" s="9" t="e">
        <f>tbl_Case_mins[[#This Row],[Core_Time]]*Util_Goal</f>
        <v>#REF!</v>
      </c>
      <c r="BT425" s="9" t="e" cm="1">
        <f t="array" ref="BT4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5" s="9" t="e" cm="1">
        <f t="array" ref="BU42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5" s="9" t="e">
        <f>IF(tbl_Case_mins[[#This Row],[Surgery End Date]]&gt;tbl_Case_mins[[#This Row],[Surgery Start Date]],tbl_Case_mins[[#This Row],[Anaesth End]]-1440,0)</f>
        <v>#REF!</v>
      </c>
      <c r="BY425" s="9" t="e">
        <f>tbl_Case_mins[[#This Row],[Total_NonCore]]-tbl_Case_mins[[#This Row],[NextDay_NonCore]]</f>
        <v>#REF!</v>
      </c>
      <c r="BZ425" s="10" t="e">
        <f>tbl_Case_mins[[#This Row],[InCoreUse]]/60</f>
        <v>#REF!</v>
      </c>
      <c r="CA425" s="10" t="e">
        <f>tbl_Case_mins[[#This Row],[Total_NonCore]]/60</f>
        <v>#REF!</v>
      </c>
      <c r="CB425" t="e" cm="1">
        <f t="array" ref="CB4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5" s="9" t="e" cm="1">
        <f t="array" ref="CC42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5" s="9" t="e" cm="1">
        <f t="array" ref="CD42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5" s="9" t="e" cm="1">
        <f t="array" ref="CE42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5" s="9" cm="1">
        <f t="array" ref="CF425">IFERROR(_xlfn.AGGREGATE(14,6,(tbl_Case_mins[Rank_AnaEnd])/((tbl_Case_mins[Surgery Start Date]=tbl_Case_mins[[#This Row],[Surgery Start Date]])*(tbl_Case_mins[Theatre]=tbl_Case_mins[[#This Row],[Theatre]])*(tbl_Case_mins[NoInCoreTime]=0)),1),-1)</f>
        <v>-1</v>
      </c>
      <c r="CG425" s="9" cm="1">
        <f t="array" ref="CG425">IFERROR(_xlfn.AGGREGATE(15,6,(tbl_Case_mins[Rank_AnaSt])/((tbl_Case_mins[Surgery Start Date]=tbl_Case_mins[[#This Row],[Surgery Start Date]])*(tbl_Case_mins[Theatre]=tbl_Case_mins[[#This Row],[Theatre]])*(tbl_Case_mins[NoInCoreTime]=0)),1),-1)</f>
        <v>-1</v>
      </c>
      <c r="CH42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5" t="e" cm="1">
        <f t="array" ref="CJ42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5" s="9" cm="1">
        <f t="array" ref="CO4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5" s="9" cm="1">
        <f t="array" ref="CP42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5" s="9" cm="1">
        <f t="array" ref="CQ425">IFERROR(IF(AND(tbl_Case_mins[[#This Row],[FirstAMCase]]=0,tbl_Case_mins[[#This Row],[Rank]]=_xlfn.AGGREGATE(14,6,(tbl_Case_mins[Rank])/((tbl_Case_mins[Surgery Start Date]=tbl_Case_mins[[#This Row],[Surgery Start Date]])*(tbl_Case_mins[Theatre]=tbl_Case_mins[[#This Row],[Theatre]])*(tbl_Case_mins[AmCase]=1)),1)),1,0),0)</f>
        <v>0</v>
      </c>
      <c r="CR425" s="9" cm="1">
        <f t="array" ref="CR42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5" s="9" t="e" cm="1">
        <f t="array" ref="CS42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5" s="9" cm="1">
        <f t="array" ref="CT425">IFERROR(IF(tbl_Case_mins[[#This Row],[Rank]]=_xlfn.AGGREGATE(15,6,(tbl_Case_mins[Rank])/((tbl_Case_mins[Surgery Start Date]=tbl_Case_mins[[#This Row],[Surgery Start Date]])*(tbl_Case_mins[Theatre]=tbl_Case_mins[[#This Row],[Theatre]])*(tbl_Case_mins[PmCase]=1)),1),1,0),0)</f>
        <v>0</v>
      </c>
      <c r="CU425">
        <f>IFERROR(#REF!,0)</f>
        <v>0</v>
      </c>
      <c r="CV425" s="9" t="e" cm="1">
        <f t="array" ref="CV42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5" s="9">
        <f>IFERROR(IF(ISBLANK(INDEX(Bay_AmClose,MATCH(1,INDEX((tbl_Case_mins[[#This Row],[Bay]]=BayNo)*(tbl_Case_mins[[#This Row],[Surgery Start Date]]=BDate),0,1),0))*1440),0,INDEX(Bay_AmClose,MATCH(1,INDEX((tbl_Case_mins[[#This Row],[Bay]]=BayNo)*(tbl_Case_mins[[#This Row],[Surgery Start Date]]=BDate),0,1),0))*1440),0)</f>
        <v>0</v>
      </c>
      <c r="CX425" s="9" cm="1">
        <f t="array" ref="CX425">IFERROR(IF(ISBLANK(INDEX(Bay_PmOpen,MATCH(1,INDEX((tbl_Case_mins[[#This Row],[Bay]]=BayNo)*(tbl_Case_mins[[#This Row],[Surgery Start Date]]=BDate),0,1),0))*1440),0,INDEX(Bay_PmOpen,MATCH(1,INDEX((tbl_Case_mins[[#This Row],[Bay]]=BayNo)*(tbl_Case_mins[[#This Row],[Surgery Start Date]]=BDate),0,1),0))*1440),0)</f>
        <v>0</v>
      </c>
      <c r="CY42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5" s="9"/>
    </row>
    <row r="426" spans="1:104" x14ac:dyDescent="0.2">
      <c r="A426">
        <v>425</v>
      </c>
      <c r="B426" t="e">
        <f>#REF!</f>
        <v>#REF!</v>
      </c>
      <c r="C426" t="e">
        <f>#REF!</f>
        <v>#REF!</v>
      </c>
      <c r="D426" t="e">
        <f>#REF!</f>
        <v>#REF!</v>
      </c>
      <c r="E426" t="e">
        <f>#REF!</f>
        <v>#REF!</v>
      </c>
      <c r="F426" t="e">
        <f>#REF!</f>
        <v>#REF!</v>
      </c>
      <c r="G426" t="e">
        <f>#REF!</f>
        <v>#REF!</v>
      </c>
      <c r="H426" t="e">
        <f>#REF!</f>
        <v>#REF!</v>
      </c>
      <c r="I426" t="e">
        <f>IF(#REF!="Case Cancelled",1,IF(#REF!="No Cases",2,0))</f>
        <v>#REF!</v>
      </c>
      <c r="J426" t="e">
        <f>#REF!</f>
        <v>#REF!</v>
      </c>
      <c r="K426" s="4" t="e">
        <f>#REF!</f>
        <v>#REF!</v>
      </c>
      <c r="L426" t="e">
        <f>"Wk "&amp;WEEKNUM(tbl_Case_mins[[#This Row],[Surgery Start Date]],21)</f>
        <v>#REF!</v>
      </c>
      <c r="M426" t="e">
        <f>TEXT(tbl_Case_mins[[#This Row],[Surgery Start Date]],"ddd")</f>
        <v>#REF!</v>
      </c>
      <c r="N426" s="9" t="e">
        <f>(#REF!-TIME(0,0,0))*1440</f>
        <v>#REF!</v>
      </c>
      <c r="O426" t="e">
        <f>IF(AND(ROUND((#REF!-TIME(0,0,0))*1440,0)&gt;0,ROUND((#REF!-TIME(0,0,0))*1440,0)&lt;tbl_Case_mins[[#This Row],[Patient Called]],tbl_Case_mins[[#This Row],[Surgery End Date]]&gt;tbl_Case_mins[[#This Row],[Surgery Start Date]]),ROUND((#REF!-TIME(0,0,0))*1440,0)+1440,ROUND((#REF!-TIME(0,0,0))*1440,0))</f>
        <v>#REF!</v>
      </c>
      <c r="P426" s="9" t="e">
        <f>IF(AND(ROUND((#REF!-TIME(0,0,0))*1440,0)&gt;0,ROUND((#REF!-TIME(0,0,0))*1440,0)&lt;tbl_Case_mins[[#This Row],[Arrival]],tbl_Case_mins[[#This Row],[Surgery End Date]]&gt;tbl_Case_mins[[#This Row],[Surgery Start Date]]),ROUND((#REF!-TIME(0,0,0))*1440,0)+1440,ROUND((#REF!-TIME(0,0,0))*1440,0))</f>
        <v>#REF!</v>
      </c>
      <c r="Q426" s="9" t="e">
        <f>IF(AND(ROUND((#REF!-TIME(0,0,0))*1440,0)&gt;0,ROUND((#REF!-TIME(0,0,0))*1440,0)&lt;tbl_Case_mins[[#This Row],[Into Th or AR]],tbl_Case_mins[[#This Row],[Surgery End Date]]&gt;tbl_Case_mins[[#This Row],[Surgery Start Date]]),ROUND((#REF!-TIME(0,0,0))*1440,0)+1440,ROUND((#REF!-TIME(0,0,0))*1440,0))</f>
        <v>#REF!</v>
      </c>
      <c r="R426" s="9" t="e">
        <f>IF(AND(ROUND((#REF!-TIME(0,0,0))*1440,0)&gt;0,ROUND((#REF!-TIME(0,0,0))*1440,0)&lt;tbl_Case_mins[[#This Row],[AnaesthStart]],tbl_Case_mins[[#This Row],[Surgery End Date]]&gt;tbl_Case_mins[[#This Row],[Surgery Start Date]]),ROUND((#REF!-TIME(0,0,0))*1440,0)+1440,ROUND((#REF!-TIME(0,0,0))*1440,0))</f>
        <v>#REF!</v>
      </c>
      <c r="S426" s="9" t="e">
        <f>IF(AND(ROUND((#REF!-TIME(0,0,0))*1440,0),ROUND((#REF!-TIME(0,0,0))*1440,0)&lt;tbl_Case_mins[[#This Row],[Surgery Start]],tbl_Case_mins[[#This Row],[Surgery End Date]]&gt;tbl_Case_mins[[#This Row],[Surgery Start Date]]),ROUND((#REF!-TIME(0,0,0))*1440,0)+1440,ROUND((#REF!-TIME(0,0,0))*1440,0))</f>
        <v>#REF!</v>
      </c>
      <c r="T426" s="9" t="e">
        <f>IF(AND(ROUND((#REF!-TIME(0,0,0))*1440,0)&gt;0,ROUND((#REF!-TIME(0,0,0))*1440,0)&lt;tbl_Case_mins[[#This Row],[Surgery Finish]],tbl_Case_mins[[#This Row],[Surgery End Date]]&gt;tbl_Case_mins[[#This Row],[Surgery Start Date]]),ROUND((#REF!-TIME(0,0,0))*1440,0)+1440,ROUND((#REF!-TIME(0,0,0))*1440,0))</f>
        <v>#REF!</v>
      </c>
      <c r="U426" s="9" t="e">
        <f>IF(AND(ROUND((#REF!-TIME(0,0,0))*1440,0)&gt;0,ROUND((#REF!-TIME(0,0,0))*1440,0)&lt;tbl_Case_mins[[#This Row],[Anaesth End]],tbl_Case_mins[[#This Row],[Surgery End Date]]&gt;tbl_Case_mins[[#This Row],[Surgery Start Date]]),ROUND((#REF!-TIME(0,0,0))*1440,0)+1440,ROUND((#REF!-TIME(0,0,0))*1440,0))</f>
        <v>#REF!</v>
      </c>
      <c r="V426" s="9" t="e">
        <f>IF(AND(ROUND((#REF!-TIME(0,0,0))*1440,0)&gt;0,ROUND((#REF!-TIME(0,0,0))*1440,0)&lt;tbl_Case_mins[[#This Row],[Into Recov]],tbl_Case_mins[[#This Row],[Surgery End Date]]&gt;tbl_Case_mins[[#This Row],[Surgery Start Date]]),ROUND((#REF!-TIME(0,0,0))*1440,0)+1440,ROUND((#REF!-TIME(0,0,0))*1440,0))</f>
        <v>#REF!</v>
      </c>
      <c r="W426" s="9" t="e">
        <f>IF(AND(ROUND((#REF!-TIME(0,0,0))*1440,0)&gt;0,ROUND((#REF!-TIME(0,0,0))*1440,0)&lt;tbl_Case_mins[[#This Row],[Ward Called]],tbl_Case_mins[[#This Row],[Surgery End Date]]&gt;tbl_Case_mins[[#This Row],[Surgery Start Date]]),ROUND((#REF!-TIME(0,0,0))*1440,0)+1440,ROUND((#REF!-TIME(0,0,0))*1440,0))</f>
        <v>#REF!</v>
      </c>
      <c r="X426" s="4" t="e">
        <f>IF(ISBLANK(#REF!),tbl_Case_mins[[#This Row],[Surgery Start Date]],#REF!)</f>
        <v>#REF!</v>
      </c>
      <c r="Y426">
        <f>IFERROR(IF(VLOOKUP(tbl_Case_mins[[#This Row],[Theatre]],'Mng Theatres'!$C$7:$G$12,3,FALSE)="Yes","Yes","No"),0)</f>
        <v>0</v>
      </c>
      <c r="Z426" s="9" t="e" cm="1">
        <f t="array" ref="Z42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6" s="9" t="e" cm="1">
        <f t="array" ref="AA42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6" s="9" t="e">
        <f>IF(tbl_Case_mins[[#This Row],[Case Type]]="Unsch",1,0)</f>
        <v>#REF!</v>
      </c>
      <c r="AD426" s="9" t="e">
        <f>IF(tbl_Case_mins[[#This Row],[Case Type]]="Sch",1,0)</f>
        <v>#REF!</v>
      </c>
      <c r="AE42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6" s="9">
        <f>IFERROR(IF(ISBLANK(INDEX(Am_Close,MATCH(1,INDEX((tbl_Case_mins[[#This Row],[Theatre]]=Theatre_No)*(tbl_Case_mins[[#This Row],[Surgery Start Date]]=Date),0,1),0))*1440),0,INDEX(Am_Close,MATCH(1,INDEX((tbl_Case_mins[[#This Row],[Theatre]]=Theatre_No)*(tbl_Case_mins[[#This Row],[Surgery Start Date]]=Date),0,1),0))*1440),0)</f>
        <v>0</v>
      </c>
      <c r="AG426" s="9">
        <f>IFERROR(IF(ISBLANK(INDEX(PM_Open,MATCH(1,INDEX((tbl_Case_mins[[#This Row],[Theatre]]=Theatre_No)*(tbl_Case_mins[[#This Row],[Surgery Start Date]]=Date),0,1),0))*1440),0,INDEX(PM_Open,MATCH(1,INDEX((tbl_Case_mins[[#This Row],[Theatre]]=Theatre_No)*(tbl_Case_mins[[#This Row],[Surgery Start Date]]=Date),0,1),0))*1440),0)</f>
        <v>0</v>
      </c>
      <c r="AH42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6" s="9" t="e">
        <f>IF(tbl_Case_mins[[#This Row],[ThOpenAm]]=0,tbl_Case_mins[[#This Row],[ThOpenPM]],tbl_Case_mins[[#This Row],[ThOpenAm]])</f>
        <v>#REF!</v>
      </c>
      <c r="AJ426" s="9" t="e">
        <f>IF(tbl_Case_mins[[#This Row],[ThCloseAm]]&gt;0,IF(tbl_Case_mins[[#This Row],[ThOpenPM]]&gt;0,tbl_Case_mins[[#This Row],[ThClosePm]],tbl_Case_mins[[#This Row],[ThCloseAm]]),tbl_Case_mins[[#This Row],[ThClosePm]])</f>
        <v>#REF!</v>
      </c>
      <c r="AK426" s="9" t="e">
        <f>IF(tbl_Case_mins[[#This Row],[TOT]]&gt;0,1,0)</f>
        <v>#REF!</v>
      </c>
      <c r="AL42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6" s="9" t="e">
        <f>IF(AND(tbl_Case_mins[[#This Row],[Surgery Status]]&lt;&gt;2,tbl_Case_mins[[#This Row],[InCoreCase]]=0,tbl_Case_mins[[#This Row],[CancelledCase]]=0),1,0)</f>
        <v>#REF!</v>
      </c>
      <c r="AN426" s="9" t="e">
        <f>IF(tbl_Case_mins[[#This Row],[Surgery Status]]=1,1,0)</f>
        <v>#REF!</v>
      </c>
      <c r="AO42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6" s="9" t="e">
        <f>IF(AND(tbl_Case_mins[[#This Row],[NonCoreCase]]=1,tbl_Case_mins[[#This Row],[NoInCoreTime]]=0),1,0)</f>
        <v>#REF!</v>
      </c>
      <c r="AQ426" s="9" t="e">
        <f>IF(tbl_Case_mins[[#This Row],[Rank_AnaEnd]]&lt;tbl_Case_mins[[#This Row],[Rank_AnaSt]],1,0)</f>
        <v>#REF!</v>
      </c>
      <c r="AR426" s="9" t="e">
        <f>IF(AND(tbl_Case_mins[[#This Row],[InCoreCase]]=1,tbl_Case_mins[[#This Row],[Sch]]=1),1,0)</f>
        <v>#REF!</v>
      </c>
      <c r="AS426" s="9" t="e">
        <f>IF(AND(tbl_Case_mins[[#This Row],[InCoreCase]]=1,tbl_Case_mins[[#This Row],[Unsch]]=1),1,0)</f>
        <v>#REF!</v>
      </c>
      <c r="AT42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6" s="9" t="e">
        <f>IF(tbl_Case_mins[[#This Row],[Surgery Status]]=0,(tbl_Case_mins[[#This Row],[Anaesth End]]-tbl_Case_mins[[#This Row],[AnaesthStart]]),0)</f>
        <v>#REF!</v>
      </c>
      <c r="AX426" s="9" t="e">
        <f>IF(tbl_Case_mins[[#This Row],[Surgery Status]]=0,(tbl_Case_mins[[#This Row],[Surgery Finish]]-tbl_Case_mins[[#This Row],[Surgery Start]]),0)</f>
        <v>#REF!</v>
      </c>
      <c r="AY426" s="9" t="e">
        <f>tbl_Case_mins[[#This Row],[Surgery Start]]-tbl_Case_mins[[#This Row],[AnaesthStart]]</f>
        <v>#REF!</v>
      </c>
      <c r="AZ426" s="9" t="e">
        <f>tbl_Case_mins[[#This Row],[Anaesth End]]-tbl_Case_mins[[#This Row],[Surgery Finish]]</f>
        <v>#REF!</v>
      </c>
      <c r="BA42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6" s="16" cm="1">
        <f t="array" ref="BC42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6" s="16" t="e">
        <f>IF(AND(tbl_Case_mins[[#This Row],[FirstAMCase]]=1,tbl_Case_mins[[#This Row],[CancelledCase]]=0,OR(tbl_Case_mins[[#This Row],[EarlyStartAM]]&gt;0,tbl_Case_mins[[#This Row],[AnaesthStart]]=tbl_Case_mins[[#This Row],[ThOpenAm]])),1,0)</f>
        <v>#REF!</v>
      </c>
      <c r="BE426" s="16" t="e">
        <f>IF(AND(tbl_Case_mins[[#This Row],[Rank_AnaSt]]=tbl_Case_mins[[#This Row],[Min_RankAnaSt]],tbl_Case_mins[[#This Row],[Anaesth End]]&gt;=tbl_Case_mins[[#This Row],[ThOpenAm]],tbl_Case_mins[[#This Row],[PmCase]]=0),1,0)</f>
        <v>#REF!</v>
      </c>
      <c r="BF42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6" s="9" t="e" cm="1">
        <f t="array" ref="BH42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6" s="9" t="e">
        <f>IF(AND(tbl_Case_mins[[#This Row],[ThOpenPM]]&gt;0,tbl_Case_mins[[#This Row],[AnaesthStart]]&gt;tbl_Case_mins[[#This Row],[ThOpenPM]],tbl_Case_mins[[#This Row],[First PM Case]]=1),tbl_Case_mins[[#This Row],[AnaesthStart]]-tbl_Case_mins[[#This Row],[ThOpenPM]],0)</f>
        <v>#REF!</v>
      </c>
      <c r="BL42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6" s="9" t="e" cm="1">
        <f t="array" ref="BN42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6" s="9" t="e">
        <f>IF(AND(tbl_Case_mins[[#This Row],[ThClosePm]]&gt;0,tbl_Case_mins[[#This Row],[Anaesth End]]&gt;tbl_Case_mins[[#This Row],[ThClosePm]],tbl_Case_mins[[#This Row],[AnaesthStart]]&gt;tbl_Case_mins[[#This Row],[ThClosePm]]),tbl_Case_mins[[#This Row],[Into Recov]]-tbl_Case_mins[[#This Row],[AnaesthStart]],0)</f>
        <v>#REF!</v>
      </c>
      <c r="BP426" s="9" t="e">
        <f>IF(AND(tbl_Case_mins[[#This Row],[AnaesthStart]]&lt;tbl_Case_mins[[#This Row],[ThClosePm]],tbl_Case_mins[[#This Row],[Anaesth End]]&gt;tbl_Case_mins[[#This Row],[ThClosePm]]),tbl_Case_mins[[#This Row],[Anaesth End]]-tbl_Case_mins[[#This Row],[ThClosePm]],0)</f>
        <v>#REF!</v>
      </c>
      <c r="BQ426" s="9" t="e" cm="1">
        <f t="array" ref="BQ42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6" s="9" t="e" cm="1">
        <f t="array" ref="BR426">IF(tbl_Case_mins[[#This Row],[Rank_Adjust]]=SUMPRODUCT(-(tbl_Case_mins[Surgery Start Date]=tbl_Case_mins[[#This Row],[Surgery Start Date]]),-(tbl_Case_mins[Theatre]=tbl_Case_mins[[#This Row],[Theatre]])),INDEX(Poss_Time,MATCH(TEXT(tbl_Case_mins[[#This Row],[Surgery Start Date]],"ddd"),Day,0)),0)</f>
        <v>#REF!</v>
      </c>
      <c r="BS426" s="9" t="e">
        <f>tbl_Case_mins[[#This Row],[Core_Time]]*Util_Goal</f>
        <v>#REF!</v>
      </c>
      <c r="BT426" s="9" t="e" cm="1">
        <f t="array" ref="BT4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6" s="9" t="e" cm="1">
        <f t="array" ref="BU42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6" s="9" t="e">
        <f>IF(tbl_Case_mins[[#This Row],[Surgery End Date]]&gt;tbl_Case_mins[[#This Row],[Surgery Start Date]],tbl_Case_mins[[#This Row],[Anaesth End]]-1440,0)</f>
        <v>#REF!</v>
      </c>
      <c r="BY426" s="9" t="e">
        <f>tbl_Case_mins[[#This Row],[Total_NonCore]]-tbl_Case_mins[[#This Row],[NextDay_NonCore]]</f>
        <v>#REF!</v>
      </c>
      <c r="BZ426" s="10" t="e">
        <f>tbl_Case_mins[[#This Row],[InCoreUse]]/60</f>
        <v>#REF!</v>
      </c>
      <c r="CA426" s="10" t="e">
        <f>tbl_Case_mins[[#This Row],[Total_NonCore]]/60</f>
        <v>#REF!</v>
      </c>
      <c r="CB426" t="e" cm="1">
        <f t="array" ref="CB4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6" s="9" t="e" cm="1">
        <f t="array" ref="CC42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6" s="9" t="e" cm="1">
        <f t="array" ref="CD42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6" s="9" t="e" cm="1">
        <f t="array" ref="CE42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6" s="9" cm="1">
        <f t="array" ref="CF426">IFERROR(_xlfn.AGGREGATE(14,6,(tbl_Case_mins[Rank_AnaEnd])/((tbl_Case_mins[Surgery Start Date]=tbl_Case_mins[[#This Row],[Surgery Start Date]])*(tbl_Case_mins[Theatre]=tbl_Case_mins[[#This Row],[Theatre]])*(tbl_Case_mins[NoInCoreTime]=0)),1),-1)</f>
        <v>-1</v>
      </c>
      <c r="CG426" s="9" cm="1">
        <f t="array" ref="CG426">IFERROR(_xlfn.AGGREGATE(15,6,(tbl_Case_mins[Rank_AnaSt])/((tbl_Case_mins[Surgery Start Date]=tbl_Case_mins[[#This Row],[Surgery Start Date]])*(tbl_Case_mins[Theatre]=tbl_Case_mins[[#This Row],[Theatre]])*(tbl_Case_mins[NoInCoreTime]=0)),1),-1)</f>
        <v>-1</v>
      </c>
      <c r="CH42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6" t="e" cm="1">
        <f t="array" ref="CJ42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6" s="9" cm="1">
        <f t="array" ref="CO4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6" s="9" cm="1">
        <f t="array" ref="CP42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6" s="9" cm="1">
        <f t="array" ref="CQ426">IFERROR(IF(AND(tbl_Case_mins[[#This Row],[FirstAMCase]]=0,tbl_Case_mins[[#This Row],[Rank]]=_xlfn.AGGREGATE(14,6,(tbl_Case_mins[Rank])/((tbl_Case_mins[Surgery Start Date]=tbl_Case_mins[[#This Row],[Surgery Start Date]])*(tbl_Case_mins[Theatre]=tbl_Case_mins[[#This Row],[Theatre]])*(tbl_Case_mins[AmCase]=1)),1)),1,0),0)</f>
        <v>0</v>
      </c>
      <c r="CR426" s="9" cm="1">
        <f t="array" ref="CR42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6" s="9" t="e" cm="1">
        <f t="array" ref="CS42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6" s="9" cm="1">
        <f t="array" ref="CT426">IFERROR(IF(tbl_Case_mins[[#This Row],[Rank]]=_xlfn.AGGREGATE(15,6,(tbl_Case_mins[Rank])/((tbl_Case_mins[Surgery Start Date]=tbl_Case_mins[[#This Row],[Surgery Start Date]])*(tbl_Case_mins[Theatre]=tbl_Case_mins[[#This Row],[Theatre]])*(tbl_Case_mins[PmCase]=1)),1),1,0),0)</f>
        <v>0</v>
      </c>
      <c r="CU426">
        <f>IFERROR(#REF!,0)</f>
        <v>0</v>
      </c>
      <c r="CV426" s="9" t="e" cm="1">
        <f t="array" ref="CV42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6" s="9">
        <f>IFERROR(IF(ISBLANK(INDEX(Bay_AmClose,MATCH(1,INDEX((tbl_Case_mins[[#This Row],[Bay]]=BayNo)*(tbl_Case_mins[[#This Row],[Surgery Start Date]]=BDate),0,1),0))*1440),0,INDEX(Bay_AmClose,MATCH(1,INDEX((tbl_Case_mins[[#This Row],[Bay]]=BayNo)*(tbl_Case_mins[[#This Row],[Surgery Start Date]]=BDate),0,1),0))*1440),0)</f>
        <v>0</v>
      </c>
      <c r="CX426" s="9" cm="1">
        <f t="array" ref="CX426">IFERROR(IF(ISBLANK(INDEX(Bay_PmOpen,MATCH(1,INDEX((tbl_Case_mins[[#This Row],[Bay]]=BayNo)*(tbl_Case_mins[[#This Row],[Surgery Start Date]]=BDate),0,1),0))*1440),0,INDEX(Bay_PmOpen,MATCH(1,INDEX((tbl_Case_mins[[#This Row],[Bay]]=BayNo)*(tbl_Case_mins[[#This Row],[Surgery Start Date]]=BDate),0,1),0))*1440),0)</f>
        <v>0</v>
      </c>
      <c r="CY42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6" s="9"/>
    </row>
    <row r="427" spans="1:104" x14ac:dyDescent="0.2">
      <c r="A427">
        <v>426</v>
      </c>
      <c r="B427" t="e">
        <f>#REF!</f>
        <v>#REF!</v>
      </c>
      <c r="C427" t="e">
        <f>#REF!</f>
        <v>#REF!</v>
      </c>
      <c r="D427" t="e">
        <f>#REF!</f>
        <v>#REF!</v>
      </c>
      <c r="E427" t="e">
        <f>#REF!</f>
        <v>#REF!</v>
      </c>
      <c r="F427" t="e">
        <f>#REF!</f>
        <v>#REF!</v>
      </c>
      <c r="G427" t="e">
        <f>#REF!</f>
        <v>#REF!</v>
      </c>
      <c r="H427" t="e">
        <f>#REF!</f>
        <v>#REF!</v>
      </c>
      <c r="I427" t="e">
        <f>IF(#REF!="Case Cancelled",1,IF(#REF!="No Cases",2,0))</f>
        <v>#REF!</v>
      </c>
      <c r="J427" t="e">
        <f>#REF!</f>
        <v>#REF!</v>
      </c>
      <c r="K427" s="4" t="e">
        <f>#REF!</f>
        <v>#REF!</v>
      </c>
      <c r="L427" t="e">
        <f>"Wk "&amp;WEEKNUM(tbl_Case_mins[[#This Row],[Surgery Start Date]],21)</f>
        <v>#REF!</v>
      </c>
      <c r="M427" t="e">
        <f>TEXT(tbl_Case_mins[[#This Row],[Surgery Start Date]],"ddd")</f>
        <v>#REF!</v>
      </c>
      <c r="N427" s="9" t="e">
        <f>(#REF!-TIME(0,0,0))*1440</f>
        <v>#REF!</v>
      </c>
      <c r="O427" t="e">
        <f>IF(AND(ROUND((#REF!-TIME(0,0,0))*1440,0)&gt;0,ROUND((#REF!-TIME(0,0,0))*1440,0)&lt;tbl_Case_mins[[#This Row],[Patient Called]],tbl_Case_mins[[#This Row],[Surgery End Date]]&gt;tbl_Case_mins[[#This Row],[Surgery Start Date]]),ROUND((#REF!-TIME(0,0,0))*1440,0)+1440,ROUND((#REF!-TIME(0,0,0))*1440,0))</f>
        <v>#REF!</v>
      </c>
      <c r="P427" s="9" t="e">
        <f>IF(AND(ROUND((#REF!-TIME(0,0,0))*1440,0)&gt;0,ROUND((#REF!-TIME(0,0,0))*1440,0)&lt;tbl_Case_mins[[#This Row],[Arrival]],tbl_Case_mins[[#This Row],[Surgery End Date]]&gt;tbl_Case_mins[[#This Row],[Surgery Start Date]]),ROUND((#REF!-TIME(0,0,0))*1440,0)+1440,ROUND((#REF!-TIME(0,0,0))*1440,0))</f>
        <v>#REF!</v>
      </c>
      <c r="Q427" s="9" t="e">
        <f>IF(AND(ROUND((#REF!-TIME(0,0,0))*1440,0)&gt;0,ROUND((#REF!-TIME(0,0,0))*1440,0)&lt;tbl_Case_mins[[#This Row],[Into Th or AR]],tbl_Case_mins[[#This Row],[Surgery End Date]]&gt;tbl_Case_mins[[#This Row],[Surgery Start Date]]),ROUND((#REF!-TIME(0,0,0))*1440,0)+1440,ROUND((#REF!-TIME(0,0,0))*1440,0))</f>
        <v>#REF!</v>
      </c>
      <c r="R427" s="9" t="e">
        <f>IF(AND(ROUND((#REF!-TIME(0,0,0))*1440,0)&gt;0,ROUND((#REF!-TIME(0,0,0))*1440,0)&lt;tbl_Case_mins[[#This Row],[AnaesthStart]],tbl_Case_mins[[#This Row],[Surgery End Date]]&gt;tbl_Case_mins[[#This Row],[Surgery Start Date]]),ROUND((#REF!-TIME(0,0,0))*1440,0)+1440,ROUND((#REF!-TIME(0,0,0))*1440,0))</f>
        <v>#REF!</v>
      </c>
      <c r="S427" s="9" t="e">
        <f>IF(AND(ROUND((#REF!-TIME(0,0,0))*1440,0),ROUND((#REF!-TIME(0,0,0))*1440,0)&lt;tbl_Case_mins[[#This Row],[Surgery Start]],tbl_Case_mins[[#This Row],[Surgery End Date]]&gt;tbl_Case_mins[[#This Row],[Surgery Start Date]]),ROUND((#REF!-TIME(0,0,0))*1440,0)+1440,ROUND((#REF!-TIME(0,0,0))*1440,0))</f>
        <v>#REF!</v>
      </c>
      <c r="T427" s="9" t="e">
        <f>IF(AND(ROUND((#REF!-TIME(0,0,0))*1440,0)&gt;0,ROUND((#REF!-TIME(0,0,0))*1440,0)&lt;tbl_Case_mins[[#This Row],[Surgery Finish]],tbl_Case_mins[[#This Row],[Surgery End Date]]&gt;tbl_Case_mins[[#This Row],[Surgery Start Date]]),ROUND((#REF!-TIME(0,0,0))*1440,0)+1440,ROUND((#REF!-TIME(0,0,0))*1440,0))</f>
        <v>#REF!</v>
      </c>
      <c r="U427" s="9" t="e">
        <f>IF(AND(ROUND((#REF!-TIME(0,0,0))*1440,0)&gt;0,ROUND((#REF!-TIME(0,0,0))*1440,0)&lt;tbl_Case_mins[[#This Row],[Anaesth End]],tbl_Case_mins[[#This Row],[Surgery End Date]]&gt;tbl_Case_mins[[#This Row],[Surgery Start Date]]),ROUND((#REF!-TIME(0,0,0))*1440,0)+1440,ROUND((#REF!-TIME(0,0,0))*1440,0))</f>
        <v>#REF!</v>
      </c>
      <c r="V427" s="9" t="e">
        <f>IF(AND(ROUND((#REF!-TIME(0,0,0))*1440,0)&gt;0,ROUND((#REF!-TIME(0,0,0))*1440,0)&lt;tbl_Case_mins[[#This Row],[Into Recov]],tbl_Case_mins[[#This Row],[Surgery End Date]]&gt;tbl_Case_mins[[#This Row],[Surgery Start Date]]),ROUND((#REF!-TIME(0,0,0))*1440,0)+1440,ROUND((#REF!-TIME(0,0,0))*1440,0))</f>
        <v>#REF!</v>
      </c>
      <c r="W427" s="9" t="e">
        <f>IF(AND(ROUND((#REF!-TIME(0,0,0))*1440,0)&gt;0,ROUND((#REF!-TIME(0,0,0))*1440,0)&lt;tbl_Case_mins[[#This Row],[Ward Called]],tbl_Case_mins[[#This Row],[Surgery End Date]]&gt;tbl_Case_mins[[#This Row],[Surgery Start Date]]),ROUND((#REF!-TIME(0,0,0))*1440,0)+1440,ROUND((#REF!-TIME(0,0,0))*1440,0))</f>
        <v>#REF!</v>
      </c>
      <c r="X427" s="4" t="e">
        <f>IF(ISBLANK(#REF!),tbl_Case_mins[[#This Row],[Surgery Start Date]],#REF!)</f>
        <v>#REF!</v>
      </c>
      <c r="Y427">
        <f>IFERROR(IF(VLOOKUP(tbl_Case_mins[[#This Row],[Theatre]],'Mng Theatres'!$C$7:$G$12,3,FALSE)="Yes","Yes","No"),0)</f>
        <v>0</v>
      </c>
      <c r="Z427" s="9" t="e" cm="1">
        <f t="array" ref="Z42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7" s="9" t="e" cm="1">
        <f t="array" ref="AA42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7" s="9" t="e">
        <f>IF(tbl_Case_mins[[#This Row],[Case Type]]="Unsch",1,0)</f>
        <v>#REF!</v>
      </c>
      <c r="AD427" s="9" t="e">
        <f>IF(tbl_Case_mins[[#This Row],[Case Type]]="Sch",1,0)</f>
        <v>#REF!</v>
      </c>
      <c r="AE42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7" s="9">
        <f>IFERROR(IF(ISBLANK(INDEX(Am_Close,MATCH(1,INDEX((tbl_Case_mins[[#This Row],[Theatre]]=Theatre_No)*(tbl_Case_mins[[#This Row],[Surgery Start Date]]=Date),0,1),0))*1440),0,INDEX(Am_Close,MATCH(1,INDEX((tbl_Case_mins[[#This Row],[Theatre]]=Theatre_No)*(tbl_Case_mins[[#This Row],[Surgery Start Date]]=Date),0,1),0))*1440),0)</f>
        <v>0</v>
      </c>
      <c r="AG427" s="9">
        <f>IFERROR(IF(ISBLANK(INDEX(PM_Open,MATCH(1,INDEX((tbl_Case_mins[[#This Row],[Theatre]]=Theatre_No)*(tbl_Case_mins[[#This Row],[Surgery Start Date]]=Date),0,1),0))*1440),0,INDEX(PM_Open,MATCH(1,INDEX((tbl_Case_mins[[#This Row],[Theatre]]=Theatre_No)*(tbl_Case_mins[[#This Row],[Surgery Start Date]]=Date),0,1),0))*1440),0)</f>
        <v>0</v>
      </c>
      <c r="AH42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7" s="9" t="e">
        <f>IF(tbl_Case_mins[[#This Row],[ThOpenAm]]=0,tbl_Case_mins[[#This Row],[ThOpenPM]],tbl_Case_mins[[#This Row],[ThOpenAm]])</f>
        <v>#REF!</v>
      </c>
      <c r="AJ427" s="9" t="e">
        <f>IF(tbl_Case_mins[[#This Row],[ThCloseAm]]&gt;0,IF(tbl_Case_mins[[#This Row],[ThOpenPM]]&gt;0,tbl_Case_mins[[#This Row],[ThClosePm]],tbl_Case_mins[[#This Row],[ThCloseAm]]),tbl_Case_mins[[#This Row],[ThClosePm]])</f>
        <v>#REF!</v>
      </c>
      <c r="AK427" s="9" t="e">
        <f>IF(tbl_Case_mins[[#This Row],[TOT]]&gt;0,1,0)</f>
        <v>#REF!</v>
      </c>
      <c r="AL42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7" s="9" t="e">
        <f>IF(AND(tbl_Case_mins[[#This Row],[Surgery Status]]&lt;&gt;2,tbl_Case_mins[[#This Row],[InCoreCase]]=0,tbl_Case_mins[[#This Row],[CancelledCase]]=0),1,0)</f>
        <v>#REF!</v>
      </c>
      <c r="AN427" s="9" t="e">
        <f>IF(tbl_Case_mins[[#This Row],[Surgery Status]]=1,1,0)</f>
        <v>#REF!</v>
      </c>
      <c r="AO42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7" s="9" t="e">
        <f>IF(AND(tbl_Case_mins[[#This Row],[NonCoreCase]]=1,tbl_Case_mins[[#This Row],[NoInCoreTime]]=0),1,0)</f>
        <v>#REF!</v>
      </c>
      <c r="AQ427" s="9" t="e">
        <f>IF(tbl_Case_mins[[#This Row],[Rank_AnaEnd]]&lt;tbl_Case_mins[[#This Row],[Rank_AnaSt]],1,0)</f>
        <v>#REF!</v>
      </c>
      <c r="AR427" s="9" t="e">
        <f>IF(AND(tbl_Case_mins[[#This Row],[InCoreCase]]=1,tbl_Case_mins[[#This Row],[Sch]]=1),1,0)</f>
        <v>#REF!</v>
      </c>
      <c r="AS427" s="9" t="e">
        <f>IF(AND(tbl_Case_mins[[#This Row],[InCoreCase]]=1,tbl_Case_mins[[#This Row],[Unsch]]=1),1,0)</f>
        <v>#REF!</v>
      </c>
      <c r="AT42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7" s="9" t="e">
        <f>IF(tbl_Case_mins[[#This Row],[Surgery Status]]=0,(tbl_Case_mins[[#This Row],[Anaesth End]]-tbl_Case_mins[[#This Row],[AnaesthStart]]),0)</f>
        <v>#REF!</v>
      </c>
      <c r="AX427" s="9" t="e">
        <f>IF(tbl_Case_mins[[#This Row],[Surgery Status]]=0,(tbl_Case_mins[[#This Row],[Surgery Finish]]-tbl_Case_mins[[#This Row],[Surgery Start]]),0)</f>
        <v>#REF!</v>
      </c>
      <c r="AY427" s="9" t="e">
        <f>tbl_Case_mins[[#This Row],[Surgery Start]]-tbl_Case_mins[[#This Row],[AnaesthStart]]</f>
        <v>#REF!</v>
      </c>
      <c r="AZ427" s="9" t="e">
        <f>tbl_Case_mins[[#This Row],[Anaesth End]]-tbl_Case_mins[[#This Row],[Surgery Finish]]</f>
        <v>#REF!</v>
      </c>
      <c r="BA42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7" s="16" cm="1">
        <f t="array" ref="BC42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7" s="16" t="e">
        <f>IF(AND(tbl_Case_mins[[#This Row],[FirstAMCase]]=1,tbl_Case_mins[[#This Row],[CancelledCase]]=0,OR(tbl_Case_mins[[#This Row],[EarlyStartAM]]&gt;0,tbl_Case_mins[[#This Row],[AnaesthStart]]=tbl_Case_mins[[#This Row],[ThOpenAm]])),1,0)</f>
        <v>#REF!</v>
      </c>
      <c r="BE427" s="16" t="e">
        <f>IF(AND(tbl_Case_mins[[#This Row],[Rank_AnaSt]]=tbl_Case_mins[[#This Row],[Min_RankAnaSt]],tbl_Case_mins[[#This Row],[Anaesth End]]&gt;=tbl_Case_mins[[#This Row],[ThOpenAm]],tbl_Case_mins[[#This Row],[PmCase]]=0),1,0)</f>
        <v>#REF!</v>
      </c>
      <c r="BF42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7" s="9" t="e" cm="1">
        <f t="array" ref="BH42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7" s="9" t="e">
        <f>IF(AND(tbl_Case_mins[[#This Row],[ThOpenPM]]&gt;0,tbl_Case_mins[[#This Row],[AnaesthStart]]&gt;tbl_Case_mins[[#This Row],[ThOpenPM]],tbl_Case_mins[[#This Row],[First PM Case]]=1),tbl_Case_mins[[#This Row],[AnaesthStart]]-tbl_Case_mins[[#This Row],[ThOpenPM]],0)</f>
        <v>#REF!</v>
      </c>
      <c r="BL42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7" s="9" t="e" cm="1">
        <f t="array" ref="BN42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7" s="9" t="e">
        <f>IF(AND(tbl_Case_mins[[#This Row],[ThClosePm]]&gt;0,tbl_Case_mins[[#This Row],[Anaesth End]]&gt;tbl_Case_mins[[#This Row],[ThClosePm]],tbl_Case_mins[[#This Row],[AnaesthStart]]&gt;tbl_Case_mins[[#This Row],[ThClosePm]]),tbl_Case_mins[[#This Row],[Into Recov]]-tbl_Case_mins[[#This Row],[AnaesthStart]],0)</f>
        <v>#REF!</v>
      </c>
      <c r="BP427" s="9" t="e">
        <f>IF(AND(tbl_Case_mins[[#This Row],[AnaesthStart]]&lt;tbl_Case_mins[[#This Row],[ThClosePm]],tbl_Case_mins[[#This Row],[Anaesth End]]&gt;tbl_Case_mins[[#This Row],[ThClosePm]]),tbl_Case_mins[[#This Row],[Anaesth End]]-tbl_Case_mins[[#This Row],[ThClosePm]],0)</f>
        <v>#REF!</v>
      </c>
      <c r="BQ427" s="9" t="e" cm="1">
        <f t="array" ref="BQ42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7" s="9" t="e" cm="1">
        <f t="array" ref="BR427">IF(tbl_Case_mins[[#This Row],[Rank_Adjust]]=SUMPRODUCT(-(tbl_Case_mins[Surgery Start Date]=tbl_Case_mins[[#This Row],[Surgery Start Date]]),-(tbl_Case_mins[Theatre]=tbl_Case_mins[[#This Row],[Theatre]])),INDEX(Poss_Time,MATCH(TEXT(tbl_Case_mins[[#This Row],[Surgery Start Date]],"ddd"),Day,0)),0)</f>
        <v>#REF!</v>
      </c>
      <c r="BS427" s="9" t="e">
        <f>tbl_Case_mins[[#This Row],[Core_Time]]*Util_Goal</f>
        <v>#REF!</v>
      </c>
      <c r="BT427" s="9" t="e" cm="1">
        <f t="array" ref="BT4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7" s="9" t="e" cm="1">
        <f t="array" ref="BU42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7" s="9" t="e">
        <f>IF(tbl_Case_mins[[#This Row],[Surgery End Date]]&gt;tbl_Case_mins[[#This Row],[Surgery Start Date]],tbl_Case_mins[[#This Row],[Anaesth End]]-1440,0)</f>
        <v>#REF!</v>
      </c>
      <c r="BY427" s="9" t="e">
        <f>tbl_Case_mins[[#This Row],[Total_NonCore]]-tbl_Case_mins[[#This Row],[NextDay_NonCore]]</f>
        <v>#REF!</v>
      </c>
      <c r="BZ427" s="10" t="e">
        <f>tbl_Case_mins[[#This Row],[InCoreUse]]/60</f>
        <v>#REF!</v>
      </c>
      <c r="CA427" s="10" t="e">
        <f>tbl_Case_mins[[#This Row],[Total_NonCore]]/60</f>
        <v>#REF!</v>
      </c>
      <c r="CB427" t="e" cm="1">
        <f t="array" ref="CB4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7" s="9" t="e" cm="1">
        <f t="array" ref="CC42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7" s="9" t="e" cm="1">
        <f t="array" ref="CD42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7" s="9" t="e" cm="1">
        <f t="array" ref="CE42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7" s="9" cm="1">
        <f t="array" ref="CF427">IFERROR(_xlfn.AGGREGATE(14,6,(tbl_Case_mins[Rank_AnaEnd])/((tbl_Case_mins[Surgery Start Date]=tbl_Case_mins[[#This Row],[Surgery Start Date]])*(tbl_Case_mins[Theatre]=tbl_Case_mins[[#This Row],[Theatre]])*(tbl_Case_mins[NoInCoreTime]=0)),1),-1)</f>
        <v>-1</v>
      </c>
      <c r="CG427" s="9" cm="1">
        <f t="array" ref="CG427">IFERROR(_xlfn.AGGREGATE(15,6,(tbl_Case_mins[Rank_AnaSt])/((tbl_Case_mins[Surgery Start Date]=tbl_Case_mins[[#This Row],[Surgery Start Date]])*(tbl_Case_mins[Theatre]=tbl_Case_mins[[#This Row],[Theatre]])*(tbl_Case_mins[NoInCoreTime]=0)),1),-1)</f>
        <v>-1</v>
      </c>
      <c r="CH42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7" t="e" cm="1">
        <f t="array" ref="CJ42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7" s="9" cm="1">
        <f t="array" ref="CO4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7" s="9" cm="1">
        <f t="array" ref="CP42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7" s="9" cm="1">
        <f t="array" ref="CQ427">IFERROR(IF(AND(tbl_Case_mins[[#This Row],[FirstAMCase]]=0,tbl_Case_mins[[#This Row],[Rank]]=_xlfn.AGGREGATE(14,6,(tbl_Case_mins[Rank])/((tbl_Case_mins[Surgery Start Date]=tbl_Case_mins[[#This Row],[Surgery Start Date]])*(tbl_Case_mins[Theatre]=tbl_Case_mins[[#This Row],[Theatre]])*(tbl_Case_mins[AmCase]=1)),1)),1,0),0)</f>
        <v>0</v>
      </c>
      <c r="CR427" s="9" cm="1">
        <f t="array" ref="CR42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7" s="9" t="e" cm="1">
        <f t="array" ref="CS42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7" s="9" cm="1">
        <f t="array" ref="CT427">IFERROR(IF(tbl_Case_mins[[#This Row],[Rank]]=_xlfn.AGGREGATE(15,6,(tbl_Case_mins[Rank])/((tbl_Case_mins[Surgery Start Date]=tbl_Case_mins[[#This Row],[Surgery Start Date]])*(tbl_Case_mins[Theatre]=tbl_Case_mins[[#This Row],[Theatre]])*(tbl_Case_mins[PmCase]=1)),1),1,0),0)</f>
        <v>0</v>
      </c>
      <c r="CU427">
        <f>IFERROR(#REF!,0)</f>
        <v>0</v>
      </c>
      <c r="CV427" s="9" t="e" cm="1">
        <f t="array" ref="CV42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7" s="9">
        <f>IFERROR(IF(ISBLANK(INDEX(Bay_AmClose,MATCH(1,INDEX((tbl_Case_mins[[#This Row],[Bay]]=BayNo)*(tbl_Case_mins[[#This Row],[Surgery Start Date]]=BDate),0,1),0))*1440),0,INDEX(Bay_AmClose,MATCH(1,INDEX((tbl_Case_mins[[#This Row],[Bay]]=BayNo)*(tbl_Case_mins[[#This Row],[Surgery Start Date]]=BDate),0,1),0))*1440),0)</f>
        <v>0</v>
      </c>
      <c r="CX427" s="9" cm="1">
        <f t="array" ref="CX427">IFERROR(IF(ISBLANK(INDEX(Bay_PmOpen,MATCH(1,INDEX((tbl_Case_mins[[#This Row],[Bay]]=BayNo)*(tbl_Case_mins[[#This Row],[Surgery Start Date]]=BDate),0,1),0))*1440),0,INDEX(Bay_PmOpen,MATCH(1,INDEX((tbl_Case_mins[[#This Row],[Bay]]=BayNo)*(tbl_Case_mins[[#This Row],[Surgery Start Date]]=BDate),0,1),0))*1440),0)</f>
        <v>0</v>
      </c>
      <c r="CY42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7" s="9"/>
    </row>
    <row r="428" spans="1:104" x14ac:dyDescent="0.2">
      <c r="A428">
        <v>427</v>
      </c>
      <c r="B428" t="e">
        <f>#REF!</f>
        <v>#REF!</v>
      </c>
      <c r="C428" t="e">
        <f>#REF!</f>
        <v>#REF!</v>
      </c>
      <c r="D428" t="e">
        <f>#REF!</f>
        <v>#REF!</v>
      </c>
      <c r="E428" t="e">
        <f>#REF!</f>
        <v>#REF!</v>
      </c>
      <c r="F428" t="e">
        <f>#REF!</f>
        <v>#REF!</v>
      </c>
      <c r="G428" t="e">
        <f>#REF!</f>
        <v>#REF!</v>
      </c>
      <c r="H428" t="e">
        <f>#REF!</f>
        <v>#REF!</v>
      </c>
      <c r="I428" t="e">
        <f>IF(#REF!="Case Cancelled",1,IF(#REF!="No Cases",2,0))</f>
        <v>#REF!</v>
      </c>
      <c r="J428" t="e">
        <f>#REF!</f>
        <v>#REF!</v>
      </c>
      <c r="K428" s="4" t="e">
        <f>#REF!</f>
        <v>#REF!</v>
      </c>
      <c r="L428" t="e">
        <f>"Wk "&amp;WEEKNUM(tbl_Case_mins[[#This Row],[Surgery Start Date]],21)</f>
        <v>#REF!</v>
      </c>
      <c r="M428" t="e">
        <f>TEXT(tbl_Case_mins[[#This Row],[Surgery Start Date]],"ddd")</f>
        <v>#REF!</v>
      </c>
      <c r="N428" s="9" t="e">
        <f>(#REF!-TIME(0,0,0))*1440</f>
        <v>#REF!</v>
      </c>
      <c r="O428" t="e">
        <f>IF(AND(ROUND((#REF!-TIME(0,0,0))*1440,0)&gt;0,ROUND((#REF!-TIME(0,0,0))*1440,0)&lt;tbl_Case_mins[[#This Row],[Patient Called]],tbl_Case_mins[[#This Row],[Surgery End Date]]&gt;tbl_Case_mins[[#This Row],[Surgery Start Date]]),ROUND((#REF!-TIME(0,0,0))*1440,0)+1440,ROUND((#REF!-TIME(0,0,0))*1440,0))</f>
        <v>#REF!</v>
      </c>
      <c r="P428" s="9" t="e">
        <f>IF(AND(ROUND((#REF!-TIME(0,0,0))*1440,0)&gt;0,ROUND((#REF!-TIME(0,0,0))*1440,0)&lt;tbl_Case_mins[[#This Row],[Arrival]],tbl_Case_mins[[#This Row],[Surgery End Date]]&gt;tbl_Case_mins[[#This Row],[Surgery Start Date]]),ROUND((#REF!-TIME(0,0,0))*1440,0)+1440,ROUND((#REF!-TIME(0,0,0))*1440,0))</f>
        <v>#REF!</v>
      </c>
      <c r="Q428" s="9" t="e">
        <f>IF(AND(ROUND((#REF!-TIME(0,0,0))*1440,0)&gt;0,ROUND((#REF!-TIME(0,0,0))*1440,0)&lt;tbl_Case_mins[[#This Row],[Into Th or AR]],tbl_Case_mins[[#This Row],[Surgery End Date]]&gt;tbl_Case_mins[[#This Row],[Surgery Start Date]]),ROUND((#REF!-TIME(0,0,0))*1440,0)+1440,ROUND((#REF!-TIME(0,0,0))*1440,0))</f>
        <v>#REF!</v>
      </c>
      <c r="R428" s="9" t="e">
        <f>IF(AND(ROUND((#REF!-TIME(0,0,0))*1440,0)&gt;0,ROUND((#REF!-TIME(0,0,0))*1440,0)&lt;tbl_Case_mins[[#This Row],[AnaesthStart]],tbl_Case_mins[[#This Row],[Surgery End Date]]&gt;tbl_Case_mins[[#This Row],[Surgery Start Date]]),ROUND((#REF!-TIME(0,0,0))*1440,0)+1440,ROUND((#REF!-TIME(0,0,0))*1440,0))</f>
        <v>#REF!</v>
      </c>
      <c r="S428" s="9" t="e">
        <f>IF(AND(ROUND((#REF!-TIME(0,0,0))*1440,0),ROUND((#REF!-TIME(0,0,0))*1440,0)&lt;tbl_Case_mins[[#This Row],[Surgery Start]],tbl_Case_mins[[#This Row],[Surgery End Date]]&gt;tbl_Case_mins[[#This Row],[Surgery Start Date]]),ROUND((#REF!-TIME(0,0,0))*1440,0)+1440,ROUND((#REF!-TIME(0,0,0))*1440,0))</f>
        <v>#REF!</v>
      </c>
      <c r="T428" s="9" t="e">
        <f>IF(AND(ROUND((#REF!-TIME(0,0,0))*1440,0)&gt;0,ROUND((#REF!-TIME(0,0,0))*1440,0)&lt;tbl_Case_mins[[#This Row],[Surgery Finish]],tbl_Case_mins[[#This Row],[Surgery End Date]]&gt;tbl_Case_mins[[#This Row],[Surgery Start Date]]),ROUND((#REF!-TIME(0,0,0))*1440,0)+1440,ROUND((#REF!-TIME(0,0,0))*1440,0))</f>
        <v>#REF!</v>
      </c>
      <c r="U428" s="9" t="e">
        <f>IF(AND(ROUND((#REF!-TIME(0,0,0))*1440,0)&gt;0,ROUND((#REF!-TIME(0,0,0))*1440,0)&lt;tbl_Case_mins[[#This Row],[Anaesth End]],tbl_Case_mins[[#This Row],[Surgery End Date]]&gt;tbl_Case_mins[[#This Row],[Surgery Start Date]]),ROUND((#REF!-TIME(0,0,0))*1440,0)+1440,ROUND((#REF!-TIME(0,0,0))*1440,0))</f>
        <v>#REF!</v>
      </c>
      <c r="V428" s="9" t="e">
        <f>IF(AND(ROUND((#REF!-TIME(0,0,0))*1440,0)&gt;0,ROUND((#REF!-TIME(0,0,0))*1440,0)&lt;tbl_Case_mins[[#This Row],[Into Recov]],tbl_Case_mins[[#This Row],[Surgery End Date]]&gt;tbl_Case_mins[[#This Row],[Surgery Start Date]]),ROUND((#REF!-TIME(0,0,0))*1440,0)+1440,ROUND((#REF!-TIME(0,0,0))*1440,0))</f>
        <v>#REF!</v>
      </c>
      <c r="W428" s="9" t="e">
        <f>IF(AND(ROUND((#REF!-TIME(0,0,0))*1440,0)&gt;0,ROUND((#REF!-TIME(0,0,0))*1440,0)&lt;tbl_Case_mins[[#This Row],[Ward Called]],tbl_Case_mins[[#This Row],[Surgery End Date]]&gt;tbl_Case_mins[[#This Row],[Surgery Start Date]]),ROUND((#REF!-TIME(0,0,0))*1440,0)+1440,ROUND((#REF!-TIME(0,0,0))*1440,0))</f>
        <v>#REF!</v>
      </c>
      <c r="X428" s="4" t="e">
        <f>IF(ISBLANK(#REF!),tbl_Case_mins[[#This Row],[Surgery Start Date]],#REF!)</f>
        <v>#REF!</v>
      </c>
      <c r="Y428">
        <f>IFERROR(IF(VLOOKUP(tbl_Case_mins[[#This Row],[Theatre]],'Mng Theatres'!$C$7:$G$12,3,FALSE)="Yes","Yes","No"),0)</f>
        <v>0</v>
      </c>
      <c r="Z428" s="9" t="e" cm="1">
        <f t="array" ref="Z42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8" s="9" t="e" cm="1">
        <f t="array" ref="AA42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8" s="9" t="e">
        <f>IF(tbl_Case_mins[[#This Row],[Case Type]]="Unsch",1,0)</f>
        <v>#REF!</v>
      </c>
      <c r="AD428" s="9" t="e">
        <f>IF(tbl_Case_mins[[#This Row],[Case Type]]="Sch",1,0)</f>
        <v>#REF!</v>
      </c>
      <c r="AE42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8" s="9">
        <f>IFERROR(IF(ISBLANK(INDEX(Am_Close,MATCH(1,INDEX((tbl_Case_mins[[#This Row],[Theatre]]=Theatre_No)*(tbl_Case_mins[[#This Row],[Surgery Start Date]]=Date),0,1),0))*1440),0,INDEX(Am_Close,MATCH(1,INDEX((tbl_Case_mins[[#This Row],[Theatre]]=Theatre_No)*(tbl_Case_mins[[#This Row],[Surgery Start Date]]=Date),0,1),0))*1440),0)</f>
        <v>0</v>
      </c>
      <c r="AG428" s="9">
        <f>IFERROR(IF(ISBLANK(INDEX(PM_Open,MATCH(1,INDEX((tbl_Case_mins[[#This Row],[Theatre]]=Theatre_No)*(tbl_Case_mins[[#This Row],[Surgery Start Date]]=Date),0,1),0))*1440),0,INDEX(PM_Open,MATCH(1,INDEX((tbl_Case_mins[[#This Row],[Theatre]]=Theatre_No)*(tbl_Case_mins[[#This Row],[Surgery Start Date]]=Date),0,1),0))*1440),0)</f>
        <v>0</v>
      </c>
      <c r="AH42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8" s="9" t="e">
        <f>IF(tbl_Case_mins[[#This Row],[ThOpenAm]]=0,tbl_Case_mins[[#This Row],[ThOpenPM]],tbl_Case_mins[[#This Row],[ThOpenAm]])</f>
        <v>#REF!</v>
      </c>
      <c r="AJ428" s="9" t="e">
        <f>IF(tbl_Case_mins[[#This Row],[ThCloseAm]]&gt;0,IF(tbl_Case_mins[[#This Row],[ThOpenPM]]&gt;0,tbl_Case_mins[[#This Row],[ThClosePm]],tbl_Case_mins[[#This Row],[ThCloseAm]]),tbl_Case_mins[[#This Row],[ThClosePm]])</f>
        <v>#REF!</v>
      </c>
      <c r="AK428" s="9" t="e">
        <f>IF(tbl_Case_mins[[#This Row],[TOT]]&gt;0,1,0)</f>
        <v>#REF!</v>
      </c>
      <c r="AL42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8" s="9" t="e">
        <f>IF(AND(tbl_Case_mins[[#This Row],[Surgery Status]]&lt;&gt;2,tbl_Case_mins[[#This Row],[InCoreCase]]=0,tbl_Case_mins[[#This Row],[CancelledCase]]=0),1,0)</f>
        <v>#REF!</v>
      </c>
      <c r="AN428" s="9" t="e">
        <f>IF(tbl_Case_mins[[#This Row],[Surgery Status]]=1,1,0)</f>
        <v>#REF!</v>
      </c>
      <c r="AO42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8" s="9" t="e">
        <f>IF(AND(tbl_Case_mins[[#This Row],[NonCoreCase]]=1,tbl_Case_mins[[#This Row],[NoInCoreTime]]=0),1,0)</f>
        <v>#REF!</v>
      </c>
      <c r="AQ428" s="9" t="e">
        <f>IF(tbl_Case_mins[[#This Row],[Rank_AnaEnd]]&lt;tbl_Case_mins[[#This Row],[Rank_AnaSt]],1,0)</f>
        <v>#REF!</v>
      </c>
      <c r="AR428" s="9" t="e">
        <f>IF(AND(tbl_Case_mins[[#This Row],[InCoreCase]]=1,tbl_Case_mins[[#This Row],[Sch]]=1),1,0)</f>
        <v>#REF!</v>
      </c>
      <c r="AS428" s="9" t="e">
        <f>IF(AND(tbl_Case_mins[[#This Row],[InCoreCase]]=1,tbl_Case_mins[[#This Row],[Unsch]]=1),1,0)</f>
        <v>#REF!</v>
      </c>
      <c r="AT42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8" s="9" t="e">
        <f>IF(tbl_Case_mins[[#This Row],[Surgery Status]]=0,(tbl_Case_mins[[#This Row],[Anaesth End]]-tbl_Case_mins[[#This Row],[AnaesthStart]]),0)</f>
        <v>#REF!</v>
      </c>
      <c r="AX428" s="9" t="e">
        <f>IF(tbl_Case_mins[[#This Row],[Surgery Status]]=0,(tbl_Case_mins[[#This Row],[Surgery Finish]]-tbl_Case_mins[[#This Row],[Surgery Start]]),0)</f>
        <v>#REF!</v>
      </c>
      <c r="AY428" s="9" t="e">
        <f>tbl_Case_mins[[#This Row],[Surgery Start]]-tbl_Case_mins[[#This Row],[AnaesthStart]]</f>
        <v>#REF!</v>
      </c>
      <c r="AZ428" s="9" t="e">
        <f>tbl_Case_mins[[#This Row],[Anaesth End]]-tbl_Case_mins[[#This Row],[Surgery Finish]]</f>
        <v>#REF!</v>
      </c>
      <c r="BA42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8" s="16" cm="1">
        <f t="array" ref="BC42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8" s="16" t="e">
        <f>IF(AND(tbl_Case_mins[[#This Row],[FirstAMCase]]=1,tbl_Case_mins[[#This Row],[CancelledCase]]=0,OR(tbl_Case_mins[[#This Row],[EarlyStartAM]]&gt;0,tbl_Case_mins[[#This Row],[AnaesthStart]]=tbl_Case_mins[[#This Row],[ThOpenAm]])),1,0)</f>
        <v>#REF!</v>
      </c>
      <c r="BE428" s="16" t="e">
        <f>IF(AND(tbl_Case_mins[[#This Row],[Rank_AnaSt]]=tbl_Case_mins[[#This Row],[Min_RankAnaSt]],tbl_Case_mins[[#This Row],[Anaesth End]]&gt;=tbl_Case_mins[[#This Row],[ThOpenAm]],tbl_Case_mins[[#This Row],[PmCase]]=0),1,0)</f>
        <v>#REF!</v>
      </c>
      <c r="BF42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8" s="9" t="e" cm="1">
        <f t="array" ref="BH42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8" s="9" t="e">
        <f>IF(AND(tbl_Case_mins[[#This Row],[ThOpenPM]]&gt;0,tbl_Case_mins[[#This Row],[AnaesthStart]]&gt;tbl_Case_mins[[#This Row],[ThOpenPM]],tbl_Case_mins[[#This Row],[First PM Case]]=1),tbl_Case_mins[[#This Row],[AnaesthStart]]-tbl_Case_mins[[#This Row],[ThOpenPM]],0)</f>
        <v>#REF!</v>
      </c>
      <c r="BL42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8" s="9" t="e" cm="1">
        <f t="array" ref="BN42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8" s="9" t="e">
        <f>IF(AND(tbl_Case_mins[[#This Row],[ThClosePm]]&gt;0,tbl_Case_mins[[#This Row],[Anaesth End]]&gt;tbl_Case_mins[[#This Row],[ThClosePm]],tbl_Case_mins[[#This Row],[AnaesthStart]]&gt;tbl_Case_mins[[#This Row],[ThClosePm]]),tbl_Case_mins[[#This Row],[Into Recov]]-tbl_Case_mins[[#This Row],[AnaesthStart]],0)</f>
        <v>#REF!</v>
      </c>
      <c r="BP428" s="9" t="e">
        <f>IF(AND(tbl_Case_mins[[#This Row],[AnaesthStart]]&lt;tbl_Case_mins[[#This Row],[ThClosePm]],tbl_Case_mins[[#This Row],[Anaesth End]]&gt;tbl_Case_mins[[#This Row],[ThClosePm]]),tbl_Case_mins[[#This Row],[Anaesth End]]-tbl_Case_mins[[#This Row],[ThClosePm]],0)</f>
        <v>#REF!</v>
      </c>
      <c r="BQ428" s="9" t="e" cm="1">
        <f t="array" ref="BQ42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8" s="9" t="e" cm="1">
        <f t="array" ref="BR428">IF(tbl_Case_mins[[#This Row],[Rank_Adjust]]=SUMPRODUCT(-(tbl_Case_mins[Surgery Start Date]=tbl_Case_mins[[#This Row],[Surgery Start Date]]),-(tbl_Case_mins[Theatre]=tbl_Case_mins[[#This Row],[Theatre]])),INDEX(Poss_Time,MATCH(TEXT(tbl_Case_mins[[#This Row],[Surgery Start Date]],"ddd"),Day,0)),0)</f>
        <v>#REF!</v>
      </c>
      <c r="BS428" s="9" t="e">
        <f>tbl_Case_mins[[#This Row],[Core_Time]]*Util_Goal</f>
        <v>#REF!</v>
      </c>
      <c r="BT428" s="9" t="e" cm="1">
        <f t="array" ref="BT4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8" s="9" t="e" cm="1">
        <f t="array" ref="BU42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8" s="9" t="e">
        <f>IF(tbl_Case_mins[[#This Row],[Surgery End Date]]&gt;tbl_Case_mins[[#This Row],[Surgery Start Date]],tbl_Case_mins[[#This Row],[Anaesth End]]-1440,0)</f>
        <v>#REF!</v>
      </c>
      <c r="BY428" s="9" t="e">
        <f>tbl_Case_mins[[#This Row],[Total_NonCore]]-tbl_Case_mins[[#This Row],[NextDay_NonCore]]</f>
        <v>#REF!</v>
      </c>
      <c r="BZ428" s="10" t="e">
        <f>tbl_Case_mins[[#This Row],[InCoreUse]]/60</f>
        <v>#REF!</v>
      </c>
      <c r="CA428" s="10" t="e">
        <f>tbl_Case_mins[[#This Row],[Total_NonCore]]/60</f>
        <v>#REF!</v>
      </c>
      <c r="CB428" t="e" cm="1">
        <f t="array" ref="CB4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8" s="9" t="e" cm="1">
        <f t="array" ref="CC42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8" s="9" t="e" cm="1">
        <f t="array" ref="CD42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8" s="9" t="e" cm="1">
        <f t="array" ref="CE42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8" s="9" cm="1">
        <f t="array" ref="CF428">IFERROR(_xlfn.AGGREGATE(14,6,(tbl_Case_mins[Rank_AnaEnd])/((tbl_Case_mins[Surgery Start Date]=tbl_Case_mins[[#This Row],[Surgery Start Date]])*(tbl_Case_mins[Theatre]=tbl_Case_mins[[#This Row],[Theatre]])*(tbl_Case_mins[NoInCoreTime]=0)),1),-1)</f>
        <v>-1</v>
      </c>
      <c r="CG428" s="9" cm="1">
        <f t="array" ref="CG428">IFERROR(_xlfn.AGGREGATE(15,6,(tbl_Case_mins[Rank_AnaSt])/((tbl_Case_mins[Surgery Start Date]=tbl_Case_mins[[#This Row],[Surgery Start Date]])*(tbl_Case_mins[Theatre]=tbl_Case_mins[[#This Row],[Theatre]])*(tbl_Case_mins[NoInCoreTime]=0)),1),-1)</f>
        <v>-1</v>
      </c>
      <c r="CH42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8" t="e" cm="1">
        <f t="array" ref="CJ42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8" s="9" cm="1">
        <f t="array" ref="CO4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8" s="9" cm="1">
        <f t="array" ref="CP42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8" s="9" cm="1">
        <f t="array" ref="CQ428">IFERROR(IF(AND(tbl_Case_mins[[#This Row],[FirstAMCase]]=0,tbl_Case_mins[[#This Row],[Rank]]=_xlfn.AGGREGATE(14,6,(tbl_Case_mins[Rank])/((tbl_Case_mins[Surgery Start Date]=tbl_Case_mins[[#This Row],[Surgery Start Date]])*(tbl_Case_mins[Theatre]=tbl_Case_mins[[#This Row],[Theatre]])*(tbl_Case_mins[AmCase]=1)),1)),1,0),0)</f>
        <v>0</v>
      </c>
      <c r="CR428" s="9" cm="1">
        <f t="array" ref="CR42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8" s="9" t="e" cm="1">
        <f t="array" ref="CS42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8" s="9" cm="1">
        <f t="array" ref="CT428">IFERROR(IF(tbl_Case_mins[[#This Row],[Rank]]=_xlfn.AGGREGATE(15,6,(tbl_Case_mins[Rank])/((tbl_Case_mins[Surgery Start Date]=tbl_Case_mins[[#This Row],[Surgery Start Date]])*(tbl_Case_mins[Theatre]=tbl_Case_mins[[#This Row],[Theatre]])*(tbl_Case_mins[PmCase]=1)),1),1,0),0)</f>
        <v>0</v>
      </c>
      <c r="CU428">
        <f>IFERROR(#REF!,0)</f>
        <v>0</v>
      </c>
      <c r="CV428" s="9" t="e" cm="1">
        <f t="array" ref="CV42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8" s="9">
        <f>IFERROR(IF(ISBLANK(INDEX(Bay_AmClose,MATCH(1,INDEX((tbl_Case_mins[[#This Row],[Bay]]=BayNo)*(tbl_Case_mins[[#This Row],[Surgery Start Date]]=BDate),0,1),0))*1440),0,INDEX(Bay_AmClose,MATCH(1,INDEX((tbl_Case_mins[[#This Row],[Bay]]=BayNo)*(tbl_Case_mins[[#This Row],[Surgery Start Date]]=BDate),0,1),0))*1440),0)</f>
        <v>0</v>
      </c>
      <c r="CX428" s="9" cm="1">
        <f t="array" ref="CX428">IFERROR(IF(ISBLANK(INDEX(Bay_PmOpen,MATCH(1,INDEX((tbl_Case_mins[[#This Row],[Bay]]=BayNo)*(tbl_Case_mins[[#This Row],[Surgery Start Date]]=BDate),0,1),0))*1440),0,INDEX(Bay_PmOpen,MATCH(1,INDEX((tbl_Case_mins[[#This Row],[Bay]]=BayNo)*(tbl_Case_mins[[#This Row],[Surgery Start Date]]=BDate),0,1),0))*1440),0)</f>
        <v>0</v>
      </c>
      <c r="CY42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8" s="9"/>
    </row>
    <row r="429" spans="1:104" x14ac:dyDescent="0.2">
      <c r="A429">
        <v>428</v>
      </c>
      <c r="B429" t="e">
        <f>#REF!</f>
        <v>#REF!</v>
      </c>
      <c r="C429" t="e">
        <f>#REF!</f>
        <v>#REF!</v>
      </c>
      <c r="D429" t="e">
        <f>#REF!</f>
        <v>#REF!</v>
      </c>
      <c r="E429" t="e">
        <f>#REF!</f>
        <v>#REF!</v>
      </c>
      <c r="F429" t="e">
        <f>#REF!</f>
        <v>#REF!</v>
      </c>
      <c r="G429" t="e">
        <f>#REF!</f>
        <v>#REF!</v>
      </c>
      <c r="H429" t="e">
        <f>#REF!</f>
        <v>#REF!</v>
      </c>
      <c r="I429" t="e">
        <f>IF(#REF!="Case Cancelled",1,IF(#REF!="No Cases",2,0))</f>
        <v>#REF!</v>
      </c>
      <c r="J429" t="e">
        <f>#REF!</f>
        <v>#REF!</v>
      </c>
      <c r="K429" s="4" t="e">
        <f>#REF!</f>
        <v>#REF!</v>
      </c>
      <c r="L429" t="e">
        <f>"Wk "&amp;WEEKNUM(tbl_Case_mins[[#This Row],[Surgery Start Date]],21)</f>
        <v>#REF!</v>
      </c>
      <c r="M429" t="e">
        <f>TEXT(tbl_Case_mins[[#This Row],[Surgery Start Date]],"ddd")</f>
        <v>#REF!</v>
      </c>
      <c r="N429" s="9" t="e">
        <f>(#REF!-TIME(0,0,0))*1440</f>
        <v>#REF!</v>
      </c>
      <c r="O429" t="e">
        <f>IF(AND(ROUND((#REF!-TIME(0,0,0))*1440,0)&gt;0,ROUND((#REF!-TIME(0,0,0))*1440,0)&lt;tbl_Case_mins[[#This Row],[Patient Called]],tbl_Case_mins[[#This Row],[Surgery End Date]]&gt;tbl_Case_mins[[#This Row],[Surgery Start Date]]),ROUND((#REF!-TIME(0,0,0))*1440,0)+1440,ROUND((#REF!-TIME(0,0,0))*1440,0))</f>
        <v>#REF!</v>
      </c>
      <c r="P429" s="9" t="e">
        <f>IF(AND(ROUND((#REF!-TIME(0,0,0))*1440,0)&gt;0,ROUND((#REF!-TIME(0,0,0))*1440,0)&lt;tbl_Case_mins[[#This Row],[Arrival]],tbl_Case_mins[[#This Row],[Surgery End Date]]&gt;tbl_Case_mins[[#This Row],[Surgery Start Date]]),ROUND((#REF!-TIME(0,0,0))*1440,0)+1440,ROUND((#REF!-TIME(0,0,0))*1440,0))</f>
        <v>#REF!</v>
      </c>
      <c r="Q429" s="9" t="e">
        <f>IF(AND(ROUND((#REF!-TIME(0,0,0))*1440,0)&gt;0,ROUND((#REF!-TIME(0,0,0))*1440,0)&lt;tbl_Case_mins[[#This Row],[Into Th or AR]],tbl_Case_mins[[#This Row],[Surgery End Date]]&gt;tbl_Case_mins[[#This Row],[Surgery Start Date]]),ROUND((#REF!-TIME(0,0,0))*1440,0)+1440,ROUND((#REF!-TIME(0,0,0))*1440,0))</f>
        <v>#REF!</v>
      </c>
      <c r="R429" s="9" t="e">
        <f>IF(AND(ROUND((#REF!-TIME(0,0,0))*1440,0)&gt;0,ROUND((#REF!-TIME(0,0,0))*1440,0)&lt;tbl_Case_mins[[#This Row],[AnaesthStart]],tbl_Case_mins[[#This Row],[Surgery End Date]]&gt;tbl_Case_mins[[#This Row],[Surgery Start Date]]),ROUND((#REF!-TIME(0,0,0))*1440,0)+1440,ROUND((#REF!-TIME(0,0,0))*1440,0))</f>
        <v>#REF!</v>
      </c>
      <c r="S429" s="9" t="e">
        <f>IF(AND(ROUND((#REF!-TIME(0,0,0))*1440,0),ROUND((#REF!-TIME(0,0,0))*1440,0)&lt;tbl_Case_mins[[#This Row],[Surgery Start]],tbl_Case_mins[[#This Row],[Surgery End Date]]&gt;tbl_Case_mins[[#This Row],[Surgery Start Date]]),ROUND((#REF!-TIME(0,0,0))*1440,0)+1440,ROUND((#REF!-TIME(0,0,0))*1440,0))</f>
        <v>#REF!</v>
      </c>
      <c r="T429" s="9" t="e">
        <f>IF(AND(ROUND((#REF!-TIME(0,0,0))*1440,0)&gt;0,ROUND((#REF!-TIME(0,0,0))*1440,0)&lt;tbl_Case_mins[[#This Row],[Surgery Finish]],tbl_Case_mins[[#This Row],[Surgery End Date]]&gt;tbl_Case_mins[[#This Row],[Surgery Start Date]]),ROUND((#REF!-TIME(0,0,0))*1440,0)+1440,ROUND((#REF!-TIME(0,0,0))*1440,0))</f>
        <v>#REF!</v>
      </c>
      <c r="U429" s="9" t="e">
        <f>IF(AND(ROUND((#REF!-TIME(0,0,0))*1440,0)&gt;0,ROUND((#REF!-TIME(0,0,0))*1440,0)&lt;tbl_Case_mins[[#This Row],[Anaesth End]],tbl_Case_mins[[#This Row],[Surgery End Date]]&gt;tbl_Case_mins[[#This Row],[Surgery Start Date]]),ROUND((#REF!-TIME(0,0,0))*1440,0)+1440,ROUND((#REF!-TIME(0,0,0))*1440,0))</f>
        <v>#REF!</v>
      </c>
      <c r="V429" s="9" t="e">
        <f>IF(AND(ROUND((#REF!-TIME(0,0,0))*1440,0)&gt;0,ROUND((#REF!-TIME(0,0,0))*1440,0)&lt;tbl_Case_mins[[#This Row],[Into Recov]],tbl_Case_mins[[#This Row],[Surgery End Date]]&gt;tbl_Case_mins[[#This Row],[Surgery Start Date]]),ROUND((#REF!-TIME(0,0,0))*1440,0)+1440,ROUND((#REF!-TIME(0,0,0))*1440,0))</f>
        <v>#REF!</v>
      </c>
      <c r="W429" s="9" t="e">
        <f>IF(AND(ROUND((#REF!-TIME(0,0,0))*1440,0)&gt;0,ROUND((#REF!-TIME(0,0,0))*1440,0)&lt;tbl_Case_mins[[#This Row],[Ward Called]],tbl_Case_mins[[#This Row],[Surgery End Date]]&gt;tbl_Case_mins[[#This Row],[Surgery Start Date]]),ROUND((#REF!-TIME(0,0,0))*1440,0)+1440,ROUND((#REF!-TIME(0,0,0))*1440,0))</f>
        <v>#REF!</v>
      </c>
      <c r="X429" s="4" t="e">
        <f>IF(ISBLANK(#REF!),tbl_Case_mins[[#This Row],[Surgery Start Date]],#REF!)</f>
        <v>#REF!</v>
      </c>
      <c r="Y429">
        <f>IFERROR(IF(VLOOKUP(tbl_Case_mins[[#This Row],[Theatre]],'Mng Theatres'!$C$7:$G$12,3,FALSE)="Yes","Yes","No"),0)</f>
        <v>0</v>
      </c>
      <c r="Z429" s="9" t="e" cm="1">
        <f t="array" ref="Z42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29" s="9" t="e" cm="1">
        <f t="array" ref="AA42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2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29" s="9" t="e">
        <f>IF(tbl_Case_mins[[#This Row],[Case Type]]="Unsch",1,0)</f>
        <v>#REF!</v>
      </c>
      <c r="AD429" s="9" t="e">
        <f>IF(tbl_Case_mins[[#This Row],[Case Type]]="Sch",1,0)</f>
        <v>#REF!</v>
      </c>
      <c r="AE42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29" s="9">
        <f>IFERROR(IF(ISBLANK(INDEX(Am_Close,MATCH(1,INDEX((tbl_Case_mins[[#This Row],[Theatre]]=Theatre_No)*(tbl_Case_mins[[#This Row],[Surgery Start Date]]=Date),0,1),0))*1440),0,INDEX(Am_Close,MATCH(1,INDEX((tbl_Case_mins[[#This Row],[Theatre]]=Theatre_No)*(tbl_Case_mins[[#This Row],[Surgery Start Date]]=Date),0,1),0))*1440),0)</f>
        <v>0</v>
      </c>
      <c r="AG429" s="9">
        <f>IFERROR(IF(ISBLANK(INDEX(PM_Open,MATCH(1,INDEX((tbl_Case_mins[[#This Row],[Theatre]]=Theatre_No)*(tbl_Case_mins[[#This Row],[Surgery Start Date]]=Date),0,1),0))*1440),0,INDEX(PM_Open,MATCH(1,INDEX((tbl_Case_mins[[#This Row],[Theatre]]=Theatre_No)*(tbl_Case_mins[[#This Row],[Surgery Start Date]]=Date),0,1),0))*1440),0)</f>
        <v>0</v>
      </c>
      <c r="AH42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29" s="9" t="e">
        <f>IF(tbl_Case_mins[[#This Row],[ThOpenAm]]=0,tbl_Case_mins[[#This Row],[ThOpenPM]],tbl_Case_mins[[#This Row],[ThOpenAm]])</f>
        <v>#REF!</v>
      </c>
      <c r="AJ429" s="9" t="e">
        <f>IF(tbl_Case_mins[[#This Row],[ThCloseAm]]&gt;0,IF(tbl_Case_mins[[#This Row],[ThOpenPM]]&gt;0,tbl_Case_mins[[#This Row],[ThClosePm]],tbl_Case_mins[[#This Row],[ThCloseAm]]),tbl_Case_mins[[#This Row],[ThClosePm]])</f>
        <v>#REF!</v>
      </c>
      <c r="AK429" s="9" t="e">
        <f>IF(tbl_Case_mins[[#This Row],[TOT]]&gt;0,1,0)</f>
        <v>#REF!</v>
      </c>
      <c r="AL42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29" s="9" t="e">
        <f>IF(AND(tbl_Case_mins[[#This Row],[Surgery Status]]&lt;&gt;2,tbl_Case_mins[[#This Row],[InCoreCase]]=0,tbl_Case_mins[[#This Row],[CancelledCase]]=0),1,0)</f>
        <v>#REF!</v>
      </c>
      <c r="AN429" s="9" t="e">
        <f>IF(tbl_Case_mins[[#This Row],[Surgery Status]]=1,1,0)</f>
        <v>#REF!</v>
      </c>
      <c r="AO42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29" s="9" t="e">
        <f>IF(AND(tbl_Case_mins[[#This Row],[NonCoreCase]]=1,tbl_Case_mins[[#This Row],[NoInCoreTime]]=0),1,0)</f>
        <v>#REF!</v>
      </c>
      <c r="AQ429" s="9" t="e">
        <f>IF(tbl_Case_mins[[#This Row],[Rank_AnaEnd]]&lt;tbl_Case_mins[[#This Row],[Rank_AnaSt]],1,0)</f>
        <v>#REF!</v>
      </c>
      <c r="AR429" s="9" t="e">
        <f>IF(AND(tbl_Case_mins[[#This Row],[InCoreCase]]=1,tbl_Case_mins[[#This Row],[Sch]]=1),1,0)</f>
        <v>#REF!</v>
      </c>
      <c r="AS429" s="9" t="e">
        <f>IF(AND(tbl_Case_mins[[#This Row],[InCoreCase]]=1,tbl_Case_mins[[#This Row],[Unsch]]=1),1,0)</f>
        <v>#REF!</v>
      </c>
      <c r="AT42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2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2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29" s="9" t="e">
        <f>IF(tbl_Case_mins[[#This Row],[Surgery Status]]=0,(tbl_Case_mins[[#This Row],[Anaesth End]]-tbl_Case_mins[[#This Row],[AnaesthStart]]),0)</f>
        <v>#REF!</v>
      </c>
      <c r="AX429" s="9" t="e">
        <f>IF(tbl_Case_mins[[#This Row],[Surgery Status]]=0,(tbl_Case_mins[[#This Row],[Surgery Finish]]-tbl_Case_mins[[#This Row],[Surgery Start]]),0)</f>
        <v>#REF!</v>
      </c>
      <c r="AY429" s="9" t="e">
        <f>tbl_Case_mins[[#This Row],[Surgery Start]]-tbl_Case_mins[[#This Row],[AnaesthStart]]</f>
        <v>#REF!</v>
      </c>
      <c r="AZ429" s="9" t="e">
        <f>tbl_Case_mins[[#This Row],[Anaesth End]]-tbl_Case_mins[[#This Row],[Surgery Finish]]</f>
        <v>#REF!</v>
      </c>
      <c r="BA42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2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29" s="16" cm="1">
        <f t="array" ref="BC42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29" s="16" t="e">
        <f>IF(AND(tbl_Case_mins[[#This Row],[FirstAMCase]]=1,tbl_Case_mins[[#This Row],[CancelledCase]]=0,OR(tbl_Case_mins[[#This Row],[EarlyStartAM]]&gt;0,tbl_Case_mins[[#This Row],[AnaesthStart]]=tbl_Case_mins[[#This Row],[ThOpenAm]])),1,0)</f>
        <v>#REF!</v>
      </c>
      <c r="BE429" s="16" t="e">
        <f>IF(AND(tbl_Case_mins[[#This Row],[Rank_AnaSt]]=tbl_Case_mins[[#This Row],[Min_RankAnaSt]],tbl_Case_mins[[#This Row],[Anaesth End]]&gt;=tbl_Case_mins[[#This Row],[ThOpenAm]],tbl_Case_mins[[#This Row],[PmCase]]=0),1,0)</f>
        <v>#REF!</v>
      </c>
      <c r="BF42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2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29" s="9" t="e" cm="1">
        <f t="array" ref="BH42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2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2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29" s="9" t="e">
        <f>IF(AND(tbl_Case_mins[[#This Row],[ThOpenPM]]&gt;0,tbl_Case_mins[[#This Row],[AnaesthStart]]&gt;tbl_Case_mins[[#This Row],[ThOpenPM]],tbl_Case_mins[[#This Row],[First PM Case]]=1),tbl_Case_mins[[#This Row],[AnaesthStart]]-tbl_Case_mins[[#This Row],[ThOpenPM]],0)</f>
        <v>#REF!</v>
      </c>
      <c r="BL42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2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29" s="9" t="e" cm="1">
        <f t="array" ref="BN42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29" s="9" t="e">
        <f>IF(AND(tbl_Case_mins[[#This Row],[ThClosePm]]&gt;0,tbl_Case_mins[[#This Row],[Anaesth End]]&gt;tbl_Case_mins[[#This Row],[ThClosePm]],tbl_Case_mins[[#This Row],[AnaesthStart]]&gt;tbl_Case_mins[[#This Row],[ThClosePm]]),tbl_Case_mins[[#This Row],[Into Recov]]-tbl_Case_mins[[#This Row],[AnaesthStart]],0)</f>
        <v>#REF!</v>
      </c>
      <c r="BP429" s="9" t="e">
        <f>IF(AND(tbl_Case_mins[[#This Row],[AnaesthStart]]&lt;tbl_Case_mins[[#This Row],[ThClosePm]],tbl_Case_mins[[#This Row],[Anaesth End]]&gt;tbl_Case_mins[[#This Row],[ThClosePm]]),tbl_Case_mins[[#This Row],[Anaesth End]]-tbl_Case_mins[[#This Row],[ThClosePm]],0)</f>
        <v>#REF!</v>
      </c>
      <c r="BQ429" s="9" t="e" cm="1">
        <f t="array" ref="BQ42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29" s="9" t="e" cm="1">
        <f t="array" ref="BR429">IF(tbl_Case_mins[[#This Row],[Rank_Adjust]]=SUMPRODUCT(-(tbl_Case_mins[Surgery Start Date]=tbl_Case_mins[[#This Row],[Surgery Start Date]]),-(tbl_Case_mins[Theatre]=tbl_Case_mins[[#This Row],[Theatre]])),INDEX(Poss_Time,MATCH(TEXT(tbl_Case_mins[[#This Row],[Surgery Start Date]],"ddd"),Day,0)),0)</f>
        <v>#REF!</v>
      </c>
      <c r="BS429" s="9" t="e">
        <f>tbl_Case_mins[[#This Row],[Core_Time]]*Util_Goal</f>
        <v>#REF!</v>
      </c>
      <c r="BT429" s="9" t="e" cm="1">
        <f t="array" ref="BT4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29" s="9" t="e" cm="1">
        <f t="array" ref="BU42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2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2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29" s="9" t="e">
        <f>IF(tbl_Case_mins[[#This Row],[Surgery End Date]]&gt;tbl_Case_mins[[#This Row],[Surgery Start Date]],tbl_Case_mins[[#This Row],[Anaesth End]]-1440,0)</f>
        <v>#REF!</v>
      </c>
      <c r="BY429" s="9" t="e">
        <f>tbl_Case_mins[[#This Row],[Total_NonCore]]-tbl_Case_mins[[#This Row],[NextDay_NonCore]]</f>
        <v>#REF!</v>
      </c>
      <c r="BZ429" s="10" t="e">
        <f>tbl_Case_mins[[#This Row],[InCoreUse]]/60</f>
        <v>#REF!</v>
      </c>
      <c r="CA429" s="10" t="e">
        <f>tbl_Case_mins[[#This Row],[Total_NonCore]]/60</f>
        <v>#REF!</v>
      </c>
      <c r="CB429" t="e" cm="1">
        <f t="array" ref="CB4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29" s="9" t="e" cm="1">
        <f t="array" ref="CC42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29" s="9" t="e" cm="1">
        <f t="array" ref="CD42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29" s="9" t="e" cm="1">
        <f t="array" ref="CE42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29" s="9" cm="1">
        <f t="array" ref="CF429">IFERROR(_xlfn.AGGREGATE(14,6,(tbl_Case_mins[Rank_AnaEnd])/((tbl_Case_mins[Surgery Start Date]=tbl_Case_mins[[#This Row],[Surgery Start Date]])*(tbl_Case_mins[Theatre]=tbl_Case_mins[[#This Row],[Theatre]])*(tbl_Case_mins[NoInCoreTime]=0)),1),-1)</f>
        <v>-1</v>
      </c>
      <c r="CG429" s="9" cm="1">
        <f t="array" ref="CG429">IFERROR(_xlfn.AGGREGATE(15,6,(tbl_Case_mins[Rank_AnaSt])/((tbl_Case_mins[Surgery Start Date]=tbl_Case_mins[[#This Row],[Surgery Start Date]])*(tbl_Case_mins[Theatre]=tbl_Case_mins[[#This Row],[Theatre]])*(tbl_Case_mins[NoInCoreTime]=0)),1),-1)</f>
        <v>-1</v>
      </c>
      <c r="CH42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2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29" t="e" cm="1">
        <f t="array" ref="CJ42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2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2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2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29" s="9" cm="1">
        <f t="array" ref="CO4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29" s="9" cm="1">
        <f t="array" ref="CP42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29" s="9" cm="1">
        <f t="array" ref="CQ429">IFERROR(IF(AND(tbl_Case_mins[[#This Row],[FirstAMCase]]=0,tbl_Case_mins[[#This Row],[Rank]]=_xlfn.AGGREGATE(14,6,(tbl_Case_mins[Rank])/((tbl_Case_mins[Surgery Start Date]=tbl_Case_mins[[#This Row],[Surgery Start Date]])*(tbl_Case_mins[Theatre]=tbl_Case_mins[[#This Row],[Theatre]])*(tbl_Case_mins[AmCase]=1)),1)),1,0),0)</f>
        <v>0</v>
      </c>
      <c r="CR429" s="9" cm="1">
        <f t="array" ref="CR42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29" s="9" t="e" cm="1">
        <f t="array" ref="CS42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29" s="9" cm="1">
        <f t="array" ref="CT429">IFERROR(IF(tbl_Case_mins[[#This Row],[Rank]]=_xlfn.AGGREGATE(15,6,(tbl_Case_mins[Rank])/((tbl_Case_mins[Surgery Start Date]=tbl_Case_mins[[#This Row],[Surgery Start Date]])*(tbl_Case_mins[Theatre]=tbl_Case_mins[[#This Row],[Theatre]])*(tbl_Case_mins[PmCase]=1)),1),1,0),0)</f>
        <v>0</v>
      </c>
      <c r="CU429">
        <f>IFERROR(#REF!,0)</f>
        <v>0</v>
      </c>
      <c r="CV429" s="9" t="e" cm="1">
        <f t="array" ref="CV42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29" s="9">
        <f>IFERROR(IF(ISBLANK(INDEX(Bay_AmClose,MATCH(1,INDEX((tbl_Case_mins[[#This Row],[Bay]]=BayNo)*(tbl_Case_mins[[#This Row],[Surgery Start Date]]=BDate),0,1),0))*1440),0,INDEX(Bay_AmClose,MATCH(1,INDEX((tbl_Case_mins[[#This Row],[Bay]]=BayNo)*(tbl_Case_mins[[#This Row],[Surgery Start Date]]=BDate),0,1),0))*1440),0)</f>
        <v>0</v>
      </c>
      <c r="CX429" s="9" cm="1">
        <f t="array" ref="CX429">IFERROR(IF(ISBLANK(INDEX(Bay_PmOpen,MATCH(1,INDEX((tbl_Case_mins[[#This Row],[Bay]]=BayNo)*(tbl_Case_mins[[#This Row],[Surgery Start Date]]=BDate),0,1),0))*1440),0,INDEX(Bay_PmOpen,MATCH(1,INDEX((tbl_Case_mins[[#This Row],[Bay]]=BayNo)*(tbl_Case_mins[[#This Row],[Surgery Start Date]]=BDate),0,1),0))*1440),0)</f>
        <v>0</v>
      </c>
      <c r="CY42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29" s="9"/>
    </row>
    <row r="430" spans="1:104" x14ac:dyDescent="0.2">
      <c r="A430">
        <v>429</v>
      </c>
      <c r="B430" t="e">
        <f>#REF!</f>
        <v>#REF!</v>
      </c>
      <c r="C430" t="e">
        <f>#REF!</f>
        <v>#REF!</v>
      </c>
      <c r="D430" t="e">
        <f>#REF!</f>
        <v>#REF!</v>
      </c>
      <c r="E430" t="e">
        <f>#REF!</f>
        <v>#REF!</v>
      </c>
      <c r="F430" t="e">
        <f>#REF!</f>
        <v>#REF!</v>
      </c>
      <c r="G430" t="e">
        <f>#REF!</f>
        <v>#REF!</v>
      </c>
      <c r="H430" t="e">
        <f>#REF!</f>
        <v>#REF!</v>
      </c>
      <c r="I430" t="e">
        <f>IF(#REF!="Case Cancelled",1,IF(#REF!="No Cases",2,0))</f>
        <v>#REF!</v>
      </c>
      <c r="J430" t="e">
        <f>#REF!</f>
        <v>#REF!</v>
      </c>
      <c r="K430" s="4" t="e">
        <f>#REF!</f>
        <v>#REF!</v>
      </c>
      <c r="L430" t="e">
        <f>"Wk "&amp;WEEKNUM(tbl_Case_mins[[#This Row],[Surgery Start Date]],21)</f>
        <v>#REF!</v>
      </c>
      <c r="M430" t="e">
        <f>TEXT(tbl_Case_mins[[#This Row],[Surgery Start Date]],"ddd")</f>
        <v>#REF!</v>
      </c>
      <c r="N430" s="9" t="e">
        <f>(#REF!-TIME(0,0,0))*1440</f>
        <v>#REF!</v>
      </c>
      <c r="O430" t="e">
        <f>IF(AND(ROUND((#REF!-TIME(0,0,0))*1440,0)&gt;0,ROUND((#REF!-TIME(0,0,0))*1440,0)&lt;tbl_Case_mins[[#This Row],[Patient Called]],tbl_Case_mins[[#This Row],[Surgery End Date]]&gt;tbl_Case_mins[[#This Row],[Surgery Start Date]]),ROUND((#REF!-TIME(0,0,0))*1440,0)+1440,ROUND((#REF!-TIME(0,0,0))*1440,0))</f>
        <v>#REF!</v>
      </c>
      <c r="P430" s="9" t="e">
        <f>IF(AND(ROUND((#REF!-TIME(0,0,0))*1440,0)&gt;0,ROUND((#REF!-TIME(0,0,0))*1440,0)&lt;tbl_Case_mins[[#This Row],[Arrival]],tbl_Case_mins[[#This Row],[Surgery End Date]]&gt;tbl_Case_mins[[#This Row],[Surgery Start Date]]),ROUND((#REF!-TIME(0,0,0))*1440,0)+1440,ROUND((#REF!-TIME(0,0,0))*1440,0))</f>
        <v>#REF!</v>
      </c>
      <c r="Q430" s="9" t="e">
        <f>IF(AND(ROUND((#REF!-TIME(0,0,0))*1440,0)&gt;0,ROUND((#REF!-TIME(0,0,0))*1440,0)&lt;tbl_Case_mins[[#This Row],[Into Th or AR]],tbl_Case_mins[[#This Row],[Surgery End Date]]&gt;tbl_Case_mins[[#This Row],[Surgery Start Date]]),ROUND((#REF!-TIME(0,0,0))*1440,0)+1440,ROUND((#REF!-TIME(0,0,0))*1440,0))</f>
        <v>#REF!</v>
      </c>
      <c r="R430" s="9" t="e">
        <f>IF(AND(ROUND((#REF!-TIME(0,0,0))*1440,0)&gt;0,ROUND((#REF!-TIME(0,0,0))*1440,0)&lt;tbl_Case_mins[[#This Row],[AnaesthStart]],tbl_Case_mins[[#This Row],[Surgery End Date]]&gt;tbl_Case_mins[[#This Row],[Surgery Start Date]]),ROUND((#REF!-TIME(0,0,0))*1440,0)+1440,ROUND((#REF!-TIME(0,0,0))*1440,0))</f>
        <v>#REF!</v>
      </c>
      <c r="S430" s="9" t="e">
        <f>IF(AND(ROUND((#REF!-TIME(0,0,0))*1440,0),ROUND((#REF!-TIME(0,0,0))*1440,0)&lt;tbl_Case_mins[[#This Row],[Surgery Start]],tbl_Case_mins[[#This Row],[Surgery End Date]]&gt;tbl_Case_mins[[#This Row],[Surgery Start Date]]),ROUND((#REF!-TIME(0,0,0))*1440,0)+1440,ROUND((#REF!-TIME(0,0,0))*1440,0))</f>
        <v>#REF!</v>
      </c>
      <c r="T430" s="9" t="e">
        <f>IF(AND(ROUND((#REF!-TIME(0,0,0))*1440,0)&gt;0,ROUND((#REF!-TIME(0,0,0))*1440,0)&lt;tbl_Case_mins[[#This Row],[Surgery Finish]],tbl_Case_mins[[#This Row],[Surgery End Date]]&gt;tbl_Case_mins[[#This Row],[Surgery Start Date]]),ROUND((#REF!-TIME(0,0,0))*1440,0)+1440,ROUND((#REF!-TIME(0,0,0))*1440,0))</f>
        <v>#REF!</v>
      </c>
      <c r="U430" s="9" t="e">
        <f>IF(AND(ROUND((#REF!-TIME(0,0,0))*1440,0)&gt;0,ROUND((#REF!-TIME(0,0,0))*1440,0)&lt;tbl_Case_mins[[#This Row],[Anaesth End]],tbl_Case_mins[[#This Row],[Surgery End Date]]&gt;tbl_Case_mins[[#This Row],[Surgery Start Date]]),ROUND((#REF!-TIME(0,0,0))*1440,0)+1440,ROUND((#REF!-TIME(0,0,0))*1440,0))</f>
        <v>#REF!</v>
      </c>
      <c r="V430" s="9" t="e">
        <f>IF(AND(ROUND((#REF!-TIME(0,0,0))*1440,0)&gt;0,ROUND((#REF!-TIME(0,0,0))*1440,0)&lt;tbl_Case_mins[[#This Row],[Into Recov]],tbl_Case_mins[[#This Row],[Surgery End Date]]&gt;tbl_Case_mins[[#This Row],[Surgery Start Date]]),ROUND((#REF!-TIME(0,0,0))*1440,0)+1440,ROUND((#REF!-TIME(0,0,0))*1440,0))</f>
        <v>#REF!</v>
      </c>
      <c r="W430" s="9" t="e">
        <f>IF(AND(ROUND((#REF!-TIME(0,0,0))*1440,0)&gt;0,ROUND((#REF!-TIME(0,0,0))*1440,0)&lt;tbl_Case_mins[[#This Row],[Ward Called]],tbl_Case_mins[[#This Row],[Surgery End Date]]&gt;tbl_Case_mins[[#This Row],[Surgery Start Date]]),ROUND((#REF!-TIME(0,0,0))*1440,0)+1440,ROUND((#REF!-TIME(0,0,0))*1440,0))</f>
        <v>#REF!</v>
      </c>
      <c r="X430" s="4" t="e">
        <f>IF(ISBLANK(#REF!),tbl_Case_mins[[#This Row],[Surgery Start Date]],#REF!)</f>
        <v>#REF!</v>
      </c>
      <c r="Y430">
        <f>IFERROR(IF(VLOOKUP(tbl_Case_mins[[#This Row],[Theatre]],'Mng Theatres'!$C$7:$G$12,3,FALSE)="Yes","Yes","No"),0)</f>
        <v>0</v>
      </c>
      <c r="Z430" s="9" t="e" cm="1">
        <f t="array" ref="Z43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0" s="9" t="e" cm="1">
        <f t="array" ref="AA43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0" s="9" t="e">
        <f>IF(tbl_Case_mins[[#This Row],[Case Type]]="Unsch",1,0)</f>
        <v>#REF!</v>
      </c>
      <c r="AD430" s="9" t="e">
        <f>IF(tbl_Case_mins[[#This Row],[Case Type]]="Sch",1,0)</f>
        <v>#REF!</v>
      </c>
      <c r="AE43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0" s="9">
        <f>IFERROR(IF(ISBLANK(INDEX(Am_Close,MATCH(1,INDEX((tbl_Case_mins[[#This Row],[Theatre]]=Theatre_No)*(tbl_Case_mins[[#This Row],[Surgery Start Date]]=Date),0,1),0))*1440),0,INDEX(Am_Close,MATCH(1,INDEX((tbl_Case_mins[[#This Row],[Theatre]]=Theatre_No)*(tbl_Case_mins[[#This Row],[Surgery Start Date]]=Date),0,1),0))*1440),0)</f>
        <v>0</v>
      </c>
      <c r="AG430" s="9">
        <f>IFERROR(IF(ISBLANK(INDEX(PM_Open,MATCH(1,INDEX((tbl_Case_mins[[#This Row],[Theatre]]=Theatre_No)*(tbl_Case_mins[[#This Row],[Surgery Start Date]]=Date),0,1),0))*1440),0,INDEX(PM_Open,MATCH(1,INDEX((tbl_Case_mins[[#This Row],[Theatre]]=Theatre_No)*(tbl_Case_mins[[#This Row],[Surgery Start Date]]=Date),0,1),0))*1440),0)</f>
        <v>0</v>
      </c>
      <c r="AH43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0" s="9" t="e">
        <f>IF(tbl_Case_mins[[#This Row],[ThOpenAm]]=0,tbl_Case_mins[[#This Row],[ThOpenPM]],tbl_Case_mins[[#This Row],[ThOpenAm]])</f>
        <v>#REF!</v>
      </c>
      <c r="AJ430" s="9" t="e">
        <f>IF(tbl_Case_mins[[#This Row],[ThCloseAm]]&gt;0,IF(tbl_Case_mins[[#This Row],[ThOpenPM]]&gt;0,tbl_Case_mins[[#This Row],[ThClosePm]],tbl_Case_mins[[#This Row],[ThCloseAm]]),tbl_Case_mins[[#This Row],[ThClosePm]])</f>
        <v>#REF!</v>
      </c>
      <c r="AK430" s="9" t="e">
        <f>IF(tbl_Case_mins[[#This Row],[TOT]]&gt;0,1,0)</f>
        <v>#REF!</v>
      </c>
      <c r="AL43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0" s="9" t="e">
        <f>IF(AND(tbl_Case_mins[[#This Row],[Surgery Status]]&lt;&gt;2,tbl_Case_mins[[#This Row],[InCoreCase]]=0,tbl_Case_mins[[#This Row],[CancelledCase]]=0),1,0)</f>
        <v>#REF!</v>
      </c>
      <c r="AN430" s="9" t="e">
        <f>IF(tbl_Case_mins[[#This Row],[Surgery Status]]=1,1,0)</f>
        <v>#REF!</v>
      </c>
      <c r="AO43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0" s="9" t="e">
        <f>IF(AND(tbl_Case_mins[[#This Row],[NonCoreCase]]=1,tbl_Case_mins[[#This Row],[NoInCoreTime]]=0),1,0)</f>
        <v>#REF!</v>
      </c>
      <c r="AQ430" s="9" t="e">
        <f>IF(tbl_Case_mins[[#This Row],[Rank_AnaEnd]]&lt;tbl_Case_mins[[#This Row],[Rank_AnaSt]],1,0)</f>
        <v>#REF!</v>
      </c>
      <c r="AR430" s="9" t="e">
        <f>IF(AND(tbl_Case_mins[[#This Row],[InCoreCase]]=1,tbl_Case_mins[[#This Row],[Sch]]=1),1,0)</f>
        <v>#REF!</v>
      </c>
      <c r="AS430" s="9" t="e">
        <f>IF(AND(tbl_Case_mins[[#This Row],[InCoreCase]]=1,tbl_Case_mins[[#This Row],[Unsch]]=1),1,0)</f>
        <v>#REF!</v>
      </c>
      <c r="AT43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0" s="9" t="e">
        <f>IF(tbl_Case_mins[[#This Row],[Surgery Status]]=0,(tbl_Case_mins[[#This Row],[Anaesth End]]-tbl_Case_mins[[#This Row],[AnaesthStart]]),0)</f>
        <v>#REF!</v>
      </c>
      <c r="AX430" s="9" t="e">
        <f>IF(tbl_Case_mins[[#This Row],[Surgery Status]]=0,(tbl_Case_mins[[#This Row],[Surgery Finish]]-tbl_Case_mins[[#This Row],[Surgery Start]]),0)</f>
        <v>#REF!</v>
      </c>
      <c r="AY430" s="9" t="e">
        <f>tbl_Case_mins[[#This Row],[Surgery Start]]-tbl_Case_mins[[#This Row],[AnaesthStart]]</f>
        <v>#REF!</v>
      </c>
      <c r="AZ430" s="9" t="e">
        <f>tbl_Case_mins[[#This Row],[Anaesth End]]-tbl_Case_mins[[#This Row],[Surgery Finish]]</f>
        <v>#REF!</v>
      </c>
      <c r="BA43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0" s="16" cm="1">
        <f t="array" ref="BC43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0" s="16" t="e">
        <f>IF(AND(tbl_Case_mins[[#This Row],[FirstAMCase]]=1,tbl_Case_mins[[#This Row],[CancelledCase]]=0,OR(tbl_Case_mins[[#This Row],[EarlyStartAM]]&gt;0,tbl_Case_mins[[#This Row],[AnaesthStart]]=tbl_Case_mins[[#This Row],[ThOpenAm]])),1,0)</f>
        <v>#REF!</v>
      </c>
      <c r="BE430" s="16" t="e">
        <f>IF(AND(tbl_Case_mins[[#This Row],[Rank_AnaSt]]=tbl_Case_mins[[#This Row],[Min_RankAnaSt]],tbl_Case_mins[[#This Row],[Anaesth End]]&gt;=tbl_Case_mins[[#This Row],[ThOpenAm]],tbl_Case_mins[[#This Row],[PmCase]]=0),1,0)</f>
        <v>#REF!</v>
      </c>
      <c r="BF43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0" s="9" t="e" cm="1">
        <f t="array" ref="BH43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0" s="9" t="e">
        <f>IF(AND(tbl_Case_mins[[#This Row],[ThOpenPM]]&gt;0,tbl_Case_mins[[#This Row],[AnaesthStart]]&gt;tbl_Case_mins[[#This Row],[ThOpenPM]],tbl_Case_mins[[#This Row],[First PM Case]]=1),tbl_Case_mins[[#This Row],[AnaesthStart]]-tbl_Case_mins[[#This Row],[ThOpenPM]],0)</f>
        <v>#REF!</v>
      </c>
      <c r="BL43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0" s="9" t="e" cm="1">
        <f t="array" ref="BN43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0" s="9" t="e">
        <f>IF(AND(tbl_Case_mins[[#This Row],[ThClosePm]]&gt;0,tbl_Case_mins[[#This Row],[Anaesth End]]&gt;tbl_Case_mins[[#This Row],[ThClosePm]],tbl_Case_mins[[#This Row],[AnaesthStart]]&gt;tbl_Case_mins[[#This Row],[ThClosePm]]),tbl_Case_mins[[#This Row],[Into Recov]]-tbl_Case_mins[[#This Row],[AnaesthStart]],0)</f>
        <v>#REF!</v>
      </c>
      <c r="BP430" s="9" t="e">
        <f>IF(AND(tbl_Case_mins[[#This Row],[AnaesthStart]]&lt;tbl_Case_mins[[#This Row],[ThClosePm]],tbl_Case_mins[[#This Row],[Anaesth End]]&gt;tbl_Case_mins[[#This Row],[ThClosePm]]),tbl_Case_mins[[#This Row],[Anaesth End]]-tbl_Case_mins[[#This Row],[ThClosePm]],0)</f>
        <v>#REF!</v>
      </c>
      <c r="BQ430" s="9" t="e" cm="1">
        <f t="array" ref="BQ43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0" s="9" t="e" cm="1">
        <f t="array" ref="BR430">IF(tbl_Case_mins[[#This Row],[Rank_Adjust]]=SUMPRODUCT(-(tbl_Case_mins[Surgery Start Date]=tbl_Case_mins[[#This Row],[Surgery Start Date]]),-(tbl_Case_mins[Theatre]=tbl_Case_mins[[#This Row],[Theatre]])),INDEX(Poss_Time,MATCH(TEXT(tbl_Case_mins[[#This Row],[Surgery Start Date]],"ddd"),Day,0)),0)</f>
        <v>#REF!</v>
      </c>
      <c r="BS430" s="9" t="e">
        <f>tbl_Case_mins[[#This Row],[Core_Time]]*Util_Goal</f>
        <v>#REF!</v>
      </c>
      <c r="BT430" s="9" t="e" cm="1">
        <f t="array" ref="BT4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0" s="9" t="e" cm="1">
        <f t="array" ref="BU43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0" s="9" t="e">
        <f>IF(tbl_Case_mins[[#This Row],[Surgery End Date]]&gt;tbl_Case_mins[[#This Row],[Surgery Start Date]],tbl_Case_mins[[#This Row],[Anaesth End]]-1440,0)</f>
        <v>#REF!</v>
      </c>
      <c r="BY430" s="9" t="e">
        <f>tbl_Case_mins[[#This Row],[Total_NonCore]]-tbl_Case_mins[[#This Row],[NextDay_NonCore]]</f>
        <v>#REF!</v>
      </c>
      <c r="BZ430" s="10" t="e">
        <f>tbl_Case_mins[[#This Row],[InCoreUse]]/60</f>
        <v>#REF!</v>
      </c>
      <c r="CA430" s="10" t="e">
        <f>tbl_Case_mins[[#This Row],[Total_NonCore]]/60</f>
        <v>#REF!</v>
      </c>
      <c r="CB430" t="e" cm="1">
        <f t="array" ref="CB4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0" s="9" t="e" cm="1">
        <f t="array" ref="CC43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0" s="9" t="e" cm="1">
        <f t="array" ref="CD43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0" s="9" t="e" cm="1">
        <f t="array" ref="CE43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0" s="9" cm="1">
        <f t="array" ref="CF430">IFERROR(_xlfn.AGGREGATE(14,6,(tbl_Case_mins[Rank_AnaEnd])/((tbl_Case_mins[Surgery Start Date]=tbl_Case_mins[[#This Row],[Surgery Start Date]])*(tbl_Case_mins[Theatre]=tbl_Case_mins[[#This Row],[Theatre]])*(tbl_Case_mins[NoInCoreTime]=0)),1),-1)</f>
        <v>-1</v>
      </c>
      <c r="CG430" s="9" cm="1">
        <f t="array" ref="CG430">IFERROR(_xlfn.AGGREGATE(15,6,(tbl_Case_mins[Rank_AnaSt])/((tbl_Case_mins[Surgery Start Date]=tbl_Case_mins[[#This Row],[Surgery Start Date]])*(tbl_Case_mins[Theatre]=tbl_Case_mins[[#This Row],[Theatre]])*(tbl_Case_mins[NoInCoreTime]=0)),1),-1)</f>
        <v>-1</v>
      </c>
      <c r="CH43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0" t="e" cm="1">
        <f t="array" ref="CJ43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0" s="9" cm="1">
        <f t="array" ref="CO4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0" s="9" cm="1">
        <f t="array" ref="CP43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0" s="9" cm="1">
        <f t="array" ref="CQ430">IFERROR(IF(AND(tbl_Case_mins[[#This Row],[FirstAMCase]]=0,tbl_Case_mins[[#This Row],[Rank]]=_xlfn.AGGREGATE(14,6,(tbl_Case_mins[Rank])/((tbl_Case_mins[Surgery Start Date]=tbl_Case_mins[[#This Row],[Surgery Start Date]])*(tbl_Case_mins[Theatre]=tbl_Case_mins[[#This Row],[Theatre]])*(tbl_Case_mins[AmCase]=1)),1)),1,0),0)</f>
        <v>0</v>
      </c>
      <c r="CR430" s="9" cm="1">
        <f t="array" ref="CR43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0" s="9" t="e" cm="1">
        <f t="array" ref="CS43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0" s="9" cm="1">
        <f t="array" ref="CT430">IFERROR(IF(tbl_Case_mins[[#This Row],[Rank]]=_xlfn.AGGREGATE(15,6,(tbl_Case_mins[Rank])/((tbl_Case_mins[Surgery Start Date]=tbl_Case_mins[[#This Row],[Surgery Start Date]])*(tbl_Case_mins[Theatre]=tbl_Case_mins[[#This Row],[Theatre]])*(tbl_Case_mins[PmCase]=1)),1),1,0),0)</f>
        <v>0</v>
      </c>
      <c r="CU430">
        <f>IFERROR(#REF!,0)</f>
        <v>0</v>
      </c>
      <c r="CV430" s="9" t="e" cm="1">
        <f t="array" ref="CV43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0" s="9">
        <f>IFERROR(IF(ISBLANK(INDEX(Bay_AmClose,MATCH(1,INDEX((tbl_Case_mins[[#This Row],[Bay]]=BayNo)*(tbl_Case_mins[[#This Row],[Surgery Start Date]]=BDate),0,1),0))*1440),0,INDEX(Bay_AmClose,MATCH(1,INDEX((tbl_Case_mins[[#This Row],[Bay]]=BayNo)*(tbl_Case_mins[[#This Row],[Surgery Start Date]]=BDate),0,1),0))*1440),0)</f>
        <v>0</v>
      </c>
      <c r="CX430" s="9" cm="1">
        <f t="array" ref="CX430">IFERROR(IF(ISBLANK(INDEX(Bay_PmOpen,MATCH(1,INDEX((tbl_Case_mins[[#This Row],[Bay]]=BayNo)*(tbl_Case_mins[[#This Row],[Surgery Start Date]]=BDate),0,1),0))*1440),0,INDEX(Bay_PmOpen,MATCH(1,INDEX((tbl_Case_mins[[#This Row],[Bay]]=BayNo)*(tbl_Case_mins[[#This Row],[Surgery Start Date]]=BDate),0,1),0))*1440),0)</f>
        <v>0</v>
      </c>
      <c r="CY43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0" s="9"/>
    </row>
    <row r="431" spans="1:104" x14ac:dyDescent="0.2">
      <c r="A431">
        <v>430</v>
      </c>
      <c r="B431" t="e">
        <f>#REF!</f>
        <v>#REF!</v>
      </c>
      <c r="C431" t="e">
        <f>#REF!</f>
        <v>#REF!</v>
      </c>
      <c r="D431" t="e">
        <f>#REF!</f>
        <v>#REF!</v>
      </c>
      <c r="E431" t="e">
        <f>#REF!</f>
        <v>#REF!</v>
      </c>
      <c r="F431" t="e">
        <f>#REF!</f>
        <v>#REF!</v>
      </c>
      <c r="G431" t="e">
        <f>#REF!</f>
        <v>#REF!</v>
      </c>
      <c r="H431" t="e">
        <f>#REF!</f>
        <v>#REF!</v>
      </c>
      <c r="I431" t="e">
        <f>IF(#REF!="Case Cancelled",1,IF(#REF!="No Cases",2,0))</f>
        <v>#REF!</v>
      </c>
      <c r="J431" t="e">
        <f>#REF!</f>
        <v>#REF!</v>
      </c>
      <c r="K431" s="4" t="e">
        <f>#REF!</f>
        <v>#REF!</v>
      </c>
      <c r="L431" t="e">
        <f>"Wk "&amp;WEEKNUM(tbl_Case_mins[[#This Row],[Surgery Start Date]],21)</f>
        <v>#REF!</v>
      </c>
      <c r="M431" t="e">
        <f>TEXT(tbl_Case_mins[[#This Row],[Surgery Start Date]],"ddd")</f>
        <v>#REF!</v>
      </c>
      <c r="N431" s="9" t="e">
        <f>(#REF!-TIME(0,0,0))*1440</f>
        <v>#REF!</v>
      </c>
      <c r="O431" t="e">
        <f>IF(AND(ROUND((#REF!-TIME(0,0,0))*1440,0)&gt;0,ROUND((#REF!-TIME(0,0,0))*1440,0)&lt;tbl_Case_mins[[#This Row],[Patient Called]],tbl_Case_mins[[#This Row],[Surgery End Date]]&gt;tbl_Case_mins[[#This Row],[Surgery Start Date]]),ROUND((#REF!-TIME(0,0,0))*1440,0)+1440,ROUND((#REF!-TIME(0,0,0))*1440,0))</f>
        <v>#REF!</v>
      </c>
      <c r="P431" s="9" t="e">
        <f>IF(AND(ROUND((#REF!-TIME(0,0,0))*1440,0)&gt;0,ROUND((#REF!-TIME(0,0,0))*1440,0)&lt;tbl_Case_mins[[#This Row],[Arrival]],tbl_Case_mins[[#This Row],[Surgery End Date]]&gt;tbl_Case_mins[[#This Row],[Surgery Start Date]]),ROUND((#REF!-TIME(0,0,0))*1440,0)+1440,ROUND((#REF!-TIME(0,0,0))*1440,0))</f>
        <v>#REF!</v>
      </c>
      <c r="Q431" s="9" t="e">
        <f>IF(AND(ROUND((#REF!-TIME(0,0,0))*1440,0)&gt;0,ROUND((#REF!-TIME(0,0,0))*1440,0)&lt;tbl_Case_mins[[#This Row],[Into Th or AR]],tbl_Case_mins[[#This Row],[Surgery End Date]]&gt;tbl_Case_mins[[#This Row],[Surgery Start Date]]),ROUND((#REF!-TIME(0,0,0))*1440,0)+1440,ROUND((#REF!-TIME(0,0,0))*1440,0))</f>
        <v>#REF!</v>
      </c>
      <c r="R431" s="9" t="e">
        <f>IF(AND(ROUND((#REF!-TIME(0,0,0))*1440,0)&gt;0,ROUND((#REF!-TIME(0,0,0))*1440,0)&lt;tbl_Case_mins[[#This Row],[AnaesthStart]],tbl_Case_mins[[#This Row],[Surgery End Date]]&gt;tbl_Case_mins[[#This Row],[Surgery Start Date]]),ROUND((#REF!-TIME(0,0,0))*1440,0)+1440,ROUND((#REF!-TIME(0,0,0))*1440,0))</f>
        <v>#REF!</v>
      </c>
      <c r="S431" s="9" t="e">
        <f>IF(AND(ROUND((#REF!-TIME(0,0,0))*1440,0),ROUND((#REF!-TIME(0,0,0))*1440,0)&lt;tbl_Case_mins[[#This Row],[Surgery Start]],tbl_Case_mins[[#This Row],[Surgery End Date]]&gt;tbl_Case_mins[[#This Row],[Surgery Start Date]]),ROUND((#REF!-TIME(0,0,0))*1440,0)+1440,ROUND((#REF!-TIME(0,0,0))*1440,0))</f>
        <v>#REF!</v>
      </c>
      <c r="T431" s="9" t="e">
        <f>IF(AND(ROUND((#REF!-TIME(0,0,0))*1440,0)&gt;0,ROUND((#REF!-TIME(0,0,0))*1440,0)&lt;tbl_Case_mins[[#This Row],[Surgery Finish]],tbl_Case_mins[[#This Row],[Surgery End Date]]&gt;tbl_Case_mins[[#This Row],[Surgery Start Date]]),ROUND((#REF!-TIME(0,0,0))*1440,0)+1440,ROUND((#REF!-TIME(0,0,0))*1440,0))</f>
        <v>#REF!</v>
      </c>
      <c r="U431" s="9" t="e">
        <f>IF(AND(ROUND((#REF!-TIME(0,0,0))*1440,0)&gt;0,ROUND((#REF!-TIME(0,0,0))*1440,0)&lt;tbl_Case_mins[[#This Row],[Anaesth End]],tbl_Case_mins[[#This Row],[Surgery End Date]]&gt;tbl_Case_mins[[#This Row],[Surgery Start Date]]),ROUND((#REF!-TIME(0,0,0))*1440,0)+1440,ROUND((#REF!-TIME(0,0,0))*1440,0))</f>
        <v>#REF!</v>
      </c>
      <c r="V431" s="9" t="e">
        <f>IF(AND(ROUND((#REF!-TIME(0,0,0))*1440,0)&gt;0,ROUND((#REF!-TIME(0,0,0))*1440,0)&lt;tbl_Case_mins[[#This Row],[Into Recov]],tbl_Case_mins[[#This Row],[Surgery End Date]]&gt;tbl_Case_mins[[#This Row],[Surgery Start Date]]),ROUND((#REF!-TIME(0,0,0))*1440,0)+1440,ROUND((#REF!-TIME(0,0,0))*1440,0))</f>
        <v>#REF!</v>
      </c>
      <c r="W431" s="9" t="e">
        <f>IF(AND(ROUND((#REF!-TIME(0,0,0))*1440,0)&gt;0,ROUND((#REF!-TIME(0,0,0))*1440,0)&lt;tbl_Case_mins[[#This Row],[Ward Called]],tbl_Case_mins[[#This Row],[Surgery End Date]]&gt;tbl_Case_mins[[#This Row],[Surgery Start Date]]),ROUND((#REF!-TIME(0,0,0))*1440,0)+1440,ROUND((#REF!-TIME(0,0,0))*1440,0))</f>
        <v>#REF!</v>
      </c>
      <c r="X431" s="4" t="e">
        <f>IF(ISBLANK(#REF!),tbl_Case_mins[[#This Row],[Surgery Start Date]],#REF!)</f>
        <v>#REF!</v>
      </c>
      <c r="Y431">
        <f>IFERROR(IF(VLOOKUP(tbl_Case_mins[[#This Row],[Theatre]],'Mng Theatres'!$C$7:$G$12,3,FALSE)="Yes","Yes","No"),0)</f>
        <v>0</v>
      </c>
      <c r="Z431" s="9" t="e" cm="1">
        <f t="array" ref="Z43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1" s="9" t="e" cm="1">
        <f t="array" ref="AA43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1" s="9" t="e">
        <f>IF(tbl_Case_mins[[#This Row],[Case Type]]="Unsch",1,0)</f>
        <v>#REF!</v>
      </c>
      <c r="AD431" s="9" t="e">
        <f>IF(tbl_Case_mins[[#This Row],[Case Type]]="Sch",1,0)</f>
        <v>#REF!</v>
      </c>
      <c r="AE43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1" s="9">
        <f>IFERROR(IF(ISBLANK(INDEX(Am_Close,MATCH(1,INDEX((tbl_Case_mins[[#This Row],[Theatre]]=Theatre_No)*(tbl_Case_mins[[#This Row],[Surgery Start Date]]=Date),0,1),0))*1440),0,INDEX(Am_Close,MATCH(1,INDEX((tbl_Case_mins[[#This Row],[Theatre]]=Theatre_No)*(tbl_Case_mins[[#This Row],[Surgery Start Date]]=Date),0,1),0))*1440),0)</f>
        <v>0</v>
      </c>
      <c r="AG431" s="9">
        <f>IFERROR(IF(ISBLANK(INDEX(PM_Open,MATCH(1,INDEX((tbl_Case_mins[[#This Row],[Theatre]]=Theatre_No)*(tbl_Case_mins[[#This Row],[Surgery Start Date]]=Date),0,1),0))*1440),0,INDEX(PM_Open,MATCH(1,INDEX((tbl_Case_mins[[#This Row],[Theatre]]=Theatre_No)*(tbl_Case_mins[[#This Row],[Surgery Start Date]]=Date),0,1),0))*1440),0)</f>
        <v>0</v>
      </c>
      <c r="AH43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1" s="9" t="e">
        <f>IF(tbl_Case_mins[[#This Row],[ThOpenAm]]=0,tbl_Case_mins[[#This Row],[ThOpenPM]],tbl_Case_mins[[#This Row],[ThOpenAm]])</f>
        <v>#REF!</v>
      </c>
      <c r="AJ431" s="9" t="e">
        <f>IF(tbl_Case_mins[[#This Row],[ThCloseAm]]&gt;0,IF(tbl_Case_mins[[#This Row],[ThOpenPM]]&gt;0,tbl_Case_mins[[#This Row],[ThClosePm]],tbl_Case_mins[[#This Row],[ThCloseAm]]),tbl_Case_mins[[#This Row],[ThClosePm]])</f>
        <v>#REF!</v>
      </c>
      <c r="AK431" s="9" t="e">
        <f>IF(tbl_Case_mins[[#This Row],[TOT]]&gt;0,1,0)</f>
        <v>#REF!</v>
      </c>
      <c r="AL43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1" s="9" t="e">
        <f>IF(AND(tbl_Case_mins[[#This Row],[Surgery Status]]&lt;&gt;2,tbl_Case_mins[[#This Row],[InCoreCase]]=0,tbl_Case_mins[[#This Row],[CancelledCase]]=0),1,0)</f>
        <v>#REF!</v>
      </c>
      <c r="AN431" s="9" t="e">
        <f>IF(tbl_Case_mins[[#This Row],[Surgery Status]]=1,1,0)</f>
        <v>#REF!</v>
      </c>
      <c r="AO43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1" s="9" t="e">
        <f>IF(AND(tbl_Case_mins[[#This Row],[NonCoreCase]]=1,tbl_Case_mins[[#This Row],[NoInCoreTime]]=0),1,0)</f>
        <v>#REF!</v>
      </c>
      <c r="AQ431" s="9" t="e">
        <f>IF(tbl_Case_mins[[#This Row],[Rank_AnaEnd]]&lt;tbl_Case_mins[[#This Row],[Rank_AnaSt]],1,0)</f>
        <v>#REF!</v>
      </c>
      <c r="AR431" s="9" t="e">
        <f>IF(AND(tbl_Case_mins[[#This Row],[InCoreCase]]=1,tbl_Case_mins[[#This Row],[Sch]]=1),1,0)</f>
        <v>#REF!</v>
      </c>
      <c r="AS431" s="9" t="e">
        <f>IF(AND(tbl_Case_mins[[#This Row],[InCoreCase]]=1,tbl_Case_mins[[#This Row],[Unsch]]=1),1,0)</f>
        <v>#REF!</v>
      </c>
      <c r="AT43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1" s="9" t="e">
        <f>IF(tbl_Case_mins[[#This Row],[Surgery Status]]=0,(tbl_Case_mins[[#This Row],[Anaesth End]]-tbl_Case_mins[[#This Row],[AnaesthStart]]),0)</f>
        <v>#REF!</v>
      </c>
      <c r="AX431" s="9" t="e">
        <f>IF(tbl_Case_mins[[#This Row],[Surgery Status]]=0,(tbl_Case_mins[[#This Row],[Surgery Finish]]-tbl_Case_mins[[#This Row],[Surgery Start]]),0)</f>
        <v>#REF!</v>
      </c>
      <c r="AY431" s="9" t="e">
        <f>tbl_Case_mins[[#This Row],[Surgery Start]]-tbl_Case_mins[[#This Row],[AnaesthStart]]</f>
        <v>#REF!</v>
      </c>
      <c r="AZ431" s="9" t="e">
        <f>tbl_Case_mins[[#This Row],[Anaesth End]]-tbl_Case_mins[[#This Row],[Surgery Finish]]</f>
        <v>#REF!</v>
      </c>
      <c r="BA43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1" s="16" cm="1">
        <f t="array" ref="BC43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1" s="16" t="e">
        <f>IF(AND(tbl_Case_mins[[#This Row],[FirstAMCase]]=1,tbl_Case_mins[[#This Row],[CancelledCase]]=0,OR(tbl_Case_mins[[#This Row],[EarlyStartAM]]&gt;0,tbl_Case_mins[[#This Row],[AnaesthStart]]=tbl_Case_mins[[#This Row],[ThOpenAm]])),1,0)</f>
        <v>#REF!</v>
      </c>
      <c r="BE431" s="16" t="e">
        <f>IF(AND(tbl_Case_mins[[#This Row],[Rank_AnaSt]]=tbl_Case_mins[[#This Row],[Min_RankAnaSt]],tbl_Case_mins[[#This Row],[Anaesth End]]&gt;=tbl_Case_mins[[#This Row],[ThOpenAm]],tbl_Case_mins[[#This Row],[PmCase]]=0),1,0)</f>
        <v>#REF!</v>
      </c>
      <c r="BF43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1" s="9" t="e" cm="1">
        <f t="array" ref="BH43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1" s="9" t="e">
        <f>IF(AND(tbl_Case_mins[[#This Row],[ThOpenPM]]&gt;0,tbl_Case_mins[[#This Row],[AnaesthStart]]&gt;tbl_Case_mins[[#This Row],[ThOpenPM]],tbl_Case_mins[[#This Row],[First PM Case]]=1),tbl_Case_mins[[#This Row],[AnaesthStart]]-tbl_Case_mins[[#This Row],[ThOpenPM]],0)</f>
        <v>#REF!</v>
      </c>
      <c r="BL43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1" s="9" t="e" cm="1">
        <f t="array" ref="BN43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1" s="9" t="e">
        <f>IF(AND(tbl_Case_mins[[#This Row],[ThClosePm]]&gt;0,tbl_Case_mins[[#This Row],[Anaesth End]]&gt;tbl_Case_mins[[#This Row],[ThClosePm]],tbl_Case_mins[[#This Row],[AnaesthStart]]&gt;tbl_Case_mins[[#This Row],[ThClosePm]]),tbl_Case_mins[[#This Row],[Into Recov]]-tbl_Case_mins[[#This Row],[AnaesthStart]],0)</f>
        <v>#REF!</v>
      </c>
      <c r="BP431" s="9" t="e">
        <f>IF(AND(tbl_Case_mins[[#This Row],[AnaesthStart]]&lt;tbl_Case_mins[[#This Row],[ThClosePm]],tbl_Case_mins[[#This Row],[Anaesth End]]&gt;tbl_Case_mins[[#This Row],[ThClosePm]]),tbl_Case_mins[[#This Row],[Anaesth End]]-tbl_Case_mins[[#This Row],[ThClosePm]],0)</f>
        <v>#REF!</v>
      </c>
      <c r="BQ431" s="9" t="e" cm="1">
        <f t="array" ref="BQ43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1" s="9" t="e" cm="1">
        <f t="array" ref="BR431">IF(tbl_Case_mins[[#This Row],[Rank_Adjust]]=SUMPRODUCT(-(tbl_Case_mins[Surgery Start Date]=tbl_Case_mins[[#This Row],[Surgery Start Date]]),-(tbl_Case_mins[Theatre]=tbl_Case_mins[[#This Row],[Theatre]])),INDEX(Poss_Time,MATCH(TEXT(tbl_Case_mins[[#This Row],[Surgery Start Date]],"ddd"),Day,0)),0)</f>
        <v>#REF!</v>
      </c>
      <c r="BS431" s="9" t="e">
        <f>tbl_Case_mins[[#This Row],[Core_Time]]*Util_Goal</f>
        <v>#REF!</v>
      </c>
      <c r="BT431" s="9" t="e" cm="1">
        <f t="array" ref="BT4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1" s="9" t="e" cm="1">
        <f t="array" ref="BU43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1" s="9" t="e">
        <f>IF(tbl_Case_mins[[#This Row],[Surgery End Date]]&gt;tbl_Case_mins[[#This Row],[Surgery Start Date]],tbl_Case_mins[[#This Row],[Anaesth End]]-1440,0)</f>
        <v>#REF!</v>
      </c>
      <c r="BY431" s="9" t="e">
        <f>tbl_Case_mins[[#This Row],[Total_NonCore]]-tbl_Case_mins[[#This Row],[NextDay_NonCore]]</f>
        <v>#REF!</v>
      </c>
      <c r="BZ431" s="10" t="e">
        <f>tbl_Case_mins[[#This Row],[InCoreUse]]/60</f>
        <v>#REF!</v>
      </c>
      <c r="CA431" s="10" t="e">
        <f>tbl_Case_mins[[#This Row],[Total_NonCore]]/60</f>
        <v>#REF!</v>
      </c>
      <c r="CB431" t="e" cm="1">
        <f t="array" ref="CB4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1" s="9" t="e" cm="1">
        <f t="array" ref="CC43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1" s="9" t="e" cm="1">
        <f t="array" ref="CD43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1" s="9" t="e" cm="1">
        <f t="array" ref="CE43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1" s="9" cm="1">
        <f t="array" ref="CF431">IFERROR(_xlfn.AGGREGATE(14,6,(tbl_Case_mins[Rank_AnaEnd])/((tbl_Case_mins[Surgery Start Date]=tbl_Case_mins[[#This Row],[Surgery Start Date]])*(tbl_Case_mins[Theatre]=tbl_Case_mins[[#This Row],[Theatre]])*(tbl_Case_mins[NoInCoreTime]=0)),1),-1)</f>
        <v>-1</v>
      </c>
      <c r="CG431" s="9" cm="1">
        <f t="array" ref="CG431">IFERROR(_xlfn.AGGREGATE(15,6,(tbl_Case_mins[Rank_AnaSt])/((tbl_Case_mins[Surgery Start Date]=tbl_Case_mins[[#This Row],[Surgery Start Date]])*(tbl_Case_mins[Theatre]=tbl_Case_mins[[#This Row],[Theatre]])*(tbl_Case_mins[NoInCoreTime]=0)),1),-1)</f>
        <v>-1</v>
      </c>
      <c r="CH43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1" t="e" cm="1">
        <f t="array" ref="CJ43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1" s="9" cm="1">
        <f t="array" ref="CO4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1" s="9" cm="1">
        <f t="array" ref="CP43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1" s="9" cm="1">
        <f t="array" ref="CQ431">IFERROR(IF(AND(tbl_Case_mins[[#This Row],[FirstAMCase]]=0,tbl_Case_mins[[#This Row],[Rank]]=_xlfn.AGGREGATE(14,6,(tbl_Case_mins[Rank])/((tbl_Case_mins[Surgery Start Date]=tbl_Case_mins[[#This Row],[Surgery Start Date]])*(tbl_Case_mins[Theatre]=tbl_Case_mins[[#This Row],[Theatre]])*(tbl_Case_mins[AmCase]=1)),1)),1,0),0)</f>
        <v>0</v>
      </c>
      <c r="CR431" s="9" cm="1">
        <f t="array" ref="CR43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1" s="9" t="e" cm="1">
        <f t="array" ref="CS43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1" s="9" cm="1">
        <f t="array" ref="CT431">IFERROR(IF(tbl_Case_mins[[#This Row],[Rank]]=_xlfn.AGGREGATE(15,6,(tbl_Case_mins[Rank])/((tbl_Case_mins[Surgery Start Date]=tbl_Case_mins[[#This Row],[Surgery Start Date]])*(tbl_Case_mins[Theatre]=tbl_Case_mins[[#This Row],[Theatre]])*(tbl_Case_mins[PmCase]=1)),1),1,0),0)</f>
        <v>0</v>
      </c>
      <c r="CU431">
        <f>IFERROR(#REF!,0)</f>
        <v>0</v>
      </c>
      <c r="CV431" s="9" t="e" cm="1">
        <f t="array" ref="CV43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1" s="9">
        <f>IFERROR(IF(ISBLANK(INDEX(Bay_AmClose,MATCH(1,INDEX((tbl_Case_mins[[#This Row],[Bay]]=BayNo)*(tbl_Case_mins[[#This Row],[Surgery Start Date]]=BDate),0,1),0))*1440),0,INDEX(Bay_AmClose,MATCH(1,INDEX((tbl_Case_mins[[#This Row],[Bay]]=BayNo)*(tbl_Case_mins[[#This Row],[Surgery Start Date]]=BDate),0,1),0))*1440),0)</f>
        <v>0</v>
      </c>
      <c r="CX431" s="9" cm="1">
        <f t="array" ref="CX431">IFERROR(IF(ISBLANK(INDEX(Bay_PmOpen,MATCH(1,INDEX((tbl_Case_mins[[#This Row],[Bay]]=BayNo)*(tbl_Case_mins[[#This Row],[Surgery Start Date]]=BDate),0,1),0))*1440),0,INDEX(Bay_PmOpen,MATCH(1,INDEX((tbl_Case_mins[[#This Row],[Bay]]=BayNo)*(tbl_Case_mins[[#This Row],[Surgery Start Date]]=BDate),0,1),0))*1440),0)</f>
        <v>0</v>
      </c>
      <c r="CY43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1" s="9"/>
    </row>
    <row r="432" spans="1:104" x14ac:dyDescent="0.2">
      <c r="A432">
        <v>431</v>
      </c>
      <c r="B432" t="e">
        <f>#REF!</f>
        <v>#REF!</v>
      </c>
      <c r="C432" t="e">
        <f>#REF!</f>
        <v>#REF!</v>
      </c>
      <c r="D432" t="e">
        <f>#REF!</f>
        <v>#REF!</v>
      </c>
      <c r="E432" t="e">
        <f>#REF!</f>
        <v>#REF!</v>
      </c>
      <c r="F432" t="e">
        <f>#REF!</f>
        <v>#REF!</v>
      </c>
      <c r="G432" t="e">
        <f>#REF!</f>
        <v>#REF!</v>
      </c>
      <c r="H432" t="e">
        <f>#REF!</f>
        <v>#REF!</v>
      </c>
      <c r="I432" t="e">
        <f>IF(#REF!="Case Cancelled",1,IF(#REF!="No Cases",2,0))</f>
        <v>#REF!</v>
      </c>
      <c r="J432" t="e">
        <f>#REF!</f>
        <v>#REF!</v>
      </c>
      <c r="K432" s="4" t="e">
        <f>#REF!</f>
        <v>#REF!</v>
      </c>
      <c r="L432" t="e">
        <f>"Wk "&amp;WEEKNUM(tbl_Case_mins[[#This Row],[Surgery Start Date]],21)</f>
        <v>#REF!</v>
      </c>
      <c r="M432" t="e">
        <f>TEXT(tbl_Case_mins[[#This Row],[Surgery Start Date]],"ddd")</f>
        <v>#REF!</v>
      </c>
      <c r="N432" s="9" t="e">
        <f>(#REF!-TIME(0,0,0))*1440</f>
        <v>#REF!</v>
      </c>
      <c r="O432" t="e">
        <f>IF(AND(ROUND((#REF!-TIME(0,0,0))*1440,0)&gt;0,ROUND((#REF!-TIME(0,0,0))*1440,0)&lt;tbl_Case_mins[[#This Row],[Patient Called]],tbl_Case_mins[[#This Row],[Surgery End Date]]&gt;tbl_Case_mins[[#This Row],[Surgery Start Date]]),ROUND((#REF!-TIME(0,0,0))*1440,0)+1440,ROUND((#REF!-TIME(0,0,0))*1440,0))</f>
        <v>#REF!</v>
      </c>
      <c r="P432" s="9" t="e">
        <f>IF(AND(ROUND((#REF!-TIME(0,0,0))*1440,0)&gt;0,ROUND((#REF!-TIME(0,0,0))*1440,0)&lt;tbl_Case_mins[[#This Row],[Arrival]],tbl_Case_mins[[#This Row],[Surgery End Date]]&gt;tbl_Case_mins[[#This Row],[Surgery Start Date]]),ROUND((#REF!-TIME(0,0,0))*1440,0)+1440,ROUND((#REF!-TIME(0,0,0))*1440,0))</f>
        <v>#REF!</v>
      </c>
      <c r="Q432" s="9" t="e">
        <f>IF(AND(ROUND((#REF!-TIME(0,0,0))*1440,0)&gt;0,ROUND((#REF!-TIME(0,0,0))*1440,0)&lt;tbl_Case_mins[[#This Row],[Into Th or AR]],tbl_Case_mins[[#This Row],[Surgery End Date]]&gt;tbl_Case_mins[[#This Row],[Surgery Start Date]]),ROUND((#REF!-TIME(0,0,0))*1440,0)+1440,ROUND((#REF!-TIME(0,0,0))*1440,0))</f>
        <v>#REF!</v>
      </c>
      <c r="R432" s="9" t="e">
        <f>IF(AND(ROUND((#REF!-TIME(0,0,0))*1440,0)&gt;0,ROUND((#REF!-TIME(0,0,0))*1440,0)&lt;tbl_Case_mins[[#This Row],[AnaesthStart]],tbl_Case_mins[[#This Row],[Surgery End Date]]&gt;tbl_Case_mins[[#This Row],[Surgery Start Date]]),ROUND((#REF!-TIME(0,0,0))*1440,0)+1440,ROUND((#REF!-TIME(0,0,0))*1440,0))</f>
        <v>#REF!</v>
      </c>
      <c r="S432" s="9" t="e">
        <f>IF(AND(ROUND((#REF!-TIME(0,0,0))*1440,0),ROUND((#REF!-TIME(0,0,0))*1440,0)&lt;tbl_Case_mins[[#This Row],[Surgery Start]],tbl_Case_mins[[#This Row],[Surgery End Date]]&gt;tbl_Case_mins[[#This Row],[Surgery Start Date]]),ROUND((#REF!-TIME(0,0,0))*1440,0)+1440,ROUND((#REF!-TIME(0,0,0))*1440,0))</f>
        <v>#REF!</v>
      </c>
      <c r="T432" s="9" t="e">
        <f>IF(AND(ROUND((#REF!-TIME(0,0,0))*1440,0)&gt;0,ROUND((#REF!-TIME(0,0,0))*1440,0)&lt;tbl_Case_mins[[#This Row],[Surgery Finish]],tbl_Case_mins[[#This Row],[Surgery End Date]]&gt;tbl_Case_mins[[#This Row],[Surgery Start Date]]),ROUND((#REF!-TIME(0,0,0))*1440,0)+1440,ROUND((#REF!-TIME(0,0,0))*1440,0))</f>
        <v>#REF!</v>
      </c>
      <c r="U432" s="9" t="e">
        <f>IF(AND(ROUND((#REF!-TIME(0,0,0))*1440,0)&gt;0,ROUND((#REF!-TIME(0,0,0))*1440,0)&lt;tbl_Case_mins[[#This Row],[Anaesth End]],tbl_Case_mins[[#This Row],[Surgery End Date]]&gt;tbl_Case_mins[[#This Row],[Surgery Start Date]]),ROUND((#REF!-TIME(0,0,0))*1440,0)+1440,ROUND((#REF!-TIME(0,0,0))*1440,0))</f>
        <v>#REF!</v>
      </c>
      <c r="V432" s="9" t="e">
        <f>IF(AND(ROUND((#REF!-TIME(0,0,0))*1440,0)&gt;0,ROUND((#REF!-TIME(0,0,0))*1440,0)&lt;tbl_Case_mins[[#This Row],[Into Recov]],tbl_Case_mins[[#This Row],[Surgery End Date]]&gt;tbl_Case_mins[[#This Row],[Surgery Start Date]]),ROUND((#REF!-TIME(0,0,0))*1440,0)+1440,ROUND((#REF!-TIME(0,0,0))*1440,0))</f>
        <v>#REF!</v>
      </c>
      <c r="W432" s="9" t="e">
        <f>IF(AND(ROUND((#REF!-TIME(0,0,0))*1440,0)&gt;0,ROUND((#REF!-TIME(0,0,0))*1440,0)&lt;tbl_Case_mins[[#This Row],[Ward Called]],tbl_Case_mins[[#This Row],[Surgery End Date]]&gt;tbl_Case_mins[[#This Row],[Surgery Start Date]]),ROUND((#REF!-TIME(0,0,0))*1440,0)+1440,ROUND((#REF!-TIME(0,0,0))*1440,0))</f>
        <v>#REF!</v>
      </c>
      <c r="X432" s="4" t="e">
        <f>IF(ISBLANK(#REF!),tbl_Case_mins[[#This Row],[Surgery Start Date]],#REF!)</f>
        <v>#REF!</v>
      </c>
      <c r="Y432">
        <f>IFERROR(IF(VLOOKUP(tbl_Case_mins[[#This Row],[Theatre]],'Mng Theatres'!$C$7:$G$12,3,FALSE)="Yes","Yes","No"),0)</f>
        <v>0</v>
      </c>
      <c r="Z432" s="9" t="e" cm="1">
        <f t="array" ref="Z43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2" s="9" t="e" cm="1">
        <f t="array" ref="AA43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2" s="9" t="e">
        <f>IF(tbl_Case_mins[[#This Row],[Case Type]]="Unsch",1,0)</f>
        <v>#REF!</v>
      </c>
      <c r="AD432" s="9" t="e">
        <f>IF(tbl_Case_mins[[#This Row],[Case Type]]="Sch",1,0)</f>
        <v>#REF!</v>
      </c>
      <c r="AE43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2" s="9">
        <f>IFERROR(IF(ISBLANK(INDEX(Am_Close,MATCH(1,INDEX((tbl_Case_mins[[#This Row],[Theatre]]=Theatre_No)*(tbl_Case_mins[[#This Row],[Surgery Start Date]]=Date),0,1),0))*1440),0,INDEX(Am_Close,MATCH(1,INDEX((tbl_Case_mins[[#This Row],[Theatre]]=Theatre_No)*(tbl_Case_mins[[#This Row],[Surgery Start Date]]=Date),0,1),0))*1440),0)</f>
        <v>0</v>
      </c>
      <c r="AG432" s="9">
        <f>IFERROR(IF(ISBLANK(INDEX(PM_Open,MATCH(1,INDEX((tbl_Case_mins[[#This Row],[Theatre]]=Theatre_No)*(tbl_Case_mins[[#This Row],[Surgery Start Date]]=Date),0,1),0))*1440),0,INDEX(PM_Open,MATCH(1,INDEX((tbl_Case_mins[[#This Row],[Theatre]]=Theatre_No)*(tbl_Case_mins[[#This Row],[Surgery Start Date]]=Date),0,1),0))*1440),0)</f>
        <v>0</v>
      </c>
      <c r="AH43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2" s="9" t="e">
        <f>IF(tbl_Case_mins[[#This Row],[ThOpenAm]]=0,tbl_Case_mins[[#This Row],[ThOpenPM]],tbl_Case_mins[[#This Row],[ThOpenAm]])</f>
        <v>#REF!</v>
      </c>
      <c r="AJ432" s="9" t="e">
        <f>IF(tbl_Case_mins[[#This Row],[ThCloseAm]]&gt;0,IF(tbl_Case_mins[[#This Row],[ThOpenPM]]&gt;0,tbl_Case_mins[[#This Row],[ThClosePm]],tbl_Case_mins[[#This Row],[ThCloseAm]]),tbl_Case_mins[[#This Row],[ThClosePm]])</f>
        <v>#REF!</v>
      </c>
      <c r="AK432" s="9" t="e">
        <f>IF(tbl_Case_mins[[#This Row],[TOT]]&gt;0,1,0)</f>
        <v>#REF!</v>
      </c>
      <c r="AL43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2" s="9" t="e">
        <f>IF(AND(tbl_Case_mins[[#This Row],[Surgery Status]]&lt;&gt;2,tbl_Case_mins[[#This Row],[InCoreCase]]=0,tbl_Case_mins[[#This Row],[CancelledCase]]=0),1,0)</f>
        <v>#REF!</v>
      </c>
      <c r="AN432" s="9" t="e">
        <f>IF(tbl_Case_mins[[#This Row],[Surgery Status]]=1,1,0)</f>
        <v>#REF!</v>
      </c>
      <c r="AO43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2" s="9" t="e">
        <f>IF(AND(tbl_Case_mins[[#This Row],[NonCoreCase]]=1,tbl_Case_mins[[#This Row],[NoInCoreTime]]=0),1,0)</f>
        <v>#REF!</v>
      </c>
      <c r="AQ432" s="9" t="e">
        <f>IF(tbl_Case_mins[[#This Row],[Rank_AnaEnd]]&lt;tbl_Case_mins[[#This Row],[Rank_AnaSt]],1,0)</f>
        <v>#REF!</v>
      </c>
      <c r="AR432" s="9" t="e">
        <f>IF(AND(tbl_Case_mins[[#This Row],[InCoreCase]]=1,tbl_Case_mins[[#This Row],[Sch]]=1),1,0)</f>
        <v>#REF!</v>
      </c>
      <c r="AS432" s="9" t="e">
        <f>IF(AND(tbl_Case_mins[[#This Row],[InCoreCase]]=1,tbl_Case_mins[[#This Row],[Unsch]]=1),1,0)</f>
        <v>#REF!</v>
      </c>
      <c r="AT43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2" s="9" t="e">
        <f>IF(tbl_Case_mins[[#This Row],[Surgery Status]]=0,(tbl_Case_mins[[#This Row],[Anaesth End]]-tbl_Case_mins[[#This Row],[AnaesthStart]]),0)</f>
        <v>#REF!</v>
      </c>
      <c r="AX432" s="9" t="e">
        <f>IF(tbl_Case_mins[[#This Row],[Surgery Status]]=0,(tbl_Case_mins[[#This Row],[Surgery Finish]]-tbl_Case_mins[[#This Row],[Surgery Start]]),0)</f>
        <v>#REF!</v>
      </c>
      <c r="AY432" s="9" t="e">
        <f>tbl_Case_mins[[#This Row],[Surgery Start]]-tbl_Case_mins[[#This Row],[AnaesthStart]]</f>
        <v>#REF!</v>
      </c>
      <c r="AZ432" s="9" t="e">
        <f>tbl_Case_mins[[#This Row],[Anaesth End]]-tbl_Case_mins[[#This Row],[Surgery Finish]]</f>
        <v>#REF!</v>
      </c>
      <c r="BA43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2" s="16" cm="1">
        <f t="array" ref="BC43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2" s="16" t="e">
        <f>IF(AND(tbl_Case_mins[[#This Row],[FirstAMCase]]=1,tbl_Case_mins[[#This Row],[CancelledCase]]=0,OR(tbl_Case_mins[[#This Row],[EarlyStartAM]]&gt;0,tbl_Case_mins[[#This Row],[AnaesthStart]]=tbl_Case_mins[[#This Row],[ThOpenAm]])),1,0)</f>
        <v>#REF!</v>
      </c>
      <c r="BE432" s="16" t="e">
        <f>IF(AND(tbl_Case_mins[[#This Row],[Rank_AnaSt]]=tbl_Case_mins[[#This Row],[Min_RankAnaSt]],tbl_Case_mins[[#This Row],[Anaesth End]]&gt;=tbl_Case_mins[[#This Row],[ThOpenAm]],tbl_Case_mins[[#This Row],[PmCase]]=0),1,0)</f>
        <v>#REF!</v>
      </c>
      <c r="BF43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2" s="9" t="e" cm="1">
        <f t="array" ref="BH43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2" s="9" t="e">
        <f>IF(AND(tbl_Case_mins[[#This Row],[ThOpenPM]]&gt;0,tbl_Case_mins[[#This Row],[AnaesthStart]]&gt;tbl_Case_mins[[#This Row],[ThOpenPM]],tbl_Case_mins[[#This Row],[First PM Case]]=1),tbl_Case_mins[[#This Row],[AnaesthStart]]-tbl_Case_mins[[#This Row],[ThOpenPM]],0)</f>
        <v>#REF!</v>
      </c>
      <c r="BL43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2" s="9" t="e" cm="1">
        <f t="array" ref="BN43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2" s="9" t="e">
        <f>IF(AND(tbl_Case_mins[[#This Row],[ThClosePm]]&gt;0,tbl_Case_mins[[#This Row],[Anaesth End]]&gt;tbl_Case_mins[[#This Row],[ThClosePm]],tbl_Case_mins[[#This Row],[AnaesthStart]]&gt;tbl_Case_mins[[#This Row],[ThClosePm]]),tbl_Case_mins[[#This Row],[Into Recov]]-tbl_Case_mins[[#This Row],[AnaesthStart]],0)</f>
        <v>#REF!</v>
      </c>
      <c r="BP432" s="9" t="e">
        <f>IF(AND(tbl_Case_mins[[#This Row],[AnaesthStart]]&lt;tbl_Case_mins[[#This Row],[ThClosePm]],tbl_Case_mins[[#This Row],[Anaesth End]]&gt;tbl_Case_mins[[#This Row],[ThClosePm]]),tbl_Case_mins[[#This Row],[Anaesth End]]-tbl_Case_mins[[#This Row],[ThClosePm]],0)</f>
        <v>#REF!</v>
      </c>
      <c r="BQ432" s="9" t="e" cm="1">
        <f t="array" ref="BQ43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2" s="9" t="e" cm="1">
        <f t="array" ref="BR432">IF(tbl_Case_mins[[#This Row],[Rank_Adjust]]=SUMPRODUCT(-(tbl_Case_mins[Surgery Start Date]=tbl_Case_mins[[#This Row],[Surgery Start Date]]),-(tbl_Case_mins[Theatre]=tbl_Case_mins[[#This Row],[Theatre]])),INDEX(Poss_Time,MATCH(TEXT(tbl_Case_mins[[#This Row],[Surgery Start Date]],"ddd"),Day,0)),0)</f>
        <v>#REF!</v>
      </c>
      <c r="BS432" s="9" t="e">
        <f>tbl_Case_mins[[#This Row],[Core_Time]]*Util_Goal</f>
        <v>#REF!</v>
      </c>
      <c r="BT432" s="9" t="e" cm="1">
        <f t="array" ref="BT4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2" s="9" t="e" cm="1">
        <f t="array" ref="BU43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2" s="9" t="e">
        <f>IF(tbl_Case_mins[[#This Row],[Surgery End Date]]&gt;tbl_Case_mins[[#This Row],[Surgery Start Date]],tbl_Case_mins[[#This Row],[Anaesth End]]-1440,0)</f>
        <v>#REF!</v>
      </c>
      <c r="BY432" s="9" t="e">
        <f>tbl_Case_mins[[#This Row],[Total_NonCore]]-tbl_Case_mins[[#This Row],[NextDay_NonCore]]</f>
        <v>#REF!</v>
      </c>
      <c r="BZ432" s="10" t="e">
        <f>tbl_Case_mins[[#This Row],[InCoreUse]]/60</f>
        <v>#REF!</v>
      </c>
      <c r="CA432" s="10" t="e">
        <f>tbl_Case_mins[[#This Row],[Total_NonCore]]/60</f>
        <v>#REF!</v>
      </c>
      <c r="CB432" t="e" cm="1">
        <f t="array" ref="CB4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2" s="9" t="e" cm="1">
        <f t="array" ref="CC43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2" s="9" t="e" cm="1">
        <f t="array" ref="CD43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2" s="9" t="e" cm="1">
        <f t="array" ref="CE43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2" s="9" cm="1">
        <f t="array" ref="CF432">IFERROR(_xlfn.AGGREGATE(14,6,(tbl_Case_mins[Rank_AnaEnd])/((tbl_Case_mins[Surgery Start Date]=tbl_Case_mins[[#This Row],[Surgery Start Date]])*(tbl_Case_mins[Theatre]=tbl_Case_mins[[#This Row],[Theatre]])*(tbl_Case_mins[NoInCoreTime]=0)),1),-1)</f>
        <v>-1</v>
      </c>
      <c r="CG432" s="9" cm="1">
        <f t="array" ref="CG432">IFERROR(_xlfn.AGGREGATE(15,6,(tbl_Case_mins[Rank_AnaSt])/((tbl_Case_mins[Surgery Start Date]=tbl_Case_mins[[#This Row],[Surgery Start Date]])*(tbl_Case_mins[Theatre]=tbl_Case_mins[[#This Row],[Theatre]])*(tbl_Case_mins[NoInCoreTime]=0)),1),-1)</f>
        <v>-1</v>
      </c>
      <c r="CH43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2" t="e" cm="1">
        <f t="array" ref="CJ43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2" s="9" cm="1">
        <f t="array" ref="CO4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2" s="9" cm="1">
        <f t="array" ref="CP43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2" s="9" cm="1">
        <f t="array" ref="CQ432">IFERROR(IF(AND(tbl_Case_mins[[#This Row],[FirstAMCase]]=0,tbl_Case_mins[[#This Row],[Rank]]=_xlfn.AGGREGATE(14,6,(tbl_Case_mins[Rank])/((tbl_Case_mins[Surgery Start Date]=tbl_Case_mins[[#This Row],[Surgery Start Date]])*(tbl_Case_mins[Theatre]=tbl_Case_mins[[#This Row],[Theatre]])*(tbl_Case_mins[AmCase]=1)),1)),1,0),0)</f>
        <v>0</v>
      </c>
      <c r="CR432" s="9" cm="1">
        <f t="array" ref="CR43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2" s="9" t="e" cm="1">
        <f t="array" ref="CS43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2" s="9" cm="1">
        <f t="array" ref="CT432">IFERROR(IF(tbl_Case_mins[[#This Row],[Rank]]=_xlfn.AGGREGATE(15,6,(tbl_Case_mins[Rank])/((tbl_Case_mins[Surgery Start Date]=tbl_Case_mins[[#This Row],[Surgery Start Date]])*(tbl_Case_mins[Theatre]=tbl_Case_mins[[#This Row],[Theatre]])*(tbl_Case_mins[PmCase]=1)),1),1,0),0)</f>
        <v>0</v>
      </c>
      <c r="CU432">
        <f>IFERROR(#REF!,0)</f>
        <v>0</v>
      </c>
      <c r="CV432" s="9" t="e" cm="1">
        <f t="array" ref="CV43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2" s="9">
        <f>IFERROR(IF(ISBLANK(INDEX(Bay_AmClose,MATCH(1,INDEX((tbl_Case_mins[[#This Row],[Bay]]=BayNo)*(tbl_Case_mins[[#This Row],[Surgery Start Date]]=BDate),0,1),0))*1440),0,INDEX(Bay_AmClose,MATCH(1,INDEX((tbl_Case_mins[[#This Row],[Bay]]=BayNo)*(tbl_Case_mins[[#This Row],[Surgery Start Date]]=BDate),0,1),0))*1440),0)</f>
        <v>0</v>
      </c>
      <c r="CX432" s="9" cm="1">
        <f t="array" ref="CX432">IFERROR(IF(ISBLANK(INDEX(Bay_PmOpen,MATCH(1,INDEX((tbl_Case_mins[[#This Row],[Bay]]=BayNo)*(tbl_Case_mins[[#This Row],[Surgery Start Date]]=BDate),0,1),0))*1440),0,INDEX(Bay_PmOpen,MATCH(1,INDEX((tbl_Case_mins[[#This Row],[Bay]]=BayNo)*(tbl_Case_mins[[#This Row],[Surgery Start Date]]=BDate),0,1),0))*1440),0)</f>
        <v>0</v>
      </c>
      <c r="CY43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2" s="9"/>
    </row>
    <row r="433" spans="1:104" x14ac:dyDescent="0.2">
      <c r="A433">
        <v>432</v>
      </c>
      <c r="B433" t="e">
        <f>#REF!</f>
        <v>#REF!</v>
      </c>
      <c r="C433" t="e">
        <f>#REF!</f>
        <v>#REF!</v>
      </c>
      <c r="D433" t="e">
        <f>#REF!</f>
        <v>#REF!</v>
      </c>
      <c r="E433" t="e">
        <f>#REF!</f>
        <v>#REF!</v>
      </c>
      <c r="F433" t="e">
        <f>#REF!</f>
        <v>#REF!</v>
      </c>
      <c r="G433" t="e">
        <f>#REF!</f>
        <v>#REF!</v>
      </c>
      <c r="H433" t="e">
        <f>#REF!</f>
        <v>#REF!</v>
      </c>
      <c r="I433" t="e">
        <f>IF(#REF!="Case Cancelled",1,IF(#REF!="No Cases",2,0))</f>
        <v>#REF!</v>
      </c>
      <c r="J433" t="e">
        <f>#REF!</f>
        <v>#REF!</v>
      </c>
      <c r="K433" s="4" t="e">
        <f>#REF!</f>
        <v>#REF!</v>
      </c>
      <c r="L433" t="e">
        <f>"Wk "&amp;WEEKNUM(tbl_Case_mins[[#This Row],[Surgery Start Date]],21)</f>
        <v>#REF!</v>
      </c>
      <c r="M433" t="e">
        <f>TEXT(tbl_Case_mins[[#This Row],[Surgery Start Date]],"ddd")</f>
        <v>#REF!</v>
      </c>
      <c r="N433" s="9" t="e">
        <f>(#REF!-TIME(0,0,0))*1440</f>
        <v>#REF!</v>
      </c>
      <c r="O433" t="e">
        <f>IF(AND(ROUND((#REF!-TIME(0,0,0))*1440,0)&gt;0,ROUND((#REF!-TIME(0,0,0))*1440,0)&lt;tbl_Case_mins[[#This Row],[Patient Called]],tbl_Case_mins[[#This Row],[Surgery End Date]]&gt;tbl_Case_mins[[#This Row],[Surgery Start Date]]),ROUND((#REF!-TIME(0,0,0))*1440,0)+1440,ROUND((#REF!-TIME(0,0,0))*1440,0))</f>
        <v>#REF!</v>
      </c>
      <c r="P433" s="9" t="e">
        <f>IF(AND(ROUND((#REF!-TIME(0,0,0))*1440,0)&gt;0,ROUND((#REF!-TIME(0,0,0))*1440,0)&lt;tbl_Case_mins[[#This Row],[Arrival]],tbl_Case_mins[[#This Row],[Surgery End Date]]&gt;tbl_Case_mins[[#This Row],[Surgery Start Date]]),ROUND((#REF!-TIME(0,0,0))*1440,0)+1440,ROUND((#REF!-TIME(0,0,0))*1440,0))</f>
        <v>#REF!</v>
      </c>
      <c r="Q433" s="9" t="e">
        <f>IF(AND(ROUND((#REF!-TIME(0,0,0))*1440,0)&gt;0,ROUND((#REF!-TIME(0,0,0))*1440,0)&lt;tbl_Case_mins[[#This Row],[Into Th or AR]],tbl_Case_mins[[#This Row],[Surgery End Date]]&gt;tbl_Case_mins[[#This Row],[Surgery Start Date]]),ROUND((#REF!-TIME(0,0,0))*1440,0)+1440,ROUND((#REF!-TIME(0,0,0))*1440,0))</f>
        <v>#REF!</v>
      </c>
      <c r="R433" s="9" t="e">
        <f>IF(AND(ROUND((#REF!-TIME(0,0,0))*1440,0)&gt;0,ROUND((#REF!-TIME(0,0,0))*1440,0)&lt;tbl_Case_mins[[#This Row],[AnaesthStart]],tbl_Case_mins[[#This Row],[Surgery End Date]]&gt;tbl_Case_mins[[#This Row],[Surgery Start Date]]),ROUND((#REF!-TIME(0,0,0))*1440,0)+1440,ROUND((#REF!-TIME(0,0,0))*1440,0))</f>
        <v>#REF!</v>
      </c>
      <c r="S433" s="9" t="e">
        <f>IF(AND(ROUND((#REF!-TIME(0,0,0))*1440,0),ROUND((#REF!-TIME(0,0,0))*1440,0)&lt;tbl_Case_mins[[#This Row],[Surgery Start]],tbl_Case_mins[[#This Row],[Surgery End Date]]&gt;tbl_Case_mins[[#This Row],[Surgery Start Date]]),ROUND((#REF!-TIME(0,0,0))*1440,0)+1440,ROUND((#REF!-TIME(0,0,0))*1440,0))</f>
        <v>#REF!</v>
      </c>
      <c r="T433" s="9" t="e">
        <f>IF(AND(ROUND((#REF!-TIME(0,0,0))*1440,0)&gt;0,ROUND((#REF!-TIME(0,0,0))*1440,0)&lt;tbl_Case_mins[[#This Row],[Surgery Finish]],tbl_Case_mins[[#This Row],[Surgery End Date]]&gt;tbl_Case_mins[[#This Row],[Surgery Start Date]]),ROUND((#REF!-TIME(0,0,0))*1440,0)+1440,ROUND((#REF!-TIME(0,0,0))*1440,0))</f>
        <v>#REF!</v>
      </c>
      <c r="U433" s="9" t="e">
        <f>IF(AND(ROUND((#REF!-TIME(0,0,0))*1440,0)&gt;0,ROUND((#REF!-TIME(0,0,0))*1440,0)&lt;tbl_Case_mins[[#This Row],[Anaesth End]],tbl_Case_mins[[#This Row],[Surgery End Date]]&gt;tbl_Case_mins[[#This Row],[Surgery Start Date]]),ROUND((#REF!-TIME(0,0,0))*1440,0)+1440,ROUND((#REF!-TIME(0,0,0))*1440,0))</f>
        <v>#REF!</v>
      </c>
      <c r="V433" s="9" t="e">
        <f>IF(AND(ROUND((#REF!-TIME(0,0,0))*1440,0)&gt;0,ROUND((#REF!-TIME(0,0,0))*1440,0)&lt;tbl_Case_mins[[#This Row],[Into Recov]],tbl_Case_mins[[#This Row],[Surgery End Date]]&gt;tbl_Case_mins[[#This Row],[Surgery Start Date]]),ROUND((#REF!-TIME(0,0,0))*1440,0)+1440,ROUND((#REF!-TIME(0,0,0))*1440,0))</f>
        <v>#REF!</v>
      </c>
      <c r="W433" s="9" t="e">
        <f>IF(AND(ROUND((#REF!-TIME(0,0,0))*1440,0)&gt;0,ROUND((#REF!-TIME(0,0,0))*1440,0)&lt;tbl_Case_mins[[#This Row],[Ward Called]],tbl_Case_mins[[#This Row],[Surgery End Date]]&gt;tbl_Case_mins[[#This Row],[Surgery Start Date]]),ROUND((#REF!-TIME(0,0,0))*1440,0)+1440,ROUND((#REF!-TIME(0,0,0))*1440,0))</f>
        <v>#REF!</v>
      </c>
      <c r="X433" s="4" t="e">
        <f>IF(ISBLANK(#REF!),tbl_Case_mins[[#This Row],[Surgery Start Date]],#REF!)</f>
        <v>#REF!</v>
      </c>
      <c r="Y433">
        <f>IFERROR(IF(VLOOKUP(tbl_Case_mins[[#This Row],[Theatre]],'Mng Theatres'!$C$7:$G$12,3,FALSE)="Yes","Yes","No"),0)</f>
        <v>0</v>
      </c>
      <c r="Z433" s="9" t="e" cm="1">
        <f t="array" ref="Z43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3" s="9" t="e" cm="1">
        <f t="array" ref="AA43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3" s="9" t="e">
        <f>IF(tbl_Case_mins[[#This Row],[Case Type]]="Unsch",1,0)</f>
        <v>#REF!</v>
      </c>
      <c r="AD433" s="9" t="e">
        <f>IF(tbl_Case_mins[[#This Row],[Case Type]]="Sch",1,0)</f>
        <v>#REF!</v>
      </c>
      <c r="AE43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3" s="9">
        <f>IFERROR(IF(ISBLANK(INDEX(Am_Close,MATCH(1,INDEX((tbl_Case_mins[[#This Row],[Theatre]]=Theatre_No)*(tbl_Case_mins[[#This Row],[Surgery Start Date]]=Date),0,1),0))*1440),0,INDEX(Am_Close,MATCH(1,INDEX((tbl_Case_mins[[#This Row],[Theatre]]=Theatre_No)*(tbl_Case_mins[[#This Row],[Surgery Start Date]]=Date),0,1),0))*1440),0)</f>
        <v>0</v>
      </c>
      <c r="AG433" s="9">
        <f>IFERROR(IF(ISBLANK(INDEX(PM_Open,MATCH(1,INDEX((tbl_Case_mins[[#This Row],[Theatre]]=Theatre_No)*(tbl_Case_mins[[#This Row],[Surgery Start Date]]=Date),0,1),0))*1440),0,INDEX(PM_Open,MATCH(1,INDEX((tbl_Case_mins[[#This Row],[Theatre]]=Theatre_No)*(tbl_Case_mins[[#This Row],[Surgery Start Date]]=Date),0,1),0))*1440),0)</f>
        <v>0</v>
      </c>
      <c r="AH43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3" s="9" t="e">
        <f>IF(tbl_Case_mins[[#This Row],[ThOpenAm]]=0,tbl_Case_mins[[#This Row],[ThOpenPM]],tbl_Case_mins[[#This Row],[ThOpenAm]])</f>
        <v>#REF!</v>
      </c>
      <c r="AJ433" s="9" t="e">
        <f>IF(tbl_Case_mins[[#This Row],[ThCloseAm]]&gt;0,IF(tbl_Case_mins[[#This Row],[ThOpenPM]]&gt;0,tbl_Case_mins[[#This Row],[ThClosePm]],tbl_Case_mins[[#This Row],[ThCloseAm]]),tbl_Case_mins[[#This Row],[ThClosePm]])</f>
        <v>#REF!</v>
      </c>
      <c r="AK433" s="9" t="e">
        <f>IF(tbl_Case_mins[[#This Row],[TOT]]&gt;0,1,0)</f>
        <v>#REF!</v>
      </c>
      <c r="AL43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3" s="9" t="e">
        <f>IF(AND(tbl_Case_mins[[#This Row],[Surgery Status]]&lt;&gt;2,tbl_Case_mins[[#This Row],[InCoreCase]]=0,tbl_Case_mins[[#This Row],[CancelledCase]]=0),1,0)</f>
        <v>#REF!</v>
      </c>
      <c r="AN433" s="9" t="e">
        <f>IF(tbl_Case_mins[[#This Row],[Surgery Status]]=1,1,0)</f>
        <v>#REF!</v>
      </c>
      <c r="AO43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3" s="9" t="e">
        <f>IF(AND(tbl_Case_mins[[#This Row],[NonCoreCase]]=1,tbl_Case_mins[[#This Row],[NoInCoreTime]]=0),1,0)</f>
        <v>#REF!</v>
      </c>
      <c r="AQ433" s="9" t="e">
        <f>IF(tbl_Case_mins[[#This Row],[Rank_AnaEnd]]&lt;tbl_Case_mins[[#This Row],[Rank_AnaSt]],1,0)</f>
        <v>#REF!</v>
      </c>
      <c r="AR433" s="9" t="e">
        <f>IF(AND(tbl_Case_mins[[#This Row],[InCoreCase]]=1,tbl_Case_mins[[#This Row],[Sch]]=1),1,0)</f>
        <v>#REF!</v>
      </c>
      <c r="AS433" s="9" t="e">
        <f>IF(AND(tbl_Case_mins[[#This Row],[InCoreCase]]=1,tbl_Case_mins[[#This Row],[Unsch]]=1),1,0)</f>
        <v>#REF!</v>
      </c>
      <c r="AT43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3" s="9" t="e">
        <f>IF(tbl_Case_mins[[#This Row],[Surgery Status]]=0,(tbl_Case_mins[[#This Row],[Anaesth End]]-tbl_Case_mins[[#This Row],[AnaesthStart]]),0)</f>
        <v>#REF!</v>
      </c>
      <c r="AX433" s="9" t="e">
        <f>IF(tbl_Case_mins[[#This Row],[Surgery Status]]=0,(tbl_Case_mins[[#This Row],[Surgery Finish]]-tbl_Case_mins[[#This Row],[Surgery Start]]),0)</f>
        <v>#REF!</v>
      </c>
      <c r="AY433" s="9" t="e">
        <f>tbl_Case_mins[[#This Row],[Surgery Start]]-tbl_Case_mins[[#This Row],[AnaesthStart]]</f>
        <v>#REF!</v>
      </c>
      <c r="AZ433" s="9" t="e">
        <f>tbl_Case_mins[[#This Row],[Anaesth End]]-tbl_Case_mins[[#This Row],[Surgery Finish]]</f>
        <v>#REF!</v>
      </c>
      <c r="BA43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3" s="16" cm="1">
        <f t="array" ref="BC43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3" s="16" t="e">
        <f>IF(AND(tbl_Case_mins[[#This Row],[FirstAMCase]]=1,tbl_Case_mins[[#This Row],[CancelledCase]]=0,OR(tbl_Case_mins[[#This Row],[EarlyStartAM]]&gt;0,tbl_Case_mins[[#This Row],[AnaesthStart]]=tbl_Case_mins[[#This Row],[ThOpenAm]])),1,0)</f>
        <v>#REF!</v>
      </c>
      <c r="BE433" s="16" t="e">
        <f>IF(AND(tbl_Case_mins[[#This Row],[Rank_AnaSt]]=tbl_Case_mins[[#This Row],[Min_RankAnaSt]],tbl_Case_mins[[#This Row],[Anaesth End]]&gt;=tbl_Case_mins[[#This Row],[ThOpenAm]],tbl_Case_mins[[#This Row],[PmCase]]=0),1,0)</f>
        <v>#REF!</v>
      </c>
      <c r="BF43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3" s="9" t="e" cm="1">
        <f t="array" ref="BH43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3" s="9" t="e">
        <f>IF(AND(tbl_Case_mins[[#This Row],[ThOpenPM]]&gt;0,tbl_Case_mins[[#This Row],[AnaesthStart]]&gt;tbl_Case_mins[[#This Row],[ThOpenPM]],tbl_Case_mins[[#This Row],[First PM Case]]=1),tbl_Case_mins[[#This Row],[AnaesthStart]]-tbl_Case_mins[[#This Row],[ThOpenPM]],0)</f>
        <v>#REF!</v>
      </c>
      <c r="BL43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3" s="9" t="e" cm="1">
        <f t="array" ref="BN43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3" s="9" t="e">
        <f>IF(AND(tbl_Case_mins[[#This Row],[ThClosePm]]&gt;0,tbl_Case_mins[[#This Row],[Anaesth End]]&gt;tbl_Case_mins[[#This Row],[ThClosePm]],tbl_Case_mins[[#This Row],[AnaesthStart]]&gt;tbl_Case_mins[[#This Row],[ThClosePm]]),tbl_Case_mins[[#This Row],[Into Recov]]-tbl_Case_mins[[#This Row],[AnaesthStart]],0)</f>
        <v>#REF!</v>
      </c>
      <c r="BP433" s="9" t="e">
        <f>IF(AND(tbl_Case_mins[[#This Row],[AnaesthStart]]&lt;tbl_Case_mins[[#This Row],[ThClosePm]],tbl_Case_mins[[#This Row],[Anaesth End]]&gt;tbl_Case_mins[[#This Row],[ThClosePm]]),tbl_Case_mins[[#This Row],[Anaesth End]]-tbl_Case_mins[[#This Row],[ThClosePm]],0)</f>
        <v>#REF!</v>
      </c>
      <c r="BQ433" s="9" t="e" cm="1">
        <f t="array" ref="BQ43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3" s="9" t="e" cm="1">
        <f t="array" ref="BR433">IF(tbl_Case_mins[[#This Row],[Rank_Adjust]]=SUMPRODUCT(-(tbl_Case_mins[Surgery Start Date]=tbl_Case_mins[[#This Row],[Surgery Start Date]]),-(tbl_Case_mins[Theatre]=tbl_Case_mins[[#This Row],[Theatre]])),INDEX(Poss_Time,MATCH(TEXT(tbl_Case_mins[[#This Row],[Surgery Start Date]],"ddd"),Day,0)),0)</f>
        <v>#REF!</v>
      </c>
      <c r="BS433" s="9" t="e">
        <f>tbl_Case_mins[[#This Row],[Core_Time]]*Util_Goal</f>
        <v>#REF!</v>
      </c>
      <c r="BT433" s="9" t="e" cm="1">
        <f t="array" ref="BT4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3" s="9" t="e" cm="1">
        <f t="array" ref="BU43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3" s="9" t="e">
        <f>IF(tbl_Case_mins[[#This Row],[Surgery End Date]]&gt;tbl_Case_mins[[#This Row],[Surgery Start Date]],tbl_Case_mins[[#This Row],[Anaesth End]]-1440,0)</f>
        <v>#REF!</v>
      </c>
      <c r="BY433" s="9" t="e">
        <f>tbl_Case_mins[[#This Row],[Total_NonCore]]-tbl_Case_mins[[#This Row],[NextDay_NonCore]]</f>
        <v>#REF!</v>
      </c>
      <c r="BZ433" s="10" t="e">
        <f>tbl_Case_mins[[#This Row],[InCoreUse]]/60</f>
        <v>#REF!</v>
      </c>
      <c r="CA433" s="10" t="e">
        <f>tbl_Case_mins[[#This Row],[Total_NonCore]]/60</f>
        <v>#REF!</v>
      </c>
      <c r="CB433" t="e" cm="1">
        <f t="array" ref="CB4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3" s="9" t="e" cm="1">
        <f t="array" ref="CC43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3" s="9" t="e" cm="1">
        <f t="array" ref="CD43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3" s="9" t="e" cm="1">
        <f t="array" ref="CE43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3" s="9" cm="1">
        <f t="array" ref="CF433">IFERROR(_xlfn.AGGREGATE(14,6,(tbl_Case_mins[Rank_AnaEnd])/((tbl_Case_mins[Surgery Start Date]=tbl_Case_mins[[#This Row],[Surgery Start Date]])*(tbl_Case_mins[Theatre]=tbl_Case_mins[[#This Row],[Theatre]])*(tbl_Case_mins[NoInCoreTime]=0)),1),-1)</f>
        <v>-1</v>
      </c>
      <c r="CG433" s="9" cm="1">
        <f t="array" ref="CG433">IFERROR(_xlfn.AGGREGATE(15,6,(tbl_Case_mins[Rank_AnaSt])/((tbl_Case_mins[Surgery Start Date]=tbl_Case_mins[[#This Row],[Surgery Start Date]])*(tbl_Case_mins[Theatre]=tbl_Case_mins[[#This Row],[Theatre]])*(tbl_Case_mins[NoInCoreTime]=0)),1),-1)</f>
        <v>-1</v>
      </c>
      <c r="CH43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3" t="e" cm="1">
        <f t="array" ref="CJ43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3" s="9" cm="1">
        <f t="array" ref="CO4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3" s="9" cm="1">
        <f t="array" ref="CP43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3" s="9" cm="1">
        <f t="array" ref="CQ433">IFERROR(IF(AND(tbl_Case_mins[[#This Row],[FirstAMCase]]=0,tbl_Case_mins[[#This Row],[Rank]]=_xlfn.AGGREGATE(14,6,(tbl_Case_mins[Rank])/((tbl_Case_mins[Surgery Start Date]=tbl_Case_mins[[#This Row],[Surgery Start Date]])*(tbl_Case_mins[Theatre]=tbl_Case_mins[[#This Row],[Theatre]])*(tbl_Case_mins[AmCase]=1)),1)),1,0),0)</f>
        <v>0</v>
      </c>
      <c r="CR433" s="9" cm="1">
        <f t="array" ref="CR43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3" s="9" t="e" cm="1">
        <f t="array" ref="CS43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3" s="9" cm="1">
        <f t="array" ref="CT433">IFERROR(IF(tbl_Case_mins[[#This Row],[Rank]]=_xlfn.AGGREGATE(15,6,(tbl_Case_mins[Rank])/((tbl_Case_mins[Surgery Start Date]=tbl_Case_mins[[#This Row],[Surgery Start Date]])*(tbl_Case_mins[Theatre]=tbl_Case_mins[[#This Row],[Theatre]])*(tbl_Case_mins[PmCase]=1)),1),1,0),0)</f>
        <v>0</v>
      </c>
      <c r="CU433">
        <f>IFERROR(#REF!,0)</f>
        <v>0</v>
      </c>
      <c r="CV433" s="9" t="e" cm="1">
        <f t="array" ref="CV43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3" s="9">
        <f>IFERROR(IF(ISBLANK(INDEX(Bay_AmClose,MATCH(1,INDEX((tbl_Case_mins[[#This Row],[Bay]]=BayNo)*(tbl_Case_mins[[#This Row],[Surgery Start Date]]=BDate),0,1),0))*1440),0,INDEX(Bay_AmClose,MATCH(1,INDEX((tbl_Case_mins[[#This Row],[Bay]]=BayNo)*(tbl_Case_mins[[#This Row],[Surgery Start Date]]=BDate),0,1),0))*1440),0)</f>
        <v>0</v>
      </c>
      <c r="CX433" s="9" cm="1">
        <f t="array" ref="CX433">IFERROR(IF(ISBLANK(INDEX(Bay_PmOpen,MATCH(1,INDEX((tbl_Case_mins[[#This Row],[Bay]]=BayNo)*(tbl_Case_mins[[#This Row],[Surgery Start Date]]=BDate),0,1),0))*1440),0,INDEX(Bay_PmOpen,MATCH(1,INDEX((tbl_Case_mins[[#This Row],[Bay]]=BayNo)*(tbl_Case_mins[[#This Row],[Surgery Start Date]]=BDate),0,1),0))*1440),0)</f>
        <v>0</v>
      </c>
      <c r="CY43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3" s="9"/>
    </row>
    <row r="434" spans="1:104" x14ac:dyDescent="0.2">
      <c r="A434">
        <v>433</v>
      </c>
      <c r="B434" t="e">
        <f>#REF!</f>
        <v>#REF!</v>
      </c>
      <c r="C434" t="e">
        <f>#REF!</f>
        <v>#REF!</v>
      </c>
      <c r="D434" t="e">
        <f>#REF!</f>
        <v>#REF!</v>
      </c>
      <c r="E434" t="e">
        <f>#REF!</f>
        <v>#REF!</v>
      </c>
      <c r="F434" t="e">
        <f>#REF!</f>
        <v>#REF!</v>
      </c>
      <c r="G434" t="e">
        <f>#REF!</f>
        <v>#REF!</v>
      </c>
      <c r="H434" t="e">
        <f>#REF!</f>
        <v>#REF!</v>
      </c>
      <c r="I434" t="e">
        <f>IF(#REF!="Case Cancelled",1,IF(#REF!="No Cases",2,0))</f>
        <v>#REF!</v>
      </c>
      <c r="J434" t="e">
        <f>#REF!</f>
        <v>#REF!</v>
      </c>
      <c r="K434" s="4" t="e">
        <f>#REF!</f>
        <v>#REF!</v>
      </c>
      <c r="L434" t="e">
        <f>"Wk "&amp;WEEKNUM(tbl_Case_mins[[#This Row],[Surgery Start Date]],21)</f>
        <v>#REF!</v>
      </c>
      <c r="M434" t="e">
        <f>TEXT(tbl_Case_mins[[#This Row],[Surgery Start Date]],"ddd")</f>
        <v>#REF!</v>
      </c>
      <c r="N434" s="9" t="e">
        <f>(#REF!-TIME(0,0,0))*1440</f>
        <v>#REF!</v>
      </c>
      <c r="O434" t="e">
        <f>IF(AND(ROUND((#REF!-TIME(0,0,0))*1440,0)&gt;0,ROUND((#REF!-TIME(0,0,0))*1440,0)&lt;tbl_Case_mins[[#This Row],[Patient Called]],tbl_Case_mins[[#This Row],[Surgery End Date]]&gt;tbl_Case_mins[[#This Row],[Surgery Start Date]]),ROUND((#REF!-TIME(0,0,0))*1440,0)+1440,ROUND((#REF!-TIME(0,0,0))*1440,0))</f>
        <v>#REF!</v>
      </c>
      <c r="P434" s="9" t="e">
        <f>IF(AND(ROUND((#REF!-TIME(0,0,0))*1440,0)&gt;0,ROUND((#REF!-TIME(0,0,0))*1440,0)&lt;tbl_Case_mins[[#This Row],[Arrival]],tbl_Case_mins[[#This Row],[Surgery End Date]]&gt;tbl_Case_mins[[#This Row],[Surgery Start Date]]),ROUND((#REF!-TIME(0,0,0))*1440,0)+1440,ROUND((#REF!-TIME(0,0,0))*1440,0))</f>
        <v>#REF!</v>
      </c>
      <c r="Q434" s="9" t="e">
        <f>IF(AND(ROUND((#REF!-TIME(0,0,0))*1440,0)&gt;0,ROUND((#REF!-TIME(0,0,0))*1440,0)&lt;tbl_Case_mins[[#This Row],[Into Th or AR]],tbl_Case_mins[[#This Row],[Surgery End Date]]&gt;tbl_Case_mins[[#This Row],[Surgery Start Date]]),ROUND((#REF!-TIME(0,0,0))*1440,0)+1440,ROUND((#REF!-TIME(0,0,0))*1440,0))</f>
        <v>#REF!</v>
      </c>
      <c r="R434" s="9" t="e">
        <f>IF(AND(ROUND((#REF!-TIME(0,0,0))*1440,0)&gt;0,ROUND((#REF!-TIME(0,0,0))*1440,0)&lt;tbl_Case_mins[[#This Row],[AnaesthStart]],tbl_Case_mins[[#This Row],[Surgery End Date]]&gt;tbl_Case_mins[[#This Row],[Surgery Start Date]]),ROUND((#REF!-TIME(0,0,0))*1440,0)+1440,ROUND((#REF!-TIME(0,0,0))*1440,0))</f>
        <v>#REF!</v>
      </c>
      <c r="S434" s="9" t="e">
        <f>IF(AND(ROUND((#REF!-TIME(0,0,0))*1440,0),ROUND((#REF!-TIME(0,0,0))*1440,0)&lt;tbl_Case_mins[[#This Row],[Surgery Start]],tbl_Case_mins[[#This Row],[Surgery End Date]]&gt;tbl_Case_mins[[#This Row],[Surgery Start Date]]),ROUND((#REF!-TIME(0,0,0))*1440,0)+1440,ROUND((#REF!-TIME(0,0,0))*1440,0))</f>
        <v>#REF!</v>
      </c>
      <c r="T434" s="9" t="e">
        <f>IF(AND(ROUND((#REF!-TIME(0,0,0))*1440,0)&gt;0,ROUND((#REF!-TIME(0,0,0))*1440,0)&lt;tbl_Case_mins[[#This Row],[Surgery Finish]],tbl_Case_mins[[#This Row],[Surgery End Date]]&gt;tbl_Case_mins[[#This Row],[Surgery Start Date]]),ROUND((#REF!-TIME(0,0,0))*1440,0)+1440,ROUND((#REF!-TIME(0,0,0))*1440,0))</f>
        <v>#REF!</v>
      </c>
      <c r="U434" s="9" t="e">
        <f>IF(AND(ROUND((#REF!-TIME(0,0,0))*1440,0)&gt;0,ROUND((#REF!-TIME(0,0,0))*1440,0)&lt;tbl_Case_mins[[#This Row],[Anaesth End]],tbl_Case_mins[[#This Row],[Surgery End Date]]&gt;tbl_Case_mins[[#This Row],[Surgery Start Date]]),ROUND((#REF!-TIME(0,0,0))*1440,0)+1440,ROUND((#REF!-TIME(0,0,0))*1440,0))</f>
        <v>#REF!</v>
      </c>
      <c r="V434" s="9" t="e">
        <f>IF(AND(ROUND((#REF!-TIME(0,0,0))*1440,0)&gt;0,ROUND((#REF!-TIME(0,0,0))*1440,0)&lt;tbl_Case_mins[[#This Row],[Into Recov]],tbl_Case_mins[[#This Row],[Surgery End Date]]&gt;tbl_Case_mins[[#This Row],[Surgery Start Date]]),ROUND((#REF!-TIME(0,0,0))*1440,0)+1440,ROUND((#REF!-TIME(0,0,0))*1440,0))</f>
        <v>#REF!</v>
      </c>
      <c r="W434" s="9" t="e">
        <f>IF(AND(ROUND((#REF!-TIME(0,0,0))*1440,0)&gt;0,ROUND((#REF!-TIME(0,0,0))*1440,0)&lt;tbl_Case_mins[[#This Row],[Ward Called]],tbl_Case_mins[[#This Row],[Surgery End Date]]&gt;tbl_Case_mins[[#This Row],[Surgery Start Date]]),ROUND((#REF!-TIME(0,0,0))*1440,0)+1440,ROUND((#REF!-TIME(0,0,0))*1440,0))</f>
        <v>#REF!</v>
      </c>
      <c r="X434" s="4" t="e">
        <f>IF(ISBLANK(#REF!),tbl_Case_mins[[#This Row],[Surgery Start Date]],#REF!)</f>
        <v>#REF!</v>
      </c>
      <c r="Y434">
        <f>IFERROR(IF(VLOOKUP(tbl_Case_mins[[#This Row],[Theatre]],'Mng Theatres'!$C$7:$G$12,3,FALSE)="Yes","Yes","No"),0)</f>
        <v>0</v>
      </c>
      <c r="Z434" s="9" t="e" cm="1">
        <f t="array" ref="Z434">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4" s="9" t="e" cm="1">
        <f t="array" ref="AA434">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4"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4" s="9" t="e">
        <f>IF(tbl_Case_mins[[#This Row],[Case Type]]="Unsch",1,0)</f>
        <v>#REF!</v>
      </c>
      <c r="AD434" s="9" t="e">
        <f>IF(tbl_Case_mins[[#This Row],[Case Type]]="Sch",1,0)</f>
        <v>#REF!</v>
      </c>
      <c r="AE434"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4" s="9">
        <f>IFERROR(IF(ISBLANK(INDEX(Am_Close,MATCH(1,INDEX((tbl_Case_mins[[#This Row],[Theatre]]=Theatre_No)*(tbl_Case_mins[[#This Row],[Surgery Start Date]]=Date),0,1),0))*1440),0,INDEX(Am_Close,MATCH(1,INDEX((tbl_Case_mins[[#This Row],[Theatre]]=Theatre_No)*(tbl_Case_mins[[#This Row],[Surgery Start Date]]=Date),0,1),0))*1440),0)</f>
        <v>0</v>
      </c>
      <c r="AG434" s="9">
        <f>IFERROR(IF(ISBLANK(INDEX(PM_Open,MATCH(1,INDEX((tbl_Case_mins[[#This Row],[Theatre]]=Theatre_No)*(tbl_Case_mins[[#This Row],[Surgery Start Date]]=Date),0,1),0))*1440),0,INDEX(PM_Open,MATCH(1,INDEX((tbl_Case_mins[[#This Row],[Theatre]]=Theatre_No)*(tbl_Case_mins[[#This Row],[Surgery Start Date]]=Date),0,1),0))*1440),0)</f>
        <v>0</v>
      </c>
      <c r="AH434"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4" s="9" t="e">
        <f>IF(tbl_Case_mins[[#This Row],[ThOpenAm]]=0,tbl_Case_mins[[#This Row],[ThOpenPM]],tbl_Case_mins[[#This Row],[ThOpenAm]])</f>
        <v>#REF!</v>
      </c>
      <c r="AJ434" s="9" t="e">
        <f>IF(tbl_Case_mins[[#This Row],[ThCloseAm]]&gt;0,IF(tbl_Case_mins[[#This Row],[ThOpenPM]]&gt;0,tbl_Case_mins[[#This Row],[ThClosePm]],tbl_Case_mins[[#This Row],[ThCloseAm]]),tbl_Case_mins[[#This Row],[ThClosePm]])</f>
        <v>#REF!</v>
      </c>
      <c r="AK434" s="9" t="e">
        <f>IF(tbl_Case_mins[[#This Row],[TOT]]&gt;0,1,0)</f>
        <v>#REF!</v>
      </c>
      <c r="AL434"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4" s="9" t="e">
        <f>IF(AND(tbl_Case_mins[[#This Row],[Surgery Status]]&lt;&gt;2,tbl_Case_mins[[#This Row],[InCoreCase]]=0,tbl_Case_mins[[#This Row],[CancelledCase]]=0),1,0)</f>
        <v>#REF!</v>
      </c>
      <c r="AN434" s="9" t="e">
        <f>IF(tbl_Case_mins[[#This Row],[Surgery Status]]=1,1,0)</f>
        <v>#REF!</v>
      </c>
      <c r="AO434"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4" s="9" t="e">
        <f>IF(AND(tbl_Case_mins[[#This Row],[NonCoreCase]]=1,tbl_Case_mins[[#This Row],[NoInCoreTime]]=0),1,0)</f>
        <v>#REF!</v>
      </c>
      <c r="AQ434" s="9" t="e">
        <f>IF(tbl_Case_mins[[#This Row],[Rank_AnaEnd]]&lt;tbl_Case_mins[[#This Row],[Rank_AnaSt]],1,0)</f>
        <v>#REF!</v>
      </c>
      <c r="AR434" s="9" t="e">
        <f>IF(AND(tbl_Case_mins[[#This Row],[InCoreCase]]=1,tbl_Case_mins[[#This Row],[Sch]]=1),1,0)</f>
        <v>#REF!</v>
      </c>
      <c r="AS434" s="9" t="e">
        <f>IF(AND(tbl_Case_mins[[#This Row],[InCoreCase]]=1,tbl_Case_mins[[#This Row],[Unsch]]=1),1,0)</f>
        <v>#REF!</v>
      </c>
      <c r="AT434"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4"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4"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4" s="9" t="e">
        <f>IF(tbl_Case_mins[[#This Row],[Surgery Status]]=0,(tbl_Case_mins[[#This Row],[Anaesth End]]-tbl_Case_mins[[#This Row],[AnaesthStart]]),0)</f>
        <v>#REF!</v>
      </c>
      <c r="AX434" s="9" t="e">
        <f>IF(tbl_Case_mins[[#This Row],[Surgery Status]]=0,(tbl_Case_mins[[#This Row],[Surgery Finish]]-tbl_Case_mins[[#This Row],[Surgery Start]]),0)</f>
        <v>#REF!</v>
      </c>
      <c r="AY434" s="9" t="e">
        <f>tbl_Case_mins[[#This Row],[Surgery Start]]-tbl_Case_mins[[#This Row],[AnaesthStart]]</f>
        <v>#REF!</v>
      </c>
      <c r="AZ434" s="9" t="e">
        <f>tbl_Case_mins[[#This Row],[Anaesth End]]-tbl_Case_mins[[#This Row],[Surgery Finish]]</f>
        <v>#REF!</v>
      </c>
      <c r="BA434"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4"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4" s="16" cm="1">
        <f t="array" ref="BC434">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4" s="16" t="e">
        <f>IF(AND(tbl_Case_mins[[#This Row],[FirstAMCase]]=1,tbl_Case_mins[[#This Row],[CancelledCase]]=0,OR(tbl_Case_mins[[#This Row],[EarlyStartAM]]&gt;0,tbl_Case_mins[[#This Row],[AnaesthStart]]=tbl_Case_mins[[#This Row],[ThOpenAm]])),1,0)</f>
        <v>#REF!</v>
      </c>
      <c r="BE434" s="16" t="e">
        <f>IF(AND(tbl_Case_mins[[#This Row],[Rank_AnaSt]]=tbl_Case_mins[[#This Row],[Min_RankAnaSt]],tbl_Case_mins[[#This Row],[Anaesth End]]&gt;=tbl_Case_mins[[#This Row],[ThOpenAm]],tbl_Case_mins[[#This Row],[PmCase]]=0),1,0)</f>
        <v>#REF!</v>
      </c>
      <c r="BF434"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4"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4" s="9" t="e" cm="1">
        <f t="array" ref="BH434">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4"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4"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4" s="9" t="e">
        <f>IF(AND(tbl_Case_mins[[#This Row],[ThOpenPM]]&gt;0,tbl_Case_mins[[#This Row],[AnaesthStart]]&gt;tbl_Case_mins[[#This Row],[ThOpenPM]],tbl_Case_mins[[#This Row],[First PM Case]]=1),tbl_Case_mins[[#This Row],[AnaesthStart]]-tbl_Case_mins[[#This Row],[ThOpenPM]],0)</f>
        <v>#REF!</v>
      </c>
      <c r="BL434"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4"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4" s="9" t="e" cm="1">
        <f t="array" ref="BN434">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4" s="9" t="e">
        <f>IF(AND(tbl_Case_mins[[#This Row],[ThClosePm]]&gt;0,tbl_Case_mins[[#This Row],[Anaesth End]]&gt;tbl_Case_mins[[#This Row],[ThClosePm]],tbl_Case_mins[[#This Row],[AnaesthStart]]&gt;tbl_Case_mins[[#This Row],[ThClosePm]]),tbl_Case_mins[[#This Row],[Into Recov]]-tbl_Case_mins[[#This Row],[AnaesthStart]],0)</f>
        <v>#REF!</v>
      </c>
      <c r="BP434" s="9" t="e">
        <f>IF(AND(tbl_Case_mins[[#This Row],[AnaesthStart]]&lt;tbl_Case_mins[[#This Row],[ThClosePm]],tbl_Case_mins[[#This Row],[Anaesth End]]&gt;tbl_Case_mins[[#This Row],[ThClosePm]]),tbl_Case_mins[[#This Row],[Anaesth End]]-tbl_Case_mins[[#This Row],[ThClosePm]],0)</f>
        <v>#REF!</v>
      </c>
      <c r="BQ434" s="9" t="e" cm="1">
        <f t="array" ref="BQ434">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4" s="9" t="e" cm="1">
        <f t="array" ref="BR434">IF(tbl_Case_mins[[#This Row],[Rank_Adjust]]=SUMPRODUCT(-(tbl_Case_mins[Surgery Start Date]=tbl_Case_mins[[#This Row],[Surgery Start Date]]),-(tbl_Case_mins[Theatre]=tbl_Case_mins[[#This Row],[Theatre]])),INDEX(Poss_Time,MATCH(TEXT(tbl_Case_mins[[#This Row],[Surgery Start Date]],"ddd"),Day,0)),0)</f>
        <v>#REF!</v>
      </c>
      <c r="BS434" s="9" t="e">
        <f>tbl_Case_mins[[#This Row],[Core_Time]]*Util_Goal</f>
        <v>#REF!</v>
      </c>
      <c r="BT434" s="9" t="e" cm="1">
        <f t="array" ref="BT4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4" s="9" t="e" cm="1">
        <f t="array" ref="BU434">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4"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4"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4" s="9" t="e">
        <f>IF(tbl_Case_mins[[#This Row],[Surgery End Date]]&gt;tbl_Case_mins[[#This Row],[Surgery Start Date]],tbl_Case_mins[[#This Row],[Anaesth End]]-1440,0)</f>
        <v>#REF!</v>
      </c>
      <c r="BY434" s="9" t="e">
        <f>tbl_Case_mins[[#This Row],[Total_NonCore]]-tbl_Case_mins[[#This Row],[NextDay_NonCore]]</f>
        <v>#REF!</v>
      </c>
      <c r="BZ434" s="10" t="e">
        <f>tbl_Case_mins[[#This Row],[InCoreUse]]/60</f>
        <v>#REF!</v>
      </c>
      <c r="CA434" s="10" t="e">
        <f>tbl_Case_mins[[#This Row],[Total_NonCore]]/60</f>
        <v>#REF!</v>
      </c>
      <c r="CB434" t="e" cm="1">
        <f t="array" ref="CB4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4" s="9" t="e" cm="1">
        <f t="array" ref="CC434">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4" s="9" t="e" cm="1">
        <f t="array" ref="CD434">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4" s="9" t="e" cm="1">
        <f t="array" ref="CE434">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4" s="9" cm="1">
        <f t="array" ref="CF434">IFERROR(_xlfn.AGGREGATE(14,6,(tbl_Case_mins[Rank_AnaEnd])/((tbl_Case_mins[Surgery Start Date]=tbl_Case_mins[[#This Row],[Surgery Start Date]])*(tbl_Case_mins[Theatre]=tbl_Case_mins[[#This Row],[Theatre]])*(tbl_Case_mins[NoInCoreTime]=0)),1),-1)</f>
        <v>-1</v>
      </c>
      <c r="CG434" s="9" cm="1">
        <f t="array" ref="CG434">IFERROR(_xlfn.AGGREGATE(15,6,(tbl_Case_mins[Rank_AnaSt])/((tbl_Case_mins[Surgery Start Date]=tbl_Case_mins[[#This Row],[Surgery Start Date]])*(tbl_Case_mins[Theatre]=tbl_Case_mins[[#This Row],[Theatre]])*(tbl_Case_mins[NoInCoreTime]=0)),1),-1)</f>
        <v>-1</v>
      </c>
      <c r="CH434"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4"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4" t="e" cm="1">
        <f t="array" ref="CJ434">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4"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4"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4"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4" s="9" cm="1">
        <f t="array" ref="CO4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4" s="9" cm="1">
        <f t="array" ref="CP434">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4" s="9" cm="1">
        <f t="array" ref="CQ434">IFERROR(IF(AND(tbl_Case_mins[[#This Row],[FirstAMCase]]=0,tbl_Case_mins[[#This Row],[Rank]]=_xlfn.AGGREGATE(14,6,(tbl_Case_mins[Rank])/((tbl_Case_mins[Surgery Start Date]=tbl_Case_mins[[#This Row],[Surgery Start Date]])*(tbl_Case_mins[Theatre]=tbl_Case_mins[[#This Row],[Theatre]])*(tbl_Case_mins[AmCase]=1)),1)),1,0),0)</f>
        <v>0</v>
      </c>
      <c r="CR434" s="9" cm="1">
        <f t="array" ref="CR434">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4" s="9" t="e" cm="1">
        <f t="array" ref="CS434">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4" s="9" cm="1">
        <f t="array" ref="CT434">IFERROR(IF(tbl_Case_mins[[#This Row],[Rank]]=_xlfn.AGGREGATE(15,6,(tbl_Case_mins[Rank])/((tbl_Case_mins[Surgery Start Date]=tbl_Case_mins[[#This Row],[Surgery Start Date]])*(tbl_Case_mins[Theatre]=tbl_Case_mins[[#This Row],[Theatre]])*(tbl_Case_mins[PmCase]=1)),1),1,0),0)</f>
        <v>0</v>
      </c>
      <c r="CU434">
        <f>IFERROR(#REF!,0)</f>
        <v>0</v>
      </c>
      <c r="CV434" s="9" t="e" cm="1">
        <f t="array" ref="CV434">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4" s="9">
        <f>IFERROR(IF(ISBLANK(INDEX(Bay_AmClose,MATCH(1,INDEX((tbl_Case_mins[[#This Row],[Bay]]=BayNo)*(tbl_Case_mins[[#This Row],[Surgery Start Date]]=BDate),0,1),0))*1440),0,INDEX(Bay_AmClose,MATCH(1,INDEX((tbl_Case_mins[[#This Row],[Bay]]=BayNo)*(tbl_Case_mins[[#This Row],[Surgery Start Date]]=BDate),0,1),0))*1440),0)</f>
        <v>0</v>
      </c>
      <c r="CX434" s="9" cm="1">
        <f t="array" ref="CX434">IFERROR(IF(ISBLANK(INDEX(Bay_PmOpen,MATCH(1,INDEX((tbl_Case_mins[[#This Row],[Bay]]=BayNo)*(tbl_Case_mins[[#This Row],[Surgery Start Date]]=BDate),0,1),0))*1440),0,INDEX(Bay_PmOpen,MATCH(1,INDEX((tbl_Case_mins[[#This Row],[Bay]]=BayNo)*(tbl_Case_mins[[#This Row],[Surgery Start Date]]=BDate),0,1),0))*1440),0)</f>
        <v>0</v>
      </c>
      <c r="CY434"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4" s="9"/>
    </row>
    <row r="435" spans="1:104" x14ac:dyDescent="0.2">
      <c r="A435">
        <v>434</v>
      </c>
      <c r="B435" t="e">
        <f>#REF!</f>
        <v>#REF!</v>
      </c>
      <c r="C435" t="e">
        <f>#REF!</f>
        <v>#REF!</v>
      </c>
      <c r="D435" t="e">
        <f>#REF!</f>
        <v>#REF!</v>
      </c>
      <c r="E435" t="e">
        <f>#REF!</f>
        <v>#REF!</v>
      </c>
      <c r="F435" t="e">
        <f>#REF!</f>
        <v>#REF!</v>
      </c>
      <c r="G435" t="e">
        <f>#REF!</f>
        <v>#REF!</v>
      </c>
      <c r="H435" t="e">
        <f>#REF!</f>
        <v>#REF!</v>
      </c>
      <c r="I435" t="e">
        <f>IF(#REF!="Case Cancelled",1,IF(#REF!="No Cases",2,0))</f>
        <v>#REF!</v>
      </c>
      <c r="J435" t="e">
        <f>#REF!</f>
        <v>#REF!</v>
      </c>
      <c r="K435" s="4" t="e">
        <f>#REF!</f>
        <v>#REF!</v>
      </c>
      <c r="L435" t="e">
        <f>"Wk "&amp;WEEKNUM(tbl_Case_mins[[#This Row],[Surgery Start Date]],21)</f>
        <v>#REF!</v>
      </c>
      <c r="M435" t="e">
        <f>TEXT(tbl_Case_mins[[#This Row],[Surgery Start Date]],"ddd")</f>
        <v>#REF!</v>
      </c>
      <c r="N435" s="9" t="e">
        <f>(#REF!-TIME(0,0,0))*1440</f>
        <v>#REF!</v>
      </c>
      <c r="O435" t="e">
        <f>IF(AND(ROUND((#REF!-TIME(0,0,0))*1440,0)&gt;0,ROUND((#REF!-TIME(0,0,0))*1440,0)&lt;tbl_Case_mins[[#This Row],[Patient Called]],tbl_Case_mins[[#This Row],[Surgery End Date]]&gt;tbl_Case_mins[[#This Row],[Surgery Start Date]]),ROUND((#REF!-TIME(0,0,0))*1440,0)+1440,ROUND((#REF!-TIME(0,0,0))*1440,0))</f>
        <v>#REF!</v>
      </c>
      <c r="P435" s="9" t="e">
        <f>IF(AND(ROUND((#REF!-TIME(0,0,0))*1440,0)&gt;0,ROUND((#REF!-TIME(0,0,0))*1440,0)&lt;tbl_Case_mins[[#This Row],[Arrival]],tbl_Case_mins[[#This Row],[Surgery End Date]]&gt;tbl_Case_mins[[#This Row],[Surgery Start Date]]),ROUND((#REF!-TIME(0,0,0))*1440,0)+1440,ROUND((#REF!-TIME(0,0,0))*1440,0))</f>
        <v>#REF!</v>
      </c>
      <c r="Q435" s="9" t="e">
        <f>IF(AND(ROUND((#REF!-TIME(0,0,0))*1440,0)&gt;0,ROUND((#REF!-TIME(0,0,0))*1440,0)&lt;tbl_Case_mins[[#This Row],[Into Th or AR]],tbl_Case_mins[[#This Row],[Surgery End Date]]&gt;tbl_Case_mins[[#This Row],[Surgery Start Date]]),ROUND((#REF!-TIME(0,0,0))*1440,0)+1440,ROUND((#REF!-TIME(0,0,0))*1440,0))</f>
        <v>#REF!</v>
      </c>
      <c r="R435" s="9" t="e">
        <f>IF(AND(ROUND((#REF!-TIME(0,0,0))*1440,0)&gt;0,ROUND((#REF!-TIME(0,0,0))*1440,0)&lt;tbl_Case_mins[[#This Row],[AnaesthStart]],tbl_Case_mins[[#This Row],[Surgery End Date]]&gt;tbl_Case_mins[[#This Row],[Surgery Start Date]]),ROUND((#REF!-TIME(0,0,0))*1440,0)+1440,ROUND((#REF!-TIME(0,0,0))*1440,0))</f>
        <v>#REF!</v>
      </c>
      <c r="S435" s="9" t="e">
        <f>IF(AND(ROUND((#REF!-TIME(0,0,0))*1440,0),ROUND((#REF!-TIME(0,0,0))*1440,0)&lt;tbl_Case_mins[[#This Row],[Surgery Start]],tbl_Case_mins[[#This Row],[Surgery End Date]]&gt;tbl_Case_mins[[#This Row],[Surgery Start Date]]),ROUND((#REF!-TIME(0,0,0))*1440,0)+1440,ROUND((#REF!-TIME(0,0,0))*1440,0))</f>
        <v>#REF!</v>
      </c>
      <c r="T435" s="9" t="e">
        <f>IF(AND(ROUND((#REF!-TIME(0,0,0))*1440,0)&gt;0,ROUND((#REF!-TIME(0,0,0))*1440,0)&lt;tbl_Case_mins[[#This Row],[Surgery Finish]],tbl_Case_mins[[#This Row],[Surgery End Date]]&gt;tbl_Case_mins[[#This Row],[Surgery Start Date]]),ROUND((#REF!-TIME(0,0,0))*1440,0)+1440,ROUND((#REF!-TIME(0,0,0))*1440,0))</f>
        <v>#REF!</v>
      </c>
      <c r="U435" s="9" t="e">
        <f>IF(AND(ROUND((#REF!-TIME(0,0,0))*1440,0)&gt;0,ROUND((#REF!-TIME(0,0,0))*1440,0)&lt;tbl_Case_mins[[#This Row],[Anaesth End]],tbl_Case_mins[[#This Row],[Surgery End Date]]&gt;tbl_Case_mins[[#This Row],[Surgery Start Date]]),ROUND((#REF!-TIME(0,0,0))*1440,0)+1440,ROUND((#REF!-TIME(0,0,0))*1440,0))</f>
        <v>#REF!</v>
      </c>
      <c r="V435" s="9" t="e">
        <f>IF(AND(ROUND((#REF!-TIME(0,0,0))*1440,0)&gt;0,ROUND((#REF!-TIME(0,0,0))*1440,0)&lt;tbl_Case_mins[[#This Row],[Into Recov]],tbl_Case_mins[[#This Row],[Surgery End Date]]&gt;tbl_Case_mins[[#This Row],[Surgery Start Date]]),ROUND((#REF!-TIME(0,0,0))*1440,0)+1440,ROUND((#REF!-TIME(0,0,0))*1440,0))</f>
        <v>#REF!</v>
      </c>
      <c r="W435" s="9" t="e">
        <f>IF(AND(ROUND((#REF!-TIME(0,0,0))*1440,0)&gt;0,ROUND((#REF!-TIME(0,0,0))*1440,0)&lt;tbl_Case_mins[[#This Row],[Ward Called]],tbl_Case_mins[[#This Row],[Surgery End Date]]&gt;tbl_Case_mins[[#This Row],[Surgery Start Date]]),ROUND((#REF!-TIME(0,0,0))*1440,0)+1440,ROUND((#REF!-TIME(0,0,0))*1440,0))</f>
        <v>#REF!</v>
      </c>
      <c r="X435" s="4" t="e">
        <f>IF(ISBLANK(#REF!),tbl_Case_mins[[#This Row],[Surgery Start Date]],#REF!)</f>
        <v>#REF!</v>
      </c>
      <c r="Y435">
        <f>IFERROR(IF(VLOOKUP(tbl_Case_mins[[#This Row],[Theatre]],'Mng Theatres'!$C$7:$G$12,3,FALSE)="Yes","Yes","No"),0)</f>
        <v>0</v>
      </c>
      <c r="Z435" s="9" t="e" cm="1">
        <f t="array" ref="Z435">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5" s="9" t="e" cm="1">
        <f t="array" ref="AA435">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5"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5" s="9" t="e">
        <f>IF(tbl_Case_mins[[#This Row],[Case Type]]="Unsch",1,0)</f>
        <v>#REF!</v>
      </c>
      <c r="AD435" s="9" t="e">
        <f>IF(tbl_Case_mins[[#This Row],[Case Type]]="Sch",1,0)</f>
        <v>#REF!</v>
      </c>
      <c r="AE435"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5" s="9">
        <f>IFERROR(IF(ISBLANK(INDEX(Am_Close,MATCH(1,INDEX((tbl_Case_mins[[#This Row],[Theatre]]=Theatre_No)*(tbl_Case_mins[[#This Row],[Surgery Start Date]]=Date),0,1),0))*1440),0,INDEX(Am_Close,MATCH(1,INDEX((tbl_Case_mins[[#This Row],[Theatre]]=Theatre_No)*(tbl_Case_mins[[#This Row],[Surgery Start Date]]=Date),0,1),0))*1440),0)</f>
        <v>0</v>
      </c>
      <c r="AG435" s="9">
        <f>IFERROR(IF(ISBLANK(INDEX(PM_Open,MATCH(1,INDEX((tbl_Case_mins[[#This Row],[Theatre]]=Theatre_No)*(tbl_Case_mins[[#This Row],[Surgery Start Date]]=Date),0,1),0))*1440),0,INDEX(PM_Open,MATCH(1,INDEX((tbl_Case_mins[[#This Row],[Theatre]]=Theatre_No)*(tbl_Case_mins[[#This Row],[Surgery Start Date]]=Date),0,1),0))*1440),0)</f>
        <v>0</v>
      </c>
      <c r="AH435"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5" s="9" t="e">
        <f>IF(tbl_Case_mins[[#This Row],[ThOpenAm]]=0,tbl_Case_mins[[#This Row],[ThOpenPM]],tbl_Case_mins[[#This Row],[ThOpenAm]])</f>
        <v>#REF!</v>
      </c>
      <c r="AJ435" s="9" t="e">
        <f>IF(tbl_Case_mins[[#This Row],[ThCloseAm]]&gt;0,IF(tbl_Case_mins[[#This Row],[ThOpenPM]]&gt;0,tbl_Case_mins[[#This Row],[ThClosePm]],tbl_Case_mins[[#This Row],[ThCloseAm]]),tbl_Case_mins[[#This Row],[ThClosePm]])</f>
        <v>#REF!</v>
      </c>
      <c r="AK435" s="9" t="e">
        <f>IF(tbl_Case_mins[[#This Row],[TOT]]&gt;0,1,0)</f>
        <v>#REF!</v>
      </c>
      <c r="AL435"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5" s="9" t="e">
        <f>IF(AND(tbl_Case_mins[[#This Row],[Surgery Status]]&lt;&gt;2,tbl_Case_mins[[#This Row],[InCoreCase]]=0,tbl_Case_mins[[#This Row],[CancelledCase]]=0),1,0)</f>
        <v>#REF!</v>
      </c>
      <c r="AN435" s="9" t="e">
        <f>IF(tbl_Case_mins[[#This Row],[Surgery Status]]=1,1,0)</f>
        <v>#REF!</v>
      </c>
      <c r="AO435"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5" s="9" t="e">
        <f>IF(AND(tbl_Case_mins[[#This Row],[NonCoreCase]]=1,tbl_Case_mins[[#This Row],[NoInCoreTime]]=0),1,0)</f>
        <v>#REF!</v>
      </c>
      <c r="AQ435" s="9" t="e">
        <f>IF(tbl_Case_mins[[#This Row],[Rank_AnaEnd]]&lt;tbl_Case_mins[[#This Row],[Rank_AnaSt]],1,0)</f>
        <v>#REF!</v>
      </c>
      <c r="AR435" s="9" t="e">
        <f>IF(AND(tbl_Case_mins[[#This Row],[InCoreCase]]=1,tbl_Case_mins[[#This Row],[Sch]]=1),1,0)</f>
        <v>#REF!</v>
      </c>
      <c r="AS435" s="9" t="e">
        <f>IF(AND(tbl_Case_mins[[#This Row],[InCoreCase]]=1,tbl_Case_mins[[#This Row],[Unsch]]=1),1,0)</f>
        <v>#REF!</v>
      </c>
      <c r="AT435"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5"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5"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5" s="9" t="e">
        <f>IF(tbl_Case_mins[[#This Row],[Surgery Status]]=0,(tbl_Case_mins[[#This Row],[Anaesth End]]-tbl_Case_mins[[#This Row],[AnaesthStart]]),0)</f>
        <v>#REF!</v>
      </c>
      <c r="AX435" s="9" t="e">
        <f>IF(tbl_Case_mins[[#This Row],[Surgery Status]]=0,(tbl_Case_mins[[#This Row],[Surgery Finish]]-tbl_Case_mins[[#This Row],[Surgery Start]]),0)</f>
        <v>#REF!</v>
      </c>
      <c r="AY435" s="9" t="e">
        <f>tbl_Case_mins[[#This Row],[Surgery Start]]-tbl_Case_mins[[#This Row],[AnaesthStart]]</f>
        <v>#REF!</v>
      </c>
      <c r="AZ435" s="9" t="e">
        <f>tbl_Case_mins[[#This Row],[Anaesth End]]-tbl_Case_mins[[#This Row],[Surgery Finish]]</f>
        <v>#REF!</v>
      </c>
      <c r="BA435"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5"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5" s="16" cm="1">
        <f t="array" ref="BC435">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5" s="16" t="e">
        <f>IF(AND(tbl_Case_mins[[#This Row],[FirstAMCase]]=1,tbl_Case_mins[[#This Row],[CancelledCase]]=0,OR(tbl_Case_mins[[#This Row],[EarlyStartAM]]&gt;0,tbl_Case_mins[[#This Row],[AnaesthStart]]=tbl_Case_mins[[#This Row],[ThOpenAm]])),1,0)</f>
        <v>#REF!</v>
      </c>
      <c r="BE435" s="16" t="e">
        <f>IF(AND(tbl_Case_mins[[#This Row],[Rank_AnaSt]]=tbl_Case_mins[[#This Row],[Min_RankAnaSt]],tbl_Case_mins[[#This Row],[Anaesth End]]&gt;=tbl_Case_mins[[#This Row],[ThOpenAm]],tbl_Case_mins[[#This Row],[PmCase]]=0),1,0)</f>
        <v>#REF!</v>
      </c>
      <c r="BF435"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5"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5" s="9" t="e" cm="1">
        <f t="array" ref="BH435">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5"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5"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5" s="9" t="e">
        <f>IF(AND(tbl_Case_mins[[#This Row],[ThOpenPM]]&gt;0,tbl_Case_mins[[#This Row],[AnaesthStart]]&gt;tbl_Case_mins[[#This Row],[ThOpenPM]],tbl_Case_mins[[#This Row],[First PM Case]]=1),tbl_Case_mins[[#This Row],[AnaesthStart]]-tbl_Case_mins[[#This Row],[ThOpenPM]],0)</f>
        <v>#REF!</v>
      </c>
      <c r="BL435"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5"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5" s="9" t="e" cm="1">
        <f t="array" ref="BN435">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5" s="9" t="e">
        <f>IF(AND(tbl_Case_mins[[#This Row],[ThClosePm]]&gt;0,tbl_Case_mins[[#This Row],[Anaesth End]]&gt;tbl_Case_mins[[#This Row],[ThClosePm]],tbl_Case_mins[[#This Row],[AnaesthStart]]&gt;tbl_Case_mins[[#This Row],[ThClosePm]]),tbl_Case_mins[[#This Row],[Into Recov]]-tbl_Case_mins[[#This Row],[AnaesthStart]],0)</f>
        <v>#REF!</v>
      </c>
      <c r="BP435" s="9" t="e">
        <f>IF(AND(tbl_Case_mins[[#This Row],[AnaesthStart]]&lt;tbl_Case_mins[[#This Row],[ThClosePm]],tbl_Case_mins[[#This Row],[Anaesth End]]&gt;tbl_Case_mins[[#This Row],[ThClosePm]]),tbl_Case_mins[[#This Row],[Anaesth End]]-tbl_Case_mins[[#This Row],[ThClosePm]],0)</f>
        <v>#REF!</v>
      </c>
      <c r="BQ435" s="9" t="e" cm="1">
        <f t="array" ref="BQ435">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5" s="9" t="e" cm="1">
        <f t="array" ref="BR435">IF(tbl_Case_mins[[#This Row],[Rank_Adjust]]=SUMPRODUCT(-(tbl_Case_mins[Surgery Start Date]=tbl_Case_mins[[#This Row],[Surgery Start Date]]),-(tbl_Case_mins[Theatre]=tbl_Case_mins[[#This Row],[Theatre]])),INDEX(Poss_Time,MATCH(TEXT(tbl_Case_mins[[#This Row],[Surgery Start Date]],"ddd"),Day,0)),0)</f>
        <v>#REF!</v>
      </c>
      <c r="BS435" s="9" t="e">
        <f>tbl_Case_mins[[#This Row],[Core_Time]]*Util_Goal</f>
        <v>#REF!</v>
      </c>
      <c r="BT435" s="9" t="e" cm="1">
        <f t="array" ref="BT4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5" s="9" t="e" cm="1">
        <f t="array" ref="BU435">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5"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5"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5" s="9" t="e">
        <f>IF(tbl_Case_mins[[#This Row],[Surgery End Date]]&gt;tbl_Case_mins[[#This Row],[Surgery Start Date]],tbl_Case_mins[[#This Row],[Anaesth End]]-1440,0)</f>
        <v>#REF!</v>
      </c>
      <c r="BY435" s="9" t="e">
        <f>tbl_Case_mins[[#This Row],[Total_NonCore]]-tbl_Case_mins[[#This Row],[NextDay_NonCore]]</f>
        <v>#REF!</v>
      </c>
      <c r="BZ435" s="10" t="e">
        <f>tbl_Case_mins[[#This Row],[InCoreUse]]/60</f>
        <v>#REF!</v>
      </c>
      <c r="CA435" s="10" t="e">
        <f>tbl_Case_mins[[#This Row],[Total_NonCore]]/60</f>
        <v>#REF!</v>
      </c>
      <c r="CB435" t="e" cm="1">
        <f t="array" ref="CB4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5" s="9" t="e" cm="1">
        <f t="array" ref="CC435">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5" s="9" t="e" cm="1">
        <f t="array" ref="CD435">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5" s="9" t="e" cm="1">
        <f t="array" ref="CE435">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5" s="9" cm="1">
        <f t="array" ref="CF435">IFERROR(_xlfn.AGGREGATE(14,6,(tbl_Case_mins[Rank_AnaEnd])/((tbl_Case_mins[Surgery Start Date]=tbl_Case_mins[[#This Row],[Surgery Start Date]])*(tbl_Case_mins[Theatre]=tbl_Case_mins[[#This Row],[Theatre]])*(tbl_Case_mins[NoInCoreTime]=0)),1),-1)</f>
        <v>-1</v>
      </c>
      <c r="CG435" s="9" cm="1">
        <f t="array" ref="CG435">IFERROR(_xlfn.AGGREGATE(15,6,(tbl_Case_mins[Rank_AnaSt])/((tbl_Case_mins[Surgery Start Date]=tbl_Case_mins[[#This Row],[Surgery Start Date]])*(tbl_Case_mins[Theatre]=tbl_Case_mins[[#This Row],[Theatre]])*(tbl_Case_mins[NoInCoreTime]=0)),1),-1)</f>
        <v>-1</v>
      </c>
      <c r="CH435"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5"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5" t="e" cm="1">
        <f t="array" ref="CJ435">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5"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5"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5"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5" s="9" cm="1">
        <f t="array" ref="CO4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5" s="9" cm="1">
        <f t="array" ref="CP435">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5" s="9" cm="1">
        <f t="array" ref="CQ435">IFERROR(IF(AND(tbl_Case_mins[[#This Row],[FirstAMCase]]=0,tbl_Case_mins[[#This Row],[Rank]]=_xlfn.AGGREGATE(14,6,(tbl_Case_mins[Rank])/((tbl_Case_mins[Surgery Start Date]=tbl_Case_mins[[#This Row],[Surgery Start Date]])*(tbl_Case_mins[Theatre]=tbl_Case_mins[[#This Row],[Theatre]])*(tbl_Case_mins[AmCase]=1)),1)),1,0),0)</f>
        <v>0</v>
      </c>
      <c r="CR435" s="9" cm="1">
        <f t="array" ref="CR435">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5" s="9" t="e" cm="1">
        <f t="array" ref="CS435">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5" s="9" cm="1">
        <f t="array" ref="CT435">IFERROR(IF(tbl_Case_mins[[#This Row],[Rank]]=_xlfn.AGGREGATE(15,6,(tbl_Case_mins[Rank])/((tbl_Case_mins[Surgery Start Date]=tbl_Case_mins[[#This Row],[Surgery Start Date]])*(tbl_Case_mins[Theatre]=tbl_Case_mins[[#This Row],[Theatre]])*(tbl_Case_mins[PmCase]=1)),1),1,0),0)</f>
        <v>0</v>
      </c>
      <c r="CU435">
        <f>IFERROR(#REF!,0)</f>
        <v>0</v>
      </c>
      <c r="CV435" s="9" t="e" cm="1">
        <f t="array" ref="CV435">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5" s="9">
        <f>IFERROR(IF(ISBLANK(INDEX(Bay_AmClose,MATCH(1,INDEX((tbl_Case_mins[[#This Row],[Bay]]=BayNo)*(tbl_Case_mins[[#This Row],[Surgery Start Date]]=BDate),0,1),0))*1440),0,INDEX(Bay_AmClose,MATCH(1,INDEX((tbl_Case_mins[[#This Row],[Bay]]=BayNo)*(tbl_Case_mins[[#This Row],[Surgery Start Date]]=BDate),0,1),0))*1440),0)</f>
        <v>0</v>
      </c>
      <c r="CX435" s="9" cm="1">
        <f t="array" ref="CX435">IFERROR(IF(ISBLANK(INDEX(Bay_PmOpen,MATCH(1,INDEX((tbl_Case_mins[[#This Row],[Bay]]=BayNo)*(tbl_Case_mins[[#This Row],[Surgery Start Date]]=BDate),0,1),0))*1440),0,INDEX(Bay_PmOpen,MATCH(1,INDEX((tbl_Case_mins[[#This Row],[Bay]]=BayNo)*(tbl_Case_mins[[#This Row],[Surgery Start Date]]=BDate),0,1),0))*1440),0)</f>
        <v>0</v>
      </c>
      <c r="CY435"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5" s="9"/>
    </row>
    <row r="436" spans="1:104" x14ac:dyDescent="0.2">
      <c r="A436">
        <v>435</v>
      </c>
      <c r="B436" t="e">
        <f>#REF!</f>
        <v>#REF!</v>
      </c>
      <c r="C436" t="e">
        <f>#REF!</f>
        <v>#REF!</v>
      </c>
      <c r="D436" t="e">
        <f>#REF!</f>
        <v>#REF!</v>
      </c>
      <c r="E436" t="e">
        <f>#REF!</f>
        <v>#REF!</v>
      </c>
      <c r="F436" t="e">
        <f>#REF!</f>
        <v>#REF!</v>
      </c>
      <c r="G436" t="e">
        <f>#REF!</f>
        <v>#REF!</v>
      </c>
      <c r="H436" t="e">
        <f>#REF!</f>
        <v>#REF!</v>
      </c>
      <c r="I436" t="e">
        <f>IF(#REF!="Case Cancelled",1,IF(#REF!="No Cases",2,0))</f>
        <v>#REF!</v>
      </c>
      <c r="J436" t="e">
        <f>#REF!</f>
        <v>#REF!</v>
      </c>
      <c r="K436" s="4" t="e">
        <f>#REF!</f>
        <v>#REF!</v>
      </c>
      <c r="L436" t="e">
        <f>"Wk "&amp;WEEKNUM(tbl_Case_mins[[#This Row],[Surgery Start Date]],21)</f>
        <v>#REF!</v>
      </c>
      <c r="M436" t="e">
        <f>TEXT(tbl_Case_mins[[#This Row],[Surgery Start Date]],"ddd")</f>
        <v>#REF!</v>
      </c>
      <c r="N436" s="9" t="e">
        <f>(#REF!-TIME(0,0,0))*1440</f>
        <v>#REF!</v>
      </c>
      <c r="O436" t="e">
        <f>IF(AND(ROUND((#REF!-TIME(0,0,0))*1440,0)&gt;0,ROUND((#REF!-TIME(0,0,0))*1440,0)&lt;tbl_Case_mins[[#This Row],[Patient Called]],tbl_Case_mins[[#This Row],[Surgery End Date]]&gt;tbl_Case_mins[[#This Row],[Surgery Start Date]]),ROUND((#REF!-TIME(0,0,0))*1440,0)+1440,ROUND((#REF!-TIME(0,0,0))*1440,0))</f>
        <v>#REF!</v>
      </c>
      <c r="P436" s="9" t="e">
        <f>IF(AND(ROUND((#REF!-TIME(0,0,0))*1440,0)&gt;0,ROUND((#REF!-TIME(0,0,0))*1440,0)&lt;tbl_Case_mins[[#This Row],[Arrival]],tbl_Case_mins[[#This Row],[Surgery End Date]]&gt;tbl_Case_mins[[#This Row],[Surgery Start Date]]),ROUND((#REF!-TIME(0,0,0))*1440,0)+1440,ROUND((#REF!-TIME(0,0,0))*1440,0))</f>
        <v>#REF!</v>
      </c>
      <c r="Q436" s="9" t="e">
        <f>IF(AND(ROUND((#REF!-TIME(0,0,0))*1440,0)&gt;0,ROUND((#REF!-TIME(0,0,0))*1440,0)&lt;tbl_Case_mins[[#This Row],[Into Th or AR]],tbl_Case_mins[[#This Row],[Surgery End Date]]&gt;tbl_Case_mins[[#This Row],[Surgery Start Date]]),ROUND((#REF!-TIME(0,0,0))*1440,0)+1440,ROUND((#REF!-TIME(0,0,0))*1440,0))</f>
        <v>#REF!</v>
      </c>
      <c r="R436" s="9" t="e">
        <f>IF(AND(ROUND((#REF!-TIME(0,0,0))*1440,0)&gt;0,ROUND((#REF!-TIME(0,0,0))*1440,0)&lt;tbl_Case_mins[[#This Row],[AnaesthStart]],tbl_Case_mins[[#This Row],[Surgery End Date]]&gt;tbl_Case_mins[[#This Row],[Surgery Start Date]]),ROUND((#REF!-TIME(0,0,0))*1440,0)+1440,ROUND((#REF!-TIME(0,0,0))*1440,0))</f>
        <v>#REF!</v>
      </c>
      <c r="S436" s="9" t="e">
        <f>IF(AND(ROUND((#REF!-TIME(0,0,0))*1440,0),ROUND((#REF!-TIME(0,0,0))*1440,0)&lt;tbl_Case_mins[[#This Row],[Surgery Start]],tbl_Case_mins[[#This Row],[Surgery End Date]]&gt;tbl_Case_mins[[#This Row],[Surgery Start Date]]),ROUND((#REF!-TIME(0,0,0))*1440,0)+1440,ROUND((#REF!-TIME(0,0,0))*1440,0))</f>
        <v>#REF!</v>
      </c>
      <c r="T436" s="9" t="e">
        <f>IF(AND(ROUND((#REF!-TIME(0,0,0))*1440,0)&gt;0,ROUND((#REF!-TIME(0,0,0))*1440,0)&lt;tbl_Case_mins[[#This Row],[Surgery Finish]],tbl_Case_mins[[#This Row],[Surgery End Date]]&gt;tbl_Case_mins[[#This Row],[Surgery Start Date]]),ROUND((#REF!-TIME(0,0,0))*1440,0)+1440,ROUND((#REF!-TIME(0,0,0))*1440,0))</f>
        <v>#REF!</v>
      </c>
      <c r="U436" s="9" t="e">
        <f>IF(AND(ROUND((#REF!-TIME(0,0,0))*1440,0)&gt;0,ROUND((#REF!-TIME(0,0,0))*1440,0)&lt;tbl_Case_mins[[#This Row],[Anaesth End]],tbl_Case_mins[[#This Row],[Surgery End Date]]&gt;tbl_Case_mins[[#This Row],[Surgery Start Date]]),ROUND((#REF!-TIME(0,0,0))*1440,0)+1440,ROUND((#REF!-TIME(0,0,0))*1440,0))</f>
        <v>#REF!</v>
      </c>
      <c r="V436" s="9" t="e">
        <f>IF(AND(ROUND((#REF!-TIME(0,0,0))*1440,0)&gt;0,ROUND((#REF!-TIME(0,0,0))*1440,0)&lt;tbl_Case_mins[[#This Row],[Into Recov]],tbl_Case_mins[[#This Row],[Surgery End Date]]&gt;tbl_Case_mins[[#This Row],[Surgery Start Date]]),ROUND((#REF!-TIME(0,0,0))*1440,0)+1440,ROUND((#REF!-TIME(0,0,0))*1440,0))</f>
        <v>#REF!</v>
      </c>
      <c r="W436" s="9" t="e">
        <f>IF(AND(ROUND((#REF!-TIME(0,0,0))*1440,0)&gt;0,ROUND((#REF!-TIME(0,0,0))*1440,0)&lt;tbl_Case_mins[[#This Row],[Ward Called]],tbl_Case_mins[[#This Row],[Surgery End Date]]&gt;tbl_Case_mins[[#This Row],[Surgery Start Date]]),ROUND((#REF!-TIME(0,0,0))*1440,0)+1440,ROUND((#REF!-TIME(0,0,0))*1440,0))</f>
        <v>#REF!</v>
      </c>
      <c r="X436" s="4" t="e">
        <f>IF(ISBLANK(#REF!),tbl_Case_mins[[#This Row],[Surgery Start Date]],#REF!)</f>
        <v>#REF!</v>
      </c>
      <c r="Y436">
        <f>IFERROR(IF(VLOOKUP(tbl_Case_mins[[#This Row],[Theatre]],'Mng Theatres'!$C$7:$G$12,3,FALSE)="Yes","Yes","No"),0)</f>
        <v>0</v>
      </c>
      <c r="Z436" s="9" t="e" cm="1">
        <f t="array" ref="Z436">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6" s="9" t="e" cm="1">
        <f t="array" ref="AA436">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6"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6" s="9" t="e">
        <f>IF(tbl_Case_mins[[#This Row],[Case Type]]="Unsch",1,0)</f>
        <v>#REF!</v>
      </c>
      <c r="AD436" s="9" t="e">
        <f>IF(tbl_Case_mins[[#This Row],[Case Type]]="Sch",1,0)</f>
        <v>#REF!</v>
      </c>
      <c r="AE436"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6" s="9">
        <f>IFERROR(IF(ISBLANK(INDEX(Am_Close,MATCH(1,INDEX((tbl_Case_mins[[#This Row],[Theatre]]=Theatre_No)*(tbl_Case_mins[[#This Row],[Surgery Start Date]]=Date),0,1),0))*1440),0,INDEX(Am_Close,MATCH(1,INDEX((tbl_Case_mins[[#This Row],[Theatre]]=Theatre_No)*(tbl_Case_mins[[#This Row],[Surgery Start Date]]=Date),0,1),0))*1440),0)</f>
        <v>0</v>
      </c>
      <c r="AG436" s="9">
        <f>IFERROR(IF(ISBLANK(INDEX(PM_Open,MATCH(1,INDEX((tbl_Case_mins[[#This Row],[Theatre]]=Theatre_No)*(tbl_Case_mins[[#This Row],[Surgery Start Date]]=Date),0,1),0))*1440),0,INDEX(PM_Open,MATCH(1,INDEX((tbl_Case_mins[[#This Row],[Theatre]]=Theatre_No)*(tbl_Case_mins[[#This Row],[Surgery Start Date]]=Date),0,1),0))*1440),0)</f>
        <v>0</v>
      </c>
      <c r="AH436"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6" s="9" t="e">
        <f>IF(tbl_Case_mins[[#This Row],[ThOpenAm]]=0,tbl_Case_mins[[#This Row],[ThOpenPM]],tbl_Case_mins[[#This Row],[ThOpenAm]])</f>
        <v>#REF!</v>
      </c>
      <c r="AJ436" s="9" t="e">
        <f>IF(tbl_Case_mins[[#This Row],[ThCloseAm]]&gt;0,IF(tbl_Case_mins[[#This Row],[ThOpenPM]]&gt;0,tbl_Case_mins[[#This Row],[ThClosePm]],tbl_Case_mins[[#This Row],[ThCloseAm]]),tbl_Case_mins[[#This Row],[ThClosePm]])</f>
        <v>#REF!</v>
      </c>
      <c r="AK436" s="9" t="e">
        <f>IF(tbl_Case_mins[[#This Row],[TOT]]&gt;0,1,0)</f>
        <v>#REF!</v>
      </c>
      <c r="AL436"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6" s="9" t="e">
        <f>IF(AND(tbl_Case_mins[[#This Row],[Surgery Status]]&lt;&gt;2,tbl_Case_mins[[#This Row],[InCoreCase]]=0,tbl_Case_mins[[#This Row],[CancelledCase]]=0),1,0)</f>
        <v>#REF!</v>
      </c>
      <c r="AN436" s="9" t="e">
        <f>IF(tbl_Case_mins[[#This Row],[Surgery Status]]=1,1,0)</f>
        <v>#REF!</v>
      </c>
      <c r="AO436"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6" s="9" t="e">
        <f>IF(AND(tbl_Case_mins[[#This Row],[NonCoreCase]]=1,tbl_Case_mins[[#This Row],[NoInCoreTime]]=0),1,0)</f>
        <v>#REF!</v>
      </c>
      <c r="AQ436" s="9" t="e">
        <f>IF(tbl_Case_mins[[#This Row],[Rank_AnaEnd]]&lt;tbl_Case_mins[[#This Row],[Rank_AnaSt]],1,0)</f>
        <v>#REF!</v>
      </c>
      <c r="AR436" s="9" t="e">
        <f>IF(AND(tbl_Case_mins[[#This Row],[InCoreCase]]=1,tbl_Case_mins[[#This Row],[Sch]]=1),1,0)</f>
        <v>#REF!</v>
      </c>
      <c r="AS436" s="9" t="e">
        <f>IF(AND(tbl_Case_mins[[#This Row],[InCoreCase]]=1,tbl_Case_mins[[#This Row],[Unsch]]=1),1,0)</f>
        <v>#REF!</v>
      </c>
      <c r="AT436"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6"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6"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6" s="9" t="e">
        <f>IF(tbl_Case_mins[[#This Row],[Surgery Status]]=0,(tbl_Case_mins[[#This Row],[Anaesth End]]-tbl_Case_mins[[#This Row],[AnaesthStart]]),0)</f>
        <v>#REF!</v>
      </c>
      <c r="AX436" s="9" t="e">
        <f>IF(tbl_Case_mins[[#This Row],[Surgery Status]]=0,(tbl_Case_mins[[#This Row],[Surgery Finish]]-tbl_Case_mins[[#This Row],[Surgery Start]]),0)</f>
        <v>#REF!</v>
      </c>
      <c r="AY436" s="9" t="e">
        <f>tbl_Case_mins[[#This Row],[Surgery Start]]-tbl_Case_mins[[#This Row],[AnaesthStart]]</f>
        <v>#REF!</v>
      </c>
      <c r="AZ436" s="9" t="e">
        <f>tbl_Case_mins[[#This Row],[Anaesth End]]-tbl_Case_mins[[#This Row],[Surgery Finish]]</f>
        <v>#REF!</v>
      </c>
      <c r="BA436"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6"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6" s="16" cm="1">
        <f t="array" ref="BC436">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6" s="16" t="e">
        <f>IF(AND(tbl_Case_mins[[#This Row],[FirstAMCase]]=1,tbl_Case_mins[[#This Row],[CancelledCase]]=0,OR(tbl_Case_mins[[#This Row],[EarlyStartAM]]&gt;0,tbl_Case_mins[[#This Row],[AnaesthStart]]=tbl_Case_mins[[#This Row],[ThOpenAm]])),1,0)</f>
        <v>#REF!</v>
      </c>
      <c r="BE436" s="16" t="e">
        <f>IF(AND(tbl_Case_mins[[#This Row],[Rank_AnaSt]]=tbl_Case_mins[[#This Row],[Min_RankAnaSt]],tbl_Case_mins[[#This Row],[Anaesth End]]&gt;=tbl_Case_mins[[#This Row],[ThOpenAm]],tbl_Case_mins[[#This Row],[PmCase]]=0),1,0)</f>
        <v>#REF!</v>
      </c>
      <c r="BF436"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6"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6" s="9" t="e" cm="1">
        <f t="array" ref="BH436">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6"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6"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6" s="9" t="e">
        <f>IF(AND(tbl_Case_mins[[#This Row],[ThOpenPM]]&gt;0,tbl_Case_mins[[#This Row],[AnaesthStart]]&gt;tbl_Case_mins[[#This Row],[ThOpenPM]],tbl_Case_mins[[#This Row],[First PM Case]]=1),tbl_Case_mins[[#This Row],[AnaesthStart]]-tbl_Case_mins[[#This Row],[ThOpenPM]],0)</f>
        <v>#REF!</v>
      </c>
      <c r="BL436"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6"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6" s="9" t="e" cm="1">
        <f t="array" ref="BN436">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6" s="9" t="e">
        <f>IF(AND(tbl_Case_mins[[#This Row],[ThClosePm]]&gt;0,tbl_Case_mins[[#This Row],[Anaesth End]]&gt;tbl_Case_mins[[#This Row],[ThClosePm]],tbl_Case_mins[[#This Row],[AnaesthStart]]&gt;tbl_Case_mins[[#This Row],[ThClosePm]]),tbl_Case_mins[[#This Row],[Into Recov]]-tbl_Case_mins[[#This Row],[AnaesthStart]],0)</f>
        <v>#REF!</v>
      </c>
      <c r="BP436" s="9" t="e">
        <f>IF(AND(tbl_Case_mins[[#This Row],[AnaesthStart]]&lt;tbl_Case_mins[[#This Row],[ThClosePm]],tbl_Case_mins[[#This Row],[Anaesth End]]&gt;tbl_Case_mins[[#This Row],[ThClosePm]]),tbl_Case_mins[[#This Row],[Anaesth End]]-tbl_Case_mins[[#This Row],[ThClosePm]],0)</f>
        <v>#REF!</v>
      </c>
      <c r="BQ436" s="9" t="e" cm="1">
        <f t="array" ref="BQ436">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6" s="9" t="e" cm="1">
        <f t="array" ref="BR436">IF(tbl_Case_mins[[#This Row],[Rank_Adjust]]=SUMPRODUCT(-(tbl_Case_mins[Surgery Start Date]=tbl_Case_mins[[#This Row],[Surgery Start Date]]),-(tbl_Case_mins[Theatre]=tbl_Case_mins[[#This Row],[Theatre]])),INDEX(Poss_Time,MATCH(TEXT(tbl_Case_mins[[#This Row],[Surgery Start Date]],"ddd"),Day,0)),0)</f>
        <v>#REF!</v>
      </c>
      <c r="BS436" s="9" t="e">
        <f>tbl_Case_mins[[#This Row],[Core_Time]]*Util_Goal</f>
        <v>#REF!</v>
      </c>
      <c r="BT436" s="9" t="e" cm="1">
        <f t="array" ref="BT4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6" s="9" t="e" cm="1">
        <f t="array" ref="BU436">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6"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6"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6" s="9" t="e">
        <f>IF(tbl_Case_mins[[#This Row],[Surgery End Date]]&gt;tbl_Case_mins[[#This Row],[Surgery Start Date]],tbl_Case_mins[[#This Row],[Anaesth End]]-1440,0)</f>
        <v>#REF!</v>
      </c>
      <c r="BY436" s="9" t="e">
        <f>tbl_Case_mins[[#This Row],[Total_NonCore]]-tbl_Case_mins[[#This Row],[NextDay_NonCore]]</f>
        <v>#REF!</v>
      </c>
      <c r="BZ436" s="10" t="e">
        <f>tbl_Case_mins[[#This Row],[InCoreUse]]/60</f>
        <v>#REF!</v>
      </c>
      <c r="CA436" s="10" t="e">
        <f>tbl_Case_mins[[#This Row],[Total_NonCore]]/60</f>
        <v>#REF!</v>
      </c>
      <c r="CB436" t="e" cm="1">
        <f t="array" ref="CB4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6" s="9" t="e" cm="1">
        <f t="array" ref="CC436">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6" s="9" t="e" cm="1">
        <f t="array" ref="CD436">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6" s="9" t="e" cm="1">
        <f t="array" ref="CE436">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6" s="9" cm="1">
        <f t="array" ref="CF436">IFERROR(_xlfn.AGGREGATE(14,6,(tbl_Case_mins[Rank_AnaEnd])/((tbl_Case_mins[Surgery Start Date]=tbl_Case_mins[[#This Row],[Surgery Start Date]])*(tbl_Case_mins[Theatre]=tbl_Case_mins[[#This Row],[Theatre]])*(tbl_Case_mins[NoInCoreTime]=0)),1),-1)</f>
        <v>-1</v>
      </c>
      <c r="CG436" s="9" cm="1">
        <f t="array" ref="CG436">IFERROR(_xlfn.AGGREGATE(15,6,(tbl_Case_mins[Rank_AnaSt])/((tbl_Case_mins[Surgery Start Date]=tbl_Case_mins[[#This Row],[Surgery Start Date]])*(tbl_Case_mins[Theatre]=tbl_Case_mins[[#This Row],[Theatre]])*(tbl_Case_mins[NoInCoreTime]=0)),1),-1)</f>
        <v>-1</v>
      </c>
      <c r="CH436"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6"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6" t="e" cm="1">
        <f t="array" ref="CJ436">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6"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6"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6"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6" s="9" cm="1">
        <f t="array" ref="CO4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6" s="9" cm="1">
        <f t="array" ref="CP436">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6" s="9" cm="1">
        <f t="array" ref="CQ436">IFERROR(IF(AND(tbl_Case_mins[[#This Row],[FirstAMCase]]=0,tbl_Case_mins[[#This Row],[Rank]]=_xlfn.AGGREGATE(14,6,(tbl_Case_mins[Rank])/((tbl_Case_mins[Surgery Start Date]=tbl_Case_mins[[#This Row],[Surgery Start Date]])*(tbl_Case_mins[Theatre]=tbl_Case_mins[[#This Row],[Theatre]])*(tbl_Case_mins[AmCase]=1)),1)),1,0),0)</f>
        <v>0</v>
      </c>
      <c r="CR436" s="9" cm="1">
        <f t="array" ref="CR436">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6" s="9" t="e" cm="1">
        <f t="array" ref="CS436">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6" s="9" cm="1">
        <f t="array" ref="CT436">IFERROR(IF(tbl_Case_mins[[#This Row],[Rank]]=_xlfn.AGGREGATE(15,6,(tbl_Case_mins[Rank])/((tbl_Case_mins[Surgery Start Date]=tbl_Case_mins[[#This Row],[Surgery Start Date]])*(tbl_Case_mins[Theatre]=tbl_Case_mins[[#This Row],[Theatre]])*(tbl_Case_mins[PmCase]=1)),1),1,0),0)</f>
        <v>0</v>
      </c>
      <c r="CU436">
        <f>IFERROR(#REF!,0)</f>
        <v>0</v>
      </c>
      <c r="CV436" s="9" t="e" cm="1">
        <f t="array" ref="CV436">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6" s="9">
        <f>IFERROR(IF(ISBLANK(INDEX(Bay_AmClose,MATCH(1,INDEX((tbl_Case_mins[[#This Row],[Bay]]=BayNo)*(tbl_Case_mins[[#This Row],[Surgery Start Date]]=BDate),0,1),0))*1440),0,INDEX(Bay_AmClose,MATCH(1,INDEX((tbl_Case_mins[[#This Row],[Bay]]=BayNo)*(tbl_Case_mins[[#This Row],[Surgery Start Date]]=BDate),0,1),0))*1440),0)</f>
        <v>0</v>
      </c>
      <c r="CX436" s="9" cm="1">
        <f t="array" ref="CX436">IFERROR(IF(ISBLANK(INDEX(Bay_PmOpen,MATCH(1,INDEX((tbl_Case_mins[[#This Row],[Bay]]=BayNo)*(tbl_Case_mins[[#This Row],[Surgery Start Date]]=BDate),0,1),0))*1440),0,INDEX(Bay_PmOpen,MATCH(1,INDEX((tbl_Case_mins[[#This Row],[Bay]]=BayNo)*(tbl_Case_mins[[#This Row],[Surgery Start Date]]=BDate),0,1),0))*1440),0)</f>
        <v>0</v>
      </c>
      <c r="CY436"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6" s="9"/>
    </row>
    <row r="437" spans="1:104" x14ac:dyDescent="0.2">
      <c r="A437">
        <v>436</v>
      </c>
      <c r="B437" t="e">
        <f>#REF!</f>
        <v>#REF!</v>
      </c>
      <c r="C437" t="e">
        <f>#REF!</f>
        <v>#REF!</v>
      </c>
      <c r="D437" t="e">
        <f>#REF!</f>
        <v>#REF!</v>
      </c>
      <c r="E437" t="e">
        <f>#REF!</f>
        <v>#REF!</v>
      </c>
      <c r="F437" t="e">
        <f>#REF!</f>
        <v>#REF!</v>
      </c>
      <c r="G437" t="e">
        <f>#REF!</f>
        <v>#REF!</v>
      </c>
      <c r="H437" t="e">
        <f>#REF!</f>
        <v>#REF!</v>
      </c>
      <c r="I437" t="e">
        <f>IF(#REF!="Case Cancelled",1,IF(#REF!="No Cases",2,0))</f>
        <v>#REF!</v>
      </c>
      <c r="J437" t="e">
        <f>#REF!</f>
        <v>#REF!</v>
      </c>
      <c r="K437" s="4" t="e">
        <f>#REF!</f>
        <v>#REF!</v>
      </c>
      <c r="L437" t="e">
        <f>"Wk "&amp;WEEKNUM(tbl_Case_mins[[#This Row],[Surgery Start Date]],21)</f>
        <v>#REF!</v>
      </c>
      <c r="M437" t="e">
        <f>TEXT(tbl_Case_mins[[#This Row],[Surgery Start Date]],"ddd")</f>
        <v>#REF!</v>
      </c>
      <c r="N437" s="9" t="e">
        <f>(#REF!-TIME(0,0,0))*1440</f>
        <v>#REF!</v>
      </c>
      <c r="O437" t="e">
        <f>IF(AND(ROUND((#REF!-TIME(0,0,0))*1440,0)&gt;0,ROUND((#REF!-TIME(0,0,0))*1440,0)&lt;tbl_Case_mins[[#This Row],[Patient Called]],tbl_Case_mins[[#This Row],[Surgery End Date]]&gt;tbl_Case_mins[[#This Row],[Surgery Start Date]]),ROUND((#REF!-TIME(0,0,0))*1440,0)+1440,ROUND((#REF!-TIME(0,0,0))*1440,0))</f>
        <v>#REF!</v>
      </c>
      <c r="P437" s="9" t="e">
        <f>IF(AND(ROUND((#REF!-TIME(0,0,0))*1440,0)&gt;0,ROUND((#REF!-TIME(0,0,0))*1440,0)&lt;tbl_Case_mins[[#This Row],[Arrival]],tbl_Case_mins[[#This Row],[Surgery End Date]]&gt;tbl_Case_mins[[#This Row],[Surgery Start Date]]),ROUND((#REF!-TIME(0,0,0))*1440,0)+1440,ROUND((#REF!-TIME(0,0,0))*1440,0))</f>
        <v>#REF!</v>
      </c>
      <c r="Q437" s="9" t="e">
        <f>IF(AND(ROUND((#REF!-TIME(0,0,0))*1440,0)&gt;0,ROUND((#REF!-TIME(0,0,0))*1440,0)&lt;tbl_Case_mins[[#This Row],[Into Th or AR]],tbl_Case_mins[[#This Row],[Surgery End Date]]&gt;tbl_Case_mins[[#This Row],[Surgery Start Date]]),ROUND((#REF!-TIME(0,0,0))*1440,0)+1440,ROUND((#REF!-TIME(0,0,0))*1440,0))</f>
        <v>#REF!</v>
      </c>
      <c r="R437" s="9" t="e">
        <f>IF(AND(ROUND((#REF!-TIME(0,0,0))*1440,0)&gt;0,ROUND((#REF!-TIME(0,0,0))*1440,0)&lt;tbl_Case_mins[[#This Row],[AnaesthStart]],tbl_Case_mins[[#This Row],[Surgery End Date]]&gt;tbl_Case_mins[[#This Row],[Surgery Start Date]]),ROUND((#REF!-TIME(0,0,0))*1440,0)+1440,ROUND((#REF!-TIME(0,0,0))*1440,0))</f>
        <v>#REF!</v>
      </c>
      <c r="S437" s="9" t="e">
        <f>IF(AND(ROUND((#REF!-TIME(0,0,0))*1440,0),ROUND((#REF!-TIME(0,0,0))*1440,0)&lt;tbl_Case_mins[[#This Row],[Surgery Start]],tbl_Case_mins[[#This Row],[Surgery End Date]]&gt;tbl_Case_mins[[#This Row],[Surgery Start Date]]),ROUND((#REF!-TIME(0,0,0))*1440,0)+1440,ROUND((#REF!-TIME(0,0,0))*1440,0))</f>
        <v>#REF!</v>
      </c>
      <c r="T437" s="9" t="e">
        <f>IF(AND(ROUND((#REF!-TIME(0,0,0))*1440,0)&gt;0,ROUND((#REF!-TIME(0,0,0))*1440,0)&lt;tbl_Case_mins[[#This Row],[Surgery Finish]],tbl_Case_mins[[#This Row],[Surgery End Date]]&gt;tbl_Case_mins[[#This Row],[Surgery Start Date]]),ROUND((#REF!-TIME(0,0,0))*1440,0)+1440,ROUND((#REF!-TIME(0,0,0))*1440,0))</f>
        <v>#REF!</v>
      </c>
      <c r="U437" s="9" t="e">
        <f>IF(AND(ROUND((#REF!-TIME(0,0,0))*1440,0)&gt;0,ROUND((#REF!-TIME(0,0,0))*1440,0)&lt;tbl_Case_mins[[#This Row],[Anaesth End]],tbl_Case_mins[[#This Row],[Surgery End Date]]&gt;tbl_Case_mins[[#This Row],[Surgery Start Date]]),ROUND((#REF!-TIME(0,0,0))*1440,0)+1440,ROUND((#REF!-TIME(0,0,0))*1440,0))</f>
        <v>#REF!</v>
      </c>
      <c r="V437" s="9" t="e">
        <f>IF(AND(ROUND((#REF!-TIME(0,0,0))*1440,0)&gt;0,ROUND((#REF!-TIME(0,0,0))*1440,0)&lt;tbl_Case_mins[[#This Row],[Into Recov]],tbl_Case_mins[[#This Row],[Surgery End Date]]&gt;tbl_Case_mins[[#This Row],[Surgery Start Date]]),ROUND((#REF!-TIME(0,0,0))*1440,0)+1440,ROUND((#REF!-TIME(0,0,0))*1440,0))</f>
        <v>#REF!</v>
      </c>
      <c r="W437" s="9" t="e">
        <f>IF(AND(ROUND((#REF!-TIME(0,0,0))*1440,0)&gt;0,ROUND((#REF!-TIME(0,0,0))*1440,0)&lt;tbl_Case_mins[[#This Row],[Ward Called]],tbl_Case_mins[[#This Row],[Surgery End Date]]&gt;tbl_Case_mins[[#This Row],[Surgery Start Date]]),ROUND((#REF!-TIME(0,0,0))*1440,0)+1440,ROUND((#REF!-TIME(0,0,0))*1440,0))</f>
        <v>#REF!</v>
      </c>
      <c r="X437" s="4" t="e">
        <f>IF(ISBLANK(#REF!),tbl_Case_mins[[#This Row],[Surgery Start Date]],#REF!)</f>
        <v>#REF!</v>
      </c>
      <c r="Y437">
        <f>IFERROR(IF(VLOOKUP(tbl_Case_mins[[#This Row],[Theatre]],'Mng Theatres'!$C$7:$G$12,3,FALSE)="Yes","Yes","No"),0)</f>
        <v>0</v>
      </c>
      <c r="Z437" s="9" t="e" cm="1">
        <f t="array" ref="Z437">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7" s="9" t="e" cm="1">
        <f t="array" ref="AA437">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7"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7" s="9" t="e">
        <f>IF(tbl_Case_mins[[#This Row],[Case Type]]="Unsch",1,0)</f>
        <v>#REF!</v>
      </c>
      <c r="AD437" s="9" t="e">
        <f>IF(tbl_Case_mins[[#This Row],[Case Type]]="Sch",1,0)</f>
        <v>#REF!</v>
      </c>
      <c r="AE437"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7" s="9">
        <f>IFERROR(IF(ISBLANK(INDEX(Am_Close,MATCH(1,INDEX((tbl_Case_mins[[#This Row],[Theatre]]=Theatre_No)*(tbl_Case_mins[[#This Row],[Surgery Start Date]]=Date),0,1),0))*1440),0,INDEX(Am_Close,MATCH(1,INDEX((tbl_Case_mins[[#This Row],[Theatre]]=Theatre_No)*(tbl_Case_mins[[#This Row],[Surgery Start Date]]=Date),0,1),0))*1440),0)</f>
        <v>0</v>
      </c>
      <c r="AG437" s="9">
        <f>IFERROR(IF(ISBLANK(INDEX(PM_Open,MATCH(1,INDEX((tbl_Case_mins[[#This Row],[Theatre]]=Theatre_No)*(tbl_Case_mins[[#This Row],[Surgery Start Date]]=Date),0,1),0))*1440),0,INDEX(PM_Open,MATCH(1,INDEX((tbl_Case_mins[[#This Row],[Theatre]]=Theatre_No)*(tbl_Case_mins[[#This Row],[Surgery Start Date]]=Date),0,1),0))*1440),0)</f>
        <v>0</v>
      </c>
      <c r="AH437"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7" s="9" t="e">
        <f>IF(tbl_Case_mins[[#This Row],[ThOpenAm]]=0,tbl_Case_mins[[#This Row],[ThOpenPM]],tbl_Case_mins[[#This Row],[ThOpenAm]])</f>
        <v>#REF!</v>
      </c>
      <c r="AJ437" s="9" t="e">
        <f>IF(tbl_Case_mins[[#This Row],[ThCloseAm]]&gt;0,IF(tbl_Case_mins[[#This Row],[ThOpenPM]]&gt;0,tbl_Case_mins[[#This Row],[ThClosePm]],tbl_Case_mins[[#This Row],[ThCloseAm]]),tbl_Case_mins[[#This Row],[ThClosePm]])</f>
        <v>#REF!</v>
      </c>
      <c r="AK437" s="9" t="e">
        <f>IF(tbl_Case_mins[[#This Row],[TOT]]&gt;0,1,0)</f>
        <v>#REF!</v>
      </c>
      <c r="AL437"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7" s="9" t="e">
        <f>IF(AND(tbl_Case_mins[[#This Row],[Surgery Status]]&lt;&gt;2,tbl_Case_mins[[#This Row],[InCoreCase]]=0,tbl_Case_mins[[#This Row],[CancelledCase]]=0),1,0)</f>
        <v>#REF!</v>
      </c>
      <c r="AN437" s="9" t="e">
        <f>IF(tbl_Case_mins[[#This Row],[Surgery Status]]=1,1,0)</f>
        <v>#REF!</v>
      </c>
      <c r="AO437"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7" s="9" t="e">
        <f>IF(AND(tbl_Case_mins[[#This Row],[NonCoreCase]]=1,tbl_Case_mins[[#This Row],[NoInCoreTime]]=0),1,0)</f>
        <v>#REF!</v>
      </c>
      <c r="AQ437" s="9" t="e">
        <f>IF(tbl_Case_mins[[#This Row],[Rank_AnaEnd]]&lt;tbl_Case_mins[[#This Row],[Rank_AnaSt]],1,0)</f>
        <v>#REF!</v>
      </c>
      <c r="AR437" s="9" t="e">
        <f>IF(AND(tbl_Case_mins[[#This Row],[InCoreCase]]=1,tbl_Case_mins[[#This Row],[Sch]]=1),1,0)</f>
        <v>#REF!</v>
      </c>
      <c r="AS437" s="9" t="e">
        <f>IF(AND(tbl_Case_mins[[#This Row],[InCoreCase]]=1,tbl_Case_mins[[#This Row],[Unsch]]=1),1,0)</f>
        <v>#REF!</v>
      </c>
      <c r="AT437"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7"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7"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7" s="9" t="e">
        <f>IF(tbl_Case_mins[[#This Row],[Surgery Status]]=0,(tbl_Case_mins[[#This Row],[Anaesth End]]-tbl_Case_mins[[#This Row],[AnaesthStart]]),0)</f>
        <v>#REF!</v>
      </c>
      <c r="AX437" s="9" t="e">
        <f>IF(tbl_Case_mins[[#This Row],[Surgery Status]]=0,(tbl_Case_mins[[#This Row],[Surgery Finish]]-tbl_Case_mins[[#This Row],[Surgery Start]]),0)</f>
        <v>#REF!</v>
      </c>
      <c r="AY437" s="9" t="e">
        <f>tbl_Case_mins[[#This Row],[Surgery Start]]-tbl_Case_mins[[#This Row],[AnaesthStart]]</f>
        <v>#REF!</v>
      </c>
      <c r="AZ437" s="9" t="e">
        <f>tbl_Case_mins[[#This Row],[Anaesth End]]-tbl_Case_mins[[#This Row],[Surgery Finish]]</f>
        <v>#REF!</v>
      </c>
      <c r="BA437"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7"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7" s="16" cm="1">
        <f t="array" ref="BC437">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7" s="16" t="e">
        <f>IF(AND(tbl_Case_mins[[#This Row],[FirstAMCase]]=1,tbl_Case_mins[[#This Row],[CancelledCase]]=0,OR(tbl_Case_mins[[#This Row],[EarlyStartAM]]&gt;0,tbl_Case_mins[[#This Row],[AnaesthStart]]=tbl_Case_mins[[#This Row],[ThOpenAm]])),1,0)</f>
        <v>#REF!</v>
      </c>
      <c r="BE437" s="16" t="e">
        <f>IF(AND(tbl_Case_mins[[#This Row],[Rank_AnaSt]]=tbl_Case_mins[[#This Row],[Min_RankAnaSt]],tbl_Case_mins[[#This Row],[Anaesth End]]&gt;=tbl_Case_mins[[#This Row],[ThOpenAm]],tbl_Case_mins[[#This Row],[PmCase]]=0),1,0)</f>
        <v>#REF!</v>
      </c>
      <c r="BF437"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7"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7" s="9" t="e" cm="1">
        <f t="array" ref="BH437">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7"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7"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7" s="9" t="e">
        <f>IF(AND(tbl_Case_mins[[#This Row],[ThOpenPM]]&gt;0,tbl_Case_mins[[#This Row],[AnaesthStart]]&gt;tbl_Case_mins[[#This Row],[ThOpenPM]],tbl_Case_mins[[#This Row],[First PM Case]]=1),tbl_Case_mins[[#This Row],[AnaesthStart]]-tbl_Case_mins[[#This Row],[ThOpenPM]],0)</f>
        <v>#REF!</v>
      </c>
      <c r="BL437"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7"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7" s="9" t="e" cm="1">
        <f t="array" ref="BN437">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7" s="9" t="e">
        <f>IF(AND(tbl_Case_mins[[#This Row],[ThClosePm]]&gt;0,tbl_Case_mins[[#This Row],[Anaesth End]]&gt;tbl_Case_mins[[#This Row],[ThClosePm]],tbl_Case_mins[[#This Row],[AnaesthStart]]&gt;tbl_Case_mins[[#This Row],[ThClosePm]]),tbl_Case_mins[[#This Row],[Into Recov]]-tbl_Case_mins[[#This Row],[AnaesthStart]],0)</f>
        <v>#REF!</v>
      </c>
      <c r="BP437" s="9" t="e">
        <f>IF(AND(tbl_Case_mins[[#This Row],[AnaesthStart]]&lt;tbl_Case_mins[[#This Row],[ThClosePm]],tbl_Case_mins[[#This Row],[Anaesth End]]&gt;tbl_Case_mins[[#This Row],[ThClosePm]]),tbl_Case_mins[[#This Row],[Anaesth End]]-tbl_Case_mins[[#This Row],[ThClosePm]],0)</f>
        <v>#REF!</v>
      </c>
      <c r="BQ437" s="9" t="e" cm="1">
        <f t="array" ref="BQ437">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7" s="9" t="e" cm="1">
        <f t="array" ref="BR437">IF(tbl_Case_mins[[#This Row],[Rank_Adjust]]=SUMPRODUCT(-(tbl_Case_mins[Surgery Start Date]=tbl_Case_mins[[#This Row],[Surgery Start Date]]),-(tbl_Case_mins[Theatre]=tbl_Case_mins[[#This Row],[Theatre]])),INDEX(Poss_Time,MATCH(TEXT(tbl_Case_mins[[#This Row],[Surgery Start Date]],"ddd"),Day,0)),0)</f>
        <v>#REF!</v>
      </c>
      <c r="BS437" s="9" t="e">
        <f>tbl_Case_mins[[#This Row],[Core_Time]]*Util_Goal</f>
        <v>#REF!</v>
      </c>
      <c r="BT437" s="9" t="e" cm="1">
        <f t="array" ref="BT4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7" s="9" t="e" cm="1">
        <f t="array" ref="BU437">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7"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7"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7" s="9" t="e">
        <f>IF(tbl_Case_mins[[#This Row],[Surgery End Date]]&gt;tbl_Case_mins[[#This Row],[Surgery Start Date]],tbl_Case_mins[[#This Row],[Anaesth End]]-1440,0)</f>
        <v>#REF!</v>
      </c>
      <c r="BY437" s="9" t="e">
        <f>tbl_Case_mins[[#This Row],[Total_NonCore]]-tbl_Case_mins[[#This Row],[NextDay_NonCore]]</f>
        <v>#REF!</v>
      </c>
      <c r="BZ437" s="10" t="e">
        <f>tbl_Case_mins[[#This Row],[InCoreUse]]/60</f>
        <v>#REF!</v>
      </c>
      <c r="CA437" s="10" t="e">
        <f>tbl_Case_mins[[#This Row],[Total_NonCore]]/60</f>
        <v>#REF!</v>
      </c>
      <c r="CB437" t="e" cm="1">
        <f t="array" ref="CB4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7" s="9" t="e" cm="1">
        <f t="array" ref="CC437">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7" s="9" t="e" cm="1">
        <f t="array" ref="CD437">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7" s="9" t="e" cm="1">
        <f t="array" ref="CE437">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7" s="9" cm="1">
        <f t="array" ref="CF437">IFERROR(_xlfn.AGGREGATE(14,6,(tbl_Case_mins[Rank_AnaEnd])/((tbl_Case_mins[Surgery Start Date]=tbl_Case_mins[[#This Row],[Surgery Start Date]])*(tbl_Case_mins[Theatre]=tbl_Case_mins[[#This Row],[Theatre]])*(tbl_Case_mins[NoInCoreTime]=0)),1),-1)</f>
        <v>-1</v>
      </c>
      <c r="CG437" s="9" cm="1">
        <f t="array" ref="CG437">IFERROR(_xlfn.AGGREGATE(15,6,(tbl_Case_mins[Rank_AnaSt])/((tbl_Case_mins[Surgery Start Date]=tbl_Case_mins[[#This Row],[Surgery Start Date]])*(tbl_Case_mins[Theatre]=tbl_Case_mins[[#This Row],[Theatre]])*(tbl_Case_mins[NoInCoreTime]=0)),1),-1)</f>
        <v>-1</v>
      </c>
      <c r="CH437"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7"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7" t="e" cm="1">
        <f t="array" ref="CJ437">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7"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7"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7"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7" s="9" cm="1">
        <f t="array" ref="CO4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7" s="9" cm="1">
        <f t="array" ref="CP437">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7" s="9" cm="1">
        <f t="array" ref="CQ437">IFERROR(IF(AND(tbl_Case_mins[[#This Row],[FirstAMCase]]=0,tbl_Case_mins[[#This Row],[Rank]]=_xlfn.AGGREGATE(14,6,(tbl_Case_mins[Rank])/((tbl_Case_mins[Surgery Start Date]=tbl_Case_mins[[#This Row],[Surgery Start Date]])*(tbl_Case_mins[Theatre]=tbl_Case_mins[[#This Row],[Theatre]])*(tbl_Case_mins[AmCase]=1)),1)),1,0),0)</f>
        <v>0</v>
      </c>
      <c r="CR437" s="9" cm="1">
        <f t="array" ref="CR437">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7" s="9" t="e" cm="1">
        <f t="array" ref="CS437">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7" s="9" cm="1">
        <f t="array" ref="CT437">IFERROR(IF(tbl_Case_mins[[#This Row],[Rank]]=_xlfn.AGGREGATE(15,6,(tbl_Case_mins[Rank])/((tbl_Case_mins[Surgery Start Date]=tbl_Case_mins[[#This Row],[Surgery Start Date]])*(tbl_Case_mins[Theatre]=tbl_Case_mins[[#This Row],[Theatre]])*(tbl_Case_mins[PmCase]=1)),1),1,0),0)</f>
        <v>0</v>
      </c>
      <c r="CU437">
        <f>IFERROR(#REF!,0)</f>
        <v>0</v>
      </c>
      <c r="CV437" s="9" t="e" cm="1">
        <f t="array" ref="CV437">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7" s="9">
        <f>IFERROR(IF(ISBLANK(INDEX(Bay_AmClose,MATCH(1,INDEX((tbl_Case_mins[[#This Row],[Bay]]=BayNo)*(tbl_Case_mins[[#This Row],[Surgery Start Date]]=BDate),0,1),0))*1440),0,INDEX(Bay_AmClose,MATCH(1,INDEX((tbl_Case_mins[[#This Row],[Bay]]=BayNo)*(tbl_Case_mins[[#This Row],[Surgery Start Date]]=BDate),0,1),0))*1440),0)</f>
        <v>0</v>
      </c>
      <c r="CX437" s="9" cm="1">
        <f t="array" ref="CX437">IFERROR(IF(ISBLANK(INDEX(Bay_PmOpen,MATCH(1,INDEX((tbl_Case_mins[[#This Row],[Bay]]=BayNo)*(tbl_Case_mins[[#This Row],[Surgery Start Date]]=BDate),0,1),0))*1440),0,INDEX(Bay_PmOpen,MATCH(1,INDEX((tbl_Case_mins[[#This Row],[Bay]]=BayNo)*(tbl_Case_mins[[#This Row],[Surgery Start Date]]=BDate),0,1),0))*1440),0)</f>
        <v>0</v>
      </c>
      <c r="CY437"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7" s="9"/>
    </row>
    <row r="438" spans="1:104" x14ac:dyDescent="0.2">
      <c r="A438">
        <v>437</v>
      </c>
      <c r="B438" t="e">
        <f>#REF!</f>
        <v>#REF!</v>
      </c>
      <c r="C438" t="e">
        <f>#REF!</f>
        <v>#REF!</v>
      </c>
      <c r="D438" t="e">
        <f>#REF!</f>
        <v>#REF!</v>
      </c>
      <c r="E438" t="e">
        <f>#REF!</f>
        <v>#REF!</v>
      </c>
      <c r="F438" t="e">
        <f>#REF!</f>
        <v>#REF!</v>
      </c>
      <c r="G438" t="e">
        <f>#REF!</f>
        <v>#REF!</v>
      </c>
      <c r="H438" t="e">
        <f>#REF!</f>
        <v>#REF!</v>
      </c>
      <c r="I438" t="e">
        <f>IF(#REF!="Case Cancelled",1,IF(#REF!="No Cases",2,0))</f>
        <v>#REF!</v>
      </c>
      <c r="J438" t="e">
        <f>#REF!</f>
        <v>#REF!</v>
      </c>
      <c r="K438" s="4" t="e">
        <f>#REF!</f>
        <v>#REF!</v>
      </c>
      <c r="L438" t="e">
        <f>"Wk "&amp;WEEKNUM(tbl_Case_mins[[#This Row],[Surgery Start Date]],21)</f>
        <v>#REF!</v>
      </c>
      <c r="M438" t="e">
        <f>TEXT(tbl_Case_mins[[#This Row],[Surgery Start Date]],"ddd")</f>
        <v>#REF!</v>
      </c>
      <c r="N438" s="9" t="e">
        <f>(#REF!-TIME(0,0,0))*1440</f>
        <v>#REF!</v>
      </c>
      <c r="O438" t="e">
        <f>IF(AND(ROUND((#REF!-TIME(0,0,0))*1440,0)&gt;0,ROUND((#REF!-TIME(0,0,0))*1440,0)&lt;tbl_Case_mins[[#This Row],[Patient Called]],tbl_Case_mins[[#This Row],[Surgery End Date]]&gt;tbl_Case_mins[[#This Row],[Surgery Start Date]]),ROUND((#REF!-TIME(0,0,0))*1440,0)+1440,ROUND((#REF!-TIME(0,0,0))*1440,0))</f>
        <v>#REF!</v>
      </c>
      <c r="P438" s="9" t="e">
        <f>IF(AND(ROUND((#REF!-TIME(0,0,0))*1440,0)&gt;0,ROUND((#REF!-TIME(0,0,0))*1440,0)&lt;tbl_Case_mins[[#This Row],[Arrival]],tbl_Case_mins[[#This Row],[Surgery End Date]]&gt;tbl_Case_mins[[#This Row],[Surgery Start Date]]),ROUND((#REF!-TIME(0,0,0))*1440,0)+1440,ROUND((#REF!-TIME(0,0,0))*1440,0))</f>
        <v>#REF!</v>
      </c>
      <c r="Q438" s="9" t="e">
        <f>IF(AND(ROUND((#REF!-TIME(0,0,0))*1440,0)&gt;0,ROUND((#REF!-TIME(0,0,0))*1440,0)&lt;tbl_Case_mins[[#This Row],[Into Th or AR]],tbl_Case_mins[[#This Row],[Surgery End Date]]&gt;tbl_Case_mins[[#This Row],[Surgery Start Date]]),ROUND((#REF!-TIME(0,0,0))*1440,0)+1440,ROUND((#REF!-TIME(0,0,0))*1440,0))</f>
        <v>#REF!</v>
      </c>
      <c r="R438" s="9" t="e">
        <f>IF(AND(ROUND((#REF!-TIME(0,0,0))*1440,0)&gt;0,ROUND((#REF!-TIME(0,0,0))*1440,0)&lt;tbl_Case_mins[[#This Row],[AnaesthStart]],tbl_Case_mins[[#This Row],[Surgery End Date]]&gt;tbl_Case_mins[[#This Row],[Surgery Start Date]]),ROUND((#REF!-TIME(0,0,0))*1440,0)+1440,ROUND((#REF!-TIME(0,0,0))*1440,0))</f>
        <v>#REF!</v>
      </c>
      <c r="S438" s="9" t="e">
        <f>IF(AND(ROUND((#REF!-TIME(0,0,0))*1440,0),ROUND((#REF!-TIME(0,0,0))*1440,0)&lt;tbl_Case_mins[[#This Row],[Surgery Start]],tbl_Case_mins[[#This Row],[Surgery End Date]]&gt;tbl_Case_mins[[#This Row],[Surgery Start Date]]),ROUND((#REF!-TIME(0,0,0))*1440,0)+1440,ROUND((#REF!-TIME(0,0,0))*1440,0))</f>
        <v>#REF!</v>
      </c>
      <c r="T438" s="9" t="e">
        <f>IF(AND(ROUND((#REF!-TIME(0,0,0))*1440,0)&gt;0,ROUND((#REF!-TIME(0,0,0))*1440,0)&lt;tbl_Case_mins[[#This Row],[Surgery Finish]],tbl_Case_mins[[#This Row],[Surgery End Date]]&gt;tbl_Case_mins[[#This Row],[Surgery Start Date]]),ROUND((#REF!-TIME(0,0,0))*1440,0)+1440,ROUND((#REF!-TIME(0,0,0))*1440,0))</f>
        <v>#REF!</v>
      </c>
      <c r="U438" s="9" t="e">
        <f>IF(AND(ROUND((#REF!-TIME(0,0,0))*1440,0)&gt;0,ROUND((#REF!-TIME(0,0,0))*1440,0)&lt;tbl_Case_mins[[#This Row],[Anaesth End]],tbl_Case_mins[[#This Row],[Surgery End Date]]&gt;tbl_Case_mins[[#This Row],[Surgery Start Date]]),ROUND((#REF!-TIME(0,0,0))*1440,0)+1440,ROUND((#REF!-TIME(0,0,0))*1440,0))</f>
        <v>#REF!</v>
      </c>
      <c r="V438" s="9" t="e">
        <f>IF(AND(ROUND((#REF!-TIME(0,0,0))*1440,0)&gt;0,ROUND((#REF!-TIME(0,0,0))*1440,0)&lt;tbl_Case_mins[[#This Row],[Into Recov]],tbl_Case_mins[[#This Row],[Surgery End Date]]&gt;tbl_Case_mins[[#This Row],[Surgery Start Date]]),ROUND((#REF!-TIME(0,0,0))*1440,0)+1440,ROUND((#REF!-TIME(0,0,0))*1440,0))</f>
        <v>#REF!</v>
      </c>
      <c r="W438" s="9" t="e">
        <f>IF(AND(ROUND((#REF!-TIME(0,0,0))*1440,0)&gt;0,ROUND((#REF!-TIME(0,0,0))*1440,0)&lt;tbl_Case_mins[[#This Row],[Ward Called]],tbl_Case_mins[[#This Row],[Surgery End Date]]&gt;tbl_Case_mins[[#This Row],[Surgery Start Date]]),ROUND((#REF!-TIME(0,0,0))*1440,0)+1440,ROUND((#REF!-TIME(0,0,0))*1440,0))</f>
        <v>#REF!</v>
      </c>
      <c r="X438" s="4" t="e">
        <f>IF(ISBLANK(#REF!),tbl_Case_mins[[#This Row],[Surgery Start Date]],#REF!)</f>
        <v>#REF!</v>
      </c>
      <c r="Y438">
        <f>IFERROR(IF(VLOOKUP(tbl_Case_mins[[#This Row],[Theatre]],'Mng Theatres'!$C$7:$G$12,3,FALSE)="Yes","Yes","No"),0)</f>
        <v>0</v>
      </c>
      <c r="Z438" s="9" t="e" cm="1">
        <f t="array" ref="Z438">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8" s="9" t="e" cm="1">
        <f t="array" ref="AA438">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8"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8" s="9" t="e">
        <f>IF(tbl_Case_mins[[#This Row],[Case Type]]="Unsch",1,0)</f>
        <v>#REF!</v>
      </c>
      <c r="AD438" s="9" t="e">
        <f>IF(tbl_Case_mins[[#This Row],[Case Type]]="Sch",1,0)</f>
        <v>#REF!</v>
      </c>
      <c r="AE438"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8" s="9">
        <f>IFERROR(IF(ISBLANK(INDEX(Am_Close,MATCH(1,INDEX((tbl_Case_mins[[#This Row],[Theatre]]=Theatre_No)*(tbl_Case_mins[[#This Row],[Surgery Start Date]]=Date),0,1),0))*1440),0,INDEX(Am_Close,MATCH(1,INDEX((tbl_Case_mins[[#This Row],[Theatre]]=Theatre_No)*(tbl_Case_mins[[#This Row],[Surgery Start Date]]=Date),0,1),0))*1440),0)</f>
        <v>0</v>
      </c>
      <c r="AG438" s="9">
        <f>IFERROR(IF(ISBLANK(INDEX(PM_Open,MATCH(1,INDEX((tbl_Case_mins[[#This Row],[Theatre]]=Theatre_No)*(tbl_Case_mins[[#This Row],[Surgery Start Date]]=Date),0,1),0))*1440),0,INDEX(PM_Open,MATCH(1,INDEX((tbl_Case_mins[[#This Row],[Theatre]]=Theatre_No)*(tbl_Case_mins[[#This Row],[Surgery Start Date]]=Date),0,1),0))*1440),0)</f>
        <v>0</v>
      </c>
      <c r="AH438"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8" s="9" t="e">
        <f>IF(tbl_Case_mins[[#This Row],[ThOpenAm]]=0,tbl_Case_mins[[#This Row],[ThOpenPM]],tbl_Case_mins[[#This Row],[ThOpenAm]])</f>
        <v>#REF!</v>
      </c>
      <c r="AJ438" s="9" t="e">
        <f>IF(tbl_Case_mins[[#This Row],[ThCloseAm]]&gt;0,IF(tbl_Case_mins[[#This Row],[ThOpenPM]]&gt;0,tbl_Case_mins[[#This Row],[ThClosePm]],tbl_Case_mins[[#This Row],[ThCloseAm]]),tbl_Case_mins[[#This Row],[ThClosePm]])</f>
        <v>#REF!</v>
      </c>
      <c r="AK438" s="9" t="e">
        <f>IF(tbl_Case_mins[[#This Row],[TOT]]&gt;0,1,0)</f>
        <v>#REF!</v>
      </c>
      <c r="AL438"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8" s="9" t="e">
        <f>IF(AND(tbl_Case_mins[[#This Row],[Surgery Status]]&lt;&gt;2,tbl_Case_mins[[#This Row],[InCoreCase]]=0,tbl_Case_mins[[#This Row],[CancelledCase]]=0),1,0)</f>
        <v>#REF!</v>
      </c>
      <c r="AN438" s="9" t="e">
        <f>IF(tbl_Case_mins[[#This Row],[Surgery Status]]=1,1,0)</f>
        <v>#REF!</v>
      </c>
      <c r="AO438"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8" s="9" t="e">
        <f>IF(AND(tbl_Case_mins[[#This Row],[NonCoreCase]]=1,tbl_Case_mins[[#This Row],[NoInCoreTime]]=0),1,0)</f>
        <v>#REF!</v>
      </c>
      <c r="AQ438" s="9" t="e">
        <f>IF(tbl_Case_mins[[#This Row],[Rank_AnaEnd]]&lt;tbl_Case_mins[[#This Row],[Rank_AnaSt]],1,0)</f>
        <v>#REF!</v>
      </c>
      <c r="AR438" s="9" t="e">
        <f>IF(AND(tbl_Case_mins[[#This Row],[InCoreCase]]=1,tbl_Case_mins[[#This Row],[Sch]]=1),1,0)</f>
        <v>#REF!</v>
      </c>
      <c r="AS438" s="9" t="e">
        <f>IF(AND(tbl_Case_mins[[#This Row],[InCoreCase]]=1,tbl_Case_mins[[#This Row],[Unsch]]=1),1,0)</f>
        <v>#REF!</v>
      </c>
      <c r="AT438"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8"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8"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8" s="9" t="e">
        <f>IF(tbl_Case_mins[[#This Row],[Surgery Status]]=0,(tbl_Case_mins[[#This Row],[Anaesth End]]-tbl_Case_mins[[#This Row],[AnaesthStart]]),0)</f>
        <v>#REF!</v>
      </c>
      <c r="AX438" s="9" t="e">
        <f>IF(tbl_Case_mins[[#This Row],[Surgery Status]]=0,(tbl_Case_mins[[#This Row],[Surgery Finish]]-tbl_Case_mins[[#This Row],[Surgery Start]]),0)</f>
        <v>#REF!</v>
      </c>
      <c r="AY438" s="9" t="e">
        <f>tbl_Case_mins[[#This Row],[Surgery Start]]-tbl_Case_mins[[#This Row],[AnaesthStart]]</f>
        <v>#REF!</v>
      </c>
      <c r="AZ438" s="9" t="e">
        <f>tbl_Case_mins[[#This Row],[Anaesth End]]-tbl_Case_mins[[#This Row],[Surgery Finish]]</f>
        <v>#REF!</v>
      </c>
      <c r="BA438"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8"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8" s="16" cm="1">
        <f t="array" ref="BC438">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8" s="16" t="e">
        <f>IF(AND(tbl_Case_mins[[#This Row],[FirstAMCase]]=1,tbl_Case_mins[[#This Row],[CancelledCase]]=0,OR(tbl_Case_mins[[#This Row],[EarlyStartAM]]&gt;0,tbl_Case_mins[[#This Row],[AnaesthStart]]=tbl_Case_mins[[#This Row],[ThOpenAm]])),1,0)</f>
        <v>#REF!</v>
      </c>
      <c r="BE438" s="16" t="e">
        <f>IF(AND(tbl_Case_mins[[#This Row],[Rank_AnaSt]]=tbl_Case_mins[[#This Row],[Min_RankAnaSt]],tbl_Case_mins[[#This Row],[Anaesth End]]&gt;=tbl_Case_mins[[#This Row],[ThOpenAm]],tbl_Case_mins[[#This Row],[PmCase]]=0),1,0)</f>
        <v>#REF!</v>
      </c>
      <c r="BF438"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8"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8" s="9" t="e" cm="1">
        <f t="array" ref="BH438">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8"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8"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8" s="9" t="e">
        <f>IF(AND(tbl_Case_mins[[#This Row],[ThOpenPM]]&gt;0,tbl_Case_mins[[#This Row],[AnaesthStart]]&gt;tbl_Case_mins[[#This Row],[ThOpenPM]],tbl_Case_mins[[#This Row],[First PM Case]]=1),tbl_Case_mins[[#This Row],[AnaesthStart]]-tbl_Case_mins[[#This Row],[ThOpenPM]],0)</f>
        <v>#REF!</v>
      </c>
      <c r="BL438"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8"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8" s="9" t="e" cm="1">
        <f t="array" ref="BN438">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8" s="9" t="e">
        <f>IF(AND(tbl_Case_mins[[#This Row],[ThClosePm]]&gt;0,tbl_Case_mins[[#This Row],[Anaesth End]]&gt;tbl_Case_mins[[#This Row],[ThClosePm]],tbl_Case_mins[[#This Row],[AnaesthStart]]&gt;tbl_Case_mins[[#This Row],[ThClosePm]]),tbl_Case_mins[[#This Row],[Into Recov]]-tbl_Case_mins[[#This Row],[AnaesthStart]],0)</f>
        <v>#REF!</v>
      </c>
      <c r="BP438" s="9" t="e">
        <f>IF(AND(tbl_Case_mins[[#This Row],[AnaesthStart]]&lt;tbl_Case_mins[[#This Row],[ThClosePm]],tbl_Case_mins[[#This Row],[Anaesth End]]&gt;tbl_Case_mins[[#This Row],[ThClosePm]]),tbl_Case_mins[[#This Row],[Anaesth End]]-tbl_Case_mins[[#This Row],[ThClosePm]],0)</f>
        <v>#REF!</v>
      </c>
      <c r="BQ438" s="9" t="e" cm="1">
        <f t="array" ref="BQ438">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8" s="9" t="e" cm="1">
        <f t="array" ref="BR438">IF(tbl_Case_mins[[#This Row],[Rank_Adjust]]=SUMPRODUCT(-(tbl_Case_mins[Surgery Start Date]=tbl_Case_mins[[#This Row],[Surgery Start Date]]),-(tbl_Case_mins[Theatre]=tbl_Case_mins[[#This Row],[Theatre]])),INDEX(Poss_Time,MATCH(TEXT(tbl_Case_mins[[#This Row],[Surgery Start Date]],"ddd"),Day,0)),0)</f>
        <v>#REF!</v>
      </c>
      <c r="BS438" s="9" t="e">
        <f>tbl_Case_mins[[#This Row],[Core_Time]]*Util_Goal</f>
        <v>#REF!</v>
      </c>
      <c r="BT438" s="9" t="e" cm="1">
        <f t="array" ref="BT4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8" s="9" t="e" cm="1">
        <f t="array" ref="BU438">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8"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8"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8" s="9" t="e">
        <f>IF(tbl_Case_mins[[#This Row],[Surgery End Date]]&gt;tbl_Case_mins[[#This Row],[Surgery Start Date]],tbl_Case_mins[[#This Row],[Anaesth End]]-1440,0)</f>
        <v>#REF!</v>
      </c>
      <c r="BY438" s="9" t="e">
        <f>tbl_Case_mins[[#This Row],[Total_NonCore]]-tbl_Case_mins[[#This Row],[NextDay_NonCore]]</f>
        <v>#REF!</v>
      </c>
      <c r="BZ438" s="10" t="e">
        <f>tbl_Case_mins[[#This Row],[InCoreUse]]/60</f>
        <v>#REF!</v>
      </c>
      <c r="CA438" s="10" t="e">
        <f>tbl_Case_mins[[#This Row],[Total_NonCore]]/60</f>
        <v>#REF!</v>
      </c>
      <c r="CB438" t="e" cm="1">
        <f t="array" ref="CB4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8" s="9" t="e" cm="1">
        <f t="array" ref="CC438">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8" s="9" t="e" cm="1">
        <f t="array" ref="CD438">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8" s="9" t="e" cm="1">
        <f t="array" ref="CE438">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8" s="9" cm="1">
        <f t="array" ref="CF438">IFERROR(_xlfn.AGGREGATE(14,6,(tbl_Case_mins[Rank_AnaEnd])/((tbl_Case_mins[Surgery Start Date]=tbl_Case_mins[[#This Row],[Surgery Start Date]])*(tbl_Case_mins[Theatre]=tbl_Case_mins[[#This Row],[Theatre]])*(tbl_Case_mins[NoInCoreTime]=0)),1),-1)</f>
        <v>-1</v>
      </c>
      <c r="CG438" s="9" cm="1">
        <f t="array" ref="CG438">IFERROR(_xlfn.AGGREGATE(15,6,(tbl_Case_mins[Rank_AnaSt])/((tbl_Case_mins[Surgery Start Date]=tbl_Case_mins[[#This Row],[Surgery Start Date]])*(tbl_Case_mins[Theatre]=tbl_Case_mins[[#This Row],[Theatre]])*(tbl_Case_mins[NoInCoreTime]=0)),1),-1)</f>
        <v>-1</v>
      </c>
      <c r="CH438"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8"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8" t="e" cm="1">
        <f t="array" ref="CJ438">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8"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8"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8"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8" s="9" cm="1">
        <f t="array" ref="CO4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8" s="9" cm="1">
        <f t="array" ref="CP438">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8" s="9" cm="1">
        <f t="array" ref="CQ438">IFERROR(IF(AND(tbl_Case_mins[[#This Row],[FirstAMCase]]=0,tbl_Case_mins[[#This Row],[Rank]]=_xlfn.AGGREGATE(14,6,(tbl_Case_mins[Rank])/((tbl_Case_mins[Surgery Start Date]=tbl_Case_mins[[#This Row],[Surgery Start Date]])*(tbl_Case_mins[Theatre]=tbl_Case_mins[[#This Row],[Theatre]])*(tbl_Case_mins[AmCase]=1)),1)),1,0),0)</f>
        <v>0</v>
      </c>
      <c r="CR438" s="9" cm="1">
        <f t="array" ref="CR438">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8" s="9" t="e" cm="1">
        <f t="array" ref="CS438">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8" s="9" cm="1">
        <f t="array" ref="CT438">IFERROR(IF(tbl_Case_mins[[#This Row],[Rank]]=_xlfn.AGGREGATE(15,6,(tbl_Case_mins[Rank])/((tbl_Case_mins[Surgery Start Date]=tbl_Case_mins[[#This Row],[Surgery Start Date]])*(tbl_Case_mins[Theatre]=tbl_Case_mins[[#This Row],[Theatre]])*(tbl_Case_mins[PmCase]=1)),1),1,0),0)</f>
        <v>0</v>
      </c>
      <c r="CU438">
        <f>IFERROR(#REF!,0)</f>
        <v>0</v>
      </c>
      <c r="CV438" s="9" t="e" cm="1">
        <f t="array" ref="CV438">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8" s="9">
        <f>IFERROR(IF(ISBLANK(INDEX(Bay_AmClose,MATCH(1,INDEX((tbl_Case_mins[[#This Row],[Bay]]=BayNo)*(tbl_Case_mins[[#This Row],[Surgery Start Date]]=BDate),0,1),0))*1440),0,INDEX(Bay_AmClose,MATCH(1,INDEX((tbl_Case_mins[[#This Row],[Bay]]=BayNo)*(tbl_Case_mins[[#This Row],[Surgery Start Date]]=BDate),0,1),0))*1440),0)</f>
        <v>0</v>
      </c>
      <c r="CX438" s="9" cm="1">
        <f t="array" ref="CX438">IFERROR(IF(ISBLANK(INDEX(Bay_PmOpen,MATCH(1,INDEX((tbl_Case_mins[[#This Row],[Bay]]=BayNo)*(tbl_Case_mins[[#This Row],[Surgery Start Date]]=BDate),0,1),0))*1440),0,INDEX(Bay_PmOpen,MATCH(1,INDEX((tbl_Case_mins[[#This Row],[Bay]]=BayNo)*(tbl_Case_mins[[#This Row],[Surgery Start Date]]=BDate),0,1),0))*1440),0)</f>
        <v>0</v>
      </c>
      <c r="CY438"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8" s="9"/>
    </row>
    <row r="439" spans="1:104" x14ac:dyDescent="0.2">
      <c r="A439">
        <v>438</v>
      </c>
      <c r="B439" t="e">
        <f>#REF!</f>
        <v>#REF!</v>
      </c>
      <c r="C439" t="e">
        <f>#REF!</f>
        <v>#REF!</v>
      </c>
      <c r="D439" t="e">
        <f>#REF!</f>
        <v>#REF!</v>
      </c>
      <c r="E439" t="e">
        <f>#REF!</f>
        <v>#REF!</v>
      </c>
      <c r="F439" t="e">
        <f>#REF!</f>
        <v>#REF!</v>
      </c>
      <c r="G439" t="e">
        <f>#REF!</f>
        <v>#REF!</v>
      </c>
      <c r="H439" t="e">
        <f>#REF!</f>
        <v>#REF!</v>
      </c>
      <c r="I439" t="e">
        <f>IF(#REF!="Case Cancelled",1,IF(#REF!="No Cases",2,0))</f>
        <v>#REF!</v>
      </c>
      <c r="J439" t="e">
        <f>#REF!</f>
        <v>#REF!</v>
      </c>
      <c r="K439" s="4" t="e">
        <f>#REF!</f>
        <v>#REF!</v>
      </c>
      <c r="L439" t="e">
        <f>"Wk "&amp;WEEKNUM(tbl_Case_mins[[#This Row],[Surgery Start Date]],21)</f>
        <v>#REF!</v>
      </c>
      <c r="M439" t="e">
        <f>TEXT(tbl_Case_mins[[#This Row],[Surgery Start Date]],"ddd")</f>
        <v>#REF!</v>
      </c>
      <c r="N439" s="9" t="e">
        <f>(#REF!-TIME(0,0,0))*1440</f>
        <v>#REF!</v>
      </c>
      <c r="O439" t="e">
        <f>IF(AND(ROUND((#REF!-TIME(0,0,0))*1440,0)&gt;0,ROUND((#REF!-TIME(0,0,0))*1440,0)&lt;tbl_Case_mins[[#This Row],[Patient Called]],tbl_Case_mins[[#This Row],[Surgery End Date]]&gt;tbl_Case_mins[[#This Row],[Surgery Start Date]]),ROUND((#REF!-TIME(0,0,0))*1440,0)+1440,ROUND((#REF!-TIME(0,0,0))*1440,0))</f>
        <v>#REF!</v>
      </c>
      <c r="P439" s="9" t="e">
        <f>IF(AND(ROUND((#REF!-TIME(0,0,0))*1440,0)&gt;0,ROUND((#REF!-TIME(0,0,0))*1440,0)&lt;tbl_Case_mins[[#This Row],[Arrival]],tbl_Case_mins[[#This Row],[Surgery End Date]]&gt;tbl_Case_mins[[#This Row],[Surgery Start Date]]),ROUND((#REF!-TIME(0,0,0))*1440,0)+1440,ROUND((#REF!-TIME(0,0,0))*1440,0))</f>
        <v>#REF!</v>
      </c>
      <c r="Q439" s="9" t="e">
        <f>IF(AND(ROUND((#REF!-TIME(0,0,0))*1440,0)&gt;0,ROUND((#REF!-TIME(0,0,0))*1440,0)&lt;tbl_Case_mins[[#This Row],[Into Th or AR]],tbl_Case_mins[[#This Row],[Surgery End Date]]&gt;tbl_Case_mins[[#This Row],[Surgery Start Date]]),ROUND((#REF!-TIME(0,0,0))*1440,0)+1440,ROUND((#REF!-TIME(0,0,0))*1440,0))</f>
        <v>#REF!</v>
      </c>
      <c r="R439" s="9" t="e">
        <f>IF(AND(ROUND((#REF!-TIME(0,0,0))*1440,0)&gt;0,ROUND((#REF!-TIME(0,0,0))*1440,0)&lt;tbl_Case_mins[[#This Row],[AnaesthStart]],tbl_Case_mins[[#This Row],[Surgery End Date]]&gt;tbl_Case_mins[[#This Row],[Surgery Start Date]]),ROUND((#REF!-TIME(0,0,0))*1440,0)+1440,ROUND((#REF!-TIME(0,0,0))*1440,0))</f>
        <v>#REF!</v>
      </c>
      <c r="S439" s="9" t="e">
        <f>IF(AND(ROUND((#REF!-TIME(0,0,0))*1440,0),ROUND((#REF!-TIME(0,0,0))*1440,0)&lt;tbl_Case_mins[[#This Row],[Surgery Start]],tbl_Case_mins[[#This Row],[Surgery End Date]]&gt;tbl_Case_mins[[#This Row],[Surgery Start Date]]),ROUND((#REF!-TIME(0,0,0))*1440,0)+1440,ROUND((#REF!-TIME(0,0,0))*1440,0))</f>
        <v>#REF!</v>
      </c>
      <c r="T439" s="9" t="e">
        <f>IF(AND(ROUND((#REF!-TIME(0,0,0))*1440,0)&gt;0,ROUND((#REF!-TIME(0,0,0))*1440,0)&lt;tbl_Case_mins[[#This Row],[Surgery Finish]],tbl_Case_mins[[#This Row],[Surgery End Date]]&gt;tbl_Case_mins[[#This Row],[Surgery Start Date]]),ROUND((#REF!-TIME(0,0,0))*1440,0)+1440,ROUND((#REF!-TIME(0,0,0))*1440,0))</f>
        <v>#REF!</v>
      </c>
      <c r="U439" s="9" t="e">
        <f>IF(AND(ROUND((#REF!-TIME(0,0,0))*1440,0)&gt;0,ROUND((#REF!-TIME(0,0,0))*1440,0)&lt;tbl_Case_mins[[#This Row],[Anaesth End]],tbl_Case_mins[[#This Row],[Surgery End Date]]&gt;tbl_Case_mins[[#This Row],[Surgery Start Date]]),ROUND((#REF!-TIME(0,0,0))*1440,0)+1440,ROUND((#REF!-TIME(0,0,0))*1440,0))</f>
        <v>#REF!</v>
      </c>
      <c r="V439" s="9" t="e">
        <f>IF(AND(ROUND((#REF!-TIME(0,0,0))*1440,0)&gt;0,ROUND((#REF!-TIME(0,0,0))*1440,0)&lt;tbl_Case_mins[[#This Row],[Into Recov]],tbl_Case_mins[[#This Row],[Surgery End Date]]&gt;tbl_Case_mins[[#This Row],[Surgery Start Date]]),ROUND((#REF!-TIME(0,0,0))*1440,0)+1440,ROUND((#REF!-TIME(0,0,0))*1440,0))</f>
        <v>#REF!</v>
      </c>
      <c r="W439" s="9" t="e">
        <f>IF(AND(ROUND((#REF!-TIME(0,0,0))*1440,0)&gt;0,ROUND((#REF!-TIME(0,0,0))*1440,0)&lt;tbl_Case_mins[[#This Row],[Ward Called]],tbl_Case_mins[[#This Row],[Surgery End Date]]&gt;tbl_Case_mins[[#This Row],[Surgery Start Date]]),ROUND((#REF!-TIME(0,0,0))*1440,0)+1440,ROUND((#REF!-TIME(0,0,0))*1440,0))</f>
        <v>#REF!</v>
      </c>
      <c r="X439" s="4" t="e">
        <f>IF(ISBLANK(#REF!),tbl_Case_mins[[#This Row],[Surgery Start Date]],#REF!)</f>
        <v>#REF!</v>
      </c>
      <c r="Y439">
        <f>IFERROR(IF(VLOOKUP(tbl_Case_mins[[#This Row],[Theatre]],'Mng Theatres'!$C$7:$G$12,3,FALSE)="Yes","Yes","No"),0)</f>
        <v>0</v>
      </c>
      <c r="Z439" s="9" t="e" cm="1">
        <f t="array" ref="Z439">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39" s="9" t="e" cm="1">
        <f t="array" ref="AA439">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39"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39" s="9" t="e">
        <f>IF(tbl_Case_mins[[#This Row],[Case Type]]="Unsch",1,0)</f>
        <v>#REF!</v>
      </c>
      <c r="AD439" s="9" t="e">
        <f>IF(tbl_Case_mins[[#This Row],[Case Type]]="Sch",1,0)</f>
        <v>#REF!</v>
      </c>
      <c r="AE439"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39" s="9">
        <f>IFERROR(IF(ISBLANK(INDEX(Am_Close,MATCH(1,INDEX((tbl_Case_mins[[#This Row],[Theatre]]=Theatre_No)*(tbl_Case_mins[[#This Row],[Surgery Start Date]]=Date),0,1),0))*1440),0,INDEX(Am_Close,MATCH(1,INDEX((tbl_Case_mins[[#This Row],[Theatre]]=Theatre_No)*(tbl_Case_mins[[#This Row],[Surgery Start Date]]=Date),0,1),0))*1440),0)</f>
        <v>0</v>
      </c>
      <c r="AG439" s="9">
        <f>IFERROR(IF(ISBLANK(INDEX(PM_Open,MATCH(1,INDEX((tbl_Case_mins[[#This Row],[Theatre]]=Theatre_No)*(tbl_Case_mins[[#This Row],[Surgery Start Date]]=Date),0,1),0))*1440),0,INDEX(PM_Open,MATCH(1,INDEX((tbl_Case_mins[[#This Row],[Theatre]]=Theatre_No)*(tbl_Case_mins[[#This Row],[Surgery Start Date]]=Date),0,1),0))*1440),0)</f>
        <v>0</v>
      </c>
      <c r="AH439"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39" s="9" t="e">
        <f>IF(tbl_Case_mins[[#This Row],[ThOpenAm]]=0,tbl_Case_mins[[#This Row],[ThOpenPM]],tbl_Case_mins[[#This Row],[ThOpenAm]])</f>
        <v>#REF!</v>
      </c>
      <c r="AJ439" s="9" t="e">
        <f>IF(tbl_Case_mins[[#This Row],[ThCloseAm]]&gt;0,IF(tbl_Case_mins[[#This Row],[ThOpenPM]]&gt;0,tbl_Case_mins[[#This Row],[ThClosePm]],tbl_Case_mins[[#This Row],[ThCloseAm]]),tbl_Case_mins[[#This Row],[ThClosePm]])</f>
        <v>#REF!</v>
      </c>
      <c r="AK439" s="9" t="e">
        <f>IF(tbl_Case_mins[[#This Row],[TOT]]&gt;0,1,0)</f>
        <v>#REF!</v>
      </c>
      <c r="AL439"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39" s="9" t="e">
        <f>IF(AND(tbl_Case_mins[[#This Row],[Surgery Status]]&lt;&gt;2,tbl_Case_mins[[#This Row],[InCoreCase]]=0,tbl_Case_mins[[#This Row],[CancelledCase]]=0),1,0)</f>
        <v>#REF!</v>
      </c>
      <c r="AN439" s="9" t="e">
        <f>IF(tbl_Case_mins[[#This Row],[Surgery Status]]=1,1,0)</f>
        <v>#REF!</v>
      </c>
      <c r="AO439"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39" s="9" t="e">
        <f>IF(AND(tbl_Case_mins[[#This Row],[NonCoreCase]]=1,tbl_Case_mins[[#This Row],[NoInCoreTime]]=0),1,0)</f>
        <v>#REF!</v>
      </c>
      <c r="AQ439" s="9" t="e">
        <f>IF(tbl_Case_mins[[#This Row],[Rank_AnaEnd]]&lt;tbl_Case_mins[[#This Row],[Rank_AnaSt]],1,0)</f>
        <v>#REF!</v>
      </c>
      <c r="AR439" s="9" t="e">
        <f>IF(AND(tbl_Case_mins[[#This Row],[InCoreCase]]=1,tbl_Case_mins[[#This Row],[Sch]]=1),1,0)</f>
        <v>#REF!</v>
      </c>
      <c r="AS439" s="9" t="e">
        <f>IF(AND(tbl_Case_mins[[#This Row],[InCoreCase]]=1,tbl_Case_mins[[#This Row],[Unsch]]=1),1,0)</f>
        <v>#REF!</v>
      </c>
      <c r="AT439"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39"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39"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39" s="9" t="e">
        <f>IF(tbl_Case_mins[[#This Row],[Surgery Status]]=0,(tbl_Case_mins[[#This Row],[Anaesth End]]-tbl_Case_mins[[#This Row],[AnaesthStart]]),0)</f>
        <v>#REF!</v>
      </c>
      <c r="AX439" s="9" t="e">
        <f>IF(tbl_Case_mins[[#This Row],[Surgery Status]]=0,(tbl_Case_mins[[#This Row],[Surgery Finish]]-tbl_Case_mins[[#This Row],[Surgery Start]]),0)</f>
        <v>#REF!</v>
      </c>
      <c r="AY439" s="9" t="e">
        <f>tbl_Case_mins[[#This Row],[Surgery Start]]-tbl_Case_mins[[#This Row],[AnaesthStart]]</f>
        <v>#REF!</v>
      </c>
      <c r="AZ439" s="9" t="e">
        <f>tbl_Case_mins[[#This Row],[Anaesth End]]-tbl_Case_mins[[#This Row],[Surgery Finish]]</f>
        <v>#REF!</v>
      </c>
      <c r="BA439"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39"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39" s="16" cm="1">
        <f t="array" ref="BC439">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39" s="16" t="e">
        <f>IF(AND(tbl_Case_mins[[#This Row],[FirstAMCase]]=1,tbl_Case_mins[[#This Row],[CancelledCase]]=0,OR(tbl_Case_mins[[#This Row],[EarlyStartAM]]&gt;0,tbl_Case_mins[[#This Row],[AnaesthStart]]=tbl_Case_mins[[#This Row],[ThOpenAm]])),1,0)</f>
        <v>#REF!</v>
      </c>
      <c r="BE439" s="16" t="e">
        <f>IF(AND(tbl_Case_mins[[#This Row],[Rank_AnaSt]]=tbl_Case_mins[[#This Row],[Min_RankAnaSt]],tbl_Case_mins[[#This Row],[Anaesth End]]&gt;=tbl_Case_mins[[#This Row],[ThOpenAm]],tbl_Case_mins[[#This Row],[PmCase]]=0),1,0)</f>
        <v>#REF!</v>
      </c>
      <c r="BF439"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39"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39" s="9" t="e" cm="1">
        <f t="array" ref="BH439">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39"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39"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39" s="9" t="e">
        <f>IF(AND(tbl_Case_mins[[#This Row],[ThOpenPM]]&gt;0,tbl_Case_mins[[#This Row],[AnaesthStart]]&gt;tbl_Case_mins[[#This Row],[ThOpenPM]],tbl_Case_mins[[#This Row],[First PM Case]]=1),tbl_Case_mins[[#This Row],[AnaesthStart]]-tbl_Case_mins[[#This Row],[ThOpenPM]],0)</f>
        <v>#REF!</v>
      </c>
      <c r="BL439"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39"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39" s="9" t="e" cm="1">
        <f t="array" ref="BN439">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39" s="9" t="e">
        <f>IF(AND(tbl_Case_mins[[#This Row],[ThClosePm]]&gt;0,tbl_Case_mins[[#This Row],[Anaesth End]]&gt;tbl_Case_mins[[#This Row],[ThClosePm]],tbl_Case_mins[[#This Row],[AnaesthStart]]&gt;tbl_Case_mins[[#This Row],[ThClosePm]]),tbl_Case_mins[[#This Row],[Into Recov]]-tbl_Case_mins[[#This Row],[AnaesthStart]],0)</f>
        <v>#REF!</v>
      </c>
      <c r="BP439" s="9" t="e">
        <f>IF(AND(tbl_Case_mins[[#This Row],[AnaesthStart]]&lt;tbl_Case_mins[[#This Row],[ThClosePm]],tbl_Case_mins[[#This Row],[Anaesth End]]&gt;tbl_Case_mins[[#This Row],[ThClosePm]]),tbl_Case_mins[[#This Row],[Anaesth End]]-tbl_Case_mins[[#This Row],[ThClosePm]],0)</f>
        <v>#REF!</v>
      </c>
      <c r="BQ439" s="9" t="e" cm="1">
        <f t="array" ref="BQ439">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39" s="9" t="e" cm="1">
        <f t="array" ref="BR439">IF(tbl_Case_mins[[#This Row],[Rank_Adjust]]=SUMPRODUCT(-(tbl_Case_mins[Surgery Start Date]=tbl_Case_mins[[#This Row],[Surgery Start Date]]),-(tbl_Case_mins[Theatre]=tbl_Case_mins[[#This Row],[Theatre]])),INDEX(Poss_Time,MATCH(TEXT(tbl_Case_mins[[#This Row],[Surgery Start Date]],"ddd"),Day,0)),0)</f>
        <v>#REF!</v>
      </c>
      <c r="BS439" s="9" t="e">
        <f>tbl_Case_mins[[#This Row],[Core_Time]]*Util_Goal</f>
        <v>#REF!</v>
      </c>
      <c r="BT439" s="9" t="e" cm="1">
        <f t="array" ref="BT4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39" s="9" t="e" cm="1">
        <f t="array" ref="BU439">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39"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39"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39" s="9" t="e">
        <f>IF(tbl_Case_mins[[#This Row],[Surgery End Date]]&gt;tbl_Case_mins[[#This Row],[Surgery Start Date]],tbl_Case_mins[[#This Row],[Anaesth End]]-1440,0)</f>
        <v>#REF!</v>
      </c>
      <c r="BY439" s="9" t="e">
        <f>tbl_Case_mins[[#This Row],[Total_NonCore]]-tbl_Case_mins[[#This Row],[NextDay_NonCore]]</f>
        <v>#REF!</v>
      </c>
      <c r="BZ439" s="10" t="e">
        <f>tbl_Case_mins[[#This Row],[InCoreUse]]/60</f>
        <v>#REF!</v>
      </c>
      <c r="CA439" s="10" t="e">
        <f>tbl_Case_mins[[#This Row],[Total_NonCore]]/60</f>
        <v>#REF!</v>
      </c>
      <c r="CB439" t="e" cm="1">
        <f t="array" ref="CB4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39" s="9" t="e" cm="1">
        <f t="array" ref="CC439">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39" s="9" t="e" cm="1">
        <f t="array" ref="CD439">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39" s="9" t="e" cm="1">
        <f t="array" ref="CE439">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39" s="9" cm="1">
        <f t="array" ref="CF439">IFERROR(_xlfn.AGGREGATE(14,6,(tbl_Case_mins[Rank_AnaEnd])/((tbl_Case_mins[Surgery Start Date]=tbl_Case_mins[[#This Row],[Surgery Start Date]])*(tbl_Case_mins[Theatre]=tbl_Case_mins[[#This Row],[Theatre]])*(tbl_Case_mins[NoInCoreTime]=0)),1),-1)</f>
        <v>-1</v>
      </c>
      <c r="CG439" s="9" cm="1">
        <f t="array" ref="CG439">IFERROR(_xlfn.AGGREGATE(15,6,(tbl_Case_mins[Rank_AnaSt])/((tbl_Case_mins[Surgery Start Date]=tbl_Case_mins[[#This Row],[Surgery Start Date]])*(tbl_Case_mins[Theatre]=tbl_Case_mins[[#This Row],[Theatre]])*(tbl_Case_mins[NoInCoreTime]=0)),1),-1)</f>
        <v>-1</v>
      </c>
      <c r="CH439"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39"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39" t="e" cm="1">
        <f t="array" ref="CJ439">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39"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39"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39"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39" s="9" cm="1">
        <f t="array" ref="CO4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39" s="9" cm="1">
        <f t="array" ref="CP439">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39" s="9" cm="1">
        <f t="array" ref="CQ439">IFERROR(IF(AND(tbl_Case_mins[[#This Row],[FirstAMCase]]=0,tbl_Case_mins[[#This Row],[Rank]]=_xlfn.AGGREGATE(14,6,(tbl_Case_mins[Rank])/((tbl_Case_mins[Surgery Start Date]=tbl_Case_mins[[#This Row],[Surgery Start Date]])*(tbl_Case_mins[Theatre]=tbl_Case_mins[[#This Row],[Theatre]])*(tbl_Case_mins[AmCase]=1)),1)),1,0),0)</f>
        <v>0</v>
      </c>
      <c r="CR439" s="9" cm="1">
        <f t="array" ref="CR439">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39" s="9" t="e" cm="1">
        <f t="array" ref="CS439">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39" s="9" cm="1">
        <f t="array" ref="CT439">IFERROR(IF(tbl_Case_mins[[#This Row],[Rank]]=_xlfn.AGGREGATE(15,6,(tbl_Case_mins[Rank])/((tbl_Case_mins[Surgery Start Date]=tbl_Case_mins[[#This Row],[Surgery Start Date]])*(tbl_Case_mins[Theatre]=tbl_Case_mins[[#This Row],[Theatre]])*(tbl_Case_mins[PmCase]=1)),1),1,0),0)</f>
        <v>0</v>
      </c>
      <c r="CU439">
        <f>IFERROR(#REF!,0)</f>
        <v>0</v>
      </c>
      <c r="CV439" s="9" t="e" cm="1">
        <f t="array" ref="CV439">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39" s="9">
        <f>IFERROR(IF(ISBLANK(INDEX(Bay_AmClose,MATCH(1,INDEX((tbl_Case_mins[[#This Row],[Bay]]=BayNo)*(tbl_Case_mins[[#This Row],[Surgery Start Date]]=BDate),0,1),0))*1440),0,INDEX(Bay_AmClose,MATCH(1,INDEX((tbl_Case_mins[[#This Row],[Bay]]=BayNo)*(tbl_Case_mins[[#This Row],[Surgery Start Date]]=BDate),0,1),0))*1440),0)</f>
        <v>0</v>
      </c>
      <c r="CX439" s="9" cm="1">
        <f t="array" ref="CX439">IFERROR(IF(ISBLANK(INDEX(Bay_PmOpen,MATCH(1,INDEX((tbl_Case_mins[[#This Row],[Bay]]=BayNo)*(tbl_Case_mins[[#This Row],[Surgery Start Date]]=BDate),0,1),0))*1440),0,INDEX(Bay_PmOpen,MATCH(1,INDEX((tbl_Case_mins[[#This Row],[Bay]]=BayNo)*(tbl_Case_mins[[#This Row],[Surgery Start Date]]=BDate),0,1),0))*1440),0)</f>
        <v>0</v>
      </c>
      <c r="CY439"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39" s="9"/>
    </row>
    <row r="440" spans="1:104" x14ac:dyDescent="0.2">
      <c r="A440">
        <v>439</v>
      </c>
      <c r="B440" t="e">
        <f>#REF!</f>
        <v>#REF!</v>
      </c>
      <c r="C440" t="e">
        <f>#REF!</f>
        <v>#REF!</v>
      </c>
      <c r="D440" t="e">
        <f>#REF!</f>
        <v>#REF!</v>
      </c>
      <c r="E440" t="e">
        <f>#REF!</f>
        <v>#REF!</v>
      </c>
      <c r="F440" t="e">
        <f>#REF!</f>
        <v>#REF!</v>
      </c>
      <c r="G440" t="e">
        <f>#REF!</f>
        <v>#REF!</v>
      </c>
      <c r="H440" t="e">
        <f>#REF!</f>
        <v>#REF!</v>
      </c>
      <c r="I440" t="e">
        <f>IF(#REF!="Case Cancelled",1,IF(#REF!="No Cases",2,0))</f>
        <v>#REF!</v>
      </c>
      <c r="J440" t="e">
        <f>#REF!</f>
        <v>#REF!</v>
      </c>
      <c r="K440" s="4" t="e">
        <f>#REF!</f>
        <v>#REF!</v>
      </c>
      <c r="L440" t="e">
        <f>"Wk "&amp;WEEKNUM(tbl_Case_mins[[#This Row],[Surgery Start Date]],21)</f>
        <v>#REF!</v>
      </c>
      <c r="M440" t="e">
        <f>TEXT(tbl_Case_mins[[#This Row],[Surgery Start Date]],"ddd")</f>
        <v>#REF!</v>
      </c>
      <c r="N440" s="9" t="e">
        <f>(#REF!-TIME(0,0,0))*1440</f>
        <v>#REF!</v>
      </c>
      <c r="O440" t="e">
        <f>IF(AND(ROUND((#REF!-TIME(0,0,0))*1440,0)&gt;0,ROUND((#REF!-TIME(0,0,0))*1440,0)&lt;tbl_Case_mins[[#This Row],[Patient Called]],tbl_Case_mins[[#This Row],[Surgery End Date]]&gt;tbl_Case_mins[[#This Row],[Surgery Start Date]]),ROUND((#REF!-TIME(0,0,0))*1440,0)+1440,ROUND((#REF!-TIME(0,0,0))*1440,0))</f>
        <v>#REF!</v>
      </c>
      <c r="P440" s="9" t="e">
        <f>IF(AND(ROUND((#REF!-TIME(0,0,0))*1440,0)&gt;0,ROUND((#REF!-TIME(0,0,0))*1440,0)&lt;tbl_Case_mins[[#This Row],[Arrival]],tbl_Case_mins[[#This Row],[Surgery End Date]]&gt;tbl_Case_mins[[#This Row],[Surgery Start Date]]),ROUND((#REF!-TIME(0,0,0))*1440,0)+1440,ROUND((#REF!-TIME(0,0,0))*1440,0))</f>
        <v>#REF!</v>
      </c>
      <c r="Q440" s="9" t="e">
        <f>IF(AND(ROUND((#REF!-TIME(0,0,0))*1440,0)&gt;0,ROUND((#REF!-TIME(0,0,0))*1440,0)&lt;tbl_Case_mins[[#This Row],[Into Th or AR]],tbl_Case_mins[[#This Row],[Surgery End Date]]&gt;tbl_Case_mins[[#This Row],[Surgery Start Date]]),ROUND((#REF!-TIME(0,0,0))*1440,0)+1440,ROUND((#REF!-TIME(0,0,0))*1440,0))</f>
        <v>#REF!</v>
      </c>
      <c r="R440" s="9" t="e">
        <f>IF(AND(ROUND((#REF!-TIME(0,0,0))*1440,0)&gt;0,ROUND((#REF!-TIME(0,0,0))*1440,0)&lt;tbl_Case_mins[[#This Row],[AnaesthStart]],tbl_Case_mins[[#This Row],[Surgery End Date]]&gt;tbl_Case_mins[[#This Row],[Surgery Start Date]]),ROUND((#REF!-TIME(0,0,0))*1440,0)+1440,ROUND((#REF!-TIME(0,0,0))*1440,0))</f>
        <v>#REF!</v>
      </c>
      <c r="S440" s="9" t="e">
        <f>IF(AND(ROUND((#REF!-TIME(0,0,0))*1440,0),ROUND((#REF!-TIME(0,0,0))*1440,0)&lt;tbl_Case_mins[[#This Row],[Surgery Start]],tbl_Case_mins[[#This Row],[Surgery End Date]]&gt;tbl_Case_mins[[#This Row],[Surgery Start Date]]),ROUND((#REF!-TIME(0,0,0))*1440,0)+1440,ROUND((#REF!-TIME(0,0,0))*1440,0))</f>
        <v>#REF!</v>
      </c>
      <c r="T440" s="9" t="e">
        <f>IF(AND(ROUND((#REF!-TIME(0,0,0))*1440,0)&gt;0,ROUND((#REF!-TIME(0,0,0))*1440,0)&lt;tbl_Case_mins[[#This Row],[Surgery Finish]],tbl_Case_mins[[#This Row],[Surgery End Date]]&gt;tbl_Case_mins[[#This Row],[Surgery Start Date]]),ROUND((#REF!-TIME(0,0,0))*1440,0)+1440,ROUND((#REF!-TIME(0,0,0))*1440,0))</f>
        <v>#REF!</v>
      </c>
      <c r="U440" s="9" t="e">
        <f>IF(AND(ROUND((#REF!-TIME(0,0,0))*1440,0)&gt;0,ROUND((#REF!-TIME(0,0,0))*1440,0)&lt;tbl_Case_mins[[#This Row],[Anaesth End]],tbl_Case_mins[[#This Row],[Surgery End Date]]&gt;tbl_Case_mins[[#This Row],[Surgery Start Date]]),ROUND((#REF!-TIME(0,0,0))*1440,0)+1440,ROUND((#REF!-TIME(0,0,0))*1440,0))</f>
        <v>#REF!</v>
      </c>
      <c r="V440" s="9" t="e">
        <f>IF(AND(ROUND((#REF!-TIME(0,0,0))*1440,0)&gt;0,ROUND((#REF!-TIME(0,0,0))*1440,0)&lt;tbl_Case_mins[[#This Row],[Into Recov]],tbl_Case_mins[[#This Row],[Surgery End Date]]&gt;tbl_Case_mins[[#This Row],[Surgery Start Date]]),ROUND((#REF!-TIME(0,0,0))*1440,0)+1440,ROUND((#REF!-TIME(0,0,0))*1440,0))</f>
        <v>#REF!</v>
      </c>
      <c r="W440" s="9" t="e">
        <f>IF(AND(ROUND((#REF!-TIME(0,0,0))*1440,0)&gt;0,ROUND((#REF!-TIME(0,0,0))*1440,0)&lt;tbl_Case_mins[[#This Row],[Ward Called]],tbl_Case_mins[[#This Row],[Surgery End Date]]&gt;tbl_Case_mins[[#This Row],[Surgery Start Date]]),ROUND((#REF!-TIME(0,0,0))*1440,0)+1440,ROUND((#REF!-TIME(0,0,0))*1440,0))</f>
        <v>#REF!</v>
      </c>
      <c r="X440" s="4" t="e">
        <f>IF(ISBLANK(#REF!),tbl_Case_mins[[#This Row],[Surgery Start Date]],#REF!)</f>
        <v>#REF!</v>
      </c>
      <c r="Y440">
        <f>IFERROR(IF(VLOOKUP(tbl_Case_mins[[#This Row],[Theatre]],'Mng Theatres'!$C$7:$G$12,3,FALSE)="Yes","Yes","No"),0)</f>
        <v>0</v>
      </c>
      <c r="Z440" s="9" t="e" cm="1">
        <f t="array" ref="Z440">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40" s="9" t="e" cm="1">
        <f t="array" ref="AA440">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40"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40" s="9" t="e">
        <f>IF(tbl_Case_mins[[#This Row],[Case Type]]="Unsch",1,0)</f>
        <v>#REF!</v>
      </c>
      <c r="AD440" s="9" t="e">
        <f>IF(tbl_Case_mins[[#This Row],[Case Type]]="Sch",1,0)</f>
        <v>#REF!</v>
      </c>
      <c r="AE440"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40" s="9">
        <f>IFERROR(IF(ISBLANK(INDEX(Am_Close,MATCH(1,INDEX((tbl_Case_mins[[#This Row],[Theatre]]=Theatre_No)*(tbl_Case_mins[[#This Row],[Surgery Start Date]]=Date),0,1),0))*1440),0,INDEX(Am_Close,MATCH(1,INDEX((tbl_Case_mins[[#This Row],[Theatre]]=Theatre_No)*(tbl_Case_mins[[#This Row],[Surgery Start Date]]=Date),0,1),0))*1440),0)</f>
        <v>0</v>
      </c>
      <c r="AG440" s="9">
        <f>IFERROR(IF(ISBLANK(INDEX(PM_Open,MATCH(1,INDEX((tbl_Case_mins[[#This Row],[Theatre]]=Theatre_No)*(tbl_Case_mins[[#This Row],[Surgery Start Date]]=Date),0,1),0))*1440),0,INDEX(PM_Open,MATCH(1,INDEX((tbl_Case_mins[[#This Row],[Theatre]]=Theatre_No)*(tbl_Case_mins[[#This Row],[Surgery Start Date]]=Date),0,1),0))*1440),0)</f>
        <v>0</v>
      </c>
      <c r="AH440"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40" s="9" t="e">
        <f>IF(tbl_Case_mins[[#This Row],[ThOpenAm]]=0,tbl_Case_mins[[#This Row],[ThOpenPM]],tbl_Case_mins[[#This Row],[ThOpenAm]])</f>
        <v>#REF!</v>
      </c>
      <c r="AJ440" s="9" t="e">
        <f>IF(tbl_Case_mins[[#This Row],[ThCloseAm]]&gt;0,IF(tbl_Case_mins[[#This Row],[ThOpenPM]]&gt;0,tbl_Case_mins[[#This Row],[ThClosePm]],tbl_Case_mins[[#This Row],[ThCloseAm]]),tbl_Case_mins[[#This Row],[ThClosePm]])</f>
        <v>#REF!</v>
      </c>
      <c r="AK440" s="9" t="e">
        <f>IF(tbl_Case_mins[[#This Row],[TOT]]&gt;0,1,0)</f>
        <v>#REF!</v>
      </c>
      <c r="AL440"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40" s="9" t="e">
        <f>IF(AND(tbl_Case_mins[[#This Row],[Surgery Status]]&lt;&gt;2,tbl_Case_mins[[#This Row],[InCoreCase]]=0,tbl_Case_mins[[#This Row],[CancelledCase]]=0),1,0)</f>
        <v>#REF!</v>
      </c>
      <c r="AN440" s="9" t="e">
        <f>IF(tbl_Case_mins[[#This Row],[Surgery Status]]=1,1,0)</f>
        <v>#REF!</v>
      </c>
      <c r="AO440"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40" s="9" t="e">
        <f>IF(AND(tbl_Case_mins[[#This Row],[NonCoreCase]]=1,tbl_Case_mins[[#This Row],[NoInCoreTime]]=0),1,0)</f>
        <v>#REF!</v>
      </c>
      <c r="AQ440" s="9" t="e">
        <f>IF(tbl_Case_mins[[#This Row],[Rank_AnaEnd]]&lt;tbl_Case_mins[[#This Row],[Rank_AnaSt]],1,0)</f>
        <v>#REF!</v>
      </c>
      <c r="AR440" s="9" t="e">
        <f>IF(AND(tbl_Case_mins[[#This Row],[InCoreCase]]=1,tbl_Case_mins[[#This Row],[Sch]]=1),1,0)</f>
        <v>#REF!</v>
      </c>
      <c r="AS440" s="9" t="e">
        <f>IF(AND(tbl_Case_mins[[#This Row],[InCoreCase]]=1,tbl_Case_mins[[#This Row],[Unsch]]=1),1,0)</f>
        <v>#REF!</v>
      </c>
      <c r="AT440"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40"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40"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40" s="9" t="e">
        <f>IF(tbl_Case_mins[[#This Row],[Surgery Status]]=0,(tbl_Case_mins[[#This Row],[Anaesth End]]-tbl_Case_mins[[#This Row],[AnaesthStart]]),0)</f>
        <v>#REF!</v>
      </c>
      <c r="AX440" s="9" t="e">
        <f>IF(tbl_Case_mins[[#This Row],[Surgery Status]]=0,(tbl_Case_mins[[#This Row],[Surgery Finish]]-tbl_Case_mins[[#This Row],[Surgery Start]]),0)</f>
        <v>#REF!</v>
      </c>
      <c r="AY440" s="9" t="e">
        <f>tbl_Case_mins[[#This Row],[Surgery Start]]-tbl_Case_mins[[#This Row],[AnaesthStart]]</f>
        <v>#REF!</v>
      </c>
      <c r="AZ440" s="9" t="e">
        <f>tbl_Case_mins[[#This Row],[Anaesth End]]-tbl_Case_mins[[#This Row],[Surgery Finish]]</f>
        <v>#REF!</v>
      </c>
      <c r="BA440"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40"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40" s="16" cm="1">
        <f t="array" ref="BC440">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40" s="16" t="e">
        <f>IF(AND(tbl_Case_mins[[#This Row],[FirstAMCase]]=1,tbl_Case_mins[[#This Row],[CancelledCase]]=0,OR(tbl_Case_mins[[#This Row],[EarlyStartAM]]&gt;0,tbl_Case_mins[[#This Row],[AnaesthStart]]=tbl_Case_mins[[#This Row],[ThOpenAm]])),1,0)</f>
        <v>#REF!</v>
      </c>
      <c r="BE440" s="16" t="e">
        <f>IF(AND(tbl_Case_mins[[#This Row],[Rank_AnaSt]]=tbl_Case_mins[[#This Row],[Min_RankAnaSt]],tbl_Case_mins[[#This Row],[Anaesth End]]&gt;=tbl_Case_mins[[#This Row],[ThOpenAm]],tbl_Case_mins[[#This Row],[PmCase]]=0),1,0)</f>
        <v>#REF!</v>
      </c>
      <c r="BF440"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40"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40" s="9" t="e" cm="1">
        <f t="array" ref="BH440">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40"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40"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40" s="9" t="e">
        <f>IF(AND(tbl_Case_mins[[#This Row],[ThOpenPM]]&gt;0,tbl_Case_mins[[#This Row],[AnaesthStart]]&gt;tbl_Case_mins[[#This Row],[ThOpenPM]],tbl_Case_mins[[#This Row],[First PM Case]]=1),tbl_Case_mins[[#This Row],[AnaesthStart]]-tbl_Case_mins[[#This Row],[ThOpenPM]],0)</f>
        <v>#REF!</v>
      </c>
      <c r="BL440"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40"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40" s="9" t="e" cm="1">
        <f t="array" ref="BN440">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40" s="9" t="e">
        <f>IF(AND(tbl_Case_mins[[#This Row],[ThClosePm]]&gt;0,tbl_Case_mins[[#This Row],[Anaesth End]]&gt;tbl_Case_mins[[#This Row],[ThClosePm]],tbl_Case_mins[[#This Row],[AnaesthStart]]&gt;tbl_Case_mins[[#This Row],[ThClosePm]]),tbl_Case_mins[[#This Row],[Into Recov]]-tbl_Case_mins[[#This Row],[AnaesthStart]],0)</f>
        <v>#REF!</v>
      </c>
      <c r="BP440" s="9" t="e">
        <f>IF(AND(tbl_Case_mins[[#This Row],[AnaesthStart]]&lt;tbl_Case_mins[[#This Row],[ThClosePm]],tbl_Case_mins[[#This Row],[Anaesth End]]&gt;tbl_Case_mins[[#This Row],[ThClosePm]]),tbl_Case_mins[[#This Row],[Anaesth End]]-tbl_Case_mins[[#This Row],[ThClosePm]],0)</f>
        <v>#REF!</v>
      </c>
      <c r="BQ440" s="9" t="e" cm="1">
        <f t="array" ref="BQ440">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40" s="9" t="e" cm="1">
        <f t="array" ref="BR440">IF(tbl_Case_mins[[#This Row],[Rank_Adjust]]=SUMPRODUCT(-(tbl_Case_mins[Surgery Start Date]=tbl_Case_mins[[#This Row],[Surgery Start Date]]),-(tbl_Case_mins[Theatre]=tbl_Case_mins[[#This Row],[Theatre]])),INDEX(Poss_Time,MATCH(TEXT(tbl_Case_mins[[#This Row],[Surgery Start Date]],"ddd"),Day,0)),0)</f>
        <v>#REF!</v>
      </c>
      <c r="BS440" s="9" t="e">
        <f>tbl_Case_mins[[#This Row],[Core_Time]]*Util_Goal</f>
        <v>#REF!</v>
      </c>
      <c r="BT440" s="9" t="e" cm="1">
        <f t="array" ref="BT4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40" s="9" t="e" cm="1">
        <f t="array" ref="BU440">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40"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40"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40" s="9" t="e">
        <f>IF(tbl_Case_mins[[#This Row],[Surgery End Date]]&gt;tbl_Case_mins[[#This Row],[Surgery Start Date]],tbl_Case_mins[[#This Row],[Anaesth End]]-1440,0)</f>
        <v>#REF!</v>
      </c>
      <c r="BY440" s="9" t="e">
        <f>tbl_Case_mins[[#This Row],[Total_NonCore]]-tbl_Case_mins[[#This Row],[NextDay_NonCore]]</f>
        <v>#REF!</v>
      </c>
      <c r="BZ440" s="10" t="e">
        <f>tbl_Case_mins[[#This Row],[InCoreUse]]/60</f>
        <v>#REF!</v>
      </c>
      <c r="CA440" s="10" t="e">
        <f>tbl_Case_mins[[#This Row],[Total_NonCore]]/60</f>
        <v>#REF!</v>
      </c>
      <c r="CB440" t="e" cm="1">
        <f t="array" ref="CB4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40" s="9" t="e" cm="1">
        <f t="array" ref="CC440">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40" s="9" t="e" cm="1">
        <f t="array" ref="CD440">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40" s="9" t="e" cm="1">
        <f t="array" ref="CE440">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40" s="9" cm="1">
        <f t="array" ref="CF440">IFERROR(_xlfn.AGGREGATE(14,6,(tbl_Case_mins[Rank_AnaEnd])/((tbl_Case_mins[Surgery Start Date]=tbl_Case_mins[[#This Row],[Surgery Start Date]])*(tbl_Case_mins[Theatre]=tbl_Case_mins[[#This Row],[Theatre]])*(tbl_Case_mins[NoInCoreTime]=0)),1),-1)</f>
        <v>-1</v>
      </c>
      <c r="CG440" s="9" cm="1">
        <f t="array" ref="CG440">IFERROR(_xlfn.AGGREGATE(15,6,(tbl_Case_mins[Rank_AnaSt])/((tbl_Case_mins[Surgery Start Date]=tbl_Case_mins[[#This Row],[Surgery Start Date]])*(tbl_Case_mins[Theatre]=tbl_Case_mins[[#This Row],[Theatre]])*(tbl_Case_mins[NoInCoreTime]=0)),1),-1)</f>
        <v>-1</v>
      </c>
      <c r="CH440"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40"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40" t="e" cm="1">
        <f t="array" ref="CJ440">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40"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40"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40"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40" s="9" cm="1">
        <f t="array" ref="CO4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40" s="9" cm="1">
        <f t="array" ref="CP440">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40" s="9" cm="1">
        <f t="array" ref="CQ440">IFERROR(IF(AND(tbl_Case_mins[[#This Row],[FirstAMCase]]=0,tbl_Case_mins[[#This Row],[Rank]]=_xlfn.AGGREGATE(14,6,(tbl_Case_mins[Rank])/((tbl_Case_mins[Surgery Start Date]=tbl_Case_mins[[#This Row],[Surgery Start Date]])*(tbl_Case_mins[Theatre]=tbl_Case_mins[[#This Row],[Theatre]])*(tbl_Case_mins[AmCase]=1)),1)),1,0),0)</f>
        <v>0</v>
      </c>
      <c r="CR440" s="9" cm="1">
        <f t="array" ref="CR440">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40" s="9" t="e" cm="1">
        <f t="array" ref="CS440">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40" s="9" cm="1">
        <f t="array" ref="CT440">IFERROR(IF(tbl_Case_mins[[#This Row],[Rank]]=_xlfn.AGGREGATE(15,6,(tbl_Case_mins[Rank])/((tbl_Case_mins[Surgery Start Date]=tbl_Case_mins[[#This Row],[Surgery Start Date]])*(tbl_Case_mins[Theatre]=tbl_Case_mins[[#This Row],[Theatre]])*(tbl_Case_mins[PmCase]=1)),1),1,0),0)</f>
        <v>0</v>
      </c>
      <c r="CU440">
        <f>IFERROR(#REF!,0)</f>
        <v>0</v>
      </c>
      <c r="CV440" s="9" t="e" cm="1">
        <f t="array" ref="CV440">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40" s="9">
        <f>IFERROR(IF(ISBLANK(INDEX(Bay_AmClose,MATCH(1,INDEX((tbl_Case_mins[[#This Row],[Bay]]=BayNo)*(tbl_Case_mins[[#This Row],[Surgery Start Date]]=BDate),0,1),0))*1440),0,INDEX(Bay_AmClose,MATCH(1,INDEX((tbl_Case_mins[[#This Row],[Bay]]=BayNo)*(tbl_Case_mins[[#This Row],[Surgery Start Date]]=BDate),0,1),0))*1440),0)</f>
        <v>0</v>
      </c>
      <c r="CX440" s="9" cm="1">
        <f t="array" ref="CX440">IFERROR(IF(ISBLANK(INDEX(Bay_PmOpen,MATCH(1,INDEX((tbl_Case_mins[[#This Row],[Bay]]=BayNo)*(tbl_Case_mins[[#This Row],[Surgery Start Date]]=BDate),0,1),0))*1440),0,INDEX(Bay_PmOpen,MATCH(1,INDEX((tbl_Case_mins[[#This Row],[Bay]]=BayNo)*(tbl_Case_mins[[#This Row],[Surgery Start Date]]=BDate),0,1),0))*1440),0)</f>
        <v>0</v>
      </c>
      <c r="CY440"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40" s="9"/>
    </row>
    <row r="441" spans="1:104" x14ac:dyDescent="0.2">
      <c r="A441">
        <v>440</v>
      </c>
      <c r="B441" t="e">
        <f>#REF!</f>
        <v>#REF!</v>
      </c>
      <c r="C441" t="e">
        <f>#REF!</f>
        <v>#REF!</v>
      </c>
      <c r="D441" t="e">
        <f>#REF!</f>
        <v>#REF!</v>
      </c>
      <c r="E441" t="e">
        <f>#REF!</f>
        <v>#REF!</v>
      </c>
      <c r="F441" t="e">
        <f>#REF!</f>
        <v>#REF!</v>
      </c>
      <c r="G441" t="e">
        <f>#REF!</f>
        <v>#REF!</v>
      </c>
      <c r="H441" t="e">
        <f>#REF!</f>
        <v>#REF!</v>
      </c>
      <c r="I441" t="e">
        <f>IF(#REF!="Case Cancelled",1,IF(#REF!="No Cases",2,0))</f>
        <v>#REF!</v>
      </c>
      <c r="J441" t="e">
        <f>#REF!</f>
        <v>#REF!</v>
      </c>
      <c r="K441" s="4" t="e">
        <f>#REF!</f>
        <v>#REF!</v>
      </c>
      <c r="L441" t="e">
        <f>"Wk "&amp;WEEKNUM(tbl_Case_mins[[#This Row],[Surgery Start Date]],21)</f>
        <v>#REF!</v>
      </c>
      <c r="M441" t="e">
        <f>TEXT(tbl_Case_mins[[#This Row],[Surgery Start Date]],"ddd")</f>
        <v>#REF!</v>
      </c>
      <c r="N441" s="9" t="e">
        <f>(#REF!-TIME(0,0,0))*1440</f>
        <v>#REF!</v>
      </c>
      <c r="O441" t="e">
        <f>IF(AND(ROUND((#REF!-TIME(0,0,0))*1440,0)&gt;0,ROUND((#REF!-TIME(0,0,0))*1440,0)&lt;tbl_Case_mins[[#This Row],[Patient Called]],tbl_Case_mins[[#This Row],[Surgery End Date]]&gt;tbl_Case_mins[[#This Row],[Surgery Start Date]]),ROUND((#REF!-TIME(0,0,0))*1440,0)+1440,ROUND((#REF!-TIME(0,0,0))*1440,0))</f>
        <v>#REF!</v>
      </c>
      <c r="P441" s="9" t="e">
        <f>IF(AND(ROUND((#REF!-TIME(0,0,0))*1440,0)&gt;0,ROUND((#REF!-TIME(0,0,0))*1440,0)&lt;tbl_Case_mins[[#This Row],[Arrival]],tbl_Case_mins[[#This Row],[Surgery End Date]]&gt;tbl_Case_mins[[#This Row],[Surgery Start Date]]),ROUND((#REF!-TIME(0,0,0))*1440,0)+1440,ROUND((#REF!-TIME(0,0,0))*1440,0))</f>
        <v>#REF!</v>
      </c>
      <c r="Q441" s="9" t="e">
        <f>IF(AND(ROUND((#REF!-TIME(0,0,0))*1440,0)&gt;0,ROUND((#REF!-TIME(0,0,0))*1440,0)&lt;tbl_Case_mins[[#This Row],[Into Th or AR]],tbl_Case_mins[[#This Row],[Surgery End Date]]&gt;tbl_Case_mins[[#This Row],[Surgery Start Date]]),ROUND((#REF!-TIME(0,0,0))*1440,0)+1440,ROUND((#REF!-TIME(0,0,0))*1440,0))</f>
        <v>#REF!</v>
      </c>
      <c r="R441" s="9" t="e">
        <f>IF(AND(ROUND((#REF!-TIME(0,0,0))*1440,0)&gt;0,ROUND((#REF!-TIME(0,0,0))*1440,0)&lt;tbl_Case_mins[[#This Row],[AnaesthStart]],tbl_Case_mins[[#This Row],[Surgery End Date]]&gt;tbl_Case_mins[[#This Row],[Surgery Start Date]]),ROUND((#REF!-TIME(0,0,0))*1440,0)+1440,ROUND((#REF!-TIME(0,0,0))*1440,0))</f>
        <v>#REF!</v>
      </c>
      <c r="S441" s="9" t="e">
        <f>IF(AND(ROUND((#REF!-TIME(0,0,0))*1440,0),ROUND((#REF!-TIME(0,0,0))*1440,0)&lt;tbl_Case_mins[[#This Row],[Surgery Start]],tbl_Case_mins[[#This Row],[Surgery End Date]]&gt;tbl_Case_mins[[#This Row],[Surgery Start Date]]),ROUND((#REF!-TIME(0,0,0))*1440,0)+1440,ROUND((#REF!-TIME(0,0,0))*1440,0))</f>
        <v>#REF!</v>
      </c>
      <c r="T441" s="9" t="e">
        <f>IF(AND(ROUND((#REF!-TIME(0,0,0))*1440,0)&gt;0,ROUND((#REF!-TIME(0,0,0))*1440,0)&lt;tbl_Case_mins[[#This Row],[Surgery Finish]],tbl_Case_mins[[#This Row],[Surgery End Date]]&gt;tbl_Case_mins[[#This Row],[Surgery Start Date]]),ROUND((#REF!-TIME(0,0,0))*1440,0)+1440,ROUND((#REF!-TIME(0,0,0))*1440,0))</f>
        <v>#REF!</v>
      </c>
      <c r="U441" s="9" t="e">
        <f>IF(AND(ROUND((#REF!-TIME(0,0,0))*1440,0)&gt;0,ROUND((#REF!-TIME(0,0,0))*1440,0)&lt;tbl_Case_mins[[#This Row],[Anaesth End]],tbl_Case_mins[[#This Row],[Surgery End Date]]&gt;tbl_Case_mins[[#This Row],[Surgery Start Date]]),ROUND((#REF!-TIME(0,0,0))*1440,0)+1440,ROUND((#REF!-TIME(0,0,0))*1440,0))</f>
        <v>#REF!</v>
      </c>
      <c r="V441" s="9" t="e">
        <f>IF(AND(ROUND((#REF!-TIME(0,0,0))*1440,0)&gt;0,ROUND((#REF!-TIME(0,0,0))*1440,0)&lt;tbl_Case_mins[[#This Row],[Into Recov]],tbl_Case_mins[[#This Row],[Surgery End Date]]&gt;tbl_Case_mins[[#This Row],[Surgery Start Date]]),ROUND((#REF!-TIME(0,0,0))*1440,0)+1440,ROUND((#REF!-TIME(0,0,0))*1440,0))</f>
        <v>#REF!</v>
      </c>
      <c r="W441" s="9" t="e">
        <f>IF(AND(ROUND((#REF!-TIME(0,0,0))*1440,0)&gt;0,ROUND((#REF!-TIME(0,0,0))*1440,0)&lt;tbl_Case_mins[[#This Row],[Ward Called]],tbl_Case_mins[[#This Row],[Surgery End Date]]&gt;tbl_Case_mins[[#This Row],[Surgery Start Date]]),ROUND((#REF!-TIME(0,0,0))*1440,0)+1440,ROUND((#REF!-TIME(0,0,0))*1440,0))</f>
        <v>#REF!</v>
      </c>
      <c r="X441" s="4" t="e">
        <f>IF(ISBLANK(#REF!),tbl_Case_mins[[#This Row],[Surgery Start Date]],#REF!)</f>
        <v>#REF!</v>
      </c>
      <c r="Y441">
        <f>IFERROR(IF(VLOOKUP(tbl_Case_mins[[#This Row],[Theatre]],'Mng Theatres'!$C$7:$G$12,3,FALSE)="Yes","Yes","No"),0)</f>
        <v>0</v>
      </c>
      <c r="Z441" s="9" t="e" cm="1">
        <f t="array" ref="Z441">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41" s="9" t="e" cm="1">
        <f t="array" ref="AA441">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41"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41" s="9" t="e">
        <f>IF(tbl_Case_mins[[#This Row],[Case Type]]="Unsch",1,0)</f>
        <v>#REF!</v>
      </c>
      <c r="AD441" s="9" t="e">
        <f>IF(tbl_Case_mins[[#This Row],[Case Type]]="Sch",1,0)</f>
        <v>#REF!</v>
      </c>
      <c r="AE441"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41" s="9">
        <f>IFERROR(IF(ISBLANK(INDEX(Am_Close,MATCH(1,INDEX((tbl_Case_mins[[#This Row],[Theatre]]=Theatre_No)*(tbl_Case_mins[[#This Row],[Surgery Start Date]]=Date),0,1),0))*1440),0,INDEX(Am_Close,MATCH(1,INDEX((tbl_Case_mins[[#This Row],[Theatre]]=Theatre_No)*(tbl_Case_mins[[#This Row],[Surgery Start Date]]=Date),0,1),0))*1440),0)</f>
        <v>0</v>
      </c>
      <c r="AG441" s="9">
        <f>IFERROR(IF(ISBLANK(INDEX(PM_Open,MATCH(1,INDEX((tbl_Case_mins[[#This Row],[Theatre]]=Theatre_No)*(tbl_Case_mins[[#This Row],[Surgery Start Date]]=Date),0,1),0))*1440),0,INDEX(PM_Open,MATCH(1,INDEX((tbl_Case_mins[[#This Row],[Theatre]]=Theatre_No)*(tbl_Case_mins[[#This Row],[Surgery Start Date]]=Date),0,1),0))*1440),0)</f>
        <v>0</v>
      </c>
      <c r="AH441"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41" s="9" t="e">
        <f>IF(tbl_Case_mins[[#This Row],[ThOpenAm]]=0,tbl_Case_mins[[#This Row],[ThOpenPM]],tbl_Case_mins[[#This Row],[ThOpenAm]])</f>
        <v>#REF!</v>
      </c>
      <c r="AJ441" s="9" t="e">
        <f>IF(tbl_Case_mins[[#This Row],[ThCloseAm]]&gt;0,IF(tbl_Case_mins[[#This Row],[ThOpenPM]]&gt;0,tbl_Case_mins[[#This Row],[ThClosePm]],tbl_Case_mins[[#This Row],[ThCloseAm]]),tbl_Case_mins[[#This Row],[ThClosePm]])</f>
        <v>#REF!</v>
      </c>
      <c r="AK441" s="9" t="e">
        <f>IF(tbl_Case_mins[[#This Row],[TOT]]&gt;0,1,0)</f>
        <v>#REF!</v>
      </c>
      <c r="AL441"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41" s="9" t="e">
        <f>IF(AND(tbl_Case_mins[[#This Row],[Surgery Status]]&lt;&gt;2,tbl_Case_mins[[#This Row],[InCoreCase]]=0,tbl_Case_mins[[#This Row],[CancelledCase]]=0),1,0)</f>
        <v>#REF!</v>
      </c>
      <c r="AN441" s="9" t="e">
        <f>IF(tbl_Case_mins[[#This Row],[Surgery Status]]=1,1,0)</f>
        <v>#REF!</v>
      </c>
      <c r="AO441"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41" s="9" t="e">
        <f>IF(AND(tbl_Case_mins[[#This Row],[NonCoreCase]]=1,tbl_Case_mins[[#This Row],[NoInCoreTime]]=0),1,0)</f>
        <v>#REF!</v>
      </c>
      <c r="AQ441" s="9" t="e">
        <f>IF(tbl_Case_mins[[#This Row],[Rank_AnaEnd]]&lt;tbl_Case_mins[[#This Row],[Rank_AnaSt]],1,0)</f>
        <v>#REF!</v>
      </c>
      <c r="AR441" s="9" t="e">
        <f>IF(AND(tbl_Case_mins[[#This Row],[InCoreCase]]=1,tbl_Case_mins[[#This Row],[Sch]]=1),1,0)</f>
        <v>#REF!</v>
      </c>
      <c r="AS441" s="9" t="e">
        <f>IF(AND(tbl_Case_mins[[#This Row],[InCoreCase]]=1,tbl_Case_mins[[#This Row],[Unsch]]=1),1,0)</f>
        <v>#REF!</v>
      </c>
      <c r="AT441"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41"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41"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41" s="9" t="e">
        <f>IF(tbl_Case_mins[[#This Row],[Surgery Status]]=0,(tbl_Case_mins[[#This Row],[Anaesth End]]-tbl_Case_mins[[#This Row],[AnaesthStart]]),0)</f>
        <v>#REF!</v>
      </c>
      <c r="AX441" s="9" t="e">
        <f>IF(tbl_Case_mins[[#This Row],[Surgery Status]]=0,(tbl_Case_mins[[#This Row],[Surgery Finish]]-tbl_Case_mins[[#This Row],[Surgery Start]]),0)</f>
        <v>#REF!</v>
      </c>
      <c r="AY441" s="9" t="e">
        <f>tbl_Case_mins[[#This Row],[Surgery Start]]-tbl_Case_mins[[#This Row],[AnaesthStart]]</f>
        <v>#REF!</v>
      </c>
      <c r="AZ441" s="9" t="e">
        <f>tbl_Case_mins[[#This Row],[Anaesth End]]-tbl_Case_mins[[#This Row],[Surgery Finish]]</f>
        <v>#REF!</v>
      </c>
      <c r="BA441"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41"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41" s="16" cm="1">
        <f t="array" ref="BC441">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41" s="16" t="e">
        <f>IF(AND(tbl_Case_mins[[#This Row],[FirstAMCase]]=1,tbl_Case_mins[[#This Row],[CancelledCase]]=0,OR(tbl_Case_mins[[#This Row],[EarlyStartAM]]&gt;0,tbl_Case_mins[[#This Row],[AnaesthStart]]=tbl_Case_mins[[#This Row],[ThOpenAm]])),1,0)</f>
        <v>#REF!</v>
      </c>
      <c r="BE441" s="16" t="e">
        <f>IF(AND(tbl_Case_mins[[#This Row],[Rank_AnaSt]]=tbl_Case_mins[[#This Row],[Min_RankAnaSt]],tbl_Case_mins[[#This Row],[Anaesth End]]&gt;=tbl_Case_mins[[#This Row],[ThOpenAm]],tbl_Case_mins[[#This Row],[PmCase]]=0),1,0)</f>
        <v>#REF!</v>
      </c>
      <c r="BF441"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41"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41" s="9" t="e" cm="1">
        <f t="array" ref="BH441">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41"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41"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41" s="9" t="e">
        <f>IF(AND(tbl_Case_mins[[#This Row],[ThOpenPM]]&gt;0,tbl_Case_mins[[#This Row],[AnaesthStart]]&gt;tbl_Case_mins[[#This Row],[ThOpenPM]],tbl_Case_mins[[#This Row],[First PM Case]]=1),tbl_Case_mins[[#This Row],[AnaesthStart]]-tbl_Case_mins[[#This Row],[ThOpenPM]],0)</f>
        <v>#REF!</v>
      </c>
      <c r="BL441"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41"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41" s="9" t="e" cm="1">
        <f t="array" ref="BN441">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41" s="9" t="e">
        <f>IF(AND(tbl_Case_mins[[#This Row],[ThClosePm]]&gt;0,tbl_Case_mins[[#This Row],[Anaesth End]]&gt;tbl_Case_mins[[#This Row],[ThClosePm]],tbl_Case_mins[[#This Row],[AnaesthStart]]&gt;tbl_Case_mins[[#This Row],[ThClosePm]]),tbl_Case_mins[[#This Row],[Into Recov]]-tbl_Case_mins[[#This Row],[AnaesthStart]],0)</f>
        <v>#REF!</v>
      </c>
      <c r="BP441" s="9" t="e">
        <f>IF(AND(tbl_Case_mins[[#This Row],[AnaesthStart]]&lt;tbl_Case_mins[[#This Row],[ThClosePm]],tbl_Case_mins[[#This Row],[Anaesth End]]&gt;tbl_Case_mins[[#This Row],[ThClosePm]]),tbl_Case_mins[[#This Row],[Anaesth End]]-tbl_Case_mins[[#This Row],[ThClosePm]],0)</f>
        <v>#REF!</v>
      </c>
      <c r="BQ441" s="9" t="e" cm="1">
        <f t="array" ref="BQ441">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41" s="9" t="e" cm="1">
        <f t="array" ref="BR441">IF(tbl_Case_mins[[#This Row],[Rank_Adjust]]=SUMPRODUCT(-(tbl_Case_mins[Surgery Start Date]=tbl_Case_mins[[#This Row],[Surgery Start Date]]),-(tbl_Case_mins[Theatre]=tbl_Case_mins[[#This Row],[Theatre]])),INDEX(Poss_Time,MATCH(TEXT(tbl_Case_mins[[#This Row],[Surgery Start Date]],"ddd"),Day,0)),0)</f>
        <v>#REF!</v>
      </c>
      <c r="BS441" s="9" t="e">
        <f>tbl_Case_mins[[#This Row],[Core_Time]]*Util_Goal</f>
        <v>#REF!</v>
      </c>
      <c r="BT441" s="9" t="e" cm="1">
        <f t="array" ref="BT4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41" s="9" t="e" cm="1">
        <f t="array" ref="BU441">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41"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41"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41" s="9" t="e">
        <f>IF(tbl_Case_mins[[#This Row],[Surgery End Date]]&gt;tbl_Case_mins[[#This Row],[Surgery Start Date]],tbl_Case_mins[[#This Row],[Anaesth End]]-1440,0)</f>
        <v>#REF!</v>
      </c>
      <c r="BY441" s="9" t="e">
        <f>tbl_Case_mins[[#This Row],[Total_NonCore]]-tbl_Case_mins[[#This Row],[NextDay_NonCore]]</f>
        <v>#REF!</v>
      </c>
      <c r="BZ441" s="10" t="e">
        <f>tbl_Case_mins[[#This Row],[InCoreUse]]/60</f>
        <v>#REF!</v>
      </c>
      <c r="CA441" s="10" t="e">
        <f>tbl_Case_mins[[#This Row],[Total_NonCore]]/60</f>
        <v>#REF!</v>
      </c>
      <c r="CB441" t="e" cm="1">
        <f t="array" ref="CB4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41" s="9" t="e" cm="1">
        <f t="array" ref="CC441">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41" s="9" t="e" cm="1">
        <f t="array" ref="CD441">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41" s="9" t="e" cm="1">
        <f t="array" ref="CE441">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41" s="9" cm="1">
        <f t="array" ref="CF441">IFERROR(_xlfn.AGGREGATE(14,6,(tbl_Case_mins[Rank_AnaEnd])/((tbl_Case_mins[Surgery Start Date]=tbl_Case_mins[[#This Row],[Surgery Start Date]])*(tbl_Case_mins[Theatre]=tbl_Case_mins[[#This Row],[Theatre]])*(tbl_Case_mins[NoInCoreTime]=0)),1),-1)</f>
        <v>-1</v>
      </c>
      <c r="CG441" s="9" cm="1">
        <f t="array" ref="CG441">IFERROR(_xlfn.AGGREGATE(15,6,(tbl_Case_mins[Rank_AnaSt])/((tbl_Case_mins[Surgery Start Date]=tbl_Case_mins[[#This Row],[Surgery Start Date]])*(tbl_Case_mins[Theatre]=tbl_Case_mins[[#This Row],[Theatre]])*(tbl_Case_mins[NoInCoreTime]=0)),1),-1)</f>
        <v>-1</v>
      </c>
      <c r="CH441"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41"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41" t="e" cm="1">
        <f t="array" ref="CJ441">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41"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41"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41"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41" s="9" cm="1">
        <f t="array" ref="CO4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41" s="9" cm="1">
        <f t="array" ref="CP441">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41" s="9" cm="1">
        <f t="array" ref="CQ441">IFERROR(IF(AND(tbl_Case_mins[[#This Row],[FirstAMCase]]=0,tbl_Case_mins[[#This Row],[Rank]]=_xlfn.AGGREGATE(14,6,(tbl_Case_mins[Rank])/((tbl_Case_mins[Surgery Start Date]=tbl_Case_mins[[#This Row],[Surgery Start Date]])*(tbl_Case_mins[Theatre]=tbl_Case_mins[[#This Row],[Theatre]])*(tbl_Case_mins[AmCase]=1)),1)),1,0),0)</f>
        <v>0</v>
      </c>
      <c r="CR441" s="9" cm="1">
        <f t="array" ref="CR441">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41" s="9" t="e" cm="1">
        <f t="array" ref="CS441">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41" s="9" cm="1">
        <f t="array" ref="CT441">IFERROR(IF(tbl_Case_mins[[#This Row],[Rank]]=_xlfn.AGGREGATE(15,6,(tbl_Case_mins[Rank])/((tbl_Case_mins[Surgery Start Date]=tbl_Case_mins[[#This Row],[Surgery Start Date]])*(tbl_Case_mins[Theatre]=tbl_Case_mins[[#This Row],[Theatre]])*(tbl_Case_mins[PmCase]=1)),1),1,0),0)</f>
        <v>0</v>
      </c>
      <c r="CU441">
        <f>IFERROR(#REF!,0)</f>
        <v>0</v>
      </c>
      <c r="CV441" s="9" t="e" cm="1">
        <f t="array" ref="CV441">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41" s="9">
        <f>IFERROR(IF(ISBLANK(INDEX(Bay_AmClose,MATCH(1,INDEX((tbl_Case_mins[[#This Row],[Bay]]=BayNo)*(tbl_Case_mins[[#This Row],[Surgery Start Date]]=BDate),0,1),0))*1440),0,INDEX(Bay_AmClose,MATCH(1,INDEX((tbl_Case_mins[[#This Row],[Bay]]=BayNo)*(tbl_Case_mins[[#This Row],[Surgery Start Date]]=BDate),0,1),0))*1440),0)</f>
        <v>0</v>
      </c>
      <c r="CX441" s="9" cm="1">
        <f t="array" ref="CX441">IFERROR(IF(ISBLANK(INDEX(Bay_PmOpen,MATCH(1,INDEX((tbl_Case_mins[[#This Row],[Bay]]=BayNo)*(tbl_Case_mins[[#This Row],[Surgery Start Date]]=BDate),0,1),0))*1440),0,INDEX(Bay_PmOpen,MATCH(1,INDEX((tbl_Case_mins[[#This Row],[Bay]]=BayNo)*(tbl_Case_mins[[#This Row],[Surgery Start Date]]=BDate),0,1),0))*1440),0)</f>
        <v>0</v>
      </c>
      <c r="CY441"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41" s="9"/>
    </row>
    <row r="442" spans="1:104" x14ac:dyDescent="0.2">
      <c r="A442">
        <v>441</v>
      </c>
      <c r="B442" t="e">
        <f>#REF!</f>
        <v>#REF!</v>
      </c>
      <c r="C442" t="e">
        <f>#REF!</f>
        <v>#REF!</v>
      </c>
      <c r="D442" t="e">
        <f>#REF!</f>
        <v>#REF!</v>
      </c>
      <c r="E442" t="e">
        <f>#REF!</f>
        <v>#REF!</v>
      </c>
      <c r="F442" t="e">
        <f>#REF!</f>
        <v>#REF!</v>
      </c>
      <c r="G442" t="e">
        <f>#REF!</f>
        <v>#REF!</v>
      </c>
      <c r="H442" t="e">
        <f>#REF!</f>
        <v>#REF!</v>
      </c>
      <c r="I442" t="e">
        <f>IF(#REF!="Case Cancelled",1,IF(#REF!="No Cases",2,0))</f>
        <v>#REF!</v>
      </c>
      <c r="J442" t="e">
        <f>#REF!</f>
        <v>#REF!</v>
      </c>
      <c r="K442" s="4" t="e">
        <f>#REF!</f>
        <v>#REF!</v>
      </c>
      <c r="L442" t="e">
        <f>"Wk "&amp;WEEKNUM(tbl_Case_mins[[#This Row],[Surgery Start Date]],21)</f>
        <v>#REF!</v>
      </c>
      <c r="M442" t="e">
        <f>TEXT(tbl_Case_mins[[#This Row],[Surgery Start Date]],"ddd")</f>
        <v>#REF!</v>
      </c>
      <c r="N442" s="9" t="e">
        <f>(#REF!-TIME(0,0,0))*1440</f>
        <v>#REF!</v>
      </c>
      <c r="O442" t="e">
        <f>IF(AND(ROUND((#REF!-TIME(0,0,0))*1440,0)&gt;0,ROUND((#REF!-TIME(0,0,0))*1440,0)&lt;tbl_Case_mins[[#This Row],[Patient Called]],tbl_Case_mins[[#This Row],[Surgery End Date]]&gt;tbl_Case_mins[[#This Row],[Surgery Start Date]]),ROUND((#REF!-TIME(0,0,0))*1440,0)+1440,ROUND((#REF!-TIME(0,0,0))*1440,0))</f>
        <v>#REF!</v>
      </c>
      <c r="P442" s="9" t="e">
        <f>IF(AND(ROUND((#REF!-TIME(0,0,0))*1440,0)&gt;0,ROUND((#REF!-TIME(0,0,0))*1440,0)&lt;tbl_Case_mins[[#This Row],[Arrival]],tbl_Case_mins[[#This Row],[Surgery End Date]]&gt;tbl_Case_mins[[#This Row],[Surgery Start Date]]),ROUND((#REF!-TIME(0,0,0))*1440,0)+1440,ROUND((#REF!-TIME(0,0,0))*1440,0))</f>
        <v>#REF!</v>
      </c>
      <c r="Q442" s="9" t="e">
        <f>IF(AND(ROUND((#REF!-TIME(0,0,0))*1440,0)&gt;0,ROUND((#REF!-TIME(0,0,0))*1440,0)&lt;tbl_Case_mins[[#This Row],[Into Th or AR]],tbl_Case_mins[[#This Row],[Surgery End Date]]&gt;tbl_Case_mins[[#This Row],[Surgery Start Date]]),ROUND((#REF!-TIME(0,0,0))*1440,0)+1440,ROUND((#REF!-TIME(0,0,0))*1440,0))</f>
        <v>#REF!</v>
      </c>
      <c r="R442" s="9" t="e">
        <f>IF(AND(ROUND((#REF!-TIME(0,0,0))*1440,0)&gt;0,ROUND((#REF!-TIME(0,0,0))*1440,0)&lt;tbl_Case_mins[[#This Row],[AnaesthStart]],tbl_Case_mins[[#This Row],[Surgery End Date]]&gt;tbl_Case_mins[[#This Row],[Surgery Start Date]]),ROUND((#REF!-TIME(0,0,0))*1440,0)+1440,ROUND((#REF!-TIME(0,0,0))*1440,0))</f>
        <v>#REF!</v>
      </c>
      <c r="S442" s="9" t="e">
        <f>IF(AND(ROUND((#REF!-TIME(0,0,0))*1440,0),ROUND((#REF!-TIME(0,0,0))*1440,0)&lt;tbl_Case_mins[[#This Row],[Surgery Start]],tbl_Case_mins[[#This Row],[Surgery End Date]]&gt;tbl_Case_mins[[#This Row],[Surgery Start Date]]),ROUND((#REF!-TIME(0,0,0))*1440,0)+1440,ROUND((#REF!-TIME(0,0,0))*1440,0))</f>
        <v>#REF!</v>
      </c>
      <c r="T442" s="9" t="e">
        <f>IF(AND(ROUND((#REF!-TIME(0,0,0))*1440,0)&gt;0,ROUND((#REF!-TIME(0,0,0))*1440,0)&lt;tbl_Case_mins[[#This Row],[Surgery Finish]],tbl_Case_mins[[#This Row],[Surgery End Date]]&gt;tbl_Case_mins[[#This Row],[Surgery Start Date]]),ROUND((#REF!-TIME(0,0,0))*1440,0)+1440,ROUND((#REF!-TIME(0,0,0))*1440,0))</f>
        <v>#REF!</v>
      </c>
      <c r="U442" s="9" t="e">
        <f>IF(AND(ROUND((#REF!-TIME(0,0,0))*1440,0)&gt;0,ROUND((#REF!-TIME(0,0,0))*1440,0)&lt;tbl_Case_mins[[#This Row],[Anaesth End]],tbl_Case_mins[[#This Row],[Surgery End Date]]&gt;tbl_Case_mins[[#This Row],[Surgery Start Date]]),ROUND((#REF!-TIME(0,0,0))*1440,0)+1440,ROUND((#REF!-TIME(0,0,0))*1440,0))</f>
        <v>#REF!</v>
      </c>
      <c r="V442" s="9" t="e">
        <f>IF(AND(ROUND((#REF!-TIME(0,0,0))*1440,0)&gt;0,ROUND((#REF!-TIME(0,0,0))*1440,0)&lt;tbl_Case_mins[[#This Row],[Into Recov]],tbl_Case_mins[[#This Row],[Surgery End Date]]&gt;tbl_Case_mins[[#This Row],[Surgery Start Date]]),ROUND((#REF!-TIME(0,0,0))*1440,0)+1440,ROUND((#REF!-TIME(0,0,0))*1440,0))</f>
        <v>#REF!</v>
      </c>
      <c r="W442" s="9" t="e">
        <f>IF(AND(ROUND((#REF!-TIME(0,0,0))*1440,0)&gt;0,ROUND((#REF!-TIME(0,0,0))*1440,0)&lt;tbl_Case_mins[[#This Row],[Ward Called]],tbl_Case_mins[[#This Row],[Surgery End Date]]&gt;tbl_Case_mins[[#This Row],[Surgery Start Date]]),ROUND((#REF!-TIME(0,0,0))*1440,0)+1440,ROUND((#REF!-TIME(0,0,0))*1440,0))</f>
        <v>#REF!</v>
      </c>
      <c r="X442" s="4" t="e">
        <f>IF(ISBLANK(#REF!),tbl_Case_mins[[#This Row],[Surgery Start Date]],#REF!)</f>
        <v>#REF!</v>
      </c>
      <c r="Y442">
        <f>IFERROR(IF(VLOOKUP(tbl_Case_mins[[#This Row],[Theatre]],'Mng Theatres'!$C$7:$G$12,3,FALSE)="Yes","Yes","No"),0)</f>
        <v>0</v>
      </c>
      <c r="Z442" s="9" t="e" cm="1">
        <f t="array" ref="Z442">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42" s="9" t="e" cm="1">
        <f t="array" ref="AA442">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42"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42" s="9" t="e">
        <f>IF(tbl_Case_mins[[#This Row],[Case Type]]="Unsch",1,0)</f>
        <v>#REF!</v>
      </c>
      <c r="AD442" s="9" t="e">
        <f>IF(tbl_Case_mins[[#This Row],[Case Type]]="Sch",1,0)</f>
        <v>#REF!</v>
      </c>
      <c r="AE442"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42" s="9">
        <f>IFERROR(IF(ISBLANK(INDEX(Am_Close,MATCH(1,INDEX((tbl_Case_mins[[#This Row],[Theatre]]=Theatre_No)*(tbl_Case_mins[[#This Row],[Surgery Start Date]]=Date),0,1),0))*1440),0,INDEX(Am_Close,MATCH(1,INDEX((tbl_Case_mins[[#This Row],[Theatre]]=Theatre_No)*(tbl_Case_mins[[#This Row],[Surgery Start Date]]=Date),0,1),0))*1440),0)</f>
        <v>0</v>
      </c>
      <c r="AG442" s="9">
        <f>IFERROR(IF(ISBLANK(INDEX(PM_Open,MATCH(1,INDEX((tbl_Case_mins[[#This Row],[Theatre]]=Theatre_No)*(tbl_Case_mins[[#This Row],[Surgery Start Date]]=Date),0,1),0))*1440),0,INDEX(PM_Open,MATCH(1,INDEX((tbl_Case_mins[[#This Row],[Theatre]]=Theatre_No)*(tbl_Case_mins[[#This Row],[Surgery Start Date]]=Date),0,1),0))*1440),0)</f>
        <v>0</v>
      </c>
      <c r="AH442"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42" s="9" t="e">
        <f>IF(tbl_Case_mins[[#This Row],[ThOpenAm]]=0,tbl_Case_mins[[#This Row],[ThOpenPM]],tbl_Case_mins[[#This Row],[ThOpenAm]])</f>
        <v>#REF!</v>
      </c>
      <c r="AJ442" s="9" t="e">
        <f>IF(tbl_Case_mins[[#This Row],[ThCloseAm]]&gt;0,IF(tbl_Case_mins[[#This Row],[ThOpenPM]]&gt;0,tbl_Case_mins[[#This Row],[ThClosePm]],tbl_Case_mins[[#This Row],[ThCloseAm]]),tbl_Case_mins[[#This Row],[ThClosePm]])</f>
        <v>#REF!</v>
      </c>
      <c r="AK442" s="9" t="e">
        <f>IF(tbl_Case_mins[[#This Row],[TOT]]&gt;0,1,0)</f>
        <v>#REF!</v>
      </c>
      <c r="AL442"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42" s="9" t="e">
        <f>IF(AND(tbl_Case_mins[[#This Row],[Surgery Status]]&lt;&gt;2,tbl_Case_mins[[#This Row],[InCoreCase]]=0,tbl_Case_mins[[#This Row],[CancelledCase]]=0),1,0)</f>
        <v>#REF!</v>
      </c>
      <c r="AN442" s="9" t="e">
        <f>IF(tbl_Case_mins[[#This Row],[Surgery Status]]=1,1,0)</f>
        <v>#REF!</v>
      </c>
      <c r="AO442"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42" s="9" t="e">
        <f>IF(AND(tbl_Case_mins[[#This Row],[NonCoreCase]]=1,tbl_Case_mins[[#This Row],[NoInCoreTime]]=0),1,0)</f>
        <v>#REF!</v>
      </c>
      <c r="AQ442" s="9" t="e">
        <f>IF(tbl_Case_mins[[#This Row],[Rank_AnaEnd]]&lt;tbl_Case_mins[[#This Row],[Rank_AnaSt]],1,0)</f>
        <v>#REF!</v>
      </c>
      <c r="AR442" s="9" t="e">
        <f>IF(AND(tbl_Case_mins[[#This Row],[InCoreCase]]=1,tbl_Case_mins[[#This Row],[Sch]]=1),1,0)</f>
        <v>#REF!</v>
      </c>
      <c r="AS442" s="9" t="e">
        <f>IF(AND(tbl_Case_mins[[#This Row],[InCoreCase]]=1,tbl_Case_mins[[#This Row],[Unsch]]=1),1,0)</f>
        <v>#REF!</v>
      </c>
      <c r="AT442"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42"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42"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42" s="9" t="e">
        <f>IF(tbl_Case_mins[[#This Row],[Surgery Status]]=0,(tbl_Case_mins[[#This Row],[Anaesth End]]-tbl_Case_mins[[#This Row],[AnaesthStart]]),0)</f>
        <v>#REF!</v>
      </c>
      <c r="AX442" s="9" t="e">
        <f>IF(tbl_Case_mins[[#This Row],[Surgery Status]]=0,(tbl_Case_mins[[#This Row],[Surgery Finish]]-tbl_Case_mins[[#This Row],[Surgery Start]]),0)</f>
        <v>#REF!</v>
      </c>
      <c r="AY442" s="9" t="e">
        <f>tbl_Case_mins[[#This Row],[Surgery Start]]-tbl_Case_mins[[#This Row],[AnaesthStart]]</f>
        <v>#REF!</v>
      </c>
      <c r="AZ442" s="9" t="e">
        <f>tbl_Case_mins[[#This Row],[Anaesth End]]-tbl_Case_mins[[#This Row],[Surgery Finish]]</f>
        <v>#REF!</v>
      </c>
      <c r="BA442"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42"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42" s="16" cm="1">
        <f t="array" ref="BC442">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42" s="16" t="e">
        <f>IF(AND(tbl_Case_mins[[#This Row],[FirstAMCase]]=1,tbl_Case_mins[[#This Row],[CancelledCase]]=0,OR(tbl_Case_mins[[#This Row],[EarlyStartAM]]&gt;0,tbl_Case_mins[[#This Row],[AnaesthStart]]=tbl_Case_mins[[#This Row],[ThOpenAm]])),1,0)</f>
        <v>#REF!</v>
      </c>
      <c r="BE442" s="16" t="e">
        <f>IF(AND(tbl_Case_mins[[#This Row],[Rank_AnaSt]]=tbl_Case_mins[[#This Row],[Min_RankAnaSt]],tbl_Case_mins[[#This Row],[Anaesth End]]&gt;=tbl_Case_mins[[#This Row],[ThOpenAm]],tbl_Case_mins[[#This Row],[PmCase]]=0),1,0)</f>
        <v>#REF!</v>
      </c>
      <c r="BF442"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42"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42" s="9" t="e" cm="1">
        <f t="array" ref="BH442">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42"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42"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42" s="9" t="e">
        <f>IF(AND(tbl_Case_mins[[#This Row],[ThOpenPM]]&gt;0,tbl_Case_mins[[#This Row],[AnaesthStart]]&gt;tbl_Case_mins[[#This Row],[ThOpenPM]],tbl_Case_mins[[#This Row],[First PM Case]]=1),tbl_Case_mins[[#This Row],[AnaesthStart]]-tbl_Case_mins[[#This Row],[ThOpenPM]],0)</f>
        <v>#REF!</v>
      </c>
      <c r="BL442"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42"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42" s="9" t="e" cm="1">
        <f t="array" ref="BN442">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42" s="9" t="e">
        <f>IF(AND(tbl_Case_mins[[#This Row],[ThClosePm]]&gt;0,tbl_Case_mins[[#This Row],[Anaesth End]]&gt;tbl_Case_mins[[#This Row],[ThClosePm]],tbl_Case_mins[[#This Row],[AnaesthStart]]&gt;tbl_Case_mins[[#This Row],[ThClosePm]]),tbl_Case_mins[[#This Row],[Into Recov]]-tbl_Case_mins[[#This Row],[AnaesthStart]],0)</f>
        <v>#REF!</v>
      </c>
      <c r="BP442" s="9" t="e">
        <f>IF(AND(tbl_Case_mins[[#This Row],[AnaesthStart]]&lt;tbl_Case_mins[[#This Row],[ThClosePm]],tbl_Case_mins[[#This Row],[Anaesth End]]&gt;tbl_Case_mins[[#This Row],[ThClosePm]]),tbl_Case_mins[[#This Row],[Anaesth End]]-tbl_Case_mins[[#This Row],[ThClosePm]],0)</f>
        <v>#REF!</v>
      </c>
      <c r="BQ442" s="9" t="e" cm="1">
        <f t="array" ref="BQ442">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42" s="9" t="e" cm="1">
        <f t="array" ref="BR442">IF(tbl_Case_mins[[#This Row],[Rank_Adjust]]=SUMPRODUCT(-(tbl_Case_mins[Surgery Start Date]=tbl_Case_mins[[#This Row],[Surgery Start Date]]),-(tbl_Case_mins[Theatre]=tbl_Case_mins[[#This Row],[Theatre]])),INDEX(Poss_Time,MATCH(TEXT(tbl_Case_mins[[#This Row],[Surgery Start Date]],"ddd"),Day,0)),0)</f>
        <v>#REF!</v>
      </c>
      <c r="BS442" s="9" t="e">
        <f>tbl_Case_mins[[#This Row],[Core_Time]]*Util_Goal</f>
        <v>#REF!</v>
      </c>
      <c r="BT442" s="9" t="e" cm="1">
        <f t="array" ref="BT4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42" s="9" t="e" cm="1">
        <f t="array" ref="BU442">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42"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42"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42" s="9" t="e">
        <f>IF(tbl_Case_mins[[#This Row],[Surgery End Date]]&gt;tbl_Case_mins[[#This Row],[Surgery Start Date]],tbl_Case_mins[[#This Row],[Anaesth End]]-1440,0)</f>
        <v>#REF!</v>
      </c>
      <c r="BY442" s="9" t="e">
        <f>tbl_Case_mins[[#This Row],[Total_NonCore]]-tbl_Case_mins[[#This Row],[NextDay_NonCore]]</f>
        <v>#REF!</v>
      </c>
      <c r="BZ442" s="10" t="e">
        <f>tbl_Case_mins[[#This Row],[InCoreUse]]/60</f>
        <v>#REF!</v>
      </c>
      <c r="CA442" s="10" t="e">
        <f>tbl_Case_mins[[#This Row],[Total_NonCore]]/60</f>
        <v>#REF!</v>
      </c>
      <c r="CB442" t="e" cm="1">
        <f t="array" ref="CB4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42" s="9" t="e" cm="1">
        <f t="array" ref="CC442">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42" s="9" t="e" cm="1">
        <f t="array" ref="CD442">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42" s="9" t="e" cm="1">
        <f t="array" ref="CE442">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42" s="9" cm="1">
        <f t="array" ref="CF442">IFERROR(_xlfn.AGGREGATE(14,6,(tbl_Case_mins[Rank_AnaEnd])/((tbl_Case_mins[Surgery Start Date]=tbl_Case_mins[[#This Row],[Surgery Start Date]])*(tbl_Case_mins[Theatre]=tbl_Case_mins[[#This Row],[Theatre]])*(tbl_Case_mins[NoInCoreTime]=0)),1),-1)</f>
        <v>-1</v>
      </c>
      <c r="CG442" s="9" cm="1">
        <f t="array" ref="CG442">IFERROR(_xlfn.AGGREGATE(15,6,(tbl_Case_mins[Rank_AnaSt])/((tbl_Case_mins[Surgery Start Date]=tbl_Case_mins[[#This Row],[Surgery Start Date]])*(tbl_Case_mins[Theatre]=tbl_Case_mins[[#This Row],[Theatre]])*(tbl_Case_mins[NoInCoreTime]=0)),1),-1)</f>
        <v>-1</v>
      </c>
      <c r="CH442"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42"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42" t="e" cm="1">
        <f t="array" ref="CJ442">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42"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42"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42"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42" s="9" cm="1">
        <f t="array" ref="CO4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42" s="9" cm="1">
        <f t="array" ref="CP442">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42" s="9" cm="1">
        <f t="array" ref="CQ442">IFERROR(IF(AND(tbl_Case_mins[[#This Row],[FirstAMCase]]=0,tbl_Case_mins[[#This Row],[Rank]]=_xlfn.AGGREGATE(14,6,(tbl_Case_mins[Rank])/((tbl_Case_mins[Surgery Start Date]=tbl_Case_mins[[#This Row],[Surgery Start Date]])*(tbl_Case_mins[Theatre]=tbl_Case_mins[[#This Row],[Theatre]])*(tbl_Case_mins[AmCase]=1)),1)),1,0),0)</f>
        <v>0</v>
      </c>
      <c r="CR442" s="9" cm="1">
        <f t="array" ref="CR442">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42" s="9" t="e" cm="1">
        <f t="array" ref="CS442">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42" s="9" cm="1">
        <f t="array" ref="CT442">IFERROR(IF(tbl_Case_mins[[#This Row],[Rank]]=_xlfn.AGGREGATE(15,6,(tbl_Case_mins[Rank])/((tbl_Case_mins[Surgery Start Date]=tbl_Case_mins[[#This Row],[Surgery Start Date]])*(tbl_Case_mins[Theatre]=tbl_Case_mins[[#This Row],[Theatre]])*(tbl_Case_mins[PmCase]=1)),1),1,0),0)</f>
        <v>0</v>
      </c>
      <c r="CU442">
        <f>IFERROR(#REF!,0)</f>
        <v>0</v>
      </c>
      <c r="CV442" s="9" t="e" cm="1">
        <f t="array" ref="CV442">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42" s="9">
        <f>IFERROR(IF(ISBLANK(INDEX(Bay_AmClose,MATCH(1,INDEX((tbl_Case_mins[[#This Row],[Bay]]=BayNo)*(tbl_Case_mins[[#This Row],[Surgery Start Date]]=BDate),0,1),0))*1440),0,INDEX(Bay_AmClose,MATCH(1,INDEX((tbl_Case_mins[[#This Row],[Bay]]=BayNo)*(tbl_Case_mins[[#This Row],[Surgery Start Date]]=BDate),0,1),0))*1440),0)</f>
        <v>0</v>
      </c>
      <c r="CX442" s="9" cm="1">
        <f t="array" ref="CX442">IFERROR(IF(ISBLANK(INDEX(Bay_PmOpen,MATCH(1,INDEX((tbl_Case_mins[[#This Row],[Bay]]=BayNo)*(tbl_Case_mins[[#This Row],[Surgery Start Date]]=BDate),0,1),0))*1440),0,INDEX(Bay_PmOpen,MATCH(1,INDEX((tbl_Case_mins[[#This Row],[Bay]]=BayNo)*(tbl_Case_mins[[#This Row],[Surgery Start Date]]=BDate),0,1),0))*1440),0)</f>
        <v>0</v>
      </c>
      <c r="CY442"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42" s="9"/>
    </row>
    <row r="443" spans="1:104" x14ac:dyDescent="0.2">
      <c r="A443">
        <v>442</v>
      </c>
      <c r="B443" t="e">
        <f>#REF!</f>
        <v>#REF!</v>
      </c>
      <c r="C443" t="e">
        <f>#REF!</f>
        <v>#REF!</v>
      </c>
      <c r="D443" t="e">
        <f>#REF!</f>
        <v>#REF!</v>
      </c>
      <c r="E443" t="e">
        <f>#REF!</f>
        <v>#REF!</v>
      </c>
      <c r="F443" t="e">
        <f>#REF!</f>
        <v>#REF!</v>
      </c>
      <c r="G443" t="e">
        <f>#REF!</f>
        <v>#REF!</v>
      </c>
      <c r="H443" t="e">
        <f>#REF!</f>
        <v>#REF!</v>
      </c>
      <c r="I443" t="e">
        <f>IF(#REF!="Case Cancelled",1,IF(#REF!="No Cases",2,0))</f>
        <v>#REF!</v>
      </c>
      <c r="J443" t="e">
        <f>#REF!</f>
        <v>#REF!</v>
      </c>
      <c r="K443" s="4" t="e">
        <f>#REF!</f>
        <v>#REF!</v>
      </c>
      <c r="L443" t="e">
        <f>"Wk "&amp;WEEKNUM(tbl_Case_mins[[#This Row],[Surgery Start Date]],21)</f>
        <v>#REF!</v>
      </c>
      <c r="M443" t="e">
        <f>TEXT(tbl_Case_mins[[#This Row],[Surgery Start Date]],"ddd")</f>
        <v>#REF!</v>
      </c>
      <c r="N443" s="9" t="e">
        <f>(#REF!-TIME(0,0,0))*1440</f>
        <v>#REF!</v>
      </c>
      <c r="O443" t="e">
        <f>IF(AND(ROUND((#REF!-TIME(0,0,0))*1440,0)&gt;0,ROUND((#REF!-TIME(0,0,0))*1440,0)&lt;tbl_Case_mins[[#This Row],[Patient Called]],tbl_Case_mins[[#This Row],[Surgery End Date]]&gt;tbl_Case_mins[[#This Row],[Surgery Start Date]]),ROUND((#REF!-TIME(0,0,0))*1440,0)+1440,ROUND((#REF!-TIME(0,0,0))*1440,0))</f>
        <v>#REF!</v>
      </c>
      <c r="P443" s="9" t="e">
        <f>IF(AND(ROUND((#REF!-TIME(0,0,0))*1440,0)&gt;0,ROUND((#REF!-TIME(0,0,0))*1440,0)&lt;tbl_Case_mins[[#This Row],[Arrival]],tbl_Case_mins[[#This Row],[Surgery End Date]]&gt;tbl_Case_mins[[#This Row],[Surgery Start Date]]),ROUND((#REF!-TIME(0,0,0))*1440,0)+1440,ROUND((#REF!-TIME(0,0,0))*1440,0))</f>
        <v>#REF!</v>
      </c>
      <c r="Q443" s="9" t="e">
        <f>IF(AND(ROUND((#REF!-TIME(0,0,0))*1440,0)&gt;0,ROUND((#REF!-TIME(0,0,0))*1440,0)&lt;tbl_Case_mins[[#This Row],[Into Th or AR]],tbl_Case_mins[[#This Row],[Surgery End Date]]&gt;tbl_Case_mins[[#This Row],[Surgery Start Date]]),ROUND((#REF!-TIME(0,0,0))*1440,0)+1440,ROUND((#REF!-TIME(0,0,0))*1440,0))</f>
        <v>#REF!</v>
      </c>
      <c r="R443" s="9" t="e">
        <f>IF(AND(ROUND((#REF!-TIME(0,0,0))*1440,0)&gt;0,ROUND((#REF!-TIME(0,0,0))*1440,0)&lt;tbl_Case_mins[[#This Row],[AnaesthStart]],tbl_Case_mins[[#This Row],[Surgery End Date]]&gt;tbl_Case_mins[[#This Row],[Surgery Start Date]]),ROUND((#REF!-TIME(0,0,0))*1440,0)+1440,ROUND((#REF!-TIME(0,0,0))*1440,0))</f>
        <v>#REF!</v>
      </c>
      <c r="S443" s="9" t="e">
        <f>IF(AND(ROUND((#REF!-TIME(0,0,0))*1440,0),ROUND((#REF!-TIME(0,0,0))*1440,0)&lt;tbl_Case_mins[[#This Row],[Surgery Start]],tbl_Case_mins[[#This Row],[Surgery End Date]]&gt;tbl_Case_mins[[#This Row],[Surgery Start Date]]),ROUND((#REF!-TIME(0,0,0))*1440,0)+1440,ROUND((#REF!-TIME(0,0,0))*1440,0))</f>
        <v>#REF!</v>
      </c>
      <c r="T443" s="9" t="e">
        <f>IF(AND(ROUND((#REF!-TIME(0,0,0))*1440,0)&gt;0,ROUND((#REF!-TIME(0,0,0))*1440,0)&lt;tbl_Case_mins[[#This Row],[Surgery Finish]],tbl_Case_mins[[#This Row],[Surgery End Date]]&gt;tbl_Case_mins[[#This Row],[Surgery Start Date]]),ROUND((#REF!-TIME(0,0,0))*1440,0)+1440,ROUND((#REF!-TIME(0,0,0))*1440,0))</f>
        <v>#REF!</v>
      </c>
      <c r="U443" s="9" t="e">
        <f>IF(AND(ROUND((#REF!-TIME(0,0,0))*1440,0)&gt;0,ROUND((#REF!-TIME(0,0,0))*1440,0)&lt;tbl_Case_mins[[#This Row],[Anaesth End]],tbl_Case_mins[[#This Row],[Surgery End Date]]&gt;tbl_Case_mins[[#This Row],[Surgery Start Date]]),ROUND((#REF!-TIME(0,0,0))*1440,0)+1440,ROUND((#REF!-TIME(0,0,0))*1440,0))</f>
        <v>#REF!</v>
      </c>
      <c r="V443" s="9" t="e">
        <f>IF(AND(ROUND((#REF!-TIME(0,0,0))*1440,0)&gt;0,ROUND((#REF!-TIME(0,0,0))*1440,0)&lt;tbl_Case_mins[[#This Row],[Into Recov]],tbl_Case_mins[[#This Row],[Surgery End Date]]&gt;tbl_Case_mins[[#This Row],[Surgery Start Date]]),ROUND((#REF!-TIME(0,0,0))*1440,0)+1440,ROUND((#REF!-TIME(0,0,0))*1440,0))</f>
        <v>#REF!</v>
      </c>
      <c r="W443" s="9" t="e">
        <f>IF(AND(ROUND((#REF!-TIME(0,0,0))*1440,0)&gt;0,ROUND((#REF!-TIME(0,0,0))*1440,0)&lt;tbl_Case_mins[[#This Row],[Ward Called]],tbl_Case_mins[[#This Row],[Surgery End Date]]&gt;tbl_Case_mins[[#This Row],[Surgery Start Date]]),ROUND((#REF!-TIME(0,0,0))*1440,0)+1440,ROUND((#REF!-TIME(0,0,0))*1440,0))</f>
        <v>#REF!</v>
      </c>
      <c r="X443" s="4" t="e">
        <f>IF(ISBLANK(#REF!),tbl_Case_mins[[#This Row],[Surgery Start Date]],#REF!)</f>
        <v>#REF!</v>
      </c>
      <c r="Y443">
        <f>IFERROR(IF(VLOOKUP(tbl_Case_mins[[#This Row],[Theatre]],'Mng Theatres'!$C$7:$G$12,3,FALSE)="Yes","Yes","No"),0)</f>
        <v>0</v>
      </c>
      <c r="Z443" s="9" t="e" cm="1">
        <f t="array" ref="Z443">ROUNDDOWN(IF(tbl_Case_mins[[#This Row],[AR]]="Yes",0,IF(tbl_Case_mins[[#This Row],[Rank_Adjust]]=SUMPRODUCT(-(tbl_Case_mins[Surgery Start Date]=tbl_Case_mins[[#This Row],[Surgery Start Date]]),-(tbl_Case_mins[Theatre]=tbl_Case_mins[[#This Row],[Theatre]])),tbl_Case_mins[[#This Row],[Into Recov]],IF(SUMIFS(tbl_Case_mins[AnaesthStart],tbl_Case_mins[Rank_Adjust],tbl_Case_mins[[#This Row],[Rank_Adjust]]+1,tbl_Case_mins[Surgery Start Date],tbl_Case_mins[[#This Row],[Surgery Start Date]],tbl_Case_mins[Theatre],tbl_Case_mins[[#This Row],[Theatre]])&lt;=tbl_Case_mins[[#This Row],[Into Recov]],0,tbl_Case_mins[[#This Row],[Into Recov]]))),0)</f>
        <v>#REF!</v>
      </c>
      <c r="AA443" s="9" t="e" cm="1">
        <f t="array" ref="AA443">IF(tbl_Case_mins[[#This Row],[CT_start]]&gt;0,IF(tbl_Case_mins[[#This Row],[Rank_Adjust]]=SUMPRODUCT(-(tbl_Case_mins[Surgery Start Date]=tbl_Case_mins[[#This Row],[Surgery Start Date]]),-(tbl_Case_mins[Theatre]=tbl_Case_mins[[#This Row],[Theatre]])),IF(tbl_Case_mins[[#This Row],[CT_start]]&gt;0,tbl_Case_mins[[#This Row],[CT_start]]+VLOOKUP(tbl_Case_mins[[#This Row],[Theatre]],'Mng Theatres'!$C$7:$G$12,4,FALSE),0),IF(SUMIFS(tbl_Case_mins[AnaesthStart],tbl_Case_mins[Rank],tbl_Case_mins[[#This Row],[Rank]]+1,tbl_Case_mins[Surgery Start Date],tbl_Case_mins[[#This Row],[Surgery Start Date]],tbl_Case_mins[Theatre],tbl_Case_mins[[#This Row],[Theatre]])&lt;tbl_Case_mins[[#This Row],[Into Recov]],tbl_Case_mins[[#This Row],[CT_start]],IF(AND(SUMIFS(tbl_Case_mins[AnaesthStart],tbl_Case_mins[Rank_Adjust],tbl_Case_mins[[#This Row],[Rank_Adjust]]+1,tbl_Case_mins[Surgery Start Date],tbl_Case_mins[[#This Row],[Surgery Start Date]],tbl_Case_mins[Theatre],tbl_Case_mins[[#This Row],[Theatre]])&lt;(tbl_Case_mins[[#This Row],[CT_start]]+VLOOKUP(tbl_Case_mins[[#This Row],[Theatre]],'Mng Theatres'!$C$7:$G$12,4,FALSE)),SUMIFS(tbl_Case_mins[AnaesthStart],tbl_Case_mins[Rank_Adjust],tbl_Case_mins[[#This Row],[Rank_Adjust]]+1,tbl_Case_mins[Surgery Start Date],tbl_Case_mins[[#This Row],[Surgery Start Date]],tbl_Case_mins[Theatre],tbl_Case_mins[[#This Row],[Theatre]])&lt;&gt;tbl_Case_mins[[#This Row],[Into Recov]]-VLOOKUP(tbl_Case_mins[[#This Row],[Theatre]],'Mng Theatres'!$C$7:$G$12,4,FALSE)),(SUMIFS(tbl_Case_mins[AnaesthStart],tbl_Case_mins[Rank_Adjust],tbl_Case_mins[[#This Row],[Rank_Adjust]]+1,tbl_Case_mins[Surgery Start Date],tbl_Case_mins[[#This Row],[Surgery Start Date]],tbl_Case_mins[Theatre],tbl_Case_mins[[#This Row],[Theatre]])-tbl_Case_mins[[#This Row],[Into Recov]])+tbl_Case_mins[[#This Row],[CT_start]],tbl_Case_mins[[#This Row],[CT_start]]+VLOOKUP(tbl_Case_mins[[#This Row],[Theatre]],'Mng Theatres'!$C$7:$G$12,4,FALSE)))),0)</f>
        <v>#REF!</v>
      </c>
      <c r="AB443" s="9" t="e">
        <f>IF(AND(tbl_Case_mins[[#This Row],[CT_start]]&lt;tbl_Case_mins[[#This Row],[TCT]],tbl_Case_mins[[#This Row],[CT_end]]&lt;tbl_Case_mins[[#This Row],[TCT]]),tbl_Case_mins[[#This Row],[CT_end]]-tbl_Case_mins[[#This Row],[CT_start]],IF(AND(tbl_Case_mins[[#This Row],[CT_start]]&lt;tbl_Case_mins[[#This Row],[TCT]],tbl_Case_mins[[#This Row],[CT_end]]&gt;=tbl_Case_mins[[#This Row],[TCT]]),tbl_Case_mins[[#This Row],[TCT]]-tbl_Case_mins[[#This Row],[CT_start]],0))</f>
        <v>#REF!</v>
      </c>
      <c r="AC443" s="9" t="e">
        <f>IF(tbl_Case_mins[[#This Row],[Case Type]]="Unsch",1,0)</f>
        <v>#REF!</v>
      </c>
      <c r="AD443" s="9" t="e">
        <f>IF(tbl_Case_mins[[#This Row],[Case Type]]="Sch",1,0)</f>
        <v>#REF!</v>
      </c>
      <c r="AE443" s="9" t="e">
        <f>IFERROR(IF(ISBLANK(INDEX(Am_Open,MATCH(1,INDEX((tbl_Case_mins[[#This Row],[Theatre]]=Theatre_No)*(tbl_Case_mins[[#This Row],[Surgery Start Date]]=Date),0,1),0))*1440),INDEX(Th_Open,MATCH(TEXT(tbl_Case_mins[[#This Row],[Surgery Start Date]],"ddd"),Day,0))*1440,INDEX(Am_Open,MATCH(1,INDEX((tbl_Case_mins[[#This Row],[Theatre]]=Theatre_No)*(tbl_Case_mins[[#This Row],[Surgery Start Date]]=Date),0,1),0))*1440),INDEX(Th_Open,MATCH(TEXT(tbl_Case_mins[[#This Row],[Surgery Start Date]],"ddd"),Day,0))*1440)</f>
        <v>#REF!</v>
      </c>
      <c r="AF443" s="9">
        <f>IFERROR(IF(ISBLANK(INDEX(Am_Close,MATCH(1,INDEX((tbl_Case_mins[[#This Row],[Theatre]]=Theatre_No)*(tbl_Case_mins[[#This Row],[Surgery Start Date]]=Date),0,1),0))*1440),0,INDEX(Am_Close,MATCH(1,INDEX((tbl_Case_mins[[#This Row],[Theatre]]=Theatre_No)*(tbl_Case_mins[[#This Row],[Surgery Start Date]]=Date),0,1),0))*1440),0)</f>
        <v>0</v>
      </c>
      <c r="AG443" s="9">
        <f>IFERROR(IF(ISBLANK(INDEX(PM_Open,MATCH(1,INDEX((tbl_Case_mins[[#This Row],[Theatre]]=Theatre_No)*(tbl_Case_mins[[#This Row],[Surgery Start Date]]=Date),0,1),0))*1440),0,INDEX(PM_Open,MATCH(1,INDEX((tbl_Case_mins[[#This Row],[Theatre]]=Theatre_No)*(tbl_Case_mins[[#This Row],[Surgery Start Date]]=Date),0,1),0))*1440),0)</f>
        <v>0</v>
      </c>
      <c r="AH443" s="9" t="e">
        <f>IFERROR(IF(ISBLANK(INDEX(PM_Close,MATCH(1,INDEX((tbl_Case_mins[[#This Row],[Theatre]]=Theatre_No)*(tbl_Case_mins[[#This Row],[Surgery Start Date]]=Date),0,1),0))*1440),INDEX(Th_Close,MATCH(TEXT(tbl_Case_mins[[#This Row],[Surgery Start Date]],"ddd"),Day,0))*1440,INDEX(PM_Close,MATCH(1,INDEX((tbl_Case_mins[[#This Row],[Theatre]]=Theatre_No)*(tbl_Case_mins[[#This Row],[Surgery Start Date]]=Date),0,1),0))*1440),INDEX(Th_Close,MATCH(TEXT(tbl_Case_mins[[#This Row],[Surgery Start Date]],"ddd"),Day,0))*1440)</f>
        <v>#REF!</v>
      </c>
      <c r="AI443" s="9" t="e">
        <f>IF(tbl_Case_mins[[#This Row],[ThOpenAm]]=0,tbl_Case_mins[[#This Row],[ThOpenPM]],tbl_Case_mins[[#This Row],[ThOpenAm]])</f>
        <v>#REF!</v>
      </c>
      <c r="AJ443" s="9" t="e">
        <f>IF(tbl_Case_mins[[#This Row],[ThCloseAm]]&gt;0,IF(tbl_Case_mins[[#This Row],[ThOpenPM]]&gt;0,tbl_Case_mins[[#This Row],[ThClosePm]],tbl_Case_mins[[#This Row],[ThCloseAm]]),tbl_Case_mins[[#This Row],[ThClosePm]])</f>
        <v>#REF!</v>
      </c>
      <c r="AK443" s="9" t="e">
        <f>IF(tbl_Case_mins[[#This Row],[TOT]]&gt;0,1,0)</f>
        <v>#REF!</v>
      </c>
      <c r="AL443" s="9" t="e">
        <f>IF(tbl_Case_mins[[#This Row],[AmCase]]=1,IF(AND(tbl_Case_mins[[#This Row],[AnaesthStart]]&gt;=tbl_Case_mins[[#This Row],[ThOpenAm]],tbl_Case_mins[[#This Row],[AnaesthStart]]&lt;tbl_Case_mins[[#This Row],[ThCloseAm]]),1,0),IF(tbl_Case_mins[[#This Row],[PmCase]]=1,IF(AND(tbl_Case_mins[[#This Row],[AnaesthStart]]&gt;=tbl_Case_mins[[#This Row],[ThOpenPM]],tbl_Case_mins[[#This Row],[AnaesthStart]]&lt;tbl_Case_mins[[#This Row],[ThClosePm]]),1,0),IF(AND(tbl_Case_mins[[#This Row],[AnaesthStart]]&gt;=tbl_Case_mins[[#This Row],[TOT]],tbl_Case_mins[[#This Row],[AnaesthStart]]&lt;tbl_Case_mins[[#This Row],[TCT]]),1,0)))</f>
        <v>#REF!</v>
      </c>
      <c r="AM443" s="9" t="e">
        <f>IF(AND(tbl_Case_mins[[#This Row],[Surgery Status]]&lt;&gt;2,tbl_Case_mins[[#This Row],[InCoreCase]]=0,tbl_Case_mins[[#This Row],[CancelledCase]]=0),1,0)</f>
        <v>#REF!</v>
      </c>
      <c r="AN443" s="9" t="e">
        <f>IF(tbl_Case_mins[[#This Row],[Surgery Status]]=1,1,0)</f>
        <v>#REF!</v>
      </c>
      <c r="AO443" s="9" t="e">
        <f>IF(OR(tbl_Case_mins[[#This Row],[CancelledCase]]=1,AND(tbl_Case_mins[[#This Row],[AnaesthStart]]&lt;tbl_Case_mins[[#This Row],[TOT]],tbl_Case_mins[[#This Row],[Anaesth End]]&lt;tbl_Case_mins[[#This Row],[TOT]]),AND(tbl_Case_mins[[#This Row],[AnaesthStart]]&gt;=tbl_Case_mins[[#This Row],[TCT]],tbl_Case_mins[[#This Row],[Anaesth End]]&gt;tbl_Case_mins[[#This Row],[TCT]]),AND(tbl_Case_mins[[#This Row],[AnaesthStart]]&gt;tbl_Case_mins[[#This Row],[ThCloseAm]],tbl_Case_mins[[#This Row],[Anaesth End]]&lt;tbl_Case_mins[[#This Row],[ThOpenPM]]),AND(tbl_Case_mins[[#This Row],[AnaesthStart]]&gt;=tbl_Case_mins[[#This Row],[TCT]],tbl_Case_mins[[#This Row],[Surgery End Date]]&gt;tbl_Case_mins[[#This Row],[Surgery Start Date]])),1,0)</f>
        <v>#REF!</v>
      </c>
      <c r="AP443" s="9" t="e">
        <f>IF(AND(tbl_Case_mins[[#This Row],[NonCoreCase]]=1,tbl_Case_mins[[#This Row],[NoInCoreTime]]=0),1,0)</f>
        <v>#REF!</v>
      </c>
      <c r="AQ443" s="9" t="e">
        <f>IF(tbl_Case_mins[[#This Row],[Rank_AnaEnd]]&lt;tbl_Case_mins[[#This Row],[Rank_AnaSt]],1,0)</f>
        <v>#REF!</v>
      </c>
      <c r="AR443" s="9" t="e">
        <f>IF(AND(tbl_Case_mins[[#This Row],[InCoreCase]]=1,tbl_Case_mins[[#This Row],[Sch]]=1),1,0)</f>
        <v>#REF!</v>
      </c>
      <c r="AS443" s="9" t="e">
        <f>IF(AND(tbl_Case_mins[[#This Row],[InCoreCase]]=1,tbl_Case_mins[[#This Row],[Unsch]]=1),1,0)</f>
        <v>#REF!</v>
      </c>
      <c r="AT443" s="9" t="e">
        <f>IF(AND(tbl_Case_mins[[#This Row],[Surgery Status]]=0,OR(AND(tbl_Case_mins[[#This Row],[AnaesthStart]]&gt;=tbl_Case_mins[[#This Row],[ThOpenAm]],tbl_Case_mins[[#This Row],[AnaesthStart]]&lt;tbl_Case_mins[[#This Row],[ThCloseAm]]),AND(tbl_Case_mins[[#This Row],[AnaesthStart]]&lt;tbl_Case_mins[[#This Row],[ThOpenAm]],tbl_Case_mins[[#This Row],[AnaesthStart]]&lt;tbl_Case_mins[[#This Row],[ThCloseAm]]))),1,0)</f>
        <v>#REF!</v>
      </c>
      <c r="AU443" s="9" t="e">
        <f>IF(AND(tbl_Case_mins[[#This Row],[Surgery Status]]=0,tbl_Case_mins[[#This Row],[AmCase]]=0,tbl_Case_mins[[#This Row],[AnaesthStart]]&lt;=tbl_Case_mins[[#This Row],[ThOpenPM]]),1,IF(AND(tbl_Case_mins[[#This Row],[Surgery Status]]=0,tbl_Case_mins[[#This Row],[ThOpenPM]]&gt;0,tbl_Case_mins[[#This Row],[AnaesthStart]]&gt;=tbl_Case_mins[[#This Row],[ThOpenPM]]),1,IF(AND(tbl_Case_mins[[#This Row],[TOT]]&gt;0,tbl_Case_mins[[#This Row],[ThOpenAm]]=0,tbl_Case_mins[[#This Row],[NoInCoreTime]]=0),1,0)))</f>
        <v>#REF!</v>
      </c>
      <c r="AV443" s="9" t="e">
        <f>IF(AND(tbl_Case_mins[[#This Row],[Surgery Status]]=0,tbl_Case_mins[[#This Row],[InCoreCase]]=1,tbl_Case_mins[[#This Row],[AmCase]]=0,tbl_Case_mins[[#This Row],[PmCase]]=0),1,IF(AND(tbl_Case_mins[[#This Row],[Surgery Status]]=0,tbl_Case_mins[[#This Row],[InCoreCase]]=0,tbl_Case_mins[[#This Row],[AmCase]]=0,tbl_Case_mins[[#This Row],[PmCase]]=0),1,0))</f>
        <v>#REF!</v>
      </c>
      <c r="AW443" s="9" t="e">
        <f>IF(tbl_Case_mins[[#This Row],[Surgery Status]]=0,(tbl_Case_mins[[#This Row],[Anaesth End]]-tbl_Case_mins[[#This Row],[AnaesthStart]]),0)</f>
        <v>#REF!</v>
      </c>
      <c r="AX443" s="9" t="e">
        <f>IF(tbl_Case_mins[[#This Row],[Surgery Status]]=0,(tbl_Case_mins[[#This Row],[Surgery Finish]]-tbl_Case_mins[[#This Row],[Surgery Start]]),0)</f>
        <v>#REF!</v>
      </c>
      <c r="AY443" s="9" t="e">
        <f>tbl_Case_mins[[#This Row],[Surgery Start]]-tbl_Case_mins[[#This Row],[AnaesthStart]]</f>
        <v>#REF!</v>
      </c>
      <c r="AZ443" s="9" t="e">
        <f>tbl_Case_mins[[#This Row],[Anaesth End]]-tbl_Case_mins[[#This Row],[Surgery Finish]]</f>
        <v>#REF!</v>
      </c>
      <c r="BA443" s="9" t="e">
        <f>IF(tbl_Case_mins[[#This Row],[Surgery Status]]=0,IF(tbl_Case_mins[[#This Row],[Into Th or AR]]&gt;0,(tbl_Case_mins[[#This Row],[Into Recov]]-tbl_Case_mins[[#This Row],[Into Th or AR]])+(tbl_Case_mins[[#This Row],[CT_end]]-tbl_Case_mins[[#This Row],[CT_start]]),(tbl_Case_mins[[#This Row],[Into Recov]]-tbl_Case_mins[[#This Row],[AnaesthStart]])+(tbl_Case_mins[[#This Row],[CT]])),0)</f>
        <v>#REF!</v>
      </c>
      <c r="BB443" s="9" t="e">
        <f>IF(AND(tbl_Case_mins[[#This Row],[Ex_CoreTime]]=0,tbl_Case_mins[[#This Row],[Surgery Status]]=0),IF(AND(tbl_Case_mins[[#This Row],[AnaesthStart]]&lt;tbl_Case_mins[[#This Row],[ThOpenAm]],tbl_Case_mins[[#This Row],[Anaesth End]]&gt;=tbl_Case_mins[[#This Row],[ThOpenAm]]),tbl_Case_mins[[#This Row],[ThOpenAm]]-tbl_Case_mins[[#This Row],[AnaesthStart]],0),0)</f>
        <v>#REF!</v>
      </c>
      <c r="BC443" s="16" cm="1">
        <f t="array" ref="BC443">IFERROR(IF(AND(tbl_Case_mins[[#This Row],[Rank_Adjust]]=_xlfn.AGGREGATE(15,6,(tbl_Case_mins[Rank_Adjust])/((tbl_Case_mins[Surgery Start Date]=tbl_Case_mins[[#This Row],[Surgery Start Date]])*(tbl_Case_mins[Theatre]=tbl_Case_mins[[#This Row],[Theatre]])*(tbl_Case_mins[NoInCoreTime]=0)*(tbl_Case_mins[[#This Row],[PmCase]]=0)),1),tbl_Case_mins[[#This Row],[ThOpenAm]]&gt;0,tbl_Case_mins[[#This Row],[AnaesthStart]]&gt;tbl_Case_mins[[#This Row],[TOT]]),tbl_Case_mins[[#This Row],[AnaesthStart]]-tbl_Case_mins[[#This Row],[TOT]],0),0)</f>
        <v>0</v>
      </c>
      <c r="BD443" s="16" t="e">
        <f>IF(AND(tbl_Case_mins[[#This Row],[FirstAMCase]]=1,tbl_Case_mins[[#This Row],[CancelledCase]]=0,OR(tbl_Case_mins[[#This Row],[EarlyStartAM]]&gt;0,tbl_Case_mins[[#This Row],[AnaesthStart]]=tbl_Case_mins[[#This Row],[ThOpenAm]])),1,0)</f>
        <v>#REF!</v>
      </c>
      <c r="BE443" s="16" t="e">
        <f>IF(AND(tbl_Case_mins[[#This Row],[Rank_AnaSt]]=tbl_Case_mins[[#This Row],[Min_RankAnaSt]],tbl_Case_mins[[#This Row],[Anaesth End]]&gt;=tbl_Case_mins[[#This Row],[ThOpenAm]],tbl_Case_mins[[#This Row],[PmCase]]=0),1,0)</f>
        <v>#REF!</v>
      </c>
      <c r="BF443" s="9" t="e">
        <f>IF(AND(tbl_Case_mins[[#This Row],[NoInCoreTime]]=0,tbl_Case_mins[[#This Row],[Surgery Status]]=0),IF(AND(tbl_Case_mins[[#This Row],[AmCase]]=1,OR(AND(tbl_Case_mins[[#This Row],[AnaesthStart]]&gt;=tbl_Case_mins[[#This Row],[ThOpenAm]],tbl_Case_mins[[#This Row],[AnaesthStart]]&lt;=tbl_Case_mins[[#This Row],[ThCloseAm]]),AND(tbl_Case_mins[[#This Row],[AnaesthStart]]&lt;=tbl_Case_mins[[#This Row],[ThOpenAm]],tbl_Case_mins[[#This Row],[AnaesthStart]]&lt;=tbl_Case_mins[[#This Row],[ThCloseAm]]))),(tbl_Case_mins[[#This Row],[Anaesth End]]-tbl_Case_mins[[#This Row],[AnaesthStart]])-tbl_Case_mins[[#This Row],[EarlyStartAM]]-IF(tbl_Case_mins[[#This Row],[Anaesth End]]&gt;tbl_Case_mins[[#This Row],[ThCloseAm]],(tbl_Case_mins[[#This Row],[Anaesth End]]-tbl_Case_mins[[#This Row],[ThCloseAm]]),0),0),0)</f>
        <v>#REF!</v>
      </c>
      <c r="BG443" s="9" t="e">
        <f>IF(AND(tbl_Case_mins[[#This Row],[AmCase]]=1,tbl_Case_mins[[#This Row],[ThCloseAm]]&gt;0),IF(AND(tbl_Case_mins[[#This Row],[ThOpenPM]]=0,tbl_Case_mins[[#This Row],[Anaesth End]]&gt;tbl_Case_mins[[#This Row],[ThCloseAm]]),tbl_Case_mins[[#This Row],[Anaesth End]]-tbl_Case_mins[[#This Row],[ThCloseAm]],IF(AND(tbl_Case_mins[[#This Row],[ThOpenPM]]&gt;0,tbl_Case_mins[[#This Row],[Anaesth End]]&gt;tbl_Case_mins[[#This Row],[ThCloseAm]],tbl_Case_mins[[#This Row],[Anaesth End]]&gt;tbl_Case_mins[[#This Row],[ThOpenPM]]),tbl_Case_mins[[#This Row],[ThOpenPM]]-tbl_Case_mins[[#This Row],[ThCloseAm]],IF(AND(tbl_Case_mins[[#This Row],[ThOpenPM]]&gt;0,tbl_Case_mins[[#This Row],[Anaesth End]]&gt;tbl_Case_mins[[#This Row],[ThCloseAm]],tbl_Case_mins[[#This Row],[Anaesth End]]&lt;=tbl_Case_mins[[#This Row],[ThOpenPM]]),tbl_Case_mins[[#This Row],[Anaesth End]]-tbl_Case_mins[[#This Row],[ThCloseAm]],0))),0)</f>
        <v>#REF!</v>
      </c>
      <c r="BH443" s="9" t="e" cm="1">
        <f t="array" ref="BH443">IF(AND(tbl_Case_mins[[#This Row],[AmCase]]=1, tbl_Case_mins[[#This Row],[ThCloseAm]]&gt;0,tbl_Case_mins[[#This Row],[Surgery Status]]=0),IF(AND(tbl_Case_mins[[#This Row],[Anaesth End]]&lt;tbl_Case_mins[[#This Row],[ThCloseAm]],OR(SUMIFS(tbl_Case_mins[AnaesthStart],tbl_Case_mins[Rank_AnaEnd],tbl_Case_mins[[#This Row],[Rank_AnaEnd]]+1,tbl_Case_mins[Surgery Start Date],tbl_Case_mins[[#This Row],[Surgery Start Date]],tbl_Case_mins[Theatre],tbl_Case_mins[[#This Row],[Theatre]])&gt;tbl_Case_mins[[#This Row],[ThCloseAm]],tbl_Case_mins[[#This Row],[Rank_AnaEnd]]=SUMPRODUCT(-(tbl_Case_mins[Surgery Start Date]=tbl_Case_mins[[#This Row],[Surgery Start Date]]),-(tbl_Case_mins[Theatre]=tbl_Case_mins[[#This Row],[Theatre]])))),tbl_Case_mins[[#This Row],[ThCloseAm]]-tbl_Case_mins[[#This Row],[Anaesth End]]-tbl_Case_mins[[#This Row],[CT]],0),0)</f>
        <v>#REF!</v>
      </c>
      <c r="BI443" s="9" t="e">
        <f>IF(AND(tbl_Case_mins[[#This Row],[PmCase]]=1,tbl_Case_mins[[#This Row],[AnaesthStart]]&gt;tbl_Case_mins[[#This Row],[ThCloseAm]],tbl_Case_mins[[#This Row],[AnaesthStart]]&lt;tbl_Case_mins[[#This Row],[ThOpenPM]],tbl_Case_mins[[#This Row],[Anaesth End]]&gt;=tbl_Case_mins[[#This Row],[ThOpenPM]],tbl_Case_mins[[#This Row],[ThOpenPM]]&gt;0),tbl_Case_mins[[#This Row],[ThOpenPM]]-tbl_Case_mins[[#This Row],[AnaesthStart]],0)</f>
        <v>#REF!</v>
      </c>
      <c r="BJ443" s="9" t="e">
        <f>IF(AND(tbl_Case_mins[[#This Row],[ThCloseAm]]&gt;0,tbl_Case_mins[[#This Row],[ThOpenPM]]&gt;0,tbl_Case_mins[[#This Row],[Anaesth End]]&lt;=tbl_Case_mins[[#This Row],[ThCloseAm]],tbl_Case_mins[[#This Row],[Anaesth End]]&gt;=tbl_Case_mins[[#This Row],[ThOpenAm]],SUMIFS(tbl_Case_mins[AnaesthStart],tbl_Case_mins[Rank_Adjust],tbl_Case_mins[[#This Row],[Rank_Adjust]]+1,tbl_Case_mins[Theatre],tbl_Case_mins[[#This Row],[Theatre]],tbl_Case_mins[Surgery Start Date],tbl_Case_mins[[#This Row],[Surgery Start Date]])&gt;=tbl_Case_mins[[#This Row],[ThOpenPM]]),tbl_Case_mins[[#This Row],[ThOpenPM]]-tbl_Case_mins[[#This Row],[ThCloseAm]],IF(AND(tbl_Case_mins[[#This Row],[ThCloseAm]]&gt;0,tbl_Case_mins[[#This Row],[ThOpenPM]]&gt;0,tbl_Case_mins[[#This Row],[Anaesth End]]&gt;tbl_Case_mins[[#This Row],[ThCloseAm]],tbl_Case_mins[[#This Row],[Anaesth End]]&lt;tbl_Case_mins[[#This Row],[ThOpenPM]],SUMIFS(tbl_Case_mins[AnaesthStart],tbl_Case_mins[Rank],tbl_Case_mins[[#This Row],[Rank]]+1,tbl_Case_mins[Theatre],tbl_Case_mins[[#This Row],[Theatre]],tbl_Case_mins[Surgery Start Date],tbl_Case_mins[[#This Row],[Surgery Start Date]])&gt;=tbl_Case_mins[[#This Row],[ThOpenPM]]),tbl_Case_mins[[#This Row],[ThOpenPM]]-tbl_Case_mins[[#This Row],[Anaesth End]],IF(AND(tbl_Case_mins[[#This Row],[ThCloseAm]]&gt;0,tbl_Case_mins[[#This Row],[ThOpenPM]]&gt;0,tbl_Case_mins[[#This Row],[Anaesth End]]&lt;=tbl_Case_mins[[#This Row],[ThCloseAm]],SUMIFS(tbl_Case_mins[AnaesthStart],tbl_Case_mins[Rank_Adjust],tbl_Case_mins[[#This Row],[Rank_Adjust]]+1,tbl_Case_mins[Theatre],tbl_Case_mins[[#This Row],[Theatre]],tbl_Case_mins[Surgery Start Date],tbl_Case_mins[[#This Row],[Surgery Start Date]])&lt;tbl_Case_mins[[#This Row],[ThOpenPM]],SUMIFS(tbl_Case_mins[AnaesthStart],tbl_Case_mins[Rank_Adjust],tbl_Case_mins[[#This Row],[Rank_Adjust]]+1,tbl_Case_mins[Theatre],tbl_Case_mins[[#This Row],[Theatre]],tbl_Case_mins[Surgery Start Date],tbl_Case_mins[[#This Row],[Surgery Start Date]])&gt;tbl_Case_mins[[#This Row],[ThCloseAm]]),SUMIFS(tbl_Case_mins[AnaesthStart],tbl_Case_mins[Rank_Adjust],tbl_Case_mins[[#This Row],[Rank_Adjust]]+1,tbl_Case_mins[Theatre],tbl_Case_mins[[#This Row],[Theatre]],tbl_Case_mins[Surgery Start Date],tbl_Case_mins[[#This Row],[Surgery Start Date]])-tbl_Case_mins[[#This Row],[ThCloseAm]],0)))</f>
        <v>#REF!</v>
      </c>
      <c r="BK443" s="9" t="e">
        <f>IF(AND(tbl_Case_mins[[#This Row],[ThOpenPM]]&gt;0,tbl_Case_mins[[#This Row],[AnaesthStart]]&gt;tbl_Case_mins[[#This Row],[ThOpenPM]],tbl_Case_mins[[#This Row],[First PM Case]]=1),tbl_Case_mins[[#This Row],[AnaesthStart]]-tbl_Case_mins[[#This Row],[ThOpenPM]],0)</f>
        <v>#REF!</v>
      </c>
      <c r="BL443" s="9" t="e">
        <f>IF(AND(tbl_Case_mins[[#This Row],[Surgery Status]]=0,tbl_Case_mins[[#This Row],[AmCase]]=1,tbl_Case_mins[[#This Row],[ThCloseAm]]&gt;0,tbl_Case_mins[[#This Row],[ThOpenPM]]&gt;0,tbl_Case_mins[[#This Row],[Into Recov]]&gt;tbl_Case_mins[[#This Row],[ThOpenPM]]),tbl_Case_mins[[#This Row],[Into Recov]]-tbl_Case_mins[[#This Row],[ThOpenPM]],0)</f>
        <v>#REF!</v>
      </c>
      <c r="BM443" s="9" t="e">
        <f>IF(AND(tbl_Case_mins[[#This Row],[NoInCoreTime]]=0,tbl_Case_mins[[#This Row],[PmCase]]=1,OR(AND(tbl_Case_mins[[#This Row],[AnaesthStart]]&lt;tbl_Case_mins[[#This Row],[ThOpenPM]],tbl_Case_mins[[#This Row],[AnaesthStart]]&gt;tbl_Case_mins[[#This Row],[ThCloseAm]]),AND(tbl_Case_mins[[#This Row],[AnaesthStart]]&gt;=tbl_Case_mins[[#This Row],[ThOpenPM]],tbl_Case_mins[[#This Row],[AnaesthStart]]&lt;=tbl_Case_mins[[#This Row],[ThClosePm]]))),(tbl_Case_mins[[#This Row],[Anaesth End]]-tbl_Case_mins[[#This Row],[AnaesthStart]])-IF(AND(tbl_Case_mins[[#This Row],[AnaesthStart]]&lt;tbl_Case_mins[[#This Row],[ThClosePm]],tbl_Case_mins[[#This Row],[Anaesth End]]&gt;tbl_Case_mins[[#This Row],[ThClosePm]]),tbl_Case_mins[[#This Row],[Anaesth End]]-tbl_Case_mins[[#This Row],[ThClosePm]],0)-tbl_Case_mins[[#This Row],[EarlyStartPM]],0)</f>
        <v>#REF!</v>
      </c>
      <c r="BN443" s="9" t="e" cm="1">
        <f t="array" ref="BN443">IF(AND(tbl_Case_mins[[#This Row],[Rank_AnaEnd]]=IFERROR(_xlfn.AGGREGATE(14,6,(tbl_Case_mins[Rank_AnaEnd])/((tbl_Case_mins[Surgery Start Date]=tbl_Case_mins[[#This Row],[Surgery Start Date]])*(tbl_Case_mins[Theatre]=tbl_Case_mins[[#This Row],[Theatre]])*(tbl_Case_mins[AmCase]=0)*(tbl_Case_mins[NoInCoreTime]=0)),1),-1),tbl_Case_mins[[#This Row],[Anaesth End]]&lt;tbl_Case_mins[[#This Row],[TCT]]),tbl_Case_mins[[#This Row],[TCT]]-tbl_Case_mins[[#This Row],[Anaesth End]]-tbl_Case_mins[[#This Row],[CT]],IF(AND(tbl_Case_mins[[#This Row],[AmCase]]=1,tbl_Case_mins[[#This Row],[Rank_AnaEnd]]=tbl_Case_mins[[#This Row],[Max_RankAnaEnd]],tbl_Case_mins[[#This Row],[Anaesth End]]&gt;tbl_Case_mins[[#This Row],[ThOpenPM]],tbl_Case_mins[[#This Row],[Anaesth End]]&lt;tbl_Case_mins[[#This Row],[ThClosePm]]),tbl_Case_mins[[#This Row],[TCT]]-tbl_Case_mins[[#This Row],[Anaesth End]]-tbl_Case_mins[[#This Row],[CT]],0))</f>
        <v>#REF!</v>
      </c>
      <c r="BO443" s="9" t="e">
        <f>IF(AND(tbl_Case_mins[[#This Row],[ThClosePm]]&gt;0,tbl_Case_mins[[#This Row],[Anaesth End]]&gt;tbl_Case_mins[[#This Row],[ThClosePm]],tbl_Case_mins[[#This Row],[AnaesthStart]]&gt;tbl_Case_mins[[#This Row],[ThClosePm]]),tbl_Case_mins[[#This Row],[Into Recov]]-tbl_Case_mins[[#This Row],[AnaesthStart]],0)</f>
        <v>#REF!</v>
      </c>
      <c r="BP443" s="9" t="e">
        <f>IF(AND(tbl_Case_mins[[#This Row],[AnaesthStart]]&lt;tbl_Case_mins[[#This Row],[ThClosePm]],tbl_Case_mins[[#This Row],[Anaesth End]]&gt;tbl_Case_mins[[#This Row],[ThClosePm]]),tbl_Case_mins[[#This Row],[Anaesth End]]-tbl_Case_mins[[#This Row],[ThClosePm]],0)</f>
        <v>#REF!</v>
      </c>
      <c r="BQ443" s="9" t="e" cm="1">
        <f t="array" ref="BQ443">IF(tbl_Case_mins[[#This Row],[Rank_Adjust]]=SUMPRODUCT(-(tbl_Case_mins[Surgery Start Date]=tbl_Case_mins[[#This Row],[Surgery Start Date]]),-(tbl_Case_mins[Theatre]=tbl_Case_mins[[#This Row],[Theatre]])),(tbl_Case_mins[[#This Row],[ThCloseAm]]-tbl_Case_mins[[#This Row],[ThOpenAm]])+(tbl_Case_mins[[#This Row],[ThClosePm]]-tbl_Case_mins[[#This Row],[ThOpenPM]]),IF(tbl_Case_mins[[#This Row],[Surgery Status]]=2,tbl_Case_mins[[#This Row],[TCT]]-tbl_Case_mins[[#This Row],[TOT]],0))</f>
        <v>#REF!</v>
      </c>
      <c r="BR443" s="9" t="e" cm="1">
        <f t="array" ref="BR443">IF(tbl_Case_mins[[#This Row],[Rank_Adjust]]=SUMPRODUCT(-(tbl_Case_mins[Surgery Start Date]=tbl_Case_mins[[#This Row],[Surgery Start Date]]),-(tbl_Case_mins[Theatre]=tbl_Case_mins[[#This Row],[Theatre]])),INDEX(Poss_Time,MATCH(TEXT(tbl_Case_mins[[#This Row],[Surgery Start Date]],"ddd"),Day,0)),0)</f>
        <v>#REF!</v>
      </c>
      <c r="BS443" s="9" t="e">
        <f>tbl_Case_mins[[#This Row],[Core_Time]]*Util_Goal</f>
        <v>#REF!</v>
      </c>
      <c r="BT443" s="9" t="e" cm="1">
        <f t="array" ref="BT4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U443" s="9" t="e" cm="1">
        <f t="array" ref="BU443">IF(AND(tbl_Case_mins[[#This Row],[Surgery Status]]=0,tbl_Case_mins[[#This Row],[NoInCoreTime]]=0,tbl_Case_mins[[#This Row],[Rank]]&lt;&gt;_xlfn.AGGREGATE(14,6,(tbl_Case_mins[Rank])/((tbl_Case_mins[Surgery Start Date]=tbl_Case_mins[[#This Row],[Surgery Start Date]])*(tbl_Case_mins[Theatre]=tbl_Case_mins[[#This Row],[Theatre]])),1),tbl_Case_mins[[#This Row],[Anaesth End]]&lt;=tbl_Case_mins[[#This Row],[TCT]]),tbl_Case_mins[[#This Row],[Ana_time]]-tbl_Case_mins[[#This Row],[Overlaps]]-tbl_Case_mins[[#This Row],[EarlyStartAM]]-tbl_Case_mins[[#This Row],[EarlyStartPM]]-tbl_Case_mins[[#This Row],[AMOverRun]],IF(AND(tbl_Case_mins[[#This Row],[Last Am Case]]=1,tbl_Case_mins[[#This Row],[NoInCoreTime]]=0),tbl_Case_mins[[#This Row],[ThCloseAm]]-tbl_Case_mins[[#This Row],[AnaesthStart]]-tbl_Case_mins[[#This Row],[EarlyStartPM]]-tbl_Case_mins[[#This Row],[PMUnderRun]]-tbl_Case_mins[[#This Row],[EarlyStartAM]]-tbl_Case_mins[[#This Row],[AMUnderRun]]-IF(tbl_Case_mins[[#This Row],[AmInCorePm]]&gt;0,tbl_Case_mins[[#This Row],[AMOverRun]],0),IF(tbl_Case_mins[[#This Row],[NoInCoreTime]]=0,tbl_Case_mins[[#This Row],[TCT]]-tbl_Case_mins[[#This Row],[AnaesthStart]]-tbl_Case_mins[[#This Row],[EarlyStartPM]]-tbl_Case_mins[[#This Row],[PMUnderRun]]-tbl_Case_mins[[#This Row],[EarlyStartAM]]-tbl_Case_mins[[#This Row],[AMUnderRun]]-IF(tbl_Case_mins[[#This Row],[AmInCorePm]]&gt;0,tbl_Case_mins[[#This Row],[AMOverRun]],0),0)))</f>
        <v>#REF!</v>
      </c>
      <c r="BV443" s="9" t="e">
        <f>IF(SUMIFS(tbl_Case_mins[InCoreUse],tbl_Case_mins[Surgery Start Date],tbl_Case_mins[[#This Row],[Surgery Start Date]],tbl_Case_mins[Theatre],tbl_Case_mins[[#This Row],[Theatre]])&lt;tbl_Case_mins[[#This Row],[Core_Time]],tbl_Case_mins[[#This Row],[Core_Time]]-(SUMIFS(tbl_Case_mins[InCoreUse],tbl_Case_mins[Surgery Start Date],tbl_Case_mins[[#This Row],[Surgery Start Date]],tbl_Case_mins[Theatre],tbl_Case_mins[[#This Row],[Theatre]])),0)</f>
        <v>#REF!</v>
      </c>
      <c r="BW443" s="9" t="e">
        <f>IF(tbl_Case_mins[[#This Row],[NoInCoreTime]]=1,tbl_Case_mins[[#This Row],[Ana_time]]-tbl_Case_mins[[#This Row],[Overlaps]],tbl_Case_mins[[#This Row],[EarlyStartAM]]+tbl_Case_mins[[#This Row],[AMOverRun]]+tbl_Case_mins[[#This Row],[EarlyStartPM]]+tbl_Case_mins[[#This Row],[PMOverRun]]+tbl_Case_mins[[#This Row],[OutOfCorePM]]+IF(tbl_Case_mins[[#This Row],[TOT]]=0,tbl_Case_mins[[#This Row],[Ana_time]]))</f>
        <v>#REF!</v>
      </c>
      <c r="BX443" s="9" t="e">
        <f>IF(tbl_Case_mins[[#This Row],[Surgery End Date]]&gt;tbl_Case_mins[[#This Row],[Surgery Start Date]],tbl_Case_mins[[#This Row],[Anaesth End]]-1440,0)</f>
        <v>#REF!</v>
      </c>
      <c r="BY443" s="9" t="e">
        <f>tbl_Case_mins[[#This Row],[Total_NonCore]]-tbl_Case_mins[[#This Row],[NextDay_NonCore]]</f>
        <v>#REF!</v>
      </c>
      <c r="BZ443" s="10" t="e">
        <f>tbl_Case_mins[[#This Row],[InCoreUse]]/60</f>
        <v>#REF!</v>
      </c>
      <c r="CA443" s="10" t="e">
        <f>tbl_Case_mins[[#This Row],[Total_NonCore]]/60</f>
        <v>#REF!</v>
      </c>
      <c r="CB443" t="e" cm="1">
        <f t="array" ref="CB4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C443" s="9" t="e" cm="1">
        <f t="array" ref="CC443">IF(tbl_Case_mins[[#This Row],[Surgery Status]]=2,0,IF(_xlfn.AGGREGATE(15,6,(tbl_Case_mins[Rank_Adjust])/((tbl_Case_mins[Surgery Start Date]=tbl_Case_mins[[#This Row],[Surgery Start Date]])*(tbl_Case_mins[Theatre]=tbl_Case_mins[[#This Row],[Theatre]])*(tbl_Case_mins[Surgery Status]=0)),1)=2,tbl_Case_mins[[#This Row],[Rank_Adjust]]-1,IF(_xlfn.AGGREGATE(15,6,(tbl_Case_mins[Rank_Adjust])/((tbl_Case_mins[Surgery Start Date]=tbl_Case_mins[[#This Row],[Surgery Start Date]])*(tbl_Case_mins[Theatre]=tbl_Case_mins[[#This Row],[Theatre]])*(tbl_Case_mins[Surgery Status]=0)),1)=3,tbl_Case_mins[[#This Row],[Rank_Adjust]]-2,tbl_Case_mins[[#This Row],[Rank_Adjust]])))</f>
        <v>#REF!</v>
      </c>
      <c r="CD443" s="9" t="e" cm="1">
        <f t="array" ref="CD443">IF(tbl_Case_mins[[#This Row],[Surgery Status]]=0,SUMPRODUCT((tbl_Case_mins[[#This Row],[Theatre]]=tbl_Case_mins[Theatre])*(tbl_Case_mins[[#This Row],[Surgery Start Date]]=tbl_Case_mins[Surgery Start Date])*(tbl_Case_mins[[#This Row],[AnaesthStart]]&gt;tbl_Case_mins[AnaesthStart]))+1,SUMPRODUCT((tbl_Case_mins[[#This Row],[Theatre]]=tbl_Case_mins[Theatre])*(tbl_Case_mins[[#This Row],[Surgery Start Date]]=tbl_Case_mins[Surgery Start Date])*(tbl_Case_mins[[#This Row],[AnaesthStart]]&gt;tbl_Case_mins[AnaesthStart])))</f>
        <v>#REF!</v>
      </c>
      <c r="CE443" s="9" t="e" cm="1">
        <f t="array" ref="CE443">IF(tbl_Case_mins[[#This Row],[Surgery Status]]=0,SUMPRODUCT((tbl_Case_mins[[#This Row],[Theatre]]=tbl_Case_mins[Theatre])*(tbl_Case_mins[[#This Row],[Surgery Start Date]]=tbl_Case_mins[Surgery Start Date])*(tbl_Case_mins[[#This Row],[Anaesth End]]&gt;tbl_Case_mins[Anaesth End]))+1,SUMPRODUCT((tbl_Case_mins[[#This Row],[Theatre]]=tbl_Case_mins[Theatre])*(tbl_Case_mins[[#This Row],[Surgery Start Date]]=tbl_Case_mins[Surgery Start Date])*(tbl_Case_mins[[#This Row],[Anaesth End]]&gt;tbl_Case_mins[Anaesth End])))</f>
        <v>#REF!</v>
      </c>
      <c r="CF443" s="9" cm="1">
        <f t="array" ref="CF443">IFERROR(_xlfn.AGGREGATE(14,6,(tbl_Case_mins[Rank_AnaEnd])/((tbl_Case_mins[Surgery Start Date]=tbl_Case_mins[[#This Row],[Surgery Start Date]])*(tbl_Case_mins[Theatre]=tbl_Case_mins[[#This Row],[Theatre]])*(tbl_Case_mins[NoInCoreTime]=0)),1),-1)</f>
        <v>-1</v>
      </c>
      <c r="CG443" s="9" cm="1">
        <f t="array" ref="CG443">IFERROR(_xlfn.AGGREGATE(15,6,(tbl_Case_mins[Rank_AnaSt])/((tbl_Case_mins[Surgery Start Date]=tbl_Case_mins[[#This Row],[Surgery Start Date]])*(tbl_Case_mins[Theatre]=tbl_Case_mins[[#This Row],[Theatre]])*(tbl_Case_mins[NoInCoreTime]=0)),1),-1)</f>
        <v>-1</v>
      </c>
      <c r="CH443" s="9" t="e">
        <f>IF(AND(tbl_Case_mins[[#This Row],[Rank_AnaSt]]=tbl_Case_mins[[#This Row],[Rank_AnaEnd]],SUMIFS(tbl_Case_mins[Rank_AnaEnd],tbl_Case_mins[Rank_AnaEnd],tbl_Case_mins[[#This Row],[Rank_AnaEnd]]-1,tbl_Case_mins[Theatre],tbl_Case_mins[[#This Row],[Theatre]],tbl_Case_mins[Surgery Start Date],tbl_Case_mins[[#This Row],[Surgery Start Date]])=tbl_Case_mins[[#This Row],[Rank_AnaEnd]]-1,tbl_Case_mins[[#This Row],[Rank_AnaSt]]-SUMIFS(tbl_Case_mins[Rank_AnaSt],tbl_Case_mins[Rank_AnaEnd],tbl_Case_mins[[#This Row],[Rank_AnaEnd]]-1,tbl_Case_mins[Theatre],tbl_Case_mins[[#This Row],[Theatre]],tbl_Case_mins[Surgery Start Date],tbl_Case_mins[[#This Row],[Surgery Start Date]])&gt;1,tbl_Case_mins[[#This Row],[AnaesthStart]]&lt;SUMIFS(tbl_Case_mins[Anaesth End],tbl_Case_mins[Rank_AnaEnd],tbl_Case_mins[[#This Row],[Rank_AnaEnd]]-1,tbl_Case_mins[Theatre],tbl_Case_mins[[#This Row],[Theatre]],tbl_Case_mins[Surgery Start Date],tbl_Case_mins[[#This Row],[Surgery Start Date]])),tbl_Case_mins[[#This Row],[Ana_time]]-(tbl_Case_mins[[#This Row],[Anaesth End]]-SUMIFS(tbl_Case_mins[Anaesth End],tbl_Case_mins[Rank_AnaEnd],tbl_Case_mins[[#This Row],[Rank_AnaEnd]]-1,tbl_Case_mins[Theatre],tbl_Case_mins[[#This Row],[Theatre]],tbl_Case_mins[Surgery Start Date],tbl_Case_mins[[#This Row],[Surgery Start Date]])),0)</f>
        <v>#REF!</v>
      </c>
      <c r="CI443" s="9" t="e">
        <f>IF(AND(tbl_Case_mins[[#This Row],[Rank_AnaSt]]=tbl_Case_mins[[#This Row],[Rank_AnaEnd]],SUMIFS(tbl_Case_mins[Rank_AnaSt],tbl_Case_mins[Rank_AnaSt],tbl_Case_mins[[#This Row],[Rank_AnaSt]]+1,tbl_Case_mins[Theatre],tbl_Case_mins[[#This Row],[Theatre]],tbl_Case_mins[Surgery Start Date],tbl_Case_mins[[#This Row],[Surgery Start Date]])=tbl_Case_mins[[#This Row],[Rank_AnaSt]]+1,SUMIFS(tbl_Case_mins[Rank_AnaEnd],tbl_Case_mins[Rank_AnaSt],tbl_Case_mins[[#This Row],[Rank_AnaSt]]+1,tbl_Case_mins[Theatre],tbl_Case_mins[[#This Row],[Theatre]],tbl_Case_mins[Surgery Start Date],tbl_Case_mins[[#This Row],[Surgery Start Date]])-tbl_Case_mins[[#This Row],[Rank_AnaEnd]]&gt;1,tbl_Case_mins[[#This Row],[Anaesth End]]&gt;SUMIFS(tbl_Case_mins[AnaesthStart],tbl_Case_mins[Rank_AnaSt],tbl_Case_mins[[#This Row],[Rank_AnaSt]]+1,tbl_Case_mins[Theatre],tbl_Case_mins[[#This Row],[Theatre]],tbl_Case_mins[Surgery Start Date],tbl_Case_mins[[#This Row],[Surgery Start Date]])),tbl_Case_mins[[#This Row],[Anaesth End]]-SUMIFS(tbl_Case_mins[AnaesthStart],tbl_Case_mins[Rank_AnaSt],tbl_Case_mins[[#This Row],[Rank_AnaSt]]+1,tbl_Case_mins[Theatre],tbl_Case_mins[[#This Row],[Theatre]],tbl_Case_mins[Surgery Start Date],tbl_Case_mins[[#This Row],[Surgery Start Date]]),0)</f>
        <v>#REF!</v>
      </c>
      <c r="CJ443" t="e" cm="1">
        <f t="array" ref="CJ443">IF(AND(SUMIFS(tbl_Case_mins[Ex_CoreTime],tbl_Case_mins[Rank_Adjust],tbl_Case_mins[[#This Row],[Rank_Adjust]]+1,tbl_Case_mins[Surgery Start Date],tbl_Case_mins[[#This Row],[Surgery Start Date]],tbl_Case_mins[Theatre],tbl_Case_mins[[#This Row],[Theatre]])=0,tbl_Case_mins[[#This Row],[Rank_Adjust]]&lt;&gt;SUMPRODUCT(-(tbl_Case_mins[Surgery Start Date]=tbl_Case_mins[[#This Row],[Surgery Start Date]]),-(tbl_Case_mins[Theatre]=tbl_Case_mins[[#This Row],[Theatre]])),tbl_Case_mins[[#This Row],[Anaesth End]]&gt;SUMIFS(tbl_Case_mins[AnaesthStart],tbl_Case_mins[Rank_Adjust],tbl_Case_mins[[#This Row],[Rank_Adjust]]+1,tbl_Case_mins[Surgery Start Date],tbl_Case_mins[[#This Row],[Surgery Start Date]],tbl_Case_mins[Theatre],tbl_Case_mins[[#This Row],[Theatre]])),tbl_Case_mins[[#This Row],[Anaesth End]]-SUMIFS(tbl_Case_mins[AnaesthStart],tbl_Case_mins[Rank_Adjust],tbl_Case_mins[[#This Row],[Rank_Adjust]]+1,tbl_Case_mins[Surgery Start Date],tbl_Case_mins[[#This Row],[Surgery Start Date]],tbl_Case_mins[Theatre],tbl_Case_mins[[#This Row],[Theatre]]),0)</f>
        <v>#REF!</v>
      </c>
      <c r="CK443" s="9" t="e">
        <f>IF(AND(tbl_Case_mins[[#This Row],[InCoreUse]]&gt;0,SUMIFS(tbl_Case_mins[CT_start],tbl_Case_mins[Rank],tbl_Case_mins[[#This Row],[Rank]],tbl_Case_mins[Surgery Start Date],tbl_Case_mins[[#This Row],[Surgery Start Date]],tbl_Case_mins[Theatre],tbl_Case_mins[[#This Row],[Theatre]])&gt;tbl_Case_mins[[#This Row],[Into Recov]],SUMIFS(tbl_Case_mins[CT_end],tbl_Case_mins[Rank],tbl_Case_mins[[#This Row],[Rank]],tbl_Case_mins[Surgery Start Date],tbl_Case_mins[[#This Row],[Surgery Start Date]],tbl_Case_mins[Theatre],tbl_Case_mins[[#This Row],[Theatre]])&lt;tbl_Case_mins[[#This Row],[TCT]],tbl_Case_mins[[#This Row],[CT_end]]&gt;0,tbl_Case_mins[[#This Row],[CT_end]]&gt;tbl_Case_mins[[#This Row],[CT_start]]),SUMIFS(tbl_Case_mins[CT_start],tbl_Case_mins[Rank],tbl_Case_mins[[#This Row],[Rank]],tbl_Case_mins[Surgery Start Date],tbl_Case_mins[[#This Row],[Surgery Start Date]],tbl_Case_mins[Theatre],tbl_Case_mins[[#This Row],[Theatre]])-tbl_Case_mins[[#This Row],[Anaesth End]],0)</f>
        <v>#REF!</v>
      </c>
      <c r="CL443" s="9" t="e">
        <f>IF(AND(tbl_Case_mins[[#This Row],[InCoreUse]]&gt;0,tbl_Case_mins[[#This Row],[AR]]="No",SUMIFS(tbl_Case_mins[CT_start],tbl_Case_mins[Rank],tbl_Case_mins[[#This Row],[Rank]],tbl_Case_mins[Surgery Start Date],tbl_Case_mins[[#This Row],[Surgery Start Date]],tbl_Case_mins[Theatre],tbl_Case_mins[[#This Row],[Theatre]])=tbl_Case_mins[[#This Row],[CT_end]]),tbl_Case_mins[[#This Row],[Into Recov]]-tbl_Case_mins[[#This Row],[Anaesth End]],0)</f>
        <v>#REF!</v>
      </c>
      <c r="CM4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Row],[IR_Interval]]+tbl_Case_mins[[#This Row],[AS_Interval]])),0)</f>
        <v>#REF!</v>
      </c>
      <c r="CN443" s="9" t="e">
        <f>IF(OR(SUMIFS(tbl_Case_mins[NonCoreInCoreTimeCase],tbl_Case_mins[Rank],tbl_Case_mins[[#This Row],[Rank]]+1,tbl_Case_mins[Surgery Start Date],tbl_Case_mins[[#This Row],[Surgery Start Date]],tbl_Case_mins[Theatre],tbl_Case_mins[[#This Row],[Theatre]])=1,SUMIFS(tbl_Case_mins[InCoreCase],tbl_Case_mins[Rank],tbl_Case_mins[[#This Row],[Rank]]+1,tbl_Case_mins[Surgery Start Date],tbl_Case_mins[[#This Row],[Surgery Start Date]],tbl_Case_mins[Theatre],tbl_Case_mins[[#This Row],[Theatre]])=1),IF(SUMIFS(tbl_Case_mins[AnaesthStart],tbl_Case_mins[Rank],tbl_Case_mins[[#This Row],[Rank]]+1,tbl_Case_mins[Surgery Start Date],tbl_Case_mins[[#This Row],[Surgery Start Date]],tbl_Case_mins[Theatre],tbl_Case_mins[[#This Row],[Theatre]])&lt;=tbl_Case_mins[[#This Row],[Anaesth End]],0,(tbl_Case_mins[[#This Row],[IRI]]+tbl_Case_mins[[#This Row],[ASI]])),0)</f>
        <v>#REF!</v>
      </c>
      <c r="CO443" s="9" cm="1">
        <f t="array" ref="CO4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P443" s="9" cm="1">
        <f t="array" ref="CP443">IFERROR(IF(AND(tbl_Case_mins[[#This Row],[NoInCoreTime]]=0,tbl_Case_mins[[#This Row],[Rank]]&lt;&gt;_xlfn.AGGREGATE(14,6,(tbl_Case_mins[Rank])/((tbl_Case_mins[Surgery Start Date]=tbl_Case_mins[[#This Row],[Surgery Start Date]])*(tbl_Case_mins[Theatre]=tbl_Case_mins[[#This Row],[Theatre]])*(tbl_Case_mins[Surgery Status]=0)),1)),tbl_Case_mins[[#This Row],[Into Recov]]-tbl_Case_mins[[#This Row],[Anaesth End]],0),0)</f>
        <v>0</v>
      </c>
      <c r="CQ443" s="9" cm="1">
        <f t="array" ref="CQ443">IFERROR(IF(AND(tbl_Case_mins[[#This Row],[FirstAMCase]]=0,tbl_Case_mins[[#This Row],[Rank]]=_xlfn.AGGREGATE(14,6,(tbl_Case_mins[Rank])/((tbl_Case_mins[Surgery Start Date]=tbl_Case_mins[[#This Row],[Surgery Start Date]])*(tbl_Case_mins[Theatre]=tbl_Case_mins[[#This Row],[Theatre]])*(tbl_Case_mins[AmCase]=1)),1)),1,0),0)</f>
        <v>0</v>
      </c>
      <c r="CR443" s="9" cm="1">
        <f t="array" ref="CR443">IFERROR(IF(AND(tbl_Case_mins[[#This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Row],[Split_Break]],0),0)</f>
        <v>0</v>
      </c>
      <c r="CS443" s="9" t="e" cm="1">
        <f t="array" ref="CS443">IF(AND(tbl_Case_mins[[#This Row],[Surgery Status]]=0,tbl_Case_mins[[#This Row],[NoInCoreTime]]=0,tbl_Case_mins[[#This Row],[Rank]]&lt;&gt;_xlfn.AGGREGATE(14,6,(tbl_Case_mins[Rank])/((tbl_Case_mins[Surgery Start Date]=tbl_Case_mins[[#This Row],[Surgery Start Date]])*(tbl_Case_mins[Theatre]=tbl_Case_mins[[#This Row],[Theatre]])),1)),SUMIFS(tbl_Case_mins[AnaesthStart],tbl_Case_mins[Rank_AnaEnd],tbl_Case_mins[[#This Row],[Rank_AnaEnd]]+1,tbl_Case_mins[Surgery Start Date],tbl_Case_mins[[#This Row],[Surgery Start Date]],tbl_Case_mins[Theatre],tbl_Case_mins[[#This Row],[Theatre]])-tbl_Case_mins[[#This Row],[Into Recov]]-tbl_Case_mins[[#This Row],[Split_Break]],0)</f>
        <v>#REF!</v>
      </c>
      <c r="CT443" s="9" cm="1">
        <f t="array" ref="CT443">IFERROR(IF(tbl_Case_mins[[#This Row],[Rank]]=_xlfn.AGGREGATE(15,6,(tbl_Case_mins[Rank])/((tbl_Case_mins[Surgery Start Date]=tbl_Case_mins[[#This Row],[Surgery Start Date]])*(tbl_Case_mins[Theatre]=tbl_Case_mins[[#This Row],[Theatre]])*(tbl_Case_mins[PmCase]=1)),1),1,0),0)</f>
        <v>0</v>
      </c>
      <c r="CU443">
        <f>IFERROR(#REF!,0)</f>
        <v>0</v>
      </c>
      <c r="CV443" s="9" t="e" cm="1">
        <f t="array" ref="CV443">IFERROR(IF(ISBLANK(INDEX(Bay_AmOpen,MATCH(1,INDEX((tbl_Case_mins[[#This Row],[Bay]]=BayNo)*(tbl_Case_mins[[#This Row],[Surgery Start Date]]=BDate),0,1),0))*1440),INDEX(Bay_Open,MATCH(TEXT(tbl_Case_mins[[#This Row],[Surgery Start Date]],"ddd"),BDay,0))*1440,INDEX(Bay_AmOpen,MATCH(1,INDEX((tbl_Case_mins[[#This Row],[Bay]]=BayNo)*(tbl_Case_mins[[#This Row],[Surgery Start Date]]=BDate),0,1),0))*1440),INDEX(Bay_Open,MATCH(TEXT(tbl_Case_mins[[#This Row],[Surgery Start Date]],"ddd"),BDay,0))*1440)</f>
        <v>#REF!</v>
      </c>
      <c r="CW443" s="9">
        <f>IFERROR(IF(ISBLANK(INDEX(Bay_AmClose,MATCH(1,INDEX((tbl_Case_mins[[#This Row],[Bay]]=BayNo)*(tbl_Case_mins[[#This Row],[Surgery Start Date]]=BDate),0,1),0))*1440),0,INDEX(Bay_AmClose,MATCH(1,INDEX((tbl_Case_mins[[#This Row],[Bay]]=BayNo)*(tbl_Case_mins[[#This Row],[Surgery Start Date]]=BDate),0,1),0))*1440),0)</f>
        <v>0</v>
      </c>
      <c r="CX443" s="9" cm="1">
        <f t="array" ref="CX443">IFERROR(IF(ISBLANK(INDEX(Bay_PmOpen,MATCH(1,INDEX((tbl_Case_mins[[#This Row],[Bay]]=BayNo)*(tbl_Case_mins[[#This Row],[Surgery Start Date]]=BDate),0,1),0))*1440),0,INDEX(Bay_PmOpen,MATCH(1,INDEX((tbl_Case_mins[[#This Row],[Bay]]=BayNo)*(tbl_Case_mins[[#This Row],[Surgery Start Date]]=BDate),0,1),0))*1440),0)</f>
        <v>0</v>
      </c>
      <c r="CY443" s="9" t="e">
        <f>IFERROR(IF(ISBLANK(INDEX(Bay_PmClose,MATCH(1,INDEX((tbl_Case_mins[[#This Row],[Bay]]=BayNo)*(tbl_Case_mins[[#This Row],[Surgery Start Date]]=BDate),0,1),0))*1440),INDEX(Bay_Closed,MATCH(TEXT(tbl_Case_mins[[#This Row],[Surgery Start Date]],"ddd"),BDay,0))*1440,INDEX(Bay_PmClose,MATCH(1,INDEX((tbl_Case_mins[[#This Row],[Bay]]=BayNo)*(tbl_Case_mins[[#This Row],[Surgery Start Date]]=BDate),0,1),0))*1440),INDEX(Bay_Closed,MATCH(TEXT(tbl_Case_mins[[#This Row],[Surgery Start Date]],"ddd"),BDay,0))*1440)</f>
        <v>#REF!</v>
      </c>
      <c r="CZ443" s="9"/>
    </row>
    <row r="444" spans="1:104" x14ac:dyDescent="0.2">
      <c r="A444">
        <f>SUBTOTAL(103,tbl_Case_mins[Counter])</f>
        <v>442</v>
      </c>
      <c r="AB444" s="9" t="e">
        <f>SUBTOTAL(109,tbl_Case_mins[CT])</f>
        <v>#REF!</v>
      </c>
      <c r="AL444" s="9" t="e">
        <f>SUBTOTAL(109,tbl_Case_mins[InCoreCase])</f>
        <v>#REF!</v>
      </c>
      <c r="AM444" s="9" t="e">
        <f>SUBTOTAL(109,tbl_Case_mins[NonCoreCase])</f>
        <v>#REF!</v>
      </c>
      <c r="AN444" s="9" t="e">
        <f>SUBTOTAL(109,tbl_Case_mins[CancelledCase])</f>
        <v>#REF!</v>
      </c>
      <c r="AO444" s="9" t="e">
        <f>SUBTOTAL(109,tbl_Case_mins[NoInCoreTime])</f>
        <v>#REF!</v>
      </c>
      <c r="AP444" s="9" t="e">
        <f>SUBTOTAL(109,tbl_Case_mins[NonCoreInCoreTimeCase])</f>
        <v>#REF!</v>
      </c>
      <c r="AQ444" s="9" t="e">
        <f>SUBTOTAL(109,tbl_Case_mins[Ex_CoreTime])</f>
        <v>#REF!</v>
      </c>
      <c r="AR444" s="9" t="e">
        <f>SUBTOTAL(109,tbl_Case_mins[InCore_Sch])</f>
        <v>#REF!</v>
      </c>
      <c r="AS444" s="9" t="e">
        <f>SUBTOTAL(109,tbl_Case_mins[InCore_Unsch])</f>
        <v>#REF!</v>
      </c>
      <c r="AT444" s="9" t="e">
        <f>SUBTOTAL(109,tbl_Case_mins[AmCase])</f>
        <v>#REF!</v>
      </c>
      <c r="AU444" s="9" t="e">
        <f>SUBTOTAL(109,tbl_Case_mins[PmCase])</f>
        <v>#REF!</v>
      </c>
      <c r="AV444" s="9" t="e">
        <f>SUBTOTAL(109,tbl_Case_mins[AllDay Case])</f>
        <v>#REF!</v>
      </c>
      <c r="AW444" s="9" t="e">
        <f>SUBTOTAL(109,tbl_Case_mins[Ana_time])</f>
        <v>#REF!</v>
      </c>
      <c r="AX444" s="9" t="e">
        <f>SUBTOTAL(109,tbl_Case_mins[Surg_time])</f>
        <v>#REF!</v>
      </c>
      <c r="AY444" s="9" t="e">
        <f>SUBTOTAL(109,tbl_Case_mins[AnaPreSurg])</f>
        <v>#REF!</v>
      </c>
      <c r="AZ444" s="9" t="e">
        <f>SUBTOTAL(109,tbl_Case_mins[AnaPostSurg])</f>
        <v>#REF!</v>
      </c>
      <c r="BA444" s="9" t="e">
        <f>SUBTOTAL(109,tbl_Case_mins[Th_time])</f>
        <v>#REF!</v>
      </c>
      <c r="BB444" s="9" t="e">
        <f>SUBTOTAL(109,tbl_Case_mins[EarlyStartAM])</f>
        <v>#REF!</v>
      </c>
      <c r="BC444" s="9">
        <f>SUBTOTAL(109,tbl_Case_mins[DelayStartAM])</f>
        <v>0</v>
      </c>
      <c r="BD444" s="9" t="e">
        <f>SUBTOTAL(109,tbl_Case_mins[Start_Status])</f>
        <v>#REF!</v>
      </c>
      <c r="BE444" s="9" t="e">
        <f>SUBTOTAL(109,tbl_Case_mins[FirstAMCase])</f>
        <v>#REF!</v>
      </c>
      <c r="BF444" s="9" t="e">
        <f>SUBTOTAL(109,tbl_Case_mins[InCoreAM])</f>
        <v>#REF!</v>
      </c>
      <c r="BG444" s="9" t="e">
        <f>SUBTOTAL(109,tbl_Case_mins[AMOverRun])</f>
        <v>#REF!</v>
      </c>
      <c r="BH444" s="9" t="e">
        <f>SUBTOTAL(109,tbl_Case_mins[AMUnderRun])</f>
        <v>#REF!</v>
      </c>
      <c r="BI444" s="9" t="e">
        <f>SUBTOTAL(109,tbl_Case_mins[EarlyStartPM])</f>
        <v>#REF!</v>
      </c>
      <c r="BJ444" s="9" t="e">
        <f>SUBTOTAL(109,tbl_Case_mins[Split_Break])</f>
        <v>#REF!</v>
      </c>
      <c r="BK444" s="9" t="e">
        <f>SUBTOTAL(109,tbl_Case_mins[DelayStartPM])</f>
        <v>#REF!</v>
      </c>
      <c r="BL444" s="9" t="e">
        <f>SUBTOTAL(109,tbl_Case_mins[AmInCorePm])</f>
        <v>#REF!</v>
      </c>
      <c r="BM444" s="9" t="e">
        <f>SUBTOTAL(109,tbl_Case_mins[InCorePM])</f>
        <v>#REF!</v>
      </c>
      <c r="BN444" s="9" t="e">
        <f>SUM(tbl_Case_mins[PMUnderRun])</f>
        <v>#REF!</v>
      </c>
      <c r="BO444" s="9" t="e">
        <f>SUBTOTAL(109,tbl_Case_mins[OutOfCorePM])</f>
        <v>#REF!</v>
      </c>
      <c r="BP444" s="9" t="e">
        <f>SUBTOTAL(104,tbl_Case_mins[PMOverRun])</f>
        <v>#REF!</v>
      </c>
      <c r="BQ444" s="9" t="e">
        <f>SUBTOTAL(109,tbl_Case_mins[Core_Time])</f>
        <v>#REF!</v>
      </c>
      <c r="BR444" s="9" t="e">
        <f>SUBTOTAL(109,tbl_Case_mins[Poss_Time])</f>
        <v>#REF!</v>
      </c>
      <c r="BS444" s="9" t="e">
        <f>SUBTOTAL(109,tbl_Case_mins[Target_Util])</f>
        <v>#REF!</v>
      </c>
      <c r="BT444" s="9" t="e">
        <f>SUM(tbl_Case_mins[InCoreUse])</f>
        <v>#REF!</v>
      </c>
      <c r="BU444" s="9" t="e">
        <f>SUM(tbl_Case_mins[ICU])</f>
        <v>#REF!</v>
      </c>
      <c r="BV444" s="9" t="e">
        <f>SUBTOTAL(109,tbl_Case_mins[InCore Unused])</f>
        <v>#REF!</v>
      </c>
      <c r="BW444" s="9" t="e">
        <f>SUBTOTAL(109,tbl_Case_mins[Total_NonCore])</f>
        <v>#REF!</v>
      </c>
      <c r="BX444" s="9" t="e">
        <f>SUBTOTAL(109,tbl_Case_mins[NextDay_NonCore])</f>
        <v>#REF!</v>
      </c>
      <c r="BY444" s="9" t="e">
        <f>SUBTOTAL(109,tbl_Case_mins[SameDay_NonCore])</f>
        <v>#REF!</v>
      </c>
      <c r="BZ444" s="10" t="e">
        <f>SUBTOTAL(109,tbl_Case_mins[InCoreHrs])</f>
        <v>#REF!</v>
      </c>
      <c r="CA444" s="10" t="e">
        <f>SUBTOTAL(109,tbl_Case_mins[NonCoreHrs])</f>
        <v>#REF!</v>
      </c>
      <c r="CB444" t="e">
        <f>SUBTOTAL(104,tbl_Case_mins[Rank_Adjust])</f>
        <v>#REF!</v>
      </c>
      <c r="CC444" s="9">
        <f>SUBTOTAL(104,tbl_Case_mins[Rank])</f>
        <v>0</v>
      </c>
      <c r="CD444" s="9" t="e">
        <f>SUBTOTAL(104,tbl_Case_mins[Rank_AnaSt])</f>
        <v>#REF!</v>
      </c>
      <c r="CE444" s="9" t="e">
        <f>SUBTOTAL(104,tbl_Case_mins[Rank_AnaEnd])</f>
        <v>#REF!</v>
      </c>
      <c r="CF444" s="9"/>
      <c r="CG444" s="9"/>
      <c r="CH444" s="9" t="e">
        <f>SUBTOTAL(109,tbl_Case_mins[SmlLg_End])</f>
        <v>#REF!</v>
      </c>
      <c r="CI444" s="9" t="e">
        <f>SUBTOTAL(109,tbl_Case_mins[SmlLg_Start])</f>
        <v>#REF!</v>
      </c>
      <c r="CJ444" t="e">
        <f>SUBTOTAL(109,tbl_Case_mins[Overlaps])</f>
        <v>#REF!</v>
      </c>
      <c r="CK444" s="9" t="e">
        <f>SUBTOTAL(109,tbl_Case_mins[Delay_CT_Start])</f>
        <v>#REF!</v>
      </c>
      <c r="CL444" s="9" t="e">
        <f>SUBTOTAL(109,tbl_Case_mins[Delay_No_CT])</f>
        <v>#REF!</v>
      </c>
      <c r="CM444" s="9" t="e">
        <f>SUBTOTAL(109,tbl_Case_mins[Intervals])</f>
        <v>#REF!</v>
      </c>
      <c r="CN444" s="9" t="e">
        <f>SUBTOTAL(109,tbl_Case_mins[IOI])</f>
        <v>#REF!</v>
      </c>
      <c r="CO444" s="9">
        <f>SUBTOTAL(109,tbl_Case_mins[IR_Interval])</f>
        <v>0</v>
      </c>
      <c r="CP444" s="9"/>
      <c r="CQ444" s="9">
        <f>SUBTOTAL(109,tbl_Case_mins[Last Am Case])</f>
        <v>0</v>
      </c>
      <c r="CR444" s="9"/>
      <c r="CS444" s="9"/>
      <c r="CT444" s="9"/>
      <c r="CY444" s="9"/>
    </row>
    <row r="446" spans="1:104" x14ac:dyDescent="0.2">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10"/>
      <c r="BV446" s="9"/>
      <c r="BW446" s="9"/>
      <c r="BX446" s="9"/>
      <c r="BY446" s="9"/>
      <c r="CB446" s="9"/>
      <c r="CC446" s="9"/>
      <c r="CD446" s="9"/>
      <c r="CE446" s="9"/>
      <c r="CF446" s="9"/>
      <c r="CG446" s="9"/>
      <c r="CH446" s="9"/>
      <c r="CO446" s="9"/>
    </row>
    <row r="452" spans="72:72" x14ac:dyDescent="0.2">
      <c r="BT452" s="9"/>
    </row>
  </sheetData>
  <phoneticPr fontId="11" type="noConversion"/>
  <pageMargins left="0.7" right="0.7" top="0.75" bottom="0.75" header="0.3" footer="0.3"/>
  <pageSetup paperSize="9" orientation="portrait" r:id="rId1"/>
  <tableParts count="1">
    <tablePart r:id="rId2"/>
  </tableParts>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4"/>
    <pageSetUpPr fitToPage="1"/>
  </sheetPr>
  <dimension ref="A1:O443"/>
  <sheetViews>
    <sheetView showGridLines="0" tabSelected="1" topLeftCell="B1" zoomScale="95" zoomScaleNormal="95" workbookViewId="0">
      <pane ySplit="1" topLeftCell="A2" activePane="bottomLeft" state="frozen"/>
      <selection activeCell="B1" sqref="B1"/>
      <selection pane="bottomLeft" activeCell="Q38" sqref="Q38"/>
    </sheetView>
  </sheetViews>
  <sheetFormatPr baseColWidth="10" defaultColWidth="9.33203125" defaultRowHeight="15" x14ac:dyDescent="0.2"/>
  <cols>
    <col min="1" max="1" width="5" hidden="1" customWidth="1"/>
    <col min="3" max="3" width="13.6640625" style="15" customWidth="1"/>
    <col min="4" max="4" width="9.33203125" style="9"/>
    <col min="5" max="5" width="14.6640625" style="15" customWidth="1"/>
    <col min="6" max="6" width="15.5" customWidth="1"/>
    <col min="7" max="7" width="14.6640625" style="53" customWidth="1"/>
    <col min="8" max="8" width="12.1640625" style="53" customWidth="1"/>
    <col min="9" max="9" width="13" style="53" customWidth="1"/>
    <col min="10" max="10" width="15.6640625" style="53" customWidth="1"/>
    <col min="11" max="11" width="11.33203125" style="53" customWidth="1"/>
    <col min="12" max="12" width="16.5" style="4" customWidth="1"/>
    <col min="13" max="13" width="60.6640625" customWidth="1"/>
    <col min="15" max="15" width="10.1640625" bestFit="1" customWidth="1"/>
  </cols>
  <sheetData>
    <row r="1" spans="1:15" ht="42" customHeight="1" thickBot="1" x14ac:dyDescent="0.25">
      <c r="A1" s="8" t="s">
        <v>47</v>
      </c>
      <c r="B1" s="89" t="s">
        <v>6</v>
      </c>
      <c r="C1" s="19" t="s">
        <v>25</v>
      </c>
      <c r="D1" s="85" t="s">
        <v>34</v>
      </c>
      <c r="E1" s="86" t="s">
        <v>52</v>
      </c>
      <c r="F1" s="108" t="s">
        <v>54</v>
      </c>
      <c r="G1" s="18" t="s">
        <v>144</v>
      </c>
      <c r="H1" s="18" t="s">
        <v>60</v>
      </c>
      <c r="I1" s="18" t="s">
        <v>61</v>
      </c>
      <c r="J1" s="18" t="s">
        <v>145</v>
      </c>
      <c r="K1" s="18" t="s">
        <v>146</v>
      </c>
      <c r="L1" s="87" t="s">
        <v>66</v>
      </c>
      <c r="M1" s="88" t="s">
        <v>147</v>
      </c>
    </row>
    <row r="2" spans="1:15" ht="16" thickTop="1" x14ac:dyDescent="0.2">
      <c r="A2">
        <f t="shared" ref="A2:A65" si="0">ROW()-1</f>
        <v>1</v>
      </c>
      <c r="B2" t="s">
        <v>236</v>
      </c>
      <c r="C2" s="55" t="s">
        <v>71</v>
      </c>
      <c r="D2" s="9">
        <v>351</v>
      </c>
      <c r="E2"/>
      <c r="F2" s="4" t="d">
        <f ca="1">Table9[[#This Row],[Surgery Start Date]]+1</f>
        <v>2020-03-02</v>
      </c>
      <c r="G2" s="53" t="d">
        <v>08:24:59.99999999999786775</v>
      </c>
      <c r="H2" s="53" t="d">
        <v>08:50:00.00000000000213225</v>
      </c>
      <c r="I2" s="53" t="d">
        <v>09:04:59.99999999999893725</v>
      </c>
      <c r="J2" s="53" t="d">
        <v>09:07:59.99999999999829150</v>
      </c>
      <c r="K2" s="53" t="d">
        <v>09:09:59.99999999999786775</v>
      </c>
      <c r="O2" s="4"/>
    </row>
    <row r="3" spans="1:15" x14ac:dyDescent="0.2">
      <c r="A3">
        <f t="shared" si="0"/>
        <v>2</v>
      </c>
      <c r="B3" t="s">
        <v>237</v>
      </c>
      <c r="C3" s="50" t="s">
        <v>72</v>
      </c>
      <c r="D3" s="9">
        <v>223</v>
      </c>
      <c r="E3"/>
      <c r="F3" s="4" t="d">
        <f ca="1">Table9[[#This Row],[Surgery Start Date]]+1</f>
        <v>2020-03-02</v>
      </c>
      <c r="G3" s="53" t="d">
        <v>07:56:59.99999999999424225</v>
      </c>
      <c r="H3" s="53" t="d">
        <v>08:03:59.999999999997548925</v>
      </c>
      <c r="I3" s="53" t="d">
        <v>08:09:59.99999999999627025</v>
      </c>
      <c r="J3" s="53" t="d">
        <v>08:11:00.00000000000085425</v>
      </c>
      <c r="K3" s="53" t="d">
        <v>08:11:59.99999999999584650</v>
      </c>
      <c r="O3" s="4"/>
    </row>
    <row r="4" spans="1:15" x14ac:dyDescent="0.2">
      <c r="A4">
        <f t="shared" si="0"/>
        <v>3</v>
      </c>
      <c r="B4" t="s">
        <v>237</v>
      </c>
      <c r="C4" s="50" t="s">
        <v>72</v>
      </c>
      <c r="D4" s="9">
        <v>351</v>
      </c>
      <c r="E4"/>
      <c r="F4" s="4" t="d">
        <f ca="1">Table9[[#This Row],[Surgery Start Date]]+1</f>
        <v>2020-03-02</v>
      </c>
      <c r="G4" s="53" t="d">
        <v>08:11:59.99999999999584650</v>
      </c>
      <c r="H4" s="53" t="d">
        <v>08:50:00.00000000000213225</v>
      </c>
      <c r="I4" s="53" t="d">
        <v>09:49:59.99999999999893725</v>
      </c>
      <c r="J4" s="53" t="d">
        <v>09:50:59.99999999999872200</v>
      </c>
      <c r="K4" s="53" t="d">
        <v>09:56:59.999999999997441975</v>
      </c>
      <c r="O4" s="4"/>
    </row>
    <row r="5" spans="1:15" x14ac:dyDescent="0.2">
      <c r="A5">
        <f t="shared" si="0"/>
        <v>4</v>
      </c>
      <c r="B5" t="s">
        <v>237</v>
      </c>
      <c r="C5" s="50" t="s">
        <v>72</v>
      </c>
      <c r="D5" s="9">
        <v>351</v>
      </c>
      <c r="E5"/>
      <c r="F5" s="4" t="d">
        <f ca="1">Table9[[#This Row],[Surgery Start Date]]+1</f>
        <v>2020-03-02</v>
      </c>
      <c r="G5" s="53" t="d">
        <v>10:24:59.99999999999627025</v>
      </c>
      <c r="H5" s="53" t="d">
        <v>10:50:00.00000000000053475</v>
      </c>
      <c r="I5" s="53" t="d">
        <v>12:07:00.00000000000809850</v>
      </c>
      <c r="J5" s="53" t="d">
        <v>12:17:00.00000000000596625</v>
      </c>
      <c r="K5" s="53" t="d">
        <v>12:18:00.00000000000575775</v>
      </c>
      <c r="O5" s="4"/>
    </row>
    <row r="6" spans="1:15" x14ac:dyDescent="0.2">
      <c r="A6">
        <f t="shared" si="0"/>
        <v>5</v>
      </c>
      <c r="B6" t="s">
        <v>237</v>
      </c>
      <c r="C6" s="50" t="s">
        <v>72</v>
      </c>
      <c r="D6" s="9">
        <v>223</v>
      </c>
      <c r="E6"/>
      <c r="F6" s="4" t="d">
        <f ca="1">Table9[[#This Row],[Surgery Start Date]]+1</f>
        <v>2020-03-02</v>
      </c>
      <c r="G6" s="53" t="d">
        <v>13:10:00.00000000000426450</v>
      </c>
      <c r="H6" s="53" t="d">
        <v>14:20:00.00000000000852900</v>
      </c>
      <c r="I6" s="53" t="d">
        <v>18:10:00.00000000000745950</v>
      </c>
      <c r="J6" s="53" t="d">
        <v>19:00:00.00000000000639675</v>
      </c>
      <c r="K6" s="53" t="d">
        <v>19:00:59.99999999999658975</v>
      </c>
      <c r="O6" s="4"/>
    </row>
    <row r="7" spans="1:15" x14ac:dyDescent="0.2">
      <c r="A7">
        <f t="shared" si="0"/>
        <v>6</v>
      </c>
      <c r="B7" t="s">
        <v>238</v>
      </c>
      <c r="C7" s="50" t="s">
        <v>72</v>
      </c>
      <c r="D7" s="9">
        <v>252</v>
      </c>
      <c r="E7" s="56"/>
      <c r="F7" s="4" t="d">
        <f ca="1">Table9[[#This Row],[Surgery Start Date]]+1</f>
        <v>2020-03-02</v>
      </c>
      <c r="G7" s="53" t="d">
        <v>08:15:00.000</v>
      </c>
      <c r="H7" s="53" t="d">
        <v>08:29:59.9999999999968050</v>
      </c>
      <c r="I7" s="53" t="d">
        <v>09:20:00.00000000000053475</v>
      </c>
      <c r="J7" s="53" t="d">
        <v>09:23:59.99999999999968050</v>
      </c>
      <c r="K7" s="53" t="d">
        <v>09:24:59.99999999999467275</v>
      </c>
      <c r="O7" s="4"/>
    </row>
    <row r="8" spans="1:15" x14ac:dyDescent="0.2">
      <c r="A8">
        <f t="shared" si="0"/>
        <v>7</v>
      </c>
      <c r="B8" t="s">
        <v>238</v>
      </c>
      <c r="C8" s="55" t="s">
        <v>72</v>
      </c>
      <c r="D8" s="9">
        <v>252</v>
      </c>
      <c r="E8" s="56"/>
      <c r="F8" s="4" t="d">
        <f ca="1">Table9[[#This Row],[Surgery Start Date]]+1</f>
        <v>2020-03-02</v>
      </c>
      <c r="G8" s="53" t="d">
        <v>09:04:59.99999999999893725</v>
      </c>
      <c r="H8" s="53" t="d">
        <v>09:20:00.00000000000053475</v>
      </c>
      <c r="I8" s="53" t="d">
        <v>09:45:00.000</v>
      </c>
      <c r="J8" s="53" t="d">
        <v>09:46:59.99999999999957625</v>
      </c>
      <c r="K8" s="53" t="d">
        <v>09:47:59.99999999999936100</v>
      </c>
      <c r="M8" s="54"/>
      <c r="O8" s="4"/>
    </row>
    <row r="9" spans="1:15" x14ac:dyDescent="0.2">
      <c r="A9">
        <f t="shared" si="0"/>
        <v>8</v>
      </c>
      <c r="B9" t="s">
        <v>238</v>
      </c>
      <c r="C9" s="55" t="s">
        <v>72</v>
      </c>
      <c r="D9" s="9">
        <v>252</v>
      </c>
      <c r="E9" s="56"/>
      <c r="F9" s="4" t="d">
        <f ca="1">Table9[[#This Row],[Surgery Start Date]]+1</f>
        <v>2020-03-02</v>
      </c>
      <c r="G9" s="53" t="d">
        <v>09:49:59.99999999999893725</v>
      </c>
      <c r="H9" s="53" t="d">
        <v>10:05:00.00000000000053475</v>
      </c>
      <c r="I9" s="53" t="d">
        <v>10:20:00.00000000000213225</v>
      </c>
      <c r="J9" s="53" t="d">
        <v>10:24:59.99999999999627025</v>
      </c>
      <c r="K9" s="53" t="d">
        <v>10:26:00.00000000000085425</v>
      </c>
      <c r="M9" s="54"/>
      <c r="O9" s="4"/>
    </row>
    <row r="10" spans="1:15" x14ac:dyDescent="0.2">
      <c r="A10">
        <f t="shared" si="0"/>
        <v>9</v>
      </c>
      <c r="B10" t="s">
        <v>238</v>
      </c>
      <c r="C10" s="55" t="s">
        <v>72</v>
      </c>
      <c r="D10" s="9">
        <v>252</v>
      </c>
      <c r="E10" s="56"/>
      <c r="F10" s="4" t="d">
        <f ca="1">Table9[[#This Row],[Surgery Start Date]]+1</f>
        <v>2020-03-02</v>
      </c>
      <c r="G10" s="53" t="d">
        <v>10:24:59.99999999999627025</v>
      </c>
      <c r="H10" s="53" t="d">
        <v>10:54:59.99999999999467275</v>
      </c>
      <c r="I10" s="53" t="d">
        <v>12:09:59.99999999999786775</v>
      </c>
      <c r="J10" s="53" t="d">
        <v>12:11:00.00000000000724425</v>
      </c>
      <c r="K10" s="53" t="d">
        <v>12:20:00.00000000000532725</v>
      </c>
      <c r="M10" s="54"/>
      <c r="O10" s="4"/>
    </row>
    <row r="11" spans="1:15" x14ac:dyDescent="0.2">
      <c r="A11">
        <f t="shared" si="0"/>
        <v>10</v>
      </c>
      <c r="B11" t="s">
        <v>238</v>
      </c>
      <c r="C11" s="55" t="s">
        <v>72</v>
      </c>
      <c r="D11" s="9">
        <v>252</v>
      </c>
      <c r="E11" s="56"/>
      <c r="F11" s="4" t="d">
        <f ca="1">Table9[[#This Row],[Surgery Start Date]]+1</f>
        <v>2020-03-02</v>
      </c>
      <c r="G11" s="53" t="d">
        <v>12:00:01</v>
      </c>
      <c r="H11" s="53" t="d">
        <v>12:45:00.000</v>
      </c>
      <c r="I11" s="53" t="d">
        <v>15:19:59.99999999999573550</v>
      </c>
      <c r="J11" s="53" t="d">
        <v>15:35:00.00000000000213225</v>
      </c>
      <c r="K11" s="53" t="d">
        <v>15:40:00.00000000001066125</v>
      </c>
      <c r="M11" s="54"/>
      <c r="O11" s="4"/>
    </row>
    <row r="12" spans="1:15" x14ac:dyDescent="0.2">
      <c r="A12">
        <f t="shared" si="0"/>
        <v>11</v>
      </c>
      <c r="B12" t="s">
        <v>239</v>
      </c>
      <c r="C12" s="55" t="s">
        <v>72</v>
      </c>
      <c r="D12" s="9">
        <v>427</v>
      </c>
      <c r="E12" s="56"/>
      <c r="F12" s="4" t="d">
        <f ca="1">Table9[[#This Row],[Surgery Start Date]]+1</f>
        <v>2020-03-02</v>
      </c>
      <c r="G12" s="53" t="d">
        <v>08:39:59.99999999999467275</v>
      </c>
      <c r="H12" s="53" t="d">
        <v>08:50:00.00000000000213225</v>
      </c>
      <c r="I12" s="53" t="d">
        <v>09:29:59.9999999999984025</v>
      </c>
      <c r="J12" s="53" t="d">
        <v>09:37:59.99999999999669400</v>
      </c>
      <c r="K12" s="53" t="d">
        <v>09:39:59.99999999999627025</v>
      </c>
      <c r="M12" s="54"/>
      <c r="O12" s="4"/>
    </row>
    <row r="13" spans="1:15" x14ac:dyDescent="0.2">
      <c r="A13">
        <f t="shared" si="0"/>
        <v>12</v>
      </c>
      <c r="B13" t="s">
        <v>239</v>
      </c>
      <c r="C13" s="55" t="s">
        <v>72</v>
      </c>
      <c r="D13" s="9">
        <v>427</v>
      </c>
      <c r="E13" s="56"/>
      <c r="F13" s="4" t="d">
        <f ca="1">Table9[[#This Row],[Surgery Start Date]]+1</f>
        <v>2020-03-02</v>
      </c>
      <c r="G13" s="53" t="d">
        <v>09:31:00.00000000000298650</v>
      </c>
      <c r="H13" s="53" t="d">
        <v>10:30:00.000</v>
      </c>
      <c r="I13" s="53" t="d">
        <v>11:30:00.0000000000015975</v>
      </c>
      <c r="J13" s="53" t="d">
        <v>11:32:00.00000000000117375</v>
      </c>
      <c r="K13" s="53" t="d">
        <v>11:35:00.00000000000053475</v>
      </c>
      <c r="M13" s="54"/>
      <c r="O13" s="4"/>
    </row>
    <row r="14" spans="1:15" x14ac:dyDescent="0.2">
      <c r="A14">
        <f t="shared" si="0"/>
        <v>13</v>
      </c>
      <c r="B14" t="s">
        <v>239</v>
      </c>
      <c r="C14" s="55" t="s">
        <v>72</v>
      </c>
      <c r="D14" s="9">
        <v>427</v>
      </c>
      <c r="E14" s="56"/>
      <c r="F14" s="4" t="d">
        <f ca="1">Table9[[#This Row],[Surgery Start Date]]+1</f>
        <v>2020-03-02</v>
      </c>
      <c r="G14" s="53" t="d">
        <v>11:35:00.00000000000053475</v>
      </c>
      <c r="H14" s="53" t="d">
        <v>13:00:00.00000000000639675</v>
      </c>
      <c r="I14" s="53" t="d">
        <v>15:25:00.00000000000426450</v>
      </c>
      <c r="J14" s="53" t="d">
        <v>15:30:00.0000000000031950</v>
      </c>
      <c r="K14" s="53" t="d">
        <v>15:40:00.00000000001066125</v>
      </c>
      <c r="M14" s="54"/>
      <c r="O14" s="4"/>
    </row>
    <row r="15" spans="1:15" x14ac:dyDescent="0.2">
      <c r="A15">
        <f t="shared" si="0"/>
        <v>14</v>
      </c>
      <c r="B15" t="s">
        <v>240</v>
      </c>
      <c r="C15" s="55" t="s">
        <v>71</v>
      </c>
      <c r="D15" s="9">
        <v>351</v>
      </c>
      <c r="E15" s="56"/>
      <c r="F15" s="4" t="d">
        <f ca="1">Table9[[#This Row],[Surgery Start Date]]+1</f>
        <v>2020-03-02</v>
      </c>
      <c r="G15" s="53" t="d">
        <v>08:09:59.99999999999627025</v>
      </c>
      <c r="H15" s="53" t="d">
        <v>08:17:59.99999999999936100</v>
      </c>
      <c r="I15" s="53" t="d">
        <v>08:50:00.00000000000213225</v>
      </c>
      <c r="J15" s="53" t="d">
        <v>08:52:00.00000000000170850</v>
      </c>
      <c r="K15" s="53" t="d">
        <v>08:54:00.00000000000127800</v>
      </c>
      <c r="M15" s="54"/>
      <c r="O15" s="4"/>
    </row>
    <row r="16" spans="1:15" x14ac:dyDescent="0.2">
      <c r="A16">
        <f t="shared" si="0"/>
        <v>15</v>
      </c>
      <c r="B16" t="s">
        <v>240</v>
      </c>
      <c r="C16" s="55" t="s">
        <v>71</v>
      </c>
      <c r="D16" s="9">
        <v>351</v>
      </c>
      <c r="E16" s="56"/>
      <c r="F16" s="4" t="d">
        <f ca="1">Table9[[#This Row],[Surgery Start Date]]+1</f>
        <v>2020-03-02</v>
      </c>
      <c r="G16" s="53" t="d">
        <v>09:09:59.99999999999786775</v>
      </c>
      <c r="H16" s="53" t="d">
        <v>09:43:59.99999999999541600</v>
      </c>
      <c r="I16" s="53" t="d">
        <v>09:52:59.99999999999829150</v>
      </c>
      <c r="J16" s="53" t="d">
        <v>09:55:59.9999999999976525</v>
      </c>
      <c r="K16" s="53" t="d">
        <v>09:56:59.999999999997441975</v>
      </c>
      <c r="M16" s="54"/>
      <c r="O16" s="4"/>
    </row>
    <row r="17" spans="1:15" x14ac:dyDescent="0.2">
      <c r="A17">
        <f t="shared" si="0"/>
        <v>16</v>
      </c>
      <c r="B17" t="s">
        <v>240</v>
      </c>
      <c r="C17" s="55" t="s">
        <v>71</v>
      </c>
      <c r="D17" s="9">
        <v>351</v>
      </c>
      <c r="E17" s="56"/>
      <c r="F17" s="4" t="d">
        <f ca="1">Table9[[#This Row],[Surgery Start Date]]+1</f>
        <v>2020-03-02</v>
      </c>
      <c r="G17" s="53" t="d">
        <v>10:03:00.00000000000095850</v>
      </c>
      <c r="H17" s="53" t="d">
        <v>10:28:00.00000000000042375</v>
      </c>
      <c r="I17" s="53" t="d">
        <v>11:16:59.99999999999477700</v>
      </c>
      <c r="J17" s="53" t="d">
        <v>11:22:00.00000000000330600</v>
      </c>
      <c r="K17" s="53" t="d">
        <v>11:22:59.99999999999349900</v>
      </c>
      <c r="M17" s="54"/>
      <c r="O17" s="4"/>
    </row>
    <row r="18" spans="1:15" x14ac:dyDescent="0.2">
      <c r="A18">
        <f t="shared" si="0"/>
        <v>17</v>
      </c>
      <c r="B18" t="s">
        <v>240</v>
      </c>
      <c r="C18" s="55" t="s">
        <v>71</v>
      </c>
      <c r="D18" s="9">
        <v>351</v>
      </c>
      <c r="E18" s="56"/>
      <c r="F18" s="4" t="d">
        <f ca="1">Table9[[#This Row],[Surgery Start Date]]+1</f>
        <v>2020-03-02</v>
      </c>
      <c r="G18" s="53" t="d">
        <v>11:26:00.00000000000245175</v>
      </c>
      <c r="H18" s="53" t="d">
        <v>12:03:59.99999999999914575</v>
      </c>
      <c r="I18" s="53" t="d">
        <v>13:20:00.00000000000213225</v>
      </c>
      <c r="J18" s="53" t="d">
        <v>13:35:59.99999999999872200</v>
      </c>
      <c r="K18" s="53" t="d">
        <v>13:37:00.00000000000809850</v>
      </c>
      <c r="M18" s="54"/>
      <c r="O18" s="4"/>
    </row>
    <row r="19" spans="1:15" x14ac:dyDescent="0.2">
      <c r="A19">
        <f t="shared" si="0"/>
        <v>18</v>
      </c>
      <c r="B19" t="s">
        <v>240</v>
      </c>
      <c r="C19" s="55" t="s">
        <v>71</v>
      </c>
      <c r="D19" s="9">
        <v>351</v>
      </c>
      <c r="E19" s="56"/>
      <c r="F19" s="4" t="d">
        <f ca="1">Table9[[#This Row],[Surgery Start Date]]+1</f>
        <v>2020-03-02</v>
      </c>
      <c r="G19" s="53" t="d">
        <v>13:39:59.99999999999786775</v>
      </c>
      <c r="H19" s="53" t="d">
        <v>14:08:00.00000000000149325</v>
      </c>
      <c r="I19" s="53" t="d">
        <v>15:40:00.00000000001066125</v>
      </c>
      <c r="J19" s="53" t="d">
        <v>15:41:00.00000000000085425</v>
      </c>
      <c r="K19" s="53" t="d">
        <v>15:52:59.99999999999829150</v>
      </c>
      <c r="M19" s="54"/>
      <c r="O19" s="4"/>
    </row>
    <row r="20" spans="1:15" x14ac:dyDescent="0.2">
      <c r="A20">
        <f t="shared" si="0"/>
        <v>19</v>
      </c>
      <c r="B20" t="s">
        <v>241</v>
      </c>
      <c r="C20" s="55" t="s">
        <v>72</v>
      </c>
      <c r="D20" s="9">
        <v>388</v>
      </c>
      <c r="E20" s="56"/>
      <c r="F20" s="4" t="d">
        <f ca="1">Table9[[#This Row],[Surgery Start Date]]+1</f>
        <v>2020-03-02</v>
      </c>
      <c r="G20" s="53" t="d">
        <v>08:29:59.9999999999968050</v>
      </c>
      <c r="H20" s="53" t="d">
        <v>08:50:00.00000000000213225</v>
      </c>
      <c r="I20" s="53" t="d">
        <v>09:03:59.99999999999914575</v>
      </c>
      <c r="J20" s="53" t="d">
        <v>09:04:59.99999999999893725</v>
      </c>
      <c r="K20" s="53" t="d">
        <v>09:14:59.9999999999968050</v>
      </c>
      <c r="M20" s="54"/>
      <c r="O20" s="4"/>
    </row>
    <row r="21" spans="1:15" x14ac:dyDescent="0.2">
      <c r="A21">
        <f t="shared" si="0"/>
        <v>20</v>
      </c>
      <c r="B21" t="s">
        <v>241</v>
      </c>
      <c r="C21" s="55" t="s">
        <v>72</v>
      </c>
      <c r="D21" s="9">
        <v>388</v>
      </c>
      <c r="E21" s="56"/>
      <c r="F21" s="4" t="d">
        <f ca="1">Table9[[#This Row],[Surgery Start Date]]+1</f>
        <v>2020-03-02</v>
      </c>
      <c r="G21" s="53" t="d">
        <v>10:37:59.99999999999829150</v>
      </c>
      <c r="H21" s="53" t="d">
        <v>11:30:00.0000000000015975</v>
      </c>
      <c r="I21" s="53" t="d">
        <v>15:00:00.000</v>
      </c>
      <c r="J21" s="53" t="d">
        <v>15:30:00.0000000000031950</v>
      </c>
      <c r="K21" s="53" t="d">
        <v>15:31:00.00000000000298650</v>
      </c>
      <c r="M21" s="54"/>
      <c r="O21" s="4"/>
    </row>
    <row r="22" spans="1:15" x14ac:dyDescent="0.2">
      <c r="A22">
        <f t="shared" si="0"/>
        <v>21</v>
      </c>
      <c r="B22" t="s">
        <v>236</v>
      </c>
      <c r="C22" s="55" t="s">
        <v>72</v>
      </c>
      <c r="D22" s="9">
        <v>388</v>
      </c>
      <c r="E22" s="56"/>
      <c r="F22" s="4" t="d">
        <f ca="1">Table9[[#This Row],[Surgery Start Date]]+1</f>
        <v>2020-03-03</v>
      </c>
      <c r="G22" s="53" t="d">
        <v>08:17:59.99999999999936100</v>
      </c>
      <c r="H22" s="53" t="d">
        <v>08:39:59.99999999999467275</v>
      </c>
      <c r="I22" s="53" t="d">
        <v>09:51:59.99999999999850675</v>
      </c>
      <c r="J22" s="53" t="d">
        <v>09:54:59.99999999999786775</v>
      </c>
      <c r="K22" s="53" t="d">
        <v>09:56:59.999999999997441975</v>
      </c>
      <c r="M22" s="54"/>
      <c r="O22" s="4"/>
    </row>
    <row r="23" spans="1:15" x14ac:dyDescent="0.2">
      <c r="A23">
        <f t="shared" si="0"/>
        <v>22</v>
      </c>
      <c r="B23" t="s">
        <v>236</v>
      </c>
      <c r="C23" s="55" t="s">
        <v>72</v>
      </c>
      <c r="D23" s="9">
        <v>76</v>
      </c>
      <c r="E23" s="56"/>
      <c r="F23" s="4" t="d">
        <f ca="1">Table9[[#This Row],[Surgery Start Date]]+1</f>
        <v>2020-03-03</v>
      </c>
      <c r="G23" s="53" t="d">
        <v>10:59:59.9999999999984025</v>
      </c>
      <c r="H23" s="53" t="d">
        <v>11:39:59.99999999999946525</v>
      </c>
      <c r="I23" s="53" t="d">
        <v>11:52:59.99999999999669400</v>
      </c>
      <c r="J23" s="53" t="d">
        <v>12:00:01</v>
      </c>
      <c r="K23" s="53" t="d">
        <v>12:20:00.00000000000532725</v>
      </c>
      <c r="M23" s="54"/>
      <c r="O23" s="4"/>
    </row>
    <row r="24" spans="1:15" x14ac:dyDescent="0.2">
      <c r="A24">
        <f t="shared" si="0"/>
        <v>23</v>
      </c>
      <c r="B24" t="s">
        <v>238</v>
      </c>
      <c r="C24" s="55" t="s">
        <v>72</v>
      </c>
      <c r="D24" s="9">
        <v>252</v>
      </c>
      <c r="E24" s="56"/>
      <c r="F24" s="4" t="d">
        <f ca="1">Table9[[#This Row],[Surgery Start Date]]+1</f>
        <v>2020-03-03</v>
      </c>
      <c r="G24" s="53" t="d">
        <v>07:54:59.99999999999467275</v>
      </c>
      <c r="H24" s="53" t="d">
        <v>08:09:59.99999999999627025</v>
      </c>
      <c r="I24" s="53" t="d">
        <v>08:44:59.9999999999984025</v>
      </c>
      <c r="J24" s="53" t="d">
        <v>08:50:00.00000000000213225</v>
      </c>
      <c r="K24" s="53" t="d">
        <v>08:54:59.99999999999627025</v>
      </c>
      <c r="M24" s="54"/>
      <c r="O24" s="4"/>
    </row>
    <row r="25" spans="1:15" x14ac:dyDescent="0.2">
      <c r="A25">
        <f t="shared" si="0"/>
        <v>24</v>
      </c>
      <c r="B25" t="s">
        <v>238</v>
      </c>
      <c r="C25" s="55" t="s">
        <v>72</v>
      </c>
      <c r="D25" s="9">
        <v>252</v>
      </c>
      <c r="E25" s="56"/>
      <c r="F25" s="4" t="d">
        <f ca="1">Table9[[#This Row],[Surgery Start Date]]+1</f>
        <v>2020-03-03</v>
      </c>
      <c r="G25" s="53" t="d">
        <v>09:04:59.99999999999893725</v>
      </c>
      <c r="H25" s="53" t="d">
        <v>09:29:59.9999999999984025</v>
      </c>
      <c r="I25" s="53" t="d">
        <v>10:59:59.9999999999984025</v>
      </c>
      <c r="J25" s="53" t="d">
        <v>11:07:59.99999999999669400</v>
      </c>
      <c r="K25" s="53" t="d">
        <v>11:09:59.99999999999627025</v>
      </c>
      <c r="M25" s="54"/>
      <c r="O25" s="4"/>
    </row>
    <row r="26" spans="1:15" x14ac:dyDescent="0.2">
      <c r="A26">
        <f t="shared" si="0"/>
        <v>25</v>
      </c>
      <c r="B26" t="s">
        <v>238</v>
      </c>
      <c r="C26" s="55" t="s">
        <v>72</v>
      </c>
      <c r="D26" s="9">
        <v>252</v>
      </c>
      <c r="E26" s="56"/>
      <c r="F26" s="4" t="d">
        <f ca="1">Table9[[#This Row],[Surgery Start Date]]+1</f>
        <v>2020-03-03</v>
      </c>
      <c r="G26" s="53" t="d">
        <v>11:15:01</v>
      </c>
      <c r="H26" s="53" t="d">
        <v>11:35:00.00000000000053475</v>
      </c>
      <c r="I26" s="53" t="d">
        <v>12:54:59.99999999999786775</v>
      </c>
      <c r="J26" s="53" t="d">
        <v>12:58:00.00000000000682050</v>
      </c>
      <c r="K26" s="53" t="d">
        <v>13:00:00.00000000000639675</v>
      </c>
      <c r="M26" s="54"/>
      <c r="O26" s="4"/>
    </row>
    <row r="27" spans="1:15" x14ac:dyDescent="0.2">
      <c r="A27">
        <f t="shared" si="0"/>
        <v>26</v>
      </c>
      <c r="B27" t="s">
        <v>236</v>
      </c>
      <c r="C27" s="55" t="s">
        <v>71</v>
      </c>
      <c r="D27" s="9">
        <v>76</v>
      </c>
      <c r="E27" s="56"/>
      <c r="F27" s="4" t="d">
        <f ca="1">Table9[[#This Row],[Surgery Start Date]]+1</f>
        <v>2020-03-03</v>
      </c>
      <c r="G27" s="53" t="d">
        <v>14:45:00.0000000000031950</v>
      </c>
      <c r="H27" s="53" t="d">
        <v>15:19:59.99999999999573550</v>
      </c>
      <c r="I27" s="53" t="d">
        <v>16:40:00.00000000000745950</v>
      </c>
      <c r="J27" s="53" t="d">
        <v>18:42:00.00000000000063900</v>
      </c>
      <c r="K27" s="53" t="d">
        <v>18:43:00.00000000000042375</v>
      </c>
      <c r="M27" s="54"/>
      <c r="O27" s="4"/>
    </row>
    <row r="28" spans="1:15" x14ac:dyDescent="0.2">
      <c r="A28">
        <f t="shared" si="0"/>
        <v>27</v>
      </c>
      <c r="B28" t="s">
        <v>237</v>
      </c>
      <c r="C28" s="55" t="s">
        <v>72</v>
      </c>
      <c r="D28" s="9">
        <v>223</v>
      </c>
      <c r="E28" s="56"/>
      <c r="F28" s="4" t="d">
        <f ca="1">Table9[[#This Row],[Surgery Start Date]]+1</f>
        <v>2020-03-03</v>
      </c>
      <c r="G28" s="53" t="d">
        <v>08:05:59.99999999999712450</v>
      </c>
      <c r="H28" s="53" t="d">
        <v>08:31:00.00000000000138225</v>
      </c>
      <c r="I28" s="53" t="d">
        <v>09:05:59.99999999999872200</v>
      </c>
      <c r="J28" s="53" t="d">
        <v>09:07:59.99999999999829150</v>
      </c>
      <c r="K28" s="53" t="d">
        <v>09:08:59.99999999999808300</v>
      </c>
      <c r="M28" s="54"/>
      <c r="O28" s="4"/>
    </row>
    <row r="29" spans="1:15" x14ac:dyDescent="0.2">
      <c r="A29">
        <f t="shared" si="0"/>
        <v>28</v>
      </c>
      <c r="B29" t="s">
        <v>237</v>
      </c>
      <c r="C29" s="55" t="s">
        <v>72</v>
      </c>
      <c r="D29" s="9">
        <v>223</v>
      </c>
      <c r="E29" s="56"/>
      <c r="F29" s="4" t="d">
        <f ca="1">Table9[[#This Row],[Surgery Start Date]]+1</f>
        <v>2020-03-03</v>
      </c>
      <c r="G29" s="53" t="d">
        <v>09:29:59.9999999999984025</v>
      </c>
      <c r="H29" s="53" t="d">
        <v>09:37:00.00000000000170850</v>
      </c>
      <c r="I29" s="53" t="d">
        <v>10:28:59.99999999999541600</v>
      </c>
      <c r="J29" s="53" t="d">
        <v>10:31:59.99999999999957625</v>
      </c>
      <c r="K29" s="53" t="d">
        <v>10:34:59.99999999999893725</v>
      </c>
      <c r="M29" s="54"/>
      <c r="O29" s="4"/>
    </row>
    <row r="30" spans="1:15" x14ac:dyDescent="0.2">
      <c r="A30">
        <f t="shared" si="0"/>
        <v>29</v>
      </c>
      <c r="B30" t="s">
        <v>237</v>
      </c>
      <c r="C30" s="55" t="s">
        <v>72</v>
      </c>
      <c r="D30" s="9">
        <v>223</v>
      </c>
      <c r="E30" s="56"/>
      <c r="F30" s="4" t="d">
        <f ca="1">Table9[[#This Row],[Surgery Start Date]]+1</f>
        <v>2020-03-03</v>
      </c>
      <c r="G30" s="53" t="d">
        <v>10:36:59.99999999999850675</v>
      </c>
      <c r="H30" s="53" t="d">
        <v>11:13:59.99999999999541600</v>
      </c>
      <c r="I30" s="53" t="d">
        <v>11:49:59.99999999999733300</v>
      </c>
      <c r="J30" s="53" t="d">
        <v>12:09:00.00000000000767475</v>
      </c>
      <c r="K30" s="53" t="d">
        <v>12:19:00.0000000000055425</v>
      </c>
      <c r="M30" s="54"/>
      <c r="O30" s="4"/>
    </row>
    <row r="31" spans="1:15" x14ac:dyDescent="0.2">
      <c r="A31">
        <f t="shared" si="0"/>
        <v>30</v>
      </c>
      <c r="B31" t="s">
        <v>237</v>
      </c>
      <c r="C31" s="55" t="s">
        <v>72</v>
      </c>
      <c r="D31" s="9">
        <v>351</v>
      </c>
      <c r="E31" s="56"/>
      <c r="F31" s="4" t="d">
        <f ca="1">Table9[[#This Row],[Surgery Start Date]]+1</f>
        <v>2020-03-03</v>
      </c>
      <c r="G31" s="53" t="d">
        <v>12:34:00.000000000002344800</v>
      </c>
      <c r="H31" s="53" t="d">
        <v>12:56:00.00000000000724425</v>
      </c>
      <c r="I31" s="53" t="d">
        <v>14:28:00.00000000000682050</v>
      </c>
      <c r="J31" s="53" t="d">
        <v>14:30:00.00000000000639675</v>
      </c>
      <c r="K31" s="53" t="d">
        <v>14:31:00.00000000000618150</v>
      </c>
      <c r="M31" s="54"/>
      <c r="O31" s="4"/>
    </row>
    <row r="32" spans="1:15" x14ac:dyDescent="0.2">
      <c r="A32">
        <f t="shared" si="0"/>
        <v>31</v>
      </c>
      <c r="B32" t="s">
        <v>237</v>
      </c>
      <c r="C32" s="55" t="s">
        <v>72</v>
      </c>
      <c r="D32" s="9">
        <v>351</v>
      </c>
      <c r="E32" s="56"/>
      <c r="F32" s="4" t="d">
        <f ca="1">Table9[[#This Row],[Surgery Start Date]]+1</f>
        <v>2020-03-03</v>
      </c>
      <c r="G32" s="53" t="d">
        <v>14:22:59.99999999999829150</v>
      </c>
      <c r="H32" s="53" t="d">
        <v>15:03:00.00000000000895275</v>
      </c>
      <c r="I32" s="53" t="d">
        <v>16:08:00.000000000004689600</v>
      </c>
      <c r="J32" s="53" t="d">
        <v>16:12:59.99999999999403375</v>
      </c>
      <c r="K32" s="53" t="d">
        <v>16:15:00.0000000000031950</v>
      </c>
      <c r="M32" s="54"/>
      <c r="O32" s="4"/>
    </row>
    <row r="33" spans="1:15" x14ac:dyDescent="0.2">
      <c r="A33">
        <f t="shared" si="0"/>
        <v>32</v>
      </c>
      <c r="B33" t="s">
        <v>240</v>
      </c>
      <c r="C33" s="55" t="s">
        <v>71</v>
      </c>
      <c r="D33" s="9">
        <v>351</v>
      </c>
      <c r="E33" s="56"/>
      <c r="F33" s="4" t="d">
        <f ca="1">Table9[[#This Row],[Surgery Start Date]]+1</f>
        <v>2020-03-03</v>
      </c>
      <c r="G33" s="53" t="d">
        <v>07:57:59.99999999999882625</v>
      </c>
      <c r="H33" s="53" t="d">
        <v>08:35:59.99999999999552025</v>
      </c>
      <c r="I33" s="53" t="d">
        <v>09:11:59.999999999997441975</v>
      </c>
      <c r="J33" s="53" t="d">
        <v>09:12:59.99999999999722875</v>
      </c>
      <c r="K33" s="53" t="d">
        <v>09:16:59.99999999999637450</v>
      </c>
      <c r="M33" s="54"/>
      <c r="O33" s="4"/>
    </row>
    <row r="34" spans="1:15" x14ac:dyDescent="0.2">
      <c r="A34">
        <f t="shared" si="0"/>
        <v>33</v>
      </c>
      <c r="B34" t="s">
        <v>240</v>
      </c>
      <c r="C34" s="55" t="s">
        <v>71</v>
      </c>
      <c r="D34" s="9">
        <v>351</v>
      </c>
      <c r="E34" s="56"/>
      <c r="F34" s="4" t="d">
        <f ca="1">Table9[[#This Row],[Surgery Start Date]]+1</f>
        <v>2020-03-03</v>
      </c>
      <c r="G34" s="53" t="d">
        <v>09:04:59.99999999999893725</v>
      </c>
      <c r="H34" s="53" t="d">
        <v>09:47:59.99999999999936100</v>
      </c>
      <c r="I34" s="53" t="d">
        <v>10:59:59.9999999999984025</v>
      </c>
      <c r="J34" s="53" t="d">
        <v>11:12:59.99999999999563125</v>
      </c>
      <c r="K34" s="53" t="d">
        <v>11:15:01</v>
      </c>
      <c r="M34" s="54"/>
      <c r="O34" s="4"/>
    </row>
    <row r="35" spans="1:15" x14ac:dyDescent="0.2">
      <c r="A35">
        <f t="shared" si="0"/>
        <v>34</v>
      </c>
      <c r="B35" t="s">
        <v>240</v>
      </c>
      <c r="C35" s="55" t="s">
        <v>71</v>
      </c>
      <c r="D35" s="9">
        <v>351</v>
      </c>
      <c r="E35" s="56" t="s">
        <v>229</v>
      </c>
      <c r="F35" s="4" t="d">
        <f ca="1">Table9[[#This Row],[Surgery Start Date]]+1</f>
        <v>2020-03-03</v>
      </c>
      <c r="M35" s="54"/>
      <c r="O35" s="4"/>
    </row>
    <row r="36" spans="1:15" x14ac:dyDescent="0.2">
      <c r="A36">
        <f t="shared" si="0"/>
        <v>35</v>
      </c>
      <c r="B36" t="s">
        <v>240</v>
      </c>
      <c r="C36" s="55" t="s">
        <v>71</v>
      </c>
      <c r="D36" s="9">
        <v>351</v>
      </c>
      <c r="E36" s="56"/>
      <c r="F36" s="4" t="d">
        <f ca="1">Table9[[#This Row],[Surgery Start Date]]+1</f>
        <v>2020-03-03</v>
      </c>
      <c r="G36" s="53" t="d">
        <v>11:30:00.0000000000015975</v>
      </c>
      <c r="H36" s="53" t="d">
        <v>11:46:59.99999999999797200</v>
      </c>
      <c r="I36" s="53" t="d">
        <v>12:48:00.00000000000895275</v>
      </c>
      <c r="J36" s="53" t="d">
        <v>12:58:00.00000000000682050</v>
      </c>
      <c r="K36" s="53" t="d">
        <v>13:00:00.00000000000639675</v>
      </c>
      <c r="M36" s="54"/>
      <c r="O36" s="4"/>
    </row>
    <row r="37" spans="1:15" x14ac:dyDescent="0.2">
      <c r="A37">
        <f t="shared" si="0"/>
        <v>36</v>
      </c>
      <c r="B37" t="s">
        <v>240</v>
      </c>
      <c r="C37" s="55" t="s">
        <v>71</v>
      </c>
      <c r="D37" s="9">
        <v>351</v>
      </c>
      <c r="E37" s="56"/>
      <c r="F37" s="4" t="d">
        <f ca="1">Table9[[#This Row],[Surgery Start Date]]+1</f>
        <v>2020-03-03</v>
      </c>
      <c r="G37" s="53" t="d">
        <v>12:24:00.00000000000447975</v>
      </c>
      <c r="H37" s="53" t="d">
        <v>13:25:00.00000000000106275</v>
      </c>
      <c r="I37" s="53" t="d">
        <v>14:35:00.00000000000532725</v>
      </c>
      <c r="J37" s="53" t="d">
        <v>14:36:00.00000000000511875</v>
      </c>
      <c r="K37" s="53" t="d">
        <v>14:37:00.00000000000490350</v>
      </c>
      <c r="M37" s="54"/>
      <c r="O37" s="4"/>
    </row>
    <row r="38" spans="1:15" x14ac:dyDescent="0.2">
      <c r="A38">
        <f t="shared" si="0"/>
        <v>37</v>
      </c>
      <c r="B38" t="s">
        <v>240</v>
      </c>
      <c r="C38" s="55" t="s">
        <v>71</v>
      </c>
      <c r="D38" s="9">
        <v>351</v>
      </c>
      <c r="E38" s="56"/>
      <c r="F38" s="4" t="d">
        <f ca="1">Table9[[#This Row],[Surgery Start Date]]+1</f>
        <v>2020-03-03</v>
      </c>
      <c r="G38" s="53" t="d">
        <v>14:50:00.00000000000213225</v>
      </c>
      <c r="H38" s="53" t="d">
        <v>15:12:59.99999999999722875</v>
      </c>
      <c r="I38" s="53" t="d">
        <v>17:45:00.0000000000031950</v>
      </c>
      <c r="J38" s="53" t="d">
        <v>17:50:00.00000000000213225</v>
      </c>
      <c r="K38" s="53" t="d">
        <v>17:55:00.00000000001066125</v>
      </c>
      <c r="M38" s="54"/>
      <c r="O38" s="4"/>
    </row>
    <row r="39" spans="1:15" x14ac:dyDescent="0.2">
      <c r="A39">
        <f t="shared" si="0"/>
        <v>38</v>
      </c>
      <c r="B39" t="s">
        <v>239</v>
      </c>
      <c r="C39" s="55" t="s">
        <v>72</v>
      </c>
      <c r="D39" s="9">
        <v>427</v>
      </c>
      <c r="E39" s="56"/>
      <c r="F39" s="4" t="d">
        <f ca="1">Table9[[#This Row],[Surgery Start Date]]+1</f>
        <v>2020-03-03</v>
      </c>
      <c r="G39" s="53" t="d">
        <v>08:15:00.000</v>
      </c>
      <c r="H39" s="53" t="d">
        <v>09:24:59.99999999999467275</v>
      </c>
      <c r="I39" s="53" t="d">
        <v>10:44:59.9999999999968050</v>
      </c>
      <c r="J39" s="53" t="d">
        <v>10:50:00.00000000000053475</v>
      </c>
      <c r="K39" s="53" t="d">
        <v>10:54:59.99999999999467275</v>
      </c>
      <c r="M39" s="54"/>
      <c r="O39" s="4"/>
    </row>
    <row r="40" spans="1:15" x14ac:dyDescent="0.2">
      <c r="A40">
        <f t="shared" si="0"/>
        <v>39</v>
      </c>
      <c r="B40" t="s">
        <v>239</v>
      </c>
      <c r="C40" s="55" t="s">
        <v>72</v>
      </c>
      <c r="D40" s="9">
        <v>427</v>
      </c>
      <c r="E40" s="56"/>
      <c r="F40" s="4" t="d">
        <f ca="1">Table9[[#This Row],[Surgery Start Date]]+1</f>
        <v>2020-03-03</v>
      </c>
      <c r="G40" s="53" t="d">
        <v>10:39:59.99999999999786775</v>
      </c>
      <c r="H40" s="53" t="d">
        <v>11:24:59.99999999999307525</v>
      </c>
      <c r="I40" s="53" t="d">
        <v>12:30:00.0000000000031950</v>
      </c>
      <c r="J40" s="53" t="d">
        <v>12:40:00.00000000000106275</v>
      </c>
      <c r="K40" s="53" t="d">
        <v>12:45:00.000</v>
      </c>
      <c r="M40" s="54"/>
      <c r="O40" s="4"/>
    </row>
    <row r="41" spans="1:15" x14ac:dyDescent="0.2">
      <c r="A41">
        <f t="shared" si="0"/>
        <v>40</v>
      </c>
      <c r="B41" t="s">
        <v>239</v>
      </c>
      <c r="C41" s="55" t="s">
        <v>72</v>
      </c>
      <c r="D41" s="9">
        <v>427</v>
      </c>
      <c r="E41" s="56"/>
      <c r="F41" s="4" t="d">
        <f ca="1">Table9[[#This Row],[Surgery Start Date]]+1</f>
        <v>2020-03-03</v>
      </c>
      <c r="G41" s="53" t="d">
        <v>14:00:00.0000000000031950</v>
      </c>
      <c r="H41" s="53" t="d">
        <v>14:05:00.00000000000213225</v>
      </c>
      <c r="I41" s="53" t="d">
        <v>17:45:00.0000000000031950</v>
      </c>
      <c r="J41" s="53" t="d">
        <v>17:46:00.00000000000298650</v>
      </c>
      <c r="K41" s="53" t="d">
        <v>18:00:00.000</v>
      </c>
      <c r="M41" s="54"/>
      <c r="O41" s="4"/>
    </row>
    <row r="42" spans="1:15" x14ac:dyDescent="0.2">
      <c r="A42">
        <f t="shared" si="0"/>
        <v>41</v>
      </c>
      <c r="B42" t="s">
        <v>241</v>
      </c>
      <c r="C42" s="55" t="s">
        <v>72</v>
      </c>
      <c r="D42" s="9">
        <v>427</v>
      </c>
      <c r="E42" s="56"/>
      <c r="F42" s="4" t="d">
        <f ca="1">Table9[[#This Row],[Surgery Start Date]]+1</f>
        <v>2020-03-03</v>
      </c>
      <c r="G42" s="53" t="d">
        <v>08:52:59.99999999999669400</v>
      </c>
      <c r="H42" s="53" t="d">
        <v>09:20:00.00000000000053475</v>
      </c>
      <c r="I42" s="53" t="d">
        <v>11:15:01</v>
      </c>
      <c r="J42" s="53" t="d">
        <v>11:24:59.99999999999307525</v>
      </c>
      <c r="K42" s="53" t="d">
        <v>11:30:00.0000000000015975</v>
      </c>
      <c r="M42" s="54"/>
      <c r="O42" s="4"/>
    </row>
    <row r="43" spans="1:15" x14ac:dyDescent="0.2">
      <c r="A43">
        <f t="shared" si="0"/>
        <v>42</v>
      </c>
      <c r="B43" t="s">
        <v>241</v>
      </c>
      <c r="C43" s="55" t="s">
        <v>72</v>
      </c>
      <c r="D43" s="9">
        <v>76</v>
      </c>
      <c r="E43" s="56"/>
      <c r="F43" s="4" t="d">
        <f ca="1">Table9[[#This Row],[Surgery Start Date]]+1</f>
        <v>2020-03-03</v>
      </c>
      <c r="G43" s="53" t="d">
        <v>10:57:59.99999999999882625</v>
      </c>
      <c r="H43" s="53" t="d">
        <v>11:38:59.99999999999968050</v>
      </c>
      <c r="I43" s="53" t="d">
        <v>13:10:00.00000000000426450</v>
      </c>
      <c r="J43" s="53" t="d">
        <v>13:11:00.00000000000404925</v>
      </c>
      <c r="K43" s="53" t="d">
        <v>13:30:00.000</v>
      </c>
      <c r="M43" s="54"/>
      <c r="O43" s="4"/>
    </row>
    <row r="44" spans="1:15" x14ac:dyDescent="0.2">
      <c r="A44">
        <f t="shared" si="0"/>
        <v>43</v>
      </c>
      <c r="B44" t="s">
        <v>241</v>
      </c>
      <c r="C44" s="55" t="s">
        <v>72</v>
      </c>
      <c r="D44" s="9">
        <v>76</v>
      </c>
      <c r="E44" s="56"/>
      <c r="F44" s="4" t="d">
        <f ca="1">Table9[[#This Row],[Surgery Start Date]]+1</f>
        <v>2020-03-03</v>
      </c>
      <c r="G44" s="53" t="d">
        <v>13:10:00.00000000000426450</v>
      </c>
      <c r="H44" s="53" t="d">
        <v>13:50:00.00000000000532725</v>
      </c>
      <c r="I44" s="53" t="d">
        <v>14:55:00.00000000000106275</v>
      </c>
      <c r="J44" s="53" t="d">
        <v>15:00:00.000</v>
      </c>
      <c r="K44" s="53" t="d">
        <v>15:04:59.99999999999893725</v>
      </c>
      <c r="M44" s="15"/>
      <c r="O44" s="4"/>
    </row>
    <row r="45" spans="1:15" x14ac:dyDescent="0.2">
      <c r="A45">
        <f t="shared" si="0"/>
        <v>44</v>
      </c>
      <c r="B45" t="s">
        <v>241</v>
      </c>
      <c r="C45" s="55" t="s">
        <v>72</v>
      </c>
      <c r="D45" s="9">
        <v>76</v>
      </c>
      <c r="E45" s="56"/>
      <c r="F45" s="4" t="d">
        <f ca="1">Table9[[#This Row],[Surgery Start Date]]+1</f>
        <v>2020-03-03</v>
      </c>
      <c r="G45" s="53" t="d">
        <v>15:00:00.000</v>
      </c>
      <c r="H45" s="53" t="d">
        <v>15:25:00.00000000000426450</v>
      </c>
      <c r="I45" s="53" t="d">
        <v>16:40:00.00000000000745950</v>
      </c>
      <c r="J45" s="53" t="d">
        <v>16:41:00.00000000000724425</v>
      </c>
      <c r="K45" s="53" t="d">
        <v>16:45:00.00000000000639675</v>
      </c>
      <c r="M45" s="54"/>
      <c r="O45" s="4"/>
    </row>
    <row r="46" spans="1:15" x14ac:dyDescent="0.2">
      <c r="A46">
        <f t="shared" si="0"/>
        <v>45</v>
      </c>
      <c r="B46" t="s">
        <v>236</v>
      </c>
      <c r="C46" s="55" t="s">
        <v>71</v>
      </c>
      <c r="D46" s="9">
        <v>388</v>
      </c>
      <c r="E46" s="56"/>
      <c r="F46" s="4" t="d">
        <f ca="1">Table9[[#This Row],[Surgery Start Date]]+1</f>
        <v>2020-03-02</v>
      </c>
      <c r="G46" s="53" t="d">
        <v>10:09:59.99999999999467275</v>
      </c>
      <c r="H46" s="53" t="d">
        <v>11:18:00.00000000000415350</v>
      </c>
      <c r="I46" s="53" t="d">
        <v>17:30:00.00000000000639675</v>
      </c>
      <c r="J46" s="53" t="d">
        <v>17:45:00.0000000000031950</v>
      </c>
      <c r="K46" s="53" t="d">
        <v>17:55:00.00000000001066125</v>
      </c>
      <c r="M46" s="54"/>
      <c r="O46" s="4"/>
    </row>
    <row r="47" spans="1:15" x14ac:dyDescent="0.2">
      <c r="A47">
        <f t="shared" si="0"/>
        <v>46</v>
      </c>
      <c r="B47" t="s">
        <v>236</v>
      </c>
      <c r="C47" s="55" t="s">
        <v>71</v>
      </c>
      <c r="D47" s="9">
        <v>76</v>
      </c>
      <c r="E47" s="56"/>
      <c r="F47" s="4" t="d">
        <f ca="1">Table9[[#This Row],[Surgery Start Date]]+1</f>
        <v>2020-03-04</v>
      </c>
      <c r="G47" s="53" t="d">
        <v>08:01:00.00000000000298650</v>
      </c>
      <c r="H47" s="53" t="d">
        <v>08:50:00.00000000000213225</v>
      </c>
      <c r="I47" s="53" t="d">
        <v>12:15:00.00000000000639675</v>
      </c>
      <c r="J47" s="53" t="d">
        <v>12:40:00.00000000000106275</v>
      </c>
      <c r="K47" s="53" t="d">
        <v>12:50:00.00000000000852900</v>
      </c>
      <c r="M47" s="54"/>
      <c r="O47" s="4"/>
    </row>
    <row r="48" spans="1:15" x14ac:dyDescent="0.2">
      <c r="A48">
        <f t="shared" si="0"/>
        <v>47</v>
      </c>
      <c r="B48" t="s">
        <v>236</v>
      </c>
      <c r="C48" s="55" t="s">
        <v>71</v>
      </c>
      <c r="D48" s="9">
        <v>76</v>
      </c>
      <c r="E48" s="56"/>
      <c r="F48" s="4" t="d">
        <f ca="1">Table9[[#This Row],[Surgery Start Date]]+1</f>
        <v>2020-03-04</v>
      </c>
      <c r="G48" s="53" t="d">
        <v>13:15:00.0000000000031950</v>
      </c>
      <c r="H48" s="53" t="d">
        <v>13:45:00.00000000000639675</v>
      </c>
      <c r="I48" s="53" t="d">
        <v>15:04:59.99999999999893725</v>
      </c>
      <c r="J48" s="53" t="d">
        <v>15:10:00.00000000000745950</v>
      </c>
      <c r="K48" s="53" t="d">
        <v>15:45:00.000</v>
      </c>
      <c r="M48" s="54"/>
      <c r="O48" s="4"/>
    </row>
    <row r="49" spans="1:15" x14ac:dyDescent="0.2">
      <c r="A49">
        <f t="shared" si="0"/>
        <v>48</v>
      </c>
      <c r="B49" t="s">
        <v>240</v>
      </c>
      <c r="C49" s="55" t="s">
        <v>72</v>
      </c>
      <c r="D49" s="9">
        <v>351</v>
      </c>
      <c r="E49" s="56"/>
      <c r="F49" s="4" t="d">
        <f ca="1">Table9[[#This Row],[Surgery Start Date]]+1</f>
        <v>2020-03-04</v>
      </c>
      <c r="G49" s="53" t="d">
        <v>13:58:00.00000000000362550</v>
      </c>
      <c r="H49" s="53" t="d">
        <v>15:30:00.0000000000031950</v>
      </c>
      <c r="I49" s="53" t="d">
        <v>16:08:00.000000000004689600</v>
      </c>
      <c r="J49" s="53" t="d">
        <v>16:10:00.00000000000426450</v>
      </c>
      <c r="K49" s="53" t="d">
        <v>16:12:00.00000000000383400</v>
      </c>
      <c r="M49" s="15"/>
      <c r="O49" s="4"/>
    </row>
    <row r="50" spans="1:15" x14ac:dyDescent="0.2">
      <c r="A50">
        <f t="shared" si="0"/>
        <v>49</v>
      </c>
      <c r="B50" t="s">
        <v>240</v>
      </c>
      <c r="C50" s="55" t="s">
        <v>71</v>
      </c>
      <c r="D50" s="9">
        <v>351</v>
      </c>
      <c r="E50" s="56"/>
      <c r="F50" s="4" t="d">
        <f ca="1">Table9[[#This Row],[Surgery Start Date]]+1</f>
        <v>2020-03-04</v>
      </c>
      <c r="G50" s="53" t="d">
        <v>08:03:00.00000000000255600</v>
      </c>
      <c r="H50" s="53" t="d">
        <v>08:17:59.99999999999936100</v>
      </c>
      <c r="I50" s="53" t="d">
        <v>08:31:00.00000000000138225</v>
      </c>
      <c r="J50" s="53" t="d">
        <v>08:31:59.99999999999637450</v>
      </c>
      <c r="K50" s="53" t="d">
        <v>08:37:59.999999999995097175</v>
      </c>
      <c r="M50" s="15"/>
      <c r="O50" s="4"/>
    </row>
    <row r="51" spans="1:15" x14ac:dyDescent="0.2">
      <c r="A51">
        <f t="shared" si="0"/>
        <v>50</v>
      </c>
      <c r="B51" t="s">
        <v>240</v>
      </c>
      <c r="C51" s="55" t="s">
        <v>71</v>
      </c>
      <c r="D51" s="9">
        <v>351</v>
      </c>
      <c r="E51" s="56"/>
      <c r="F51" s="4" t="d">
        <f ca="1">Table9[[#This Row],[Surgery Start Date]]+1</f>
        <v>2020-03-04</v>
      </c>
      <c r="G51" s="53" t="d">
        <v>08:44:59.9999999999984025</v>
      </c>
      <c r="H51" s="53" t="d">
        <v>09:14:59.9999999999968050</v>
      </c>
      <c r="I51" s="53" t="d">
        <v>09:48:59.99999999999914575</v>
      </c>
      <c r="J51" s="53" t="d">
        <v>09:52:59.99999999999829150</v>
      </c>
      <c r="K51" s="53" t="d">
        <v>09:53:59.99999999999808300</v>
      </c>
      <c r="M51" s="15"/>
      <c r="O51" s="4"/>
    </row>
    <row r="52" spans="1:15" x14ac:dyDescent="0.2">
      <c r="A52">
        <f t="shared" si="0"/>
        <v>51</v>
      </c>
      <c r="B52" t="s">
        <v>240</v>
      </c>
      <c r="C52" s="55" t="s">
        <v>71</v>
      </c>
      <c r="D52" s="9">
        <v>351</v>
      </c>
      <c r="E52" s="56"/>
      <c r="F52" s="4" t="d">
        <f ca="1">Table9[[#This Row],[Surgery Start Date]]+1</f>
        <v>2020-03-04</v>
      </c>
      <c r="G52" s="53" t="d">
        <v>10:20:00.00000000000213225</v>
      </c>
      <c r="H52" s="53" t="d">
        <v>10:24:00.00000000000127800</v>
      </c>
      <c r="I52" s="53" t="d">
        <v>10:43:59.99999999999701350</v>
      </c>
      <c r="J52" s="53" t="d">
        <v>10:44:59.9999999999968050</v>
      </c>
      <c r="K52" s="53" t="d">
        <v>10:46:00.00000000000138225</v>
      </c>
      <c r="M52" s="15"/>
      <c r="O52" s="4"/>
    </row>
    <row r="53" spans="1:15" x14ac:dyDescent="0.2">
      <c r="A53">
        <f t="shared" si="0"/>
        <v>52</v>
      </c>
      <c r="B53" t="s">
        <v>240</v>
      </c>
      <c r="C53" s="55" t="s">
        <v>71</v>
      </c>
      <c r="D53" s="9">
        <v>351</v>
      </c>
      <c r="E53" s="56"/>
      <c r="F53" s="4" t="d">
        <f ca="1">Table9[[#This Row],[Surgery Start Date]]+1</f>
        <v>2020-03-04</v>
      </c>
      <c r="G53" s="53" t="d">
        <v>10:46:00.00000000000138225</v>
      </c>
      <c r="H53" s="53" t="d">
        <v>11:01:59.99999999999797200</v>
      </c>
      <c r="I53" s="53" t="d">
        <v>11:26:59.999999999992646100</v>
      </c>
      <c r="J53" s="53" t="d">
        <v>11:28:59.99999999999222100</v>
      </c>
      <c r="K53" s="53" t="d">
        <v>11:30:00.0000000000015975</v>
      </c>
      <c r="M53" s="54"/>
      <c r="O53" s="4"/>
    </row>
    <row r="54" spans="1:15" x14ac:dyDescent="0.2">
      <c r="A54">
        <f t="shared" si="0"/>
        <v>53</v>
      </c>
      <c r="B54" t="s">
        <v>240</v>
      </c>
      <c r="C54" s="55" t="s">
        <v>71</v>
      </c>
      <c r="D54" s="9">
        <v>351</v>
      </c>
      <c r="E54" s="56"/>
      <c r="F54" s="4" t="d">
        <f ca="1">Table9[[#This Row],[Surgery Start Date]]+1</f>
        <v>2020-03-04</v>
      </c>
      <c r="G54" s="53" t="d">
        <v>11:20:00.00000000000372975</v>
      </c>
      <c r="H54" s="53" t="d">
        <v>11:30:00.0000000000015975</v>
      </c>
      <c r="I54" s="53" t="d">
        <v>13:28:00.00000000000042375</v>
      </c>
      <c r="J54" s="53" t="d">
        <v>13:29:00.00000000000021525</v>
      </c>
      <c r="K54" s="53" t="d">
        <v>13:30:00.000</v>
      </c>
      <c r="M54" s="54"/>
      <c r="O54" s="4"/>
    </row>
    <row r="55" spans="1:15" x14ac:dyDescent="0.2">
      <c r="A55">
        <f t="shared" si="0"/>
        <v>54</v>
      </c>
      <c r="B55" t="s">
        <v>240</v>
      </c>
      <c r="C55" s="55" t="s">
        <v>71</v>
      </c>
      <c r="D55" s="9">
        <v>351</v>
      </c>
      <c r="E55" s="56"/>
      <c r="F55" s="4" t="d">
        <f ca="1">Table9[[#This Row],[Surgery Start Date]]+1</f>
        <v>2020-03-04</v>
      </c>
      <c r="G55" s="53" t="d">
        <v>12:50:00.00000000000852900</v>
      </c>
      <c r="H55" s="53" t="d">
        <v>14:00:00.0000000000031950</v>
      </c>
      <c r="I55" s="53" t="d">
        <v>15:25:00.00000000000426450</v>
      </c>
      <c r="J55" s="53" t="d">
        <v>15:30:00.0000000000031950</v>
      </c>
      <c r="K55" s="53" t="d">
        <v>15:32:00.00000000001236300</v>
      </c>
      <c r="M55" s="54"/>
      <c r="O55" s="4"/>
    </row>
    <row r="56" spans="1:15" x14ac:dyDescent="0.2">
      <c r="A56">
        <f t="shared" si="0"/>
        <v>55</v>
      </c>
      <c r="B56" t="s">
        <v>239</v>
      </c>
      <c r="C56" s="55" t="s">
        <v>72</v>
      </c>
      <c r="D56" s="9">
        <v>427</v>
      </c>
      <c r="E56" s="56"/>
      <c r="F56" s="4" t="d">
        <f ca="1">Table9[[#This Row],[Surgery Start Date]]+1</f>
        <v>2020-03-04</v>
      </c>
      <c r="G56" s="53" t="d">
        <v>10:24:59.99999999999627025</v>
      </c>
      <c r="H56" s="53" t="d">
        <v>10:44:59.9999999999968050</v>
      </c>
      <c r="I56" s="53" t="d">
        <v>12:00:01</v>
      </c>
      <c r="J56" s="53" t="d">
        <v>12:15:00.00000000000639675</v>
      </c>
      <c r="K56" s="53" t="d">
        <v>12:30:00.0000000000031950</v>
      </c>
      <c r="M56" s="54"/>
      <c r="O56" s="4"/>
    </row>
    <row r="57" spans="1:15" x14ac:dyDescent="0.2">
      <c r="A57">
        <f t="shared" si="0"/>
        <v>56</v>
      </c>
      <c r="B57" t="s">
        <v>239</v>
      </c>
      <c r="C57" s="55" t="s">
        <v>72</v>
      </c>
      <c r="D57" s="9">
        <v>427</v>
      </c>
      <c r="E57" s="56"/>
      <c r="F57" s="4" t="d">
        <f ca="1">Table9[[#This Row],[Surgery Start Date]]+1</f>
        <v>2020-03-04</v>
      </c>
      <c r="G57" s="53" t="d">
        <v>11:42:59.99999999999882625</v>
      </c>
      <c r="H57" s="53" t="d">
        <v>13:53:00.000000000004689600</v>
      </c>
      <c r="I57" s="53" t="d">
        <v>22:55:00.00000000000426450</v>
      </c>
      <c r="J57" s="53" t="d">
        <v>01:44:59.99999999999920125</v>
      </c>
      <c r="K57" s="53" t="d">
        <v>02:05:00.00000000000213225</v>
      </c>
      <c r="L57" s="4" t="d">
        <v>2020-03-05</v>
      </c>
      <c r="M57" s="54"/>
      <c r="O57" s="4"/>
    </row>
    <row r="58" spans="1:15" x14ac:dyDescent="0.2">
      <c r="A58">
        <f t="shared" si="0"/>
        <v>57</v>
      </c>
      <c r="B58" t="s">
        <v>239</v>
      </c>
      <c r="C58" s="55" t="s">
        <v>72</v>
      </c>
      <c r="D58" s="9">
        <v>28</v>
      </c>
      <c r="E58" s="56"/>
      <c r="F58" s="4" t="d">
        <f ca="1">Table9[[#This Row],[Surgery Start Date]]+1</f>
        <v>2020-03-05</v>
      </c>
      <c r="G58" s="53" t="d">
        <v>08:21:59.99999999999850675</v>
      </c>
      <c r="H58" s="53" t="d">
        <v>08:39:59.99999999999467275</v>
      </c>
      <c r="I58" s="53" t="d">
        <v>09:29:59.9999999999984025</v>
      </c>
      <c r="J58" s="53" t="d">
        <v>09:31:59.99999999999797200</v>
      </c>
      <c r="K58" s="53" t="d">
        <v>09:35:00.00000000000213225</v>
      </c>
      <c r="M58" s="54"/>
      <c r="O58" s="4"/>
    </row>
    <row r="59" spans="1:15" x14ac:dyDescent="0.2">
      <c r="A59">
        <f t="shared" si="0"/>
        <v>58</v>
      </c>
      <c r="B59" t="s">
        <v>239</v>
      </c>
      <c r="C59" s="55" t="s">
        <v>72</v>
      </c>
      <c r="D59" s="9">
        <v>28</v>
      </c>
      <c r="E59" s="56"/>
      <c r="F59" s="4" t="d">
        <f ca="1">Table9[[#This Row],[Surgery Start Date]]+1</f>
        <v>2020-03-05</v>
      </c>
      <c r="G59" s="53" t="d">
        <v>09:39:59.99999999999627025</v>
      </c>
      <c r="H59" s="53" t="d">
        <v>09:59:59.9999999999968050</v>
      </c>
      <c r="I59" s="53" t="d">
        <v>11:30:00.0000000000015975</v>
      </c>
      <c r="J59" s="53" t="d">
        <v>11:34:00.00000000000074325</v>
      </c>
      <c r="K59" s="53" t="d">
        <v>11:36:00.00000000000031950</v>
      </c>
      <c r="M59" s="54"/>
      <c r="O59" s="4"/>
    </row>
    <row r="60" spans="1:15" x14ac:dyDescent="0.2">
      <c r="A60">
        <f t="shared" si="0"/>
        <v>59</v>
      </c>
      <c r="B60" t="s">
        <v>239</v>
      </c>
      <c r="C60" s="55" t="s">
        <v>72</v>
      </c>
      <c r="D60" s="9">
        <v>28</v>
      </c>
      <c r="E60" s="56"/>
      <c r="F60" s="4" t="d">
        <f ca="1">Table9[[#This Row],[Surgery Start Date]]+1</f>
        <v>2020-03-05</v>
      </c>
      <c r="G60" s="53" t="d">
        <v>11:30:00.0000000000015975</v>
      </c>
      <c r="H60" s="53" t="d">
        <v>12:13:00.00000000000682050</v>
      </c>
      <c r="I60" s="53" t="d">
        <v>14:15:00.000</v>
      </c>
      <c r="J60" s="53" t="d">
        <v>14:16:00.000000000009379200</v>
      </c>
      <c r="K60" s="53" t="d">
        <v>14:16:59.99999999999957625</v>
      </c>
      <c r="M60" s="54"/>
      <c r="O60" s="4"/>
    </row>
    <row r="61" spans="1:15" x14ac:dyDescent="0.2">
      <c r="A61">
        <f t="shared" si="0"/>
        <v>60</v>
      </c>
      <c r="B61" t="s">
        <v>239</v>
      </c>
      <c r="C61" s="55" t="s">
        <v>72</v>
      </c>
      <c r="D61" s="9">
        <v>28</v>
      </c>
      <c r="E61" s="56"/>
      <c r="F61" s="4" t="d">
        <f ca="1">Table9[[#This Row],[Surgery Start Date]]+1</f>
        <v>2020-03-05</v>
      </c>
      <c r="G61" s="53" t="d">
        <v>14:20:00.00000000000852900</v>
      </c>
      <c r="H61" s="53" t="d">
        <v>15:04:59.99999999999893725</v>
      </c>
      <c r="I61" s="53" t="d">
        <v>16:30:00.000</v>
      </c>
      <c r="J61" s="53" t="d">
        <v>16:45:00.00000000000639675</v>
      </c>
      <c r="K61" s="53" t="d">
        <v>17:00:00.0000000000031950</v>
      </c>
      <c r="M61" s="54"/>
      <c r="O61" s="4"/>
    </row>
    <row r="62" spans="1:15" x14ac:dyDescent="0.2">
      <c r="A62">
        <f t="shared" si="0"/>
        <v>61</v>
      </c>
      <c r="B62" t="s">
        <v>241</v>
      </c>
      <c r="C62" s="55" t="s">
        <v>72</v>
      </c>
      <c r="D62" s="9">
        <v>388</v>
      </c>
      <c r="E62" s="56"/>
      <c r="F62" s="4" t="d">
        <f ca="1">Table9[[#This Row],[Surgery Start Date]]+1</f>
        <v>2020-03-04</v>
      </c>
      <c r="G62" s="53" t="d">
        <v>08:11:59.99999999999584650</v>
      </c>
      <c r="H62" s="53" t="d">
        <v>08:39:59.99999999999467275</v>
      </c>
      <c r="I62" s="53" t="d">
        <v>09:39:59.99999999999627025</v>
      </c>
      <c r="J62" s="53" t="d">
        <v>09:49:59.99999999999893725</v>
      </c>
      <c r="K62" s="53" t="d">
        <v>09:50:59.99999999999872200</v>
      </c>
      <c r="M62" s="54"/>
      <c r="O62" s="4"/>
    </row>
    <row r="63" spans="1:15" x14ac:dyDescent="0.2">
      <c r="A63">
        <f t="shared" si="0"/>
        <v>62</v>
      </c>
      <c r="B63" t="s">
        <v>241</v>
      </c>
      <c r="C63" s="55" t="s">
        <v>72</v>
      </c>
      <c r="D63" s="9">
        <v>388</v>
      </c>
      <c r="E63" s="56"/>
      <c r="F63" s="4" t="d">
        <f ca="1">Table9[[#This Row],[Surgery Start Date]]+1</f>
        <v>2020-03-04</v>
      </c>
      <c r="G63" s="53" t="d">
        <v>09:45:00.000</v>
      </c>
      <c r="H63" s="53" t="d">
        <v>10:24:59.99999999999627025</v>
      </c>
      <c r="I63" s="53" t="d">
        <v>11:49:59.99999999999733300</v>
      </c>
      <c r="J63" s="53" t="d">
        <v>11:54:59.99999999999627025</v>
      </c>
      <c r="K63" s="53" t="d">
        <v>12:00:01</v>
      </c>
      <c r="M63" s="54"/>
      <c r="O63" s="4"/>
    </row>
    <row r="64" spans="1:15" x14ac:dyDescent="0.2">
      <c r="A64">
        <f t="shared" si="0"/>
        <v>63</v>
      </c>
      <c r="B64" t="s">
        <v>241</v>
      </c>
      <c r="C64" s="55" t="s">
        <v>72</v>
      </c>
      <c r="D64" s="9">
        <v>388</v>
      </c>
      <c r="E64" s="56"/>
      <c r="F64" s="4" t="d">
        <f ca="1">Table9[[#This Row],[Surgery Start Date]]+1</f>
        <v>2020-03-04</v>
      </c>
      <c r="G64" s="53" t="d">
        <v>13:20:00.00000000000213225</v>
      </c>
      <c r="H64" s="53" t="d">
        <v>13:39:59.99999999999786775</v>
      </c>
      <c r="I64" s="53" t="d">
        <v>15:00:00.000</v>
      </c>
      <c r="J64" s="53" t="d">
        <v>15:04:59.99999999999893725</v>
      </c>
      <c r="K64" s="53" t="d">
        <v>15:06:00.00000000000831375</v>
      </c>
      <c r="M64" s="15"/>
      <c r="O64" s="4"/>
    </row>
    <row r="65" spans="1:15" x14ac:dyDescent="0.2">
      <c r="A65">
        <f t="shared" si="0"/>
        <v>64</v>
      </c>
      <c r="B65" t="s">
        <v>241</v>
      </c>
      <c r="C65" s="55" t="s">
        <v>72</v>
      </c>
      <c r="D65" s="9">
        <v>43</v>
      </c>
      <c r="E65" s="56"/>
      <c r="F65" s="4" t="d">
        <f ca="1">Table9[[#This Row],[Surgery Start Date]]+1</f>
        <v>2020-03-05</v>
      </c>
      <c r="G65" s="53" t="d">
        <v>08:09:59.99999999999627025</v>
      </c>
      <c r="H65" s="53" t="d">
        <v>08:44:59.9999999999984025</v>
      </c>
      <c r="I65" s="53" t="d">
        <v>09:45:00.000</v>
      </c>
      <c r="J65" s="53" t="d">
        <v>09:49:59.99999999999893725</v>
      </c>
      <c r="K65" s="53" t="d">
        <v>10:18:00.00000000000255600</v>
      </c>
      <c r="M65" s="54"/>
      <c r="O65" s="4"/>
    </row>
    <row r="66" spans="1:15" x14ac:dyDescent="0.2">
      <c r="A66">
        <f t="shared" ref="A66:A107" si="1">ROW()-1</f>
        <v>65</v>
      </c>
      <c r="B66" t="s">
        <v>241</v>
      </c>
      <c r="C66" s="55" t="s">
        <v>72</v>
      </c>
      <c r="D66" s="9">
        <v>43</v>
      </c>
      <c r="E66" s="56"/>
      <c r="F66" s="4" t="d">
        <f ca="1">Table9[[#This Row],[Surgery Start Date]]+1</f>
        <v>2020-03-05</v>
      </c>
      <c r="G66" s="53" t="d">
        <v>11:10:59.9999999999960550</v>
      </c>
      <c r="H66" s="53" t="d">
        <v>12:45:00.000</v>
      </c>
      <c r="I66" s="53" t="d">
        <v>16:00:00.00000000000639675</v>
      </c>
      <c r="J66" s="53" t="d">
        <v>16:10:00.00000000000426450</v>
      </c>
      <c r="K66" s="53" t="d">
        <v>16:20:00.00000000000213225</v>
      </c>
      <c r="M66" s="54"/>
      <c r="O66" s="4"/>
    </row>
    <row r="67" spans="1:15" x14ac:dyDescent="0.2">
      <c r="A67">
        <f t="shared" si="1"/>
        <v>66</v>
      </c>
      <c r="B67" t="s">
        <v>240</v>
      </c>
      <c r="C67" s="55" t="s">
        <v>71</v>
      </c>
      <c r="D67" s="9">
        <v>351</v>
      </c>
      <c r="E67" s="56"/>
      <c r="F67" s="4" t="d">
        <f ca="1">Table9[[#This Row],[Surgery Start Date]]+1</f>
        <v>2020-03-05</v>
      </c>
      <c r="G67" s="53" t="d">
        <v>08:09:00.00000000000127800</v>
      </c>
      <c r="H67" s="53" t="d">
        <v>08:29:59.9999999999968050</v>
      </c>
      <c r="I67" s="53" t="d">
        <v>09:04:59.99999999999893725</v>
      </c>
      <c r="J67" s="53" t="d">
        <v>09:05:59.99999999999872200</v>
      </c>
      <c r="K67" s="53" t="d">
        <v>09:06:59.99999999999850675</v>
      </c>
      <c r="M67" s="54"/>
      <c r="O67" s="4"/>
    </row>
    <row r="68" spans="1:15" x14ac:dyDescent="0.2">
      <c r="A68">
        <f t="shared" si="1"/>
        <v>67</v>
      </c>
      <c r="B68" t="s">
        <v>240</v>
      </c>
      <c r="C68" s="55" t="s">
        <v>71</v>
      </c>
      <c r="D68" s="9">
        <v>351</v>
      </c>
      <c r="E68" s="56"/>
      <c r="F68" s="4" t="d">
        <f ca="1">Table9[[#This Row],[Surgery Start Date]]+1</f>
        <v>2020-03-05</v>
      </c>
      <c r="G68" s="53" t="d">
        <v>09:00:00.000</v>
      </c>
      <c r="H68" s="53" t="d">
        <v>09:52:59.99999999999829150</v>
      </c>
      <c r="I68" s="53" t="d">
        <v>11:39:59.99999999999946525</v>
      </c>
      <c r="J68" s="53" t="d">
        <v>12:01:59.99999999999957625</v>
      </c>
      <c r="K68" s="53" t="d">
        <v>12:03:00.00000000000895275</v>
      </c>
      <c r="M68" s="54"/>
      <c r="O68" s="4"/>
    </row>
    <row r="69" spans="1:15" x14ac:dyDescent="0.2">
      <c r="A69">
        <f t="shared" si="1"/>
        <v>68</v>
      </c>
      <c r="B69" t="s">
        <v>240</v>
      </c>
      <c r="C69" s="55" t="s">
        <v>71</v>
      </c>
      <c r="D69" s="9">
        <v>351</v>
      </c>
      <c r="E69" s="56"/>
      <c r="F69" s="4" t="d">
        <f ca="1">Table9[[#This Row],[Surgery Start Date]]+1</f>
        <v>2020-03-05</v>
      </c>
      <c r="G69" s="53" t="d">
        <v>11:54:59.99999999999627025</v>
      </c>
      <c r="H69" s="53" t="d">
        <v>12:32:00.00000000000277125</v>
      </c>
      <c r="I69" s="53" t="d">
        <v>13:16:00.00000000000298650</v>
      </c>
      <c r="J69" s="53" t="d">
        <v>13:19:00.000000000002344800</v>
      </c>
      <c r="K69" s="53" t="d">
        <v>13:21:00.00000000000191700</v>
      </c>
      <c r="M69" s="54"/>
      <c r="O69" s="4"/>
    </row>
    <row r="70" spans="1:15" x14ac:dyDescent="0.2">
      <c r="A70">
        <f t="shared" si="1"/>
        <v>69</v>
      </c>
      <c r="B70" t="s">
        <v>240</v>
      </c>
      <c r="C70" s="55" t="s">
        <v>71</v>
      </c>
      <c r="D70" s="9">
        <v>351</v>
      </c>
      <c r="E70" s="56"/>
      <c r="F70" s="4" t="d">
        <f ca="1">Table9[[#This Row],[Surgery Start Date]]+1</f>
        <v>2020-03-05</v>
      </c>
      <c r="G70" s="53" t="d">
        <v>13:20:00.00000000000213225</v>
      </c>
      <c r="H70" s="53" t="d">
        <v>14:00:00.0000000000031950</v>
      </c>
      <c r="I70" s="53" t="d">
        <v>15:27:59.99999999999403375</v>
      </c>
      <c r="J70" s="53" t="d">
        <v>15:39:00.00000000000127800</v>
      </c>
      <c r="K70" s="53" t="d">
        <v>15:40:00.00000000001066125</v>
      </c>
      <c r="M70" s="54"/>
      <c r="O70" s="4"/>
    </row>
    <row r="71" spans="1:15" x14ac:dyDescent="0.2">
      <c r="A71">
        <f t="shared" si="1"/>
        <v>70</v>
      </c>
      <c r="B71" t="s">
        <v>237</v>
      </c>
      <c r="C71" s="55" t="s">
        <v>72</v>
      </c>
      <c r="D71" s="9">
        <v>223</v>
      </c>
      <c r="E71" s="56"/>
      <c r="F71" s="4" t="d">
        <f ca="1">Table9[[#This Row],[Surgery Start Date]]+1</f>
        <v>2020-03-05</v>
      </c>
      <c r="G71" s="53" t="d">
        <v>08:17:59.99999999999936100</v>
      </c>
      <c r="H71" s="53" t="d">
        <v>08:37:00.00000000000010425</v>
      </c>
      <c r="I71" s="53" t="d">
        <v>08:58:59.99999999999541600</v>
      </c>
      <c r="J71" s="53" t="d">
        <v>09:00:00.000</v>
      </c>
      <c r="K71" s="53" t="d">
        <v>09:23:59.99999999999968050</v>
      </c>
      <c r="M71" s="54"/>
      <c r="O71" s="4"/>
    </row>
    <row r="72" spans="1:15" x14ac:dyDescent="0.2">
      <c r="A72">
        <f t="shared" si="1"/>
        <v>71</v>
      </c>
      <c r="B72" t="s">
        <v>237</v>
      </c>
      <c r="C72" s="55" t="s">
        <v>72</v>
      </c>
      <c r="D72" s="9">
        <v>223</v>
      </c>
      <c r="E72" s="56"/>
      <c r="F72" s="4" t="d">
        <f ca="1">Table9[[#This Row],[Surgery Start Date]]+1</f>
        <v>2020-03-05</v>
      </c>
      <c r="G72" s="53" t="d">
        <v>08:58:00.00000000000042375</v>
      </c>
      <c r="H72" s="53" t="d">
        <v>09:26:59.99999999999424225</v>
      </c>
      <c r="I72" s="53" t="d">
        <v>09:54:59.99999999999786775</v>
      </c>
      <c r="J72" s="53" t="d">
        <v>09:58:59.99999999999701350</v>
      </c>
      <c r="K72" s="53" t="d">
        <v>09:59:59.9999999999968050</v>
      </c>
      <c r="M72" s="54"/>
      <c r="O72" s="4"/>
    </row>
    <row r="73" spans="1:15" x14ac:dyDescent="0.2">
      <c r="A73">
        <f t="shared" si="1"/>
        <v>72</v>
      </c>
      <c r="B73" t="s">
        <v>237</v>
      </c>
      <c r="C73" s="55" t="s">
        <v>71</v>
      </c>
      <c r="D73" s="9">
        <v>351</v>
      </c>
      <c r="E73" s="56"/>
      <c r="F73" s="4" t="d">
        <f ca="1">Table9[[#This Row],[Surgery Start Date]]+1</f>
        <v>2020-03-05</v>
      </c>
      <c r="G73" s="53" t="d">
        <v>10:10:59.99999999999925675</v>
      </c>
      <c r="H73" s="53" t="d">
        <v>11:15:01</v>
      </c>
      <c r="I73" s="53" t="d">
        <v>11:54:59.99999999999627025</v>
      </c>
      <c r="J73" s="53" t="d">
        <v>12:00:01</v>
      </c>
      <c r="K73" s="53" t="d">
        <v>12:05:00.00000000000852900</v>
      </c>
      <c r="M73" s="54"/>
      <c r="O73" s="4"/>
    </row>
    <row r="74" spans="1:15" x14ac:dyDescent="0.2">
      <c r="A74">
        <f t="shared" si="1"/>
        <v>73</v>
      </c>
      <c r="B74" t="s">
        <v>237</v>
      </c>
      <c r="C74" s="55" t="s">
        <v>71</v>
      </c>
      <c r="D74" s="9">
        <v>351</v>
      </c>
      <c r="E74" s="56"/>
      <c r="F74" s="4" t="d">
        <f ca="1">Table9[[#This Row],[Surgery Start Date]]+1</f>
        <v>2020-03-05</v>
      </c>
      <c r="G74" s="53" t="d">
        <v>11:20:59.99999999999392275</v>
      </c>
      <c r="H74" s="53" t="d">
        <v>12:20:00.00000000000532725</v>
      </c>
      <c r="I74" s="53" t="d">
        <v>12:56:00.00000000000724425</v>
      </c>
      <c r="J74" s="53" t="d">
        <v>12:58:00.00000000000682050</v>
      </c>
      <c r="K74" s="53" t="d">
        <v>12:58:59.99999999999701350</v>
      </c>
      <c r="M74" s="54"/>
      <c r="O74" s="4"/>
    </row>
    <row r="75" spans="1:15" x14ac:dyDescent="0.2">
      <c r="A75">
        <f t="shared" si="1"/>
        <v>74</v>
      </c>
      <c r="B75" t="s">
        <v>237</v>
      </c>
      <c r="C75" s="55" t="s">
        <v>71</v>
      </c>
      <c r="D75" s="9">
        <v>351</v>
      </c>
      <c r="E75" s="56"/>
      <c r="F75" s="4" t="d">
        <f ca="1">Table9[[#This Row],[Surgery Start Date]]+1</f>
        <v>2020-03-05</v>
      </c>
      <c r="G75" s="53" t="d">
        <v>12:52:59.99999999999829150</v>
      </c>
      <c r="H75" s="53" t="d">
        <v>13:46:00.00000000000618150</v>
      </c>
      <c r="I75" s="53" t="d">
        <v>17:15:00.000</v>
      </c>
      <c r="J75" s="53" t="d">
        <v>17:19:59.99999999999893725</v>
      </c>
      <c r="K75" s="53" t="d">
        <v>17:21:00.00000000000831375</v>
      </c>
      <c r="M75" s="54"/>
      <c r="O75" s="4"/>
    </row>
    <row r="76" spans="1:15" x14ac:dyDescent="0.2">
      <c r="A76">
        <f t="shared" si="1"/>
        <v>75</v>
      </c>
      <c r="B76" t="s">
        <v>236</v>
      </c>
      <c r="C76" s="55" t="s">
        <v>71</v>
      </c>
      <c r="D76" s="9">
        <v>388</v>
      </c>
      <c r="E76" s="56"/>
      <c r="F76" s="4" t="d">
        <f ca="1">Table9[[#This Row],[Surgery Start Date]]+1</f>
        <v>2020-03-05</v>
      </c>
      <c r="G76" s="53" t="d">
        <v>08:19:59.99999999999893725</v>
      </c>
      <c r="H76" s="53" t="d">
        <v>08:50:00.00000000000213225</v>
      </c>
      <c r="I76" s="53" t="d">
        <v>09:57:59.99999999999722875</v>
      </c>
      <c r="J76" s="53" t="d">
        <v>09:59:59.9999999999968050</v>
      </c>
      <c r="K76" s="53" t="d">
        <v>10:01:00.00000000000138225</v>
      </c>
      <c r="M76" s="54"/>
      <c r="O76" s="4"/>
    </row>
    <row r="77" spans="1:15" x14ac:dyDescent="0.2">
      <c r="A77">
        <f t="shared" si="1"/>
        <v>76</v>
      </c>
      <c r="B77" t="s">
        <v>236</v>
      </c>
      <c r="C77" s="55" t="s">
        <v>71</v>
      </c>
      <c r="D77" s="9">
        <v>388</v>
      </c>
      <c r="E77" s="56"/>
      <c r="F77" s="4" t="d">
        <f ca="1">Table9[[#This Row],[Surgery Start Date]]+1</f>
        <v>2020-03-05</v>
      </c>
      <c r="G77" s="53" t="d">
        <v>10:44:59.9999999999968050</v>
      </c>
      <c r="H77" s="53" t="d">
        <v>11:04:59.99999999999733300</v>
      </c>
      <c r="I77" s="53" t="d">
        <v>16:00:00.00000000000639675</v>
      </c>
      <c r="J77" s="53" t="d">
        <v>16:10:00.00000000000426450</v>
      </c>
      <c r="K77" s="53" t="d">
        <v>16:18:00.00000000000255600</v>
      </c>
      <c r="M77" s="54"/>
      <c r="O77" s="4"/>
    </row>
    <row r="78" spans="1:15" x14ac:dyDescent="0.2">
      <c r="A78">
        <f t="shared" si="1"/>
        <v>77</v>
      </c>
      <c r="B78" t="s">
        <v>236</v>
      </c>
      <c r="C78" s="55" t="s">
        <v>71</v>
      </c>
      <c r="D78" s="9">
        <v>76</v>
      </c>
      <c r="E78" s="56"/>
      <c r="F78" s="4" t="d">
        <f ca="1">Table9[[#This Row],[Surgery Start Date]]+1</f>
        <v>2020-03-06</v>
      </c>
      <c r="G78" s="53" t="d">
        <v>08:29:59.9999999999968050</v>
      </c>
      <c r="H78" s="53" t="d">
        <v>09:49:59.99999999999893725</v>
      </c>
      <c r="I78" s="53" t="d">
        <v>10:54:59.99999999999467275</v>
      </c>
      <c r="J78" s="53" t="d">
        <v>11:04:59.99999999999733300</v>
      </c>
      <c r="K78" s="53" t="d">
        <v>11:20:00.00000000000372975</v>
      </c>
      <c r="M78" s="54"/>
      <c r="O78" s="4"/>
    </row>
    <row r="79" spans="1:15" x14ac:dyDescent="0.2">
      <c r="A79">
        <f t="shared" si="1"/>
        <v>78</v>
      </c>
      <c r="B79" t="s">
        <v>236</v>
      </c>
      <c r="C79" s="55" t="s">
        <v>71</v>
      </c>
      <c r="D79" s="9">
        <v>76</v>
      </c>
      <c r="E79" s="56"/>
      <c r="F79" s="4" t="d">
        <f ca="1">Table9[[#This Row],[Surgery Start Date]]+1</f>
        <v>2020-03-09</v>
      </c>
      <c r="G79" s="53" t="d">
        <v>08:19:59.99999999999893725</v>
      </c>
      <c r="H79" s="53" t="d">
        <v>09:29:59.9999999999984025</v>
      </c>
      <c r="I79" s="53" t="d">
        <v>10:54:59.99999999999467275</v>
      </c>
      <c r="J79" s="53" t="d">
        <v>12:30:00.0000000000031950</v>
      </c>
      <c r="K79" s="53" t="d">
        <v>12:45:00.000</v>
      </c>
      <c r="M79" s="54"/>
      <c r="O79" s="4"/>
    </row>
    <row r="80" spans="1:15" x14ac:dyDescent="0.2">
      <c r="A80">
        <f t="shared" si="1"/>
        <v>79</v>
      </c>
      <c r="B80" t="s">
        <v>236</v>
      </c>
      <c r="C80" s="55" t="s">
        <v>71</v>
      </c>
      <c r="D80" s="9">
        <v>76</v>
      </c>
      <c r="E80" s="56"/>
      <c r="F80" s="4" t="d">
        <f ca="1">Table9[[#This Row],[Surgery Start Date]]+1</f>
        <v>2020-03-09</v>
      </c>
      <c r="G80" s="53" t="d">
        <v>14:10:00.00000000000106275</v>
      </c>
      <c r="H80" s="53" t="d">
        <v>14:30:00.00000000000639675</v>
      </c>
      <c r="I80" s="53" t="d">
        <v>15:30:00.0000000000031950</v>
      </c>
      <c r="J80" s="53" t="d">
        <v>15:35:00.00000000000213225</v>
      </c>
      <c r="K80" s="53" t="d">
        <v>15:40:00.00000000001066125</v>
      </c>
      <c r="M80" s="54"/>
      <c r="O80" s="4"/>
    </row>
    <row r="81" spans="1:15" x14ac:dyDescent="0.2">
      <c r="A81">
        <f t="shared" si="1"/>
        <v>80</v>
      </c>
      <c r="B81" t="s">
        <v>237</v>
      </c>
      <c r="C81" s="55" t="s">
        <v>72</v>
      </c>
      <c r="D81" s="9">
        <v>351</v>
      </c>
      <c r="E81" s="56"/>
      <c r="F81" s="4" t="d">
        <f ca="1">Table9[[#This Row],[Surgery Start Date]]+1</f>
        <v>2020-03-04</v>
      </c>
      <c r="G81" s="53" t="d">
        <v>07:50:59.99999999999552025</v>
      </c>
      <c r="H81" s="53" t="d">
        <v>08:09:59.99999999999627025</v>
      </c>
      <c r="I81" s="53" t="d">
        <v>08:50:00.00000000000213225</v>
      </c>
      <c r="J81" s="53" t="d">
        <v>08:54:00.00000000000127800</v>
      </c>
      <c r="K81" s="53" t="d">
        <v>08:56:00.00000000000085425</v>
      </c>
      <c r="M81" s="54"/>
      <c r="O81" s="4"/>
    </row>
    <row r="82" spans="1:15" x14ac:dyDescent="0.2">
      <c r="A82">
        <f t="shared" si="1"/>
        <v>81</v>
      </c>
      <c r="B82" t="s">
        <v>237</v>
      </c>
      <c r="C82" s="55" t="s">
        <v>72</v>
      </c>
      <c r="D82" s="9">
        <v>351</v>
      </c>
      <c r="E82" s="56"/>
      <c r="F82" s="4" t="d">
        <f ca="1">Table9[[#This Row],[Surgery Start Date]]+1</f>
        <v>2020-03-04</v>
      </c>
      <c r="G82" s="53" t="d">
        <v>08:35:59.99999999999552025</v>
      </c>
      <c r="H82" s="53" t="d">
        <v>09:03:59.99999999999914575</v>
      </c>
      <c r="I82" s="53" t="d">
        <v>09:24:59.99999999999467275</v>
      </c>
      <c r="J82" s="53" t="d">
        <v>09:25:59.99999999999925675</v>
      </c>
      <c r="K82" s="53" t="d">
        <v>09:26:59.99999999999424225</v>
      </c>
      <c r="M82" s="54"/>
      <c r="O82" s="4"/>
    </row>
    <row r="83" spans="1:15" x14ac:dyDescent="0.2">
      <c r="A83">
        <f t="shared" si="1"/>
        <v>82</v>
      </c>
      <c r="B83" t="s">
        <v>237</v>
      </c>
      <c r="C83" s="55" t="s">
        <v>72</v>
      </c>
      <c r="D83" s="9">
        <v>351</v>
      </c>
      <c r="E83" s="56"/>
      <c r="F83" s="4" t="d">
        <f ca="1">Table9[[#This Row],[Surgery Start Date]]+1</f>
        <v>2020-03-04</v>
      </c>
      <c r="G83" s="53" t="d">
        <v>09:18:59.99999999999595075</v>
      </c>
      <c r="H83" s="53" t="d">
        <v>09:39:59.99999999999627025</v>
      </c>
      <c r="I83" s="53" t="d">
        <v>10:28:00.00000000000042375</v>
      </c>
      <c r="J83" s="53" t="d">
        <v>10:30:00.000</v>
      </c>
      <c r="K83" s="53" t="d">
        <v>10:33:59.99999999999914575</v>
      </c>
      <c r="M83" s="54"/>
      <c r="O83" s="4"/>
    </row>
    <row r="84" spans="1:15" x14ac:dyDescent="0.2">
      <c r="A84">
        <f t="shared" si="1"/>
        <v>83</v>
      </c>
      <c r="B84" t="s">
        <v>237</v>
      </c>
      <c r="C84" s="55" t="s">
        <v>72</v>
      </c>
      <c r="D84" s="9">
        <v>223</v>
      </c>
      <c r="E84" s="56"/>
      <c r="F84" s="4" t="d">
        <f ca="1">Table9[[#This Row],[Surgery Start Date]]+1</f>
        <v>2020-03-04</v>
      </c>
      <c r="G84" s="53" t="d">
        <v>10:16:00.00000000000298650</v>
      </c>
      <c r="H84" s="53" t="d">
        <v>10:50:00.00000000000053475</v>
      </c>
      <c r="I84" s="53" t="d">
        <v>12:22:00.00000000000490350</v>
      </c>
      <c r="J84" s="53" t="d">
        <v>12:25:00.00000000000426450</v>
      </c>
      <c r="K84" s="53" t="d">
        <v>12:26:00.00000000000404925</v>
      </c>
      <c r="M84" s="54"/>
      <c r="O84" s="4"/>
    </row>
    <row r="85" spans="1:15" x14ac:dyDescent="0.2">
      <c r="A85">
        <f t="shared" si="1"/>
        <v>84</v>
      </c>
      <c r="B85" t="s">
        <v>237</v>
      </c>
      <c r="C85" s="55" t="s">
        <v>72</v>
      </c>
      <c r="D85" s="9">
        <v>223</v>
      </c>
      <c r="E85" s="56"/>
      <c r="F85" s="4" t="d">
        <f ca="1">Table9[[#This Row],[Surgery Start Date]]+1</f>
        <v>2020-03-04</v>
      </c>
      <c r="G85" s="53" t="d">
        <v>12:32:00.00000000000277125</v>
      </c>
      <c r="H85" s="53" t="d">
        <v>12:54:59.99999999999786775</v>
      </c>
      <c r="I85" s="53" t="d">
        <v>13:55:00.00000000000426450</v>
      </c>
      <c r="J85" s="53" t="d">
        <v>13:58:00.00000000000362550</v>
      </c>
      <c r="K85" s="53" t="d">
        <v>13:59:00.00000000000341025</v>
      </c>
      <c r="M85" s="54"/>
      <c r="O85" s="4"/>
    </row>
    <row r="86" spans="1:15" x14ac:dyDescent="0.2">
      <c r="A86">
        <f t="shared" si="1"/>
        <v>85</v>
      </c>
      <c r="B86" t="s">
        <v>237</v>
      </c>
      <c r="C86" s="55" t="s">
        <v>72</v>
      </c>
      <c r="D86" s="9">
        <v>76</v>
      </c>
      <c r="E86" s="56"/>
      <c r="F86" s="4" t="d">
        <f ca="1">Table9[[#This Row],[Surgery Start Date]]+1</f>
        <v>2020-03-04</v>
      </c>
      <c r="G86" s="53" t="d">
        <v>15:10:00.00000000000745950</v>
      </c>
      <c r="H86" s="53" t="d">
        <v>15:11:00.00000000000724425</v>
      </c>
      <c r="I86" s="53" t="d">
        <v>17:00:00.0000000000031950</v>
      </c>
      <c r="J86" s="53" t="d">
        <v>17:01:00.00000000000298650</v>
      </c>
      <c r="K86" s="53" t="d">
        <v>17:34:59.99999999999573550</v>
      </c>
      <c r="M86" s="54"/>
      <c r="O86" s="4"/>
    </row>
    <row r="87" spans="1:15" x14ac:dyDescent="0.2">
      <c r="A87">
        <f t="shared" si="1"/>
        <v>86</v>
      </c>
      <c r="B87" t="s">
        <v>237</v>
      </c>
      <c r="C87" s="55" t="s">
        <v>72</v>
      </c>
      <c r="D87" s="9">
        <v>223</v>
      </c>
      <c r="E87" s="56"/>
      <c r="F87" s="4" t="d">
        <f ca="1">Table9[[#This Row],[Surgery Start Date]]+1</f>
        <v>2020-03-06</v>
      </c>
      <c r="G87" s="53" t="d">
        <v>08:01:00.00000000000298650</v>
      </c>
      <c r="H87" s="53" t="d">
        <v>08:29:59.9999999999968050</v>
      </c>
      <c r="I87" s="53" t="d">
        <v>09:49:59.99999999999893725</v>
      </c>
      <c r="J87" s="53" t="d">
        <v>09:54:59.99999999999786775</v>
      </c>
      <c r="K87" s="53" t="d">
        <v>09:55:59.9999999999976525</v>
      </c>
      <c r="M87" s="54"/>
      <c r="O87" s="4"/>
    </row>
    <row r="88" spans="1:15" x14ac:dyDescent="0.2">
      <c r="A88">
        <f t="shared" si="1"/>
        <v>87</v>
      </c>
      <c r="B88" t="s">
        <v>237</v>
      </c>
      <c r="C88" s="55" t="s">
        <v>72</v>
      </c>
      <c r="D88" s="9">
        <v>223</v>
      </c>
      <c r="E88" s="56"/>
      <c r="F88" s="4" t="d">
        <f ca="1">Table9[[#This Row],[Surgery Start Date]]+1</f>
        <v>2020-03-06</v>
      </c>
      <c r="G88" s="53" t="d">
        <v>09:37:00.00000000000170850</v>
      </c>
      <c r="H88" s="53" t="d">
        <v>10:09:59.99999999999467275</v>
      </c>
      <c r="I88" s="53" t="d">
        <v>12:01:59.99999999999957625</v>
      </c>
      <c r="J88" s="53" t="d">
        <v>12:05:00.00000000000852900</v>
      </c>
      <c r="K88" s="53" t="d">
        <v>12:05:59.99999999999872200</v>
      </c>
      <c r="M88" s="54"/>
      <c r="O88" s="4"/>
    </row>
    <row r="89" spans="1:15" x14ac:dyDescent="0.2">
      <c r="A89">
        <f t="shared" si="1"/>
        <v>88</v>
      </c>
      <c r="B89" t="s">
        <v>237</v>
      </c>
      <c r="C89" s="55" t="s">
        <v>72</v>
      </c>
      <c r="D89" s="9">
        <v>223</v>
      </c>
      <c r="E89" s="56"/>
      <c r="F89" s="4" t="d">
        <f ca="1">Table9[[#This Row],[Surgery Start Date]]+1</f>
        <v>2020-03-06</v>
      </c>
      <c r="G89" s="53" t="d">
        <v>11:22:59.99999999999349900</v>
      </c>
      <c r="H89" s="53" t="d">
        <v>12:19:00.0000000000055425</v>
      </c>
      <c r="I89" s="53" t="d">
        <v>13:00:00.00000000000639675</v>
      </c>
      <c r="J89" s="53" t="d">
        <v>13:05:00.00000000000532725</v>
      </c>
      <c r="K89" s="53" t="d">
        <v>13:06:00.00000000000511875</v>
      </c>
      <c r="M89" s="54"/>
      <c r="O89" s="4"/>
    </row>
    <row r="90" spans="1:15" x14ac:dyDescent="0.2">
      <c r="A90">
        <f t="shared" si="1"/>
        <v>89</v>
      </c>
      <c r="B90" t="s">
        <v>237</v>
      </c>
      <c r="C90" s="55" t="s">
        <v>72</v>
      </c>
      <c r="D90" s="9">
        <v>351</v>
      </c>
      <c r="E90" s="56"/>
      <c r="F90" s="4" t="d">
        <f ca="1">Table9[[#This Row],[Surgery Start Date]]+1</f>
        <v>2020-03-06</v>
      </c>
      <c r="G90" s="53" t="d">
        <v>13:05:00.00000000000532725</v>
      </c>
      <c r="H90" s="53" t="d">
        <v>14:04:00.000000000002344800</v>
      </c>
      <c r="I90" s="53" t="d">
        <v>15:25:00.00000000000426450</v>
      </c>
      <c r="J90" s="53" t="d">
        <v>15:27:00.00000000000383400</v>
      </c>
      <c r="K90" s="53" t="d">
        <v>15:35:00.00000000000213225</v>
      </c>
      <c r="M90" s="54"/>
      <c r="O90" s="4"/>
    </row>
    <row r="91" spans="1:15" x14ac:dyDescent="0.2">
      <c r="A91">
        <f t="shared" si="1"/>
        <v>90</v>
      </c>
      <c r="B91" t="s">
        <v>240</v>
      </c>
      <c r="C91" s="55" t="s">
        <v>71</v>
      </c>
      <c r="D91" s="9">
        <v>351</v>
      </c>
      <c r="E91" s="56"/>
      <c r="F91" s="4" t="d">
        <f ca="1">Table9[[#This Row],[Surgery Start Date]]+1</f>
        <v>2020-03-06</v>
      </c>
      <c r="G91" s="53" t="d">
        <v>08:05:00.00000000000213225</v>
      </c>
      <c r="H91" s="53" t="d">
        <v>08:20:59.99999999999872200</v>
      </c>
      <c r="I91" s="53" t="d">
        <v>08:33:59.99999999999595075</v>
      </c>
      <c r="J91" s="53" t="d">
        <v>08:35:59.99999999999552025</v>
      </c>
      <c r="K91" s="53" t="d">
        <v>08:37:00.00000000000010425</v>
      </c>
      <c r="M91" s="54"/>
      <c r="O91" s="4"/>
    </row>
    <row r="92" spans="1:15" x14ac:dyDescent="0.2">
      <c r="A92">
        <f t="shared" si="1"/>
        <v>91</v>
      </c>
      <c r="B92" t="s">
        <v>240</v>
      </c>
      <c r="C92" s="55" t="s">
        <v>71</v>
      </c>
      <c r="D92" s="9">
        <v>351</v>
      </c>
      <c r="E92" s="56"/>
      <c r="F92" s="4" t="d">
        <f ca="1">Table9[[#This Row],[Surgery Start Date]]+1</f>
        <v>2020-03-06</v>
      </c>
      <c r="G92" s="53" t="d">
        <v>08:37:00.00000000000010425</v>
      </c>
      <c r="H92" s="53" t="d">
        <v>08:46:59.99999999999797200</v>
      </c>
      <c r="I92" s="53" t="d">
        <v>08:56:59.99999999999584650</v>
      </c>
      <c r="J92" s="53" t="d">
        <v>09:00:00.000</v>
      </c>
      <c r="K92" s="53" t="d">
        <v>09:00:59.999999999999786775</v>
      </c>
      <c r="M92" s="54"/>
      <c r="O92" s="4"/>
    </row>
    <row r="93" spans="1:15" x14ac:dyDescent="0.2">
      <c r="A93">
        <f t="shared" si="1"/>
        <v>92</v>
      </c>
      <c r="B93" t="s">
        <v>240</v>
      </c>
      <c r="C93" s="55" t="s">
        <v>71</v>
      </c>
      <c r="D93" s="9">
        <v>351</v>
      </c>
      <c r="E93" s="56"/>
      <c r="F93" s="4" t="d">
        <f ca="1">Table9[[#This Row],[Surgery Start Date]]+1</f>
        <v>2020-03-06</v>
      </c>
      <c r="G93" s="53" t="d">
        <v>09:16:59.99999999999637450</v>
      </c>
      <c r="H93" s="53" t="d">
        <v>10:24:00.00000000000127800</v>
      </c>
      <c r="I93" s="53" t="d">
        <v>11:39:59.99999999999946525</v>
      </c>
      <c r="J93" s="53" t="d">
        <v>11:54:59.99999999999627025</v>
      </c>
      <c r="K93" s="53" t="d">
        <v>11:55:59.9999999999960550</v>
      </c>
      <c r="M93" s="54"/>
      <c r="O93" s="4"/>
    </row>
    <row r="94" spans="1:15" x14ac:dyDescent="0.2">
      <c r="A94">
        <f t="shared" si="1"/>
        <v>93</v>
      </c>
      <c r="B94" t="s">
        <v>240</v>
      </c>
      <c r="C94" s="55" t="s">
        <v>71</v>
      </c>
      <c r="D94" s="9">
        <v>351</v>
      </c>
      <c r="E94" s="56"/>
      <c r="F94" s="4" t="d">
        <f ca="1">Table9[[#This Row],[Surgery Start Date]]+1</f>
        <v>2020-03-06</v>
      </c>
      <c r="G94" s="53" t="d">
        <v>11:51:59.99999999999690925</v>
      </c>
      <c r="H94" s="53" t="d">
        <v>12:30:00.0000000000031950</v>
      </c>
      <c r="I94" s="53" t="d">
        <v>13:15:00.0000000000031950</v>
      </c>
      <c r="J94" s="53" t="d">
        <v>13:25:00.00000000000106275</v>
      </c>
      <c r="K94" s="53" t="d">
        <v>13:30:00.000</v>
      </c>
      <c r="M94" s="54"/>
      <c r="O94" s="4"/>
    </row>
    <row r="95" spans="1:15" x14ac:dyDescent="0.2">
      <c r="A95">
        <f t="shared" si="1"/>
        <v>94</v>
      </c>
      <c r="B95" t="s">
        <v>240</v>
      </c>
      <c r="C95" s="55" t="s">
        <v>71</v>
      </c>
      <c r="D95" s="9">
        <v>351</v>
      </c>
      <c r="E95" s="56"/>
      <c r="F95" s="4" t="d">
        <f ca="1">Table9[[#This Row],[Surgery Start Date]]+1</f>
        <v>2020-03-06</v>
      </c>
      <c r="G95" s="53" t="d">
        <v>14:50:00.00000000000213225</v>
      </c>
      <c r="H95" s="53" t="d">
        <v>14:59:00.00000000000021525</v>
      </c>
      <c r="I95" s="53" t="d">
        <v>15:35:00.00000000000213225</v>
      </c>
      <c r="J95" s="53" t="d">
        <v>15:48:00.00000000000895275</v>
      </c>
      <c r="K95" s="53" t="d">
        <v>15:48:59.99999999999914575</v>
      </c>
      <c r="M95" s="54"/>
      <c r="O95" s="4"/>
    </row>
    <row r="96" spans="1:15" x14ac:dyDescent="0.2">
      <c r="A96">
        <f t="shared" si="1"/>
        <v>95</v>
      </c>
      <c r="B96" t="s">
        <v>240</v>
      </c>
      <c r="C96" s="55" t="s">
        <v>71</v>
      </c>
      <c r="D96" s="9">
        <v>351</v>
      </c>
      <c r="E96" s="56"/>
      <c r="F96" s="4" t="d">
        <f ca="1">Table9[[#This Row],[Surgery Start Date]]+1</f>
        <v>2020-03-06</v>
      </c>
      <c r="G96" s="53" t="d">
        <v>15:49:59.99999999999893725</v>
      </c>
      <c r="H96" s="53" t="d">
        <v>16:10:00.00000000000426450</v>
      </c>
      <c r="I96" s="53" t="d">
        <v>16:57:59.99999999999403375</v>
      </c>
      <c r="J96" s="53" t="d">
        <v>17:14:00.00000000000980700</v>
      </c>
      <c r="K96" s="53" t="d">
        <v>17:15:00.000</v>
      </c>
      <c r="M96" s="54"/>
      <c r="O96" s="4"/>
    </row>
    <row r="97" spans="1:15" x14ac:dyDescent="0.2">
      <c r="A97">
        <f t="shared" si="1"/>
        <v>96</v>
      </c>
      <c r="B97" t="s">
        <v>239</v>
      </c>
      <c r="C97" s="55" t="s">
        <v>72</v>
      </c>
      <c r="D97" s="9">
        <v>427</v>
      </c>
      <c r="E97" s="56"/>
      <c r="F97" s="4" t="d">
        <f ca="1">Table9[[#This Row],[Surgery Start Date]]+1</f>
        <v>2020-03-04</v>
      </c>
      <c r="G97" s="53" t="d">
        <v>07:59:59.9999999999984025</v>
      </c>
      <c r="H97" s="53" t="d">
        <v>09:00:00.000</v>
      </c>
      <c r="I97" s="53" t="d">
        <v>09:49:59.99999999999893725</v>
      </c>
      <c r="J97" s="53" t="d">
        <v>10:05:59.99999999999552025</v>
      </c>
      <c r="K97" s="53" t="d">
        <v>10:09:59.99999999999467275</v>
      </c>
      <c r="M97" s="54"/>
      <c r="O97" s="4"/>
    </row>
    <row r="98" spans="1:15" x14ac:dyDescent="0.2">
      <c r="A98">
        <f t="shared" si="1"/>
        <v>97</v>
      </c>
      <c r="B98" t="s">
        <v>239</v>
      </c>
      <c r="C98" s="55" t="s">
        <v>72</v>
      </c>
      <c r="D98" s="9">
        <v>76</v>
      </c>
      <c r="E98" s="56"/>
      <c r="F98" s="4" t="d">
        <f ca="1">Table9[[#This Row],[Surgery Start Date]]+1</f>
        <v>2020-03-06</v>
      </c>
      <c r="G98" s="53" t="d">
        <v>08:05:00.00000000000213225</v>
      </c>
      <c r="H98" s="53" t="d">
        <v>08:31:59.99999999999637450</v>
      </c>
      <c r="I98" s="53" t="d">
        <v>09:35:00.00000000000213225</v>
      </c>
      <c r="J98" s="53" t="d">
        <v>09:35:59.99999999999712450</v>
      </c>
      <c r="K98" s="53" t="d">
        <v>09:37:00.00000000000170850</v>
      </c>
      <c r="M98" s="54"/>
      <c r="O98" s="4"/>
    </row>
    <row r="99" spans="1:15" x14ac:dyDescent="0.2">
      <c r="A99">
        <f t="shared" si="1"/>
        <v>98</v>
      </c>
      <c r="B99" t="s">
        <v>239</v>
      </c>
      <c r="C99" s="55" t="s">
        <v>72</v>
      </c>
      <c r="D99" s="9">
        <v>76</v>
      </c>
      <c r="E99" s="56"/>
      <c r="F99" s="4" t="d">
        <f ca="1">Table9[[#This Row],[Surgery Start Date]]+1</f>
        <v>2020-03-06</v>
      </c>
      <c r="G99" s="53" t="d">
        <v>10:30:00.000</v>
      </c>
      <c r="H99" s="53" t="d">
        <v>10:34:59.99999999999893725</v>
      </c>
      <c r="I99" s="53" t="d">
        <v>12:05:00.00000000000852900</v>
      </c>
      <c r="J99" s="53" t="d">
        <v>12:09:59.99999999999786775</v>
      </c>
      <c r="K99" s="53" t="d">
        <v>12:15:00.00000000000639675</v>
      </c>
      <c r="M99" s="54"/>
      <c r="O99" s="4"/>
    </row>
    <row r="100" spans="1:15" x14ac:dyDescent="0.2">
      <c r="A100">
        <f t="shared" si="1"/>
        <v>99</v>
      </c>
      <c r="B100" t="s">
        <v>239</v>
      </c>
      <c r="C100" s="55" t="s">
        <v>72</v>
      </c>
      <c r="D100" s="9">
        <v>76</v>
      </c>
      <c r="E100" s="56"/>
      <c r="F100" s="4" t="d">
        <f ca="1">Table9[[#This Row],[Surgery Start Date]]+1</f>
        <v>2020-03-06</v>
      </c>
      <c r="G100" s="53" t="d">
        <v>12:15:00.00000000000639675</v>
      </c>
      <c r="H100" s="53" t="d">
        <v>13:20:00.00000000000213225</v>
      </c>
      <c r="I100" s="53" t="d">
        <v>16:30:00.000</v>
      </c>
      <c r="J100" s="53" t="d">
        <v>16:34:59.99999999999893725</v>
      </c>
      <c r="K100" s="53" t="d">
        <v>16:45:00.00000000000639675</v>
      </c>
      <c r="M100" s="54"/>
      <c r="O100" s="4"/>
    </row>
    <row r="101" spans="1:15" x14ac:dyDescent="0.2">
      <c r="A101">
        <f t="shared" si="1"/>
        <v>100</v>
      </c>
      <c r="B101" t="s">
        <v>239</v>
      </c>
      <c r="C101" s="55" t="s">
        <v>72</v>
      </c>
      <c r="D101" s="9">
        <v>76</v>
      </c>
      <c r="E101" s="56"/>
      <c r="F101" s="4" t="d">
        <f ca="1">Table9[[#This Row],[Surgery Start Date]]+1</f>
        <v>2020-03-09</v>
      </c>
      <c r="G101" s="53" t="d">
        <v>08:35:00.00000000000053475</v>
      </c>
      <c r="H101" s="53" t="d">
        <v>08:35:59.99999999999552025</v>
      </c>
      <c r="I101" s="53" t="d">
        <v>10:20:00.00000000000213225</v>
      </c>
      <c r="J101" s="53" t="d">
        <v>10:24:59.99999999999627025</v>
      </c>
      <c r="K101" s="53" t="d">
        <v>10:30:00.000</v>
      </c>
      <c r="M101" s="54"/>
      <c r="O101" s="4"/>
    </row>
    <row r="102" spans="1:15" x14ac:dyDescent="0.2">
      <c r="A102">
        <f t="shared" si="1"/>
        <v>101</v>
      </c>
      <c r="B102" t="s">
        <v>239</v>
      </c>
      <c r="C102" s="55" t="s">
        <v>72</v>
      </c>
      <c r="D102" s="9">
        <v>427</v>
      </c>
      <c r="E102" s="56"/>
      <c r="F102" s="4" t="d">
        <f ca="1">Table9[[#This Row],[Surgery Start Date]]+1</f>
        <v>2020-03-09</v>
      </c>
      <c r="G102" s="53" t="d">
        <v>10:44:59.9999999999968050</v>
      </c>
      <c r="H102" s="53" t="d">
        <v>10:46:00.00000000000138225</v>
      </c>
      <c r="I102" s="53" t="d">
        <v>13:10:00.00000000000426450</v>
      </c>
      <c r="J102" s="53" t="d">
        <v>13:11:00.00000000000404925</v>
      </c>
      <c r="K102" s="53" t="d">
        <v>13:12:00.00000000000383400</v>
      </c>
      <c r="M102" s="54"/>
      <c r="O102" s="4"/>
    </row>
    <row r="103" spans="1:15" x14ac:dyDescent="0.2">
      <c r="A103">
        <f t="shared" si="1"/>
        <v>102</v>
      </c>
      <c r="B103" t="s">
        <v>239</v>
      </c>
      <c r="C103" s="55" t="s">
        <v>72</v>
      </c>
      <c r="D103" s="9">
        <v>427</v>
      </c>
      <c r="E103" s="56"/>
      <c r="F103" s="4" t="d">
        <f ca="1">Table9[[#This Row],[Surgery Start Date]]+1</f>
        <v>2020-03-09</v>
      </c>
      <c r="G103" s="53" t="d">
        <v>13:30:00.000</v>
      </c>
      <c r="H103" s="53" t="d">
        <v>13:45:00.00000000000639675</v>
      </c>
      <c r="I103" s="53" t="d">
        <v>16:00:00.00000000000639675</v>
      </c>
      <c r="J103" s="53" t="d">
        <v>16:10:00.00000000000426450</v>
      </c>
      <c r="K103" s="53" t="d">
        <v>16:20:00.00000000000213225</v>
      </c>
      <c r="M103" s="54"/>
      <c r="O103" s="4"/>
    </row>
    <row r="104" spans="1:15" x14ac:dyDescent="0.2">
      <c r="A104">
        <f t="shared" si="1"/>
        <v>103</v>
      </c>
      <c r="B104" t="s">
        <v>241</v>
      </c>
      <c r="C104" s="55" t="s">
        <v>72</v>
      </c>
      <c r="D104" s="9">
        <v>388</v>
      </c>
      <c r="E104" s="56"/>
      <c r="F104" s="4" t="d">
        <f ca="1">Table9[[#This Row],[Surgery Start Date]]+1</f>
        <v>2020-03-06</v>
      </c>
      <c r="G104" s="53" t="d">
        <v>09:00:00.000</v>
      </c>
      <c r="H104" s="53" t="d">
        <v>10:20:00.00000000000213225</v>
      </c>
      <c r="I104" s="53" t="d">
        <v>16:20:00.00000000000213225</v>
      </c>
      <c r="J104" s="53" t="d">
        <v>16:40:00.00000000000745950</v>
      </c>
      <c r="K104" s="53" t="d">
        <v>16:41:00.00000000000724425</v>
      </c>
      <c r="M104" s="54"/>
      <c r="O104" s="4"/>
    </row>
    <row r="105" spans="1:15" x14ac:dyDescent="0.2">
      <c r="A105">
        <f t="shared" si="1"/>
        <v>104</v>
      </c>
      <c r="B105" t="s">
        <v>241</v>
      </c>
      <c r="C105" s="55" t="s">
        <v>72</v>
      </c>
      <c r="D105" s="9">
        <v>76</v>
      </c>
      <c r="E105" s="56" t="s">
        <v>229</v>
      </c>
      <c r="F105" s="4" t="d">
        <f ca="1">Table9[[#This Row],[Surgery Start Date]]+1</f>
        <v>2020-03-09</v>
      </c>
      <c r="M105" s="54"/>
      <c r="O105" s="4"/>
    </row>
    <row r="106" spans="1:15" x14ac:dyDescent="0.2">
      <c r="A106">
        <f t="shared" si="1"/>
        <v>105</v>
      </c>
      <c r="B106" t="s">
        <v>241</v>
      </c>
      <c r="C106" s="55" t="s">
        <v>72</v>
      </c>
      <c r="D106" s="9">
        <v>388</v>
      </c>
      <c r="E106" s="56"/>
      <c r="F106" s="4" t="d">
        <f ca="1">Table9[[#This Row],[Surgery Start Date]]+1</f>
        <v>2020-03-09</v>
      </c>
      <c r="G106" s="53" t="d">
        <v>08:50:59.99999999999712450</v>
      </c>
      <c r="H106" s="53" t="d">
        <v>09:09:59.99999999999786775</v>
      </c>
      <c r="I106" s="53" t="d">
        <v>09:54:59.99999999999786775</v>
      </c>
      <c r="J106" s="53" t="d">
        <v>09:59:59.9999999999968050</v>
      </c>
      <c r="K106" s="53" t="d">
        <v>10:01:00.00000000000138225</v>
      </c>
      <c r="M106" s="54"/>
      <c r="O106" s="4"/>
    </row>
    <row r="107" spans="1:15" x14ac:dyDescent="0.2">
      <c r="A107">
        <f t="shared" si="1"/>
        <v>106</v>
      </c>
      <c r="B107" t="s">
        <v>241</v>
      </c>
      <c r="C107" s="55" t="s">
        <v>72</v>
      </c>
      <c r="D107" s="9">
        <v>388</v>
      </c>
      <c r="E107" s="56"/>
      <c r="F107" s="4" t="d">
        <f ca="1">Table9[[#This Row],[Surgery Start Date]]+1</f>
        <v>2020-03-09</v>
      </c>
      <c r="G107" s="53" t="d">
        <v>10:10:59.99999999999925675</v>
      </c>
      <c r="H107" s="53" t="d">
        <v>10:24:59.99999999999627025</v>
      </c>
      <c r="I107" s="53" t="d">
        <v>11:04:59.99999999999733300</v>
      </c>
      <c r="J107" s="53" t="d">
        <v>11:09:59.99999999999627025</v>
      </c>
      <c r="K107" s="53" t="d">
        <v>11:11:59.99999999999584650</v>
      </c>
      <c r="M107" s="54"/>
      <c r="O107" s="4"/>
    </row>
    <row r="108" spans="1:15" x14ac:dyDescent="0.2">
      <c r="A108">
        <f t="shared" ref="A108:A168" si="2">ROW()-1</f>
        <v>107</v>
      </c>
      <c r="B108" t="s">
        <v>241</v>
      </c>
      <c r="C108" s="55" t="s">
        <v>72</v>
      </c>
      <c r="D108" s="9">
        <v>76</v>
      </c>
      <c r="E108" s="56"/>
      <c r="F108" s="4" t="d">
        <f ca="1">Table9[[#This Row],[Surgery Start Date]]+1</f>
        <v>2020-03-09</v>
      </c>
      <c r="G108" s="53" t="d">
        <v>11:20:00.00000000000372975</v>
      </c>
      <c r="H108" s="53" t="d">
        <v>11:39:59.99999999999946525</v>
      </c>
      <c r="I108" s="53" t="d">
        <v>12:30:00.0000000000031950</v>
      </c>
      <c r="J108" s="53" t="d">
        <v>12:35:00.00000000000213225</v>
      </c>
      <c r="K108" s="53" t="d">
        <v>12:37:00.00000000000170850</v>
      </c>
      <c r="M108" s="54"/>
      <c r="O108" s="4"/>
    </row>
    <row r="109" spans="1:15" x14ac:dyDescent="0.2">
      <c r="A109">
        <f t="shared" si="2"/>
        <v>108</v>
      </c>
      <c r="B109" t="s">
        <v>241</v>
      </c>
      <c r="C109" s="55" t="s">
        <v>72</v>
      </c>
      <c r="D109" s="9">
        <v>76</v>
      </c>
      <c r="E109" s="56"/>
      <c r="F109" s="4" t="d">
        <f ca="1">Table9[[#This Row],[Surgery Start Date]]+1</f>
        <v>2020-03-09</v>
      </c>
      <c r="G109" s="53" t="d">
        <v>13:10:00.00000000000426450</v>
      </c>
      <c r="H109" s="53" t="d">
        <v>13:20:00.00000000000213225</v>
      </c>
      <c r="I109" s="53" t="d">
        <v>14:24:59.99999999999786775</v>
      </c>
      <c r="J109" s="53" t="d">
        <v>14:40:00.00000000000426450</v>
      </c>
      <c r="K109" s="53" t="d">
        <v>14:41:00.00000000000404925</v>
      </c>
      <c r="M109" s="54"/>
      <c r="O109" s="4"/>
    </row>
    <row r="110" spans="1:15" x14ac:dyDescent="0.2">
      <c r="A110">
        <f t="shared" si="2"/>
        <v>109</v>
      </c>
      <c r="B110" t="s">
        <v>236</v>
      </c>
      <c r="C110" s="55" t="s">
        <v>71</v>
      </c>
      <c r="D110" s="9">
        <v>76</v>
      </c>
      <c r="E110" s="56" t="s">
        <v>229</v>
      </c>
      <c r="F110" s="4" t="d">
        <f ca="1">Table9[[#This Row],[Surgery Start Date]]+1</f>
        <v>2020-03-10</v>
      </c>
      <c r="M110" s="54"/>
      <c r="O110" s="4"/>
    </row>
    <row r="111" spans="1:15" x14ac:dyDescent="0.2">
      <c r="A111">
        <f t="shared" si="2"/>
        <v>110</v>
      </c>
      <c r="B111" t="s">
        <v>236</v>
      </c>
      <c r="C111" s="55" t="s">
        <v>71</v>
      </c>
      <c r="D111" s="9">
        <v>427</v>
      </c>
      <c r="E111" s="56"/>
      <c r="F111" s="4" t="d">
        <f ca="1">Table9[[#This Row],[Surgery Start Date]]+1</f>
        <v>2020-03-10</v>
      </c>
      <c r="G111" s="53" t="d">
        <v>09:29:59.9999999999984025</v>
      </c>
      <c r="H111" s="53" t="d">
        <v>09:45:00.000</v>
      </c>
      <c r="I111" s="53" t="d">
        <v>10:05:00.00000000000053475</v>
      </c>
      <c r="J111" s="53" t="d">
        <v>10:24:59.99999999999627025</v>
      </c>
      <c r="K111" s="53" t="d">
        <v>11:20:00.00000000000372975</v>
      </c>
      <c r="M111" s="54"/>
      <c r="O111" s="4"/>
    </row>
    <row r="112" spans="1:15" x14ac:dyDescent="0.2">
      <c r="A112">
        <f t="shared" si="2"/>
        <v>111</v>
      </c>
      <c r="B112" t="s">
        <v>236</v>
      </c>
      <c r="C112" s="55" t="s">
        <v>71</v>
      </c>
      <c r="D112" s="9">
        <v>76</v>
      </c>
      <c r="E112" s="56"/>
      <c r="F112" s="4" t="d">
        <f ca="1">Table9[[#This Row],[Surgery Start Date]]+1</f>
        <v>2020-03-10</v>
      </c>
      <c r="G112" s="53" t="d">
        <v>13:00:00.00000000000639675</v>
      </c>
      <c r="H112" s="53" t="d">
        <v>13:35:00.00000000000852900</v>
      </c>
      <c r="I112" s="53" t="d">
        <v>16:20:00.00000000000213225</v>
      </c>
      <c r="J112" s="53" t="d">
        <v>16:40:00.00000000000745950</v>
      </c>
      <c r="K112" s="53" t="d">
        <v>16:45:00.00000000000639675</v>
      </c>
      <c r="M112" s="54"/>
      <c r="O112" s="4"/>
    </row>
    <row r="113" spans="1:15" x14ac:dyDescent="0.2">
      <c r="A113">
        <f t="shared" si="2"/>
        <v>112</v>
      </c>
      <c r="B113" t="s">
        <v>237</v>
      </c>
      <c r="C113" s="55" t="s">
        <v>72</v>
      </c>
      <c r="D113" s="9">
        <v>223</v>
      </c>
      <c r="E113" s="56"/>
      <c r="F113" s="4" t="d">
        <f ca="1">Table9[[#This Row],[Surgery Start Date]]+1</f>
        <v>2020-03-10</v>
      </c>
      <c r="G113" s="53" t="d">
        <v>07:46:00.00000000000138225</v>
      </c>
      <c r="H113" s="53" t="d">
        <v>08:07:00.00000000000170850</v>
      </c>
      <c r="I113" s="53" t="d">
        <v>08:22:59.99999999999829150</v>
      </c>
      <c r="J113" s="53" t="d">
        <v>08:23:59.99999999999808300</v>
      </c>
      <c r="K113" s="53" t="d">
        <v>08:24:59.99999999999786775</v>
      </c>
      <c r="M113" s="54"/>
      <c r="O113" s="4"/>
    </row>
    <row r="114" spans="1:15" x14ac:dyDescent="0.2">
      <c r="A114">
        <f t="shared" si="2"/>
        <v>113</v>
      </c>
      <c r="B114" t="s">
        <v>237</v>
      </c>
      <c r="C114" s="55" t="s">
        <v>72</v>
      </c>
      <c r="D114" s="9">
        <v>223</v>
      </c>
      <c r="E114" s="56"/>
      <c r="F114" s="4" t="d">
        <f ca="1">Table9[[#This Row],[Surgery Start Date]]+1</f>
        <v>2020-03-10</v>
      </c>
      <c r="G114" s="53" t="d">
        <v>08:19:59.99999999999893725</v>
      </c>
      <c r="H114" s="53" t="d">
        <v>08:42:59.99999999999882625</v>
      </c>
      <c r="I114" s="53" t="d">
        <v>08:52:00.00000000000170850</v>
      </c>
      <c r="J114" s="53" t="d">
        <v>08:52:59.99999999999669400</v>
      </c>
      <c r="K114" s="53" t="d">
        <v>08:56:00.00000000000085425</v>
      </c>
      <c r="M114" s="54"/>
      <c r="O114" s="4"/>
    </row>
    <row r="115" spans="1:15" x14ac:dyDescent="0.2">
      <c r="A115">
        <f t="shared" si="2"/>
        <v>114</v>
      </c>
      <c r="B115" t="s">
        <v>237</v>
      </c>
      <c r="C115" s="55" t="s">
        <v>72</v>
      </c>
      <c r="D115" s="9">
        <v>223</v>
      </c>
      <c r="E115" s="56"/>
      <c r="F115" s="4" t="d">
        <f ca="1">Table9[[#This Row],[Surgery Start Date]]+1</f>
        <v>2020-03-10</v>
      </c>
      <c r="G115" s="53" t="d">
        <v>09:10:59.9999999999976525</v>
      </c>
      <c r="H115" s="53" t="d">
        <v>09:35:00.00000000000213225</v>
      </c>
      <c r="I115" s="53" t="d">
        <v>09:41:59.99999999999584650</v>
      </c>
      <c r="J115" s="53" t="d">
        <v>09:45:00.000</v>
      </c>
      <c r="K115" s="53" t="d">
        <v>09:46:59.99999999999957625</v>
      </c>
      <c r="M115" s="54"/>
      <c r="O115" s="4"/>
    </row>
    <row r="116" spans="1:15" x14ac:dyDescent="0.2">
      <c r="A116">
        <f t="shared" si="2"/>
        <v>115</v>
      </c>
      <c r="B116" t="s">
        <v>237</v>
      </c>
      <c r="C116" s="55" t="s">
        <v>72</v>
      </c>
      <c r="D116" s="9">
        <v>223</v>
      </c>
      <c r="E116" s="56"/>
      <c r="F116" s="4" t="d">
        <f ca="1">Table9[[#This Row],[Surgery Start Date]]+1</f>
        <v>2020-03-10</v>
      </c>
      <c r="G116" s="53" t="d">
        <v>11:00:59.99999999999818725</v>
      </c>
      <c r="H116" s="53" t="d">
        <v>11:20:00.00000000000372975</v>
      </c>
      <c r="I116" s="53" t="d">
        <v>11:45:59.99999999999818725</v>
      </c>
      <c r="J116" s="53" t="d">
        <v>11:45:59.99999999999818725</v>
      </c>
      <c r="K116" s="53" t="d">
        <v>11:49:59.99999999999733300</v>
      </c>
      <c r="M116" s="54"/>
      <c r="O116" s="4"/>
    </row>
    <row r="117" spans="1:15" x14ac:dyDescent="0.2">
      <c r="A117">
        <f t="shared" si="2"/>
        <v>116</v>
      </c>
      <c r="B117" t="s">
        <v>237</v>
      </c>
      <c r="C117" s="55" t="s">
        <v>72</v>
      </c>
      <c r="D117" s="9">
        <v>223</v>
      </c>
      <c r="E117" s="56"/>
      <c r="F117" s="4" t="d">
        <f ca="1">Table9[[#This Row],[Surgery Start Date]]+1</f>
        <v>2020-03-10</v>
      </c>
      <c r="G117" s="53" t="d">
        <v>12:00:01</v>
      </c>
      <c r="H117" s="53" t="d">
        <v>12:43:00.00000000000042375</v>
      </c>
      <c r="I117" s="53" t="d">
        <v>13:52:00.00000000000490350</v>
      </c>
      <c r="J117" s="53" t="d">
        <v>13:53:00.000000000004689600</v>
      </c>
      <c r="K117" s="53" t="d">
        <v>13:55:00.00000000000426450</v>
      </c>
      <c r="M117" s="54"/>
      <c r="O117" s="4"/>
    </row>
    <row r="118" spans="1:15" x14ac:dyDescent="0.2">
      <c r="A118">
        <f t="shared" si="2"/>
        <v>117</v>
      </c>
      <c r="B118" t="s">
        <v>240</v>
      </c>
      <c r="C118" s="55" t="s">
        <v>71</v>
      </c>
      <c r="D118" s="9">
        <v>351</v>
      </c>
      <c r="E118" s="56"/>
      <c r="F118" s="4" t="d">
        <f ca="1">Table9[[#This Row],[Surgery Start Date]]+1</f>
        <v>2020-03-10</v>
      </c>
      <c r="G118" s="53" t="d">
        <v>07:50:00.00000000000053475</v>
      </c>
      <c r="H118" s="53" t="d">
        <v>08:13:59.99999999999541600</v>
      </c>
      <c r="I118" s="53" t="d">
        <v>09:14:59.9999999999968050</v>
      </c>
      <c r="J118" s="53" t="d">
        <v>09:29:59.9999999999984025</v>
      </c>
      <c r="K118" s="53" t="d">
        <v>09:31:00.00000000000298650</v>
      </c>
      <c r="M118" s="54"/>
      <c r="O118" s="4"/>
    </row>
    <row r="119" spans="1:15" x14ac:dyDescent="0.2">
      <c r="A119">
        <f t="shared" si="2"/>
        <v>118</v>
      </c>
      <c r="B119" t="s">
        <v>240</v>
      </c>
      <c r="C119" s="55" t="s">
        <v>71</v>
      </c>
      <c r="D119" s="9">
        <v>351</v>
      </c>
      <c r="E119" s="56"/>
      <c r="F119" s="4" t="d">
        <f ca="1">Table9[[#This Row],[Surgery Start Date]]+1</f>
        <v>2020-03-10</v>
      </c>
      <c r="G119" s="53" t="d">
        <v>08:35:00.00000000000053475</v>
      </c>
      <c r="H119" s="53" t="d">
        <v>10:20:00.00000000000213225</v>
      </c>
      <c r="I119" s="53" t="d">
        <v>10:46:00.00000000000138225</v>
      </c>
      <c r="J119" s="53" t="d">
        <v>11:02:59.99999999999776350</v>
      </c>
      <c r="K119" s="53" t="d">
        <v>11:03:59.999999999997548925</v>
      </c>
      <c r="M119" s="54"/>
      <c r="O119" s="4"/>
    </row>
    <row r="120" spans="1:15" x14ac:dyDescent="0.2">
      <c r="A120">
        <f t="shared" si="2"/>
        <v>119</v>
      </c>
      <c r="B120" t="s">
        <v>240</v>
      </c>
      <c r="C120" s="55" t="s">
        <v>71</v>
      </c>
      <c r="D120" s="9">
        <v>351</v>
      </c>
      <c r="E120" s="56"/>
      <c r="F120" s="4" t="d">
        <f ca="1">Table9[[#This Row],[Surgery Start Date]]+1</f>
        <v>2020-03-10</v>
      </c>
      <c r="G120" s="53" t="d">
        <v>11:00:59.99999999999818725</v>
      </c>
      <c r="H120" s="53" t="d">
        <v>11:30:00.0000000000015975</v>
      </c>
      <c r="I120" s="53" t="d">
        <v>11:56:59.99999999999584650</v>
      </c>
      <c r="J120" s="53" t="d">
        <v>12:05:59.99999999999872200</v>
      </c>
      <c r="K120" s="53" t="d">
        <v>12:07:00.00000000000809850</v>
      </c>
      <c r="M120" s="54"/>
      <c r="O120" s="4"/>
    </row>
    <row r="121" spans="1:15" x14ac:dyDescent="0.2">
      <c r="A121">
        <f t="shared" si="2"/>
        <v>120</v>
      </c>
      <c r="B121" t="s">
        <v>240</v>
      </c>
      <c r="C121" s="55" t="s">
        <v>71</v>
      </c>
      <c r="D121" s="9">
        <v>351</v>
      </c>
      <c r="E121" s="56"/>
      <c r="F121" s="4" t="d">
        <f ca="1">Table9[[#This Row],[Surgery Start Date]]+1</f>
        <v>2020-03-10</v>
      </c>
      <c r="G121" s="53" t="d">
        <v>12:09:59.99999999999786775</v>
      </c>
      <c r="H121" s="53" t="d">
        <v>12:40:00.00000000000106275</v>
      </c>
      <c r="I121" s="53" t="d">
        <v>13:30:00.000</v>
      </c>
      <c r="J121" s="53" t="d">
        <v>13:39:59.99999999999786775</v>
      </c>
      <c r="K121" s="53" t="d">
        <v>13:41:00.00000000000724425</v>
      </c>
      <c r="M121" s="54"/>
      <c r="O121" s="4"/>
    </row>
    <row r="122" spans="1:15" x14ac:dyDescent="0.2">
      <c r="A122">
        <f t="shared" si="2"/>
        <v>121</v>
      </c>
      <c r="B122" t="s">
        <v>240</v>
      </c>
      <c r="C122" s="55" t="s">
        <v>71</v>
      </c>
      <c r="D122" s="9">
        <v>351</v>
      </c>
      <c r="E122" s="56"/>
      <c r="F122" s="4" t="d">
        <f ca="1">Table9[[#This Row],[Surgery Start Date]]+1</f>
        <v>2020-03-10</v>
      </c>
      <c r="G122" s="53" t="d">
        <v>13:35:59.99999999999872200</v>
      </c>
      <c r="H122" s="53" t="d">
        <v>14:36:00.00000000000511875</v>
      </c>
      <c r="I122" s="53" t="d">
        <v>16:41:59.999999999997441975</v>
      </c>
      <c r="J122" s="53" t="d">
        <v>16:45:59.99999999999658975</v>
      </c>
      <c r="K122" s="53" t="d">
        <v>16:47:00.00000000000596625</v>
      </c>
      <c r="M122" s="54"/>
      <c r="O122" s="4"/>
    </row>
    <row r="123" spans="1:15" x14ac:dyDescent="0.2">
      <c r="A123">
        <f t="shared" si="2"/>
        <v>122</v>
      </c>
      <c r="B123" t="s">
        <v>239</v>
      </c>
      <c r="C123" s="55" t="s">
        <v>72</v>
      </c>
      <c r="D123" s="9">
        <v>427</v>
      </c>
      <c r="E123" s="56"/>
      <c r="F123" s="4" t="d">
        <f ca="1">Table9[[#This Row],[Surgery Start Date]]+1</f>
        <v>2020-03-10</v>
      </c>
      <c r="G123" s="53" t="d">
        <v>07:59:59.9999999999984025</v>
      </c>
      <c r="H123" s="53" t="d">
        <v>08:29:59.9999999999968050</v>
      </c>
      <c r="I123" s="53" t="d">
        <v>09:37:59.99999999999669400</v>
      </c>
      <c r="J123" s="53" t="d">
        <v>09:39:00.00000000000127800</v>
      </c>
      <c r="K123" s="53" t="d">
        <v>09:39:59.99999999999627025</v>
      </c>
      <c r="M123" s="54"/>
      <c r="O123" s="4"/>
    </row>
    <row r="124" spans="1:15" x14ac:dyDescent="0.2">
      <c r="A124">
        <f t="shared" si="2"/>
        <v>123</v>
      </c>
      <c r="B124" t="s">
        <v>239</v>
      </c>
      <c r="C124" s="55" t="s">
        <v>72</v>
      </c>
      <c r="D124" s="9">
        <v>427</v>
      </c>
      <c r="E124" s="56"/>
      <c r="F124" s="4" t="d">
        <f ca="1">Table9[[#This Row],[Surgery Start Date]]+1</f>
        <v>2020-03-10</v>
      </c>
      <c r="G124" s="53" t="d">
        <v>09:59:59.9999999999968050</v>
      </c>
      <c r="H124" s="53" t="d">
        <v>10:14:59.9999999999984025</v>
      </c>
      <c r="I124" s="53" t="d">
        <v>11:35:00.00000000000053475</v>
      </c>
      <c r="J124" s="53" t="d">
        <v>11:39:59.99999999999946525</v>
      </c>
      <c r="K124" s="53" t="d">
        <v>11:40:59.99999999999925675</v>
      </c>
      <c r="M124" s="54"/>
      <c r="O124" s="4"/>
    </row>
    <row r="125" spans="1:15" x14ac:dyDescent="0.2">
      <c r="A125">
        <f t="shared" si="2"/>
        <v>124</v>
      </c>
      <c r="B125" t="s">
        <v>239</v>
      </c>
      <c r="C125" s="55" t="s">
        <v>72</v>
      </c>
      <c r="D125" s="9">
        <v>76</v>
      </c>
      <c r="E125" s="56"/>
      <c r="F125" s="4" t="d">
        <f ca="1">Table9[[#This Row],[Surgery Start Date]]+1</f>
        <v>2020-03-10</v>
      </c>
      <c r="G125" s="53" t="d">
        <v>12:00:01</v>
      </c>
      <c r="H125" s="53" t="d">
        <v>12:09:59.99999999999786775</v>
      </c>
      <c r="I125" s="53" t="d">
        <v>14:11:00.00000000000085425</v>
      </c>
      <c r="J125" s="53" t="d">
        <v>14:12:00.00000000000063900</v>
      </c>
      <c r="K125" s="53" t="d">
        <v>14:13:00.00000000000042375</v>
      </c>
      <c r="M125" s="54"/>
      <c r="O125" s="4"/>
    </row>
    <row r="126" spans="1:15" x14ac:dyDescent="0.2">
      <c r="A126">
        <f t="shared" si="2"/>
        <v>125</v>
      </c>
      <c r="B126" t="s">
        <v>239</v>
      </c>
      <c r="C126" s="55" t="s">
        <v>72</v>
      </c>
      <c r="D126" s="9">
        <v>76</v>
      </c>
      <c r="E126" s="56" t="s">
        <v>229</v>
      </c>
      <c r="F126" s="4" t="d">
        <f ca="1">Table9[[#This Row],[Surgery Start Date]]+1</f>
        <v>2020-03-10</v>
      </c>
      <c r="M126" s="54"/>
      <c r="O126" s="4"/>
    </row>
    <row r="127" spans="1:15" x14ac:dyDescent="0.2">
      <c r="A127">
        <f t="shared" si="2"/>
        <v>126</v>
      </c>
      <c r="B127" t="s">
        <v>241</v>
      </c>
      <c r="C127" s="55" t="s">
        <v>72</v>
      </c>
      <c r="D127" s="9">
        <v>28</v>
      </c>
      <c r="E127" s="56"/>
      <c r="F127" s="4" t="d">
        <f ca="1">Table9[[#This Row],[Surgery Start Date]]+1</f>
        <v>2020-03-10</v>
      </c>
      <c r="G127" s="53" t="d">
        <v>08:15:00.000</v>
      </c>
      <c r="H127" s="53" t="d">
        <v>08:44:59.9999999999984025</v>
      </c>
      <c r="I127" s="53" t="d">
        <v>09:29:59.9999999999984025</v>
      </c>
      <c r="J127" s="53" t="d">
        <v>09:31:59.99999999999797200</v>
      </c>
      <c r="K127" s="53" t="d">
        <v>09:45:00.000</v>
      </c>
      <c r="M127" s="54"/>
      <c r="O127" s="4"/>
    </row>
    <row r="128" spans="1:15" x14ac:dyDescent="0.2">
      <c r="A128">
        <f t="shared" si="2"/>
        <v>127</v>
      </c>
      <c r="B128" t="s">
        <v>241</v>
      </c>
      <c r="C128" s="55" t="s">
        <v>72</v>
      </c>
      <c r="D128" s="9">
        <v>28</v>
      </c>
      <c r="E128" s="56"/>
      <c r="F128" s="4" t="d">
        <f ca="1">Table9[[#This Row],[Surgery Start Date]]+1</f>
        <v>2020-03-10</v>
      </c>
      <c r="G128" s="53" t="d">
        <v>09:59:59.9999999999968050</v>
      </c>
      <c r="H128" s="53" t="d">
        <v>10:14:59.9999999999984025</v>
      </c>
      <c r="I128" s="53" t="d">
        <v>11:44:59.9999999999984025</v>
      </c>
      <c r="J128" s="53" t="d">
        <v>11:47:59.99999999999776350</v>
      </c>
      <c r="K128" s="53" t="d">
        <v>12:00:01</v>
      </c>
      <c r="M128" s="54"/>
      <c r="O128" s="4"/>
    </row>
    <row r="129" spans="1:15" x14ac:dyDescent="0.2">
      <c r="A129">
        <f t="shared" si="2"/>
        <v>128</v>
      </c>
      <c r="B129" t="s">
        <v>241</v>
      </c>
      <c r="C129" s="55" t="s">
        <v>72</v>
      </c>
      <c r="D129" s="9">
        <v>28</v>
      </c>
      <c r="E129" s="56"/>
      <c r="F129" s="4" t="d">
        <f ca="1">Table9[[#This Row],[Surgery Start Date]]+1</f>
        <v>2020-03-10</v>
      </c>
      <c r="G129" s="53" t="d">
        <v>11:44:59.9999999999984025</v>
      </c>
      <c r="H129" s="53" t="d">
        <v>12:09:59.99999999999786775</v>
      </c>
      <c r="I129" s="53" t="d">
        <v>13:30:00.000</v>
      </c>
      <c r="J129" s="53" t="d">
        <v>13:46:00.00000000000618150</v>
      </c>
      <c r="K129" s="53" t="d">
        <v>13:48:00.00000000000575775</v>
      </c>
      <c r="M129" s="54"/>
      <c r="O129" s="4"/>
    </row>
    <row r="130" spans="1:15" x14ac:dyDescent="0.2">
      <c r="A130">
        <f t="shared" si="2"/>
        <v>129</v>
      </c>
      <c r="B130" t="s">
        <v>241</v>
      </c>
      <c r="C130" s="55" t="s">
        <v>72</v>
      </c>
      <c r="D130" s="9">
        <v>28</v>
      </c>
      <c r="E130" s="56"/>
      <c r="F130" s="4" t="d">
        <f ca="1">Table9[[#This Row],[Surgery Start Date]]+1</f>
        <v>2020-03-10</v>
      </c>
      <c r="G130" s="53" t="d">
        <v>13:50:00.00000000000532725</v>
      </c>
      <c r="H130" s="53" t="d">
        <v>14:10:00.00000000000106275</v>
      </c>
      <c r="I130" s="53" t="d">
        <v>15:04:59.99999999999893725</v>
      </c>
      <c r="J130" s="53" t="d">
        <v>15:10:00.00000000000745950</v>
      </c>
      <c r="K130" s="53" t="d">
        <v>15:15:00.00000000000639675</v>
      </c>
      <c r="M130" s="54"/>
      <c r="O130" s="4"/>
    </row>
    <row r="131" spans="1:15" x14ac:dyDescent="0.2">
      <c r="A131">
        <f t="shared" si="2"/>
        <v>130</v>
      </c>
      <c r="B131" t="s">
        <v>238</v>
      </c>
      <c r="C131" s="55" t="s">
        <v>72</v>
      </c>
      <c r="D131" s="9">
        <v>252</v>
      </c>
      <c r="E131" s="56"/>
      <c r="F131" s="4" t="d">
        <f ca="1">Table9[[#This Row],[Surgery Start Date]]+1</f>
        <v>2020-03-10</v>
      </c>
      <c r="G131" s="53" t="d">
        <v>07:44:59.9999999999968050</v>
      </c>
      <c r="H131" s="53" t="d">
        <v>08:05:00.00000000000213225</v>
      </c>
      <c r="I131" s="53" t="d">
        <v>08:35:00.00000000000053475</v>
      </c>
      <c r="J131" s="53" t="d">
        <v>08:35:59.99999999999552025</v>
      </c>
      <c r="K131" s="53" t="d">
        <v>08:37:00.00000000000010425</v>
      </c>
      <c r="M131" s="54"/>
      <c r="O131" s="4"/>
    </row>
    <row r="132" spans="1:15" x14ac:dyDescent="0.2">
      <c r="A132">
        <f t="shared" si="2"/>
        <v>131</v>
      </c>
      <c r="B132" t="s">
        <v>238</v>
      </c>
      <c r="C132" s="55" t="s">
        <v>72</v>
      </c>
      <c r="D132" s="9">
        <v>252</v>
      </c>
      <c r="E132" s="56"/>
      <c r="F132" s="4" t="d">
        <f ca="1">Table9[[#This Row],[Surgery Start Date]]+1</f>
        <v>2020-03-10</v>
      </c>
      <c r="G132" s="53" t="d">
        <v>09:39:59.99999999999627025</v>
      </c>
      <c r="H132" s="53" t="d">
        <v>10:05:00.00000000000053475</v>
      </c>
      <c r="I132" s="53" t="d">
        <v>10:30:00.000</v>
      </c>
      <c r="J132" s="53" t="d">
        <v>10:41:59.999999999997441975</v>
      </c>
      <c r="K132" s="53" t="d">
        <v>10:42:59.99999999999722875</v>
      </c>
      <c r="M132" s="54"/>
      <c r="O132" s="4"/>
    </row>
    <row r="133" spans="1:15" x14ac:dyDescent="0.2">
      <c r="A133">
        <f t="shared" si="2"/>
        <v>132</v>
      </c>
      <c r="B133" t="s">
        <v>238</v>
      </c>
      <c r="C133" s="55" t="s">
        <v>72</v>
      </c>
      <c r="D133" s="9">
        <v>252</v>
      </c>
      <c r="E133" s="56"/>
      <c r="F133" s="4" t="d">
        <f ca="1">Table9[[#This Row],[Surgery Start Date]]+1</f>
        <v>2020-03-10</v>
      </c>
      <c r="G133" s="53" t="d">
        <v>08:52:59.99999999999669400</v>
      </c>
      <c r="H133" s="53" t="d">
        <v>09:07:59.99999999999829150</v>
      </c>
      <c r="I133" s="53" t="d">
        <v>09:43:00.00000000000042375</v>
      </c>
      <c r="J133" s="53" t="d">
        <v>09:45:00.000</v>
      </c>
      <c r="K133" s="53" t="d">
        <v>09:54:59.99999999999786775</v>
      </c>
      <c r="M133" s="54"/>
      <c r="O133" s="4"/>
    </row>
    <row r="134" spans="1:15" x14ac:dyDescent="0.2">
      <c r="A134">
        <f t="shared" si="2"/>
        <v>133</v>
      </c>
      <c r="B134" t="s">
        <v>238</v>
      </c>
      <c r="C134" s="55" t="s">
        <v>72</v>
      </c>
      <c r="D134" s="9">
        <v>252</v>
      </c>
      <c r="E134" s="56"/>
      <c r="F134" s="4" t="d">
        <f ca="1">Table9[[#This Row],[Surgery Start Date]]+1</f>
        <v>2020-03-10</v>
      </c>
      <c r="G134" s="53" t="d">
        <v>10:30:00.000</v>
      </c>
      <c r="H134" s="53" t="d">
        <v>10:57:59.99999999999882625</v>
      </c>
      <c r="I134" s="53" t="d">
        <v>11:12:59.99999999999563125</v>
      </c>
      <c r="J134" s="53" t="d">
        <v>11:20:00.00000000000372975</v>
      </c>
      <c r="K134" s="53" t="d">
        <v>11:22:00.00000000000330600</v>
      </c>
      <c r="M134" s="54"/>
      <c r="O134" s="4"/>
    </row>
    <row r="135" spans="1:15" x14ac:dyDescent="0.2">
      <c r="A135">
        <f t="shared" si="2"/>
        <v>134</v>
      </c>
      <c r="B135" t="s">
        <v>238</v>
      </c>
      <c r="C135" s="55" t="s">
        <v>72</v>
      </c>
      <c r="D135" s="9">
        <v>76</v>
      </c>
      <c r="E135" s="56"/>
      <c r="F135" s="4" t="d">
        <f ca="1">Table9[[#This Row],[Surgery Start Date]]+1</f>
        <v>2020-03-10</v>
      </c>
      <c r="G135" s="53" t="d">
        <v>11:47:59.99999999999776350</v>
      </c>
      <c r="H135" s="53" t="d">
        <v>12:27:00.00000000000383400</v>
      </c>
      <c r="I135" s="53" t="d">
        <v>14:00:00.0000000000031950</v>
      </c>
      <c r="J135" s="53" t="d">
        <v>14:09:00.00000000000127800</v>
      </c>
      <c r="K135" s="53" t="d">
        <v>14:10:00.00000000000106275</v>
      </c>
      <c r="M135" s="54"/>
      <c r="O135" s="4"/>
    </row>
    <row r="136" spans="1:15" x14ac:dyDescent="0.2">
      <c r="A136">
        <f t="shared" si="2"/>
        <v>135</v>
      </c>
      <c r="B136" t="s">
        <v>238</v>
      </c>
      <c r="C136" s="55" t="s">
        <v>72</v>
      </c>
      <c r="D136" s="9">
        <v>76</v>
      </c>
      <c r="E136" s="56"/>
      <c r="F136" s="4" t="d">
        <f ca="1">Table9[[#This Row],[Surgery Start Date]]+1</f>
        <v>2020-03-10</v>
      </c>
      <c r="G136" s="53" t="d">
        <v>15:10:00.00000000000745950</v>
      </c>
      <c r="H136" s="53" t="d">
        <v>16:00:00.00000000000639675</v>
      </c>
      <c r="I136" s="53" t="d">
        <v>16:20:00.00000000000213225</v>
      </c>
      <c r="J136" s="53" t="d">
        <v>16:21:00.00000000001150875</v>
      </c>
      <c r="K136" s="53" t="d">
        <v>17:05:00.00000000000213225</v>
      </c>
      <c r="M136" s="15"/>
      <c r="O136" s="4"/>
    </row>
    <row r="137" spans="1:15" x14ac:dyDescent="0.2">
      <c r="A137">
        <f t="shared" si="2"/>
        <v>136</v>
      </c>
      <c r="B137" t="s">
        <v>238</v>
      </c>
      <c r="C137" s="55" t="s">
        <v>72</v>
      </c>
      <c r="D137" s="9">
        <v>252</v>
      </c>
      <c r="E137" s="56"/>
      <c r="F137" s="4" t="d">
        <f ca="1">Table9[[#This Row],[Surgery Start Date]]+1</f>
        <v>2020-03-11</v>
      </c>
      <c r="G137" s="53" t="d">
        <v>07:59:59.9999999999984025</v>
      </c>
      <c r="H137" s="53" t="d">
        <v>08:19:59.99999999999893725</v>
      </c>
      <c r="I137" s="53" t="d">
        <v>10:24:59.99999999999627025</v>
      </c>
      <c r="J137" s="53" t="d">
        <v>10:44:59.9999999999968050</v>
      </c>
      <c r="K137" s="53" t="d">
        <v>10:59:59.9999999999984025</v>
      </c>
      <c r="M137" s="54"/>
      <c r="O137" s="4"/>
    </row>
    <row r="138" spans="1:15" x14ac:dyDescent="0.2">
      <c r="A138">
        <f t="shared" si="2"/>
        <v>137</v>
      </c>
      <c r="B138" t="s">
        <v>238</v>
      </c>
      <c r="C138" s="55" t="s">
        <v>72</v>
      </c>
      <c r="D138" s="9">
        <v>252</v>
      </c>
      <c r="E138" s="56"/>
      <c r="F138" s="4" t="d">
        <f ca="1">Table9[[#This Row],[Surgery Start Date]]+1</f>
        <v>2020-03-11</v>
      </c>
      <c r="G138" s="53" t="d">
        <v>11:20:00.00000000000372975</v>
      </c>
      <c r="H138" s="53" t="d">
        <v>11:44:59.9999999999984025</v>
      </c>
      <c r="I138" s="53" t="d">
        <v>15:42:00.00000000000063900</v>
      </c>
      <c r="J138" s="53" t="d">
        <v>15:49:59.99999999999893725</v>
      </c>
      <c r="K138" s="53" t="d">
        <v>15:51:00.00000000000831375</v>
      </c>
      <c r="M138" s="54"/>
      <c r="O138" s="4"/>
    </row>
    <row r="139" spans="1:15" x14ac:dyDescent="0.2">
      <c r="A139">
        <f t="shared" si="2"/>
        <v>138</v>
      </c>
      <c r="B139" t="s">
        <v>237</v>
      </c>
      <c r="C139" s="55" t="s">
        <v>71</v>
      </c>
      <c r="D139" s="9">
        <v>351</v>
      </c>
      <c r="E139" s="56"/>
      <c r="F139" s="4" t="d">
        <f ca="1">Table9[[#This Row],[Surgery Start Date]]+1</f>
        <v>2020-03-11</v>
      </c>
      <c r="G139" s="53" t="d">
        <v>07:56:59.99999999999424225</v>
      </c>
      <c r="H139" s="53" t="d">
        <v>08:07:00.00000000000170850</v>
      </c>
      <c r="I139" s="53" t="d">
        <v>08:22:59.99999999999829150</v>
      </c>
      <c r="J139" s="53" t="d">
        <v>08:24:59.99999999999786775</v>
      </c>
      <c r="K139" s="53" t="d">
        <v>08:25:59.9999999999976525</v>
      </c>
      <c r="M139" s="54"/>
      <c r="O139" s="4"/>
    </row>
    <row r="140" spans="1:15" x14ac:dyDescent="0.2">
      <c r="A140">
        <f t="shared" si="2"/>
        <v>139</v>
      </c>
      <c r="B140" t="s">
        <v>240</v>
      </c>
      <c r="C140" s="55" t="s">
        <v>71</v>
      </c>
      <c r="D140" s="9">
        <v>351</v>
      </c>
      <c r="E140" s="56"/>
      <c r="F140" s="4" t="d">
        <f ca="1">Table9[[#This Row],[Surgery Start Date]]+1</f>
        <v>2020-03-11</v>
      </c>
      <c r="G140" s="53" t="d">
        <v>07:59:59.9999999999984025</v>
      </c>
      <c r="H140" s="53" t="d">
        <v>08:11:00.00000000000085425</v>
      </c>
      <c r="I140" s="53" t="d">
        <v>08:29:59.9999999999968050</v>
      </c>
      <c r="J140" s="53" t="d">
        <v>08:43:59.99999999999381850</v>
      </c>
      <c r="K140" s="53" t="d">
        <v>08:44:59.9999999999984025</v>
      </c>
      <c r="M140" s="54"/>
      <c r="O140" s="4"/>
    </row>
    <row r="141" spans="1:15" x14ac:dyDescent="0.2">
      <c r="A141">
        <f t="shared" si="2"/>
        <v>140</v>
      </c>
      <c r="B141" t="s">
        <v>240</v>
      </c>
      <c r="C141" s="55" t="s">
        <v>71</v>
      </c>
      <c r="D141" s="9">
        <v>351</v>
      </c>
      <c r="E141" s="56"/>
      <c r="F141" s="4" t="d">
        <f ca="1">Table9[[#This Row],[Surgery Start Date]]+1</f>
        <v>2020-03-11</v>
      </c>
      <c r="G141" s="53" t="d">
        <v>08:50:00.00000000000213225</v>
      </c>
      <c r="H141" s="53" t="d">
        <v>09:09:59.99999999999786775</v>
      </c>
      <c r="I141" s="53" t="d">
        <v>09:41:59.99999999999584650</v>
      </c>
      <c r="J141" s="53" t="d">
        <v>09:43:00.00000000000042375</v>
      </c>
      <c r="K141" s="53" t="d">
        <v>09:59:59.9999999999968050</v>
      </c>
      <c r="M141" s="54"/>
      <c r="O141" s="4"/>
    </row>
    <row r="142" spans="1:15" x14ac:dyDescent="0.2">
      <c r="A142">
        <f t="shared" si="2"/>
        <v>141</v>
      </c>
      <c r="B142" t="s">
        <v>237</v>
      </c>
      <c r="C142" s="55" t="s">
        <v>71</v>
      </c>
      <c r="D142" s="9">
        <v>351</v>
      </c>
      <c r="E142" s="56"/>
      <c r="F142" s="4" t="d">
        <f ca="1">Table9[[#This Row],[Surgery Start Date]]+1</f>
        <v>2020-03-11</v>
      </c>
      <c r="G142" s="53" t="d">
        <v>08:24:59.99999999999786775</v>
      </c>
      <c r="H142" s="53" t="d">
        <v>08:52:00.00000000000170850</v>
      </c>
      <c r="I142" s="53" t="d">
        <v>09:22:00.00000000000010425</v>
      </c>
      <c r="J142" s="53" t="d">
        <v>09:26:59.99999999999424225</v>
      </c>
      <c r="K142" s="53" t="d">
        <v>09:27:59.99999999999882625</v>
      </c>
      <c r="M142" s="54"/>
      <c r="O142" s="4"/>
    </row>
    <row r="143" spans="1:15" x14ac:dyDescent="0.2">
      <c r="A143">
        <f t="shared" si="2"/>
        <v>142</v>
      </c>
      <c r="B143" t="s">
        <v>240</v>
      </c>
      <c r="C143" s="55" t="s">
        <v>71</v>
      </c>
      <c r="D143" s="9">
        <v>351</v>
      </c>
      <c r="E143" s="56"/>
      <c r="F143" s="4" t="d">
        <f ca="1">Table9[[#This Row],[Surgery Start Date]]+1</f>
        <v>2020-03-11</v>
      </c>
      <c r="G143" s="53" t="d">
        <v>09:50:59.99999999999872200</v>
      </c>
      <c r="H143" s="53" t="d">
        <v>10:39:59.99999999999786775</v>
      </c>
      <c r="I143" s="53" t="d">
        <v>11:20:00.00000000000372975</v>
      </c>
      <c r="J143" s="53" t="d">
        <v>11:22:00.00000000000330600</v>
      </c>
      <c r="K143" s="53" t="d">
        <v>11:24:00.00000000000287550</v>
      </c>
      <c r="M143" s="54"/>
      <c r="O143" s="4"/>
    </row>
    <row r="144" spans="1:15" x14ac:dyDescent="0.2">
      <c r="A144">
        <f t="shared" si="2"/>
        <v>143</v>
      </c>
      <c r="B144" t="s">
        <v>237</v>
      </c>
      <c r="C144" s="55" t="s">
        <v>71</v>
      </c>
      <c r="D144" s="9">
        <v>351</v>
      </c>
      <c r="E144" s="56"/>
      <c r="F144" s="4" t="d">
        <f ca="1">Table9[[#This Row],[Surgery Start Date]]+1</f>
        <v>2020-03-11</v>
      </c>
      <c r="G144" s="53" t="d">
        <v>10:16:00.00000000000298650</v>
      </c>
      <c r="H144" s="53" t="d">
        <v>11:22:59.99999999999349900</v>
      </c>
      <c r="I144" s="53" t="d">
        <v>16:15:00.0000000000031950</v>
      </c>
      <c r="J144" s="53" t="d">
        <v>16:30:00.000</v>
      </c>
      <c r="K144" s="53" t="d">
        <v>16:34:59.99999999999893725</v>
      </c>
      <c r="M144" s="54"/>
      <c r="O144" s="4"/>
    </row>
    <row r="145" spans="1:15" x14ac:dyDescent="0.2">
      <c r="A145">
        <f t="shared" si="2"/>
        <v>144</v>
      </c>
      <c r="B145" t="s">
        <v>240</v>
      </c>
      <c r="C145" s="55" t="s">
        <v>71</v>
      </c>
      <c r="D145" s="9">
        <v>351</v>
      </c>
      <c r="E145" s="56"/>
      <c r="F145" s="4" t="d">
        <f ca="1">Table9[[#This Row],[Surgery Start Date]]+1</f>
        <v>2020-03-11</v>
      </c>
      <c r="G145" s="53" t="d">
        <v>11:15:01</v>
      </c>
      <c r="H145" s="53" t="d">
        <v>11:43:59.99999999999861775</v>
      </c>
      <c r="I145" s="53" t="d">
        <v>12:13:00.00000000000682050</v>
      </c>
      <c r="J145" s="53" t="d">
        <v>12:15:00.00000000000639675</v>
      </c>
      <c r="K145" s="53" t="d">
        <v>12:29:00.00000000000341025</v>
      </c>
      <c r="M145" s="54"/>
      <c r="O145" s="4"/>
    </row>
    <row r="146" spans="1:15" x14ac:dyDescent="0.2">
      <c r="A146">
        <f t="shared" si="2"/>
        <v>145</v>
      </c>
      <c r="B146" t="s">
        <v>240</v>
      </c>
      <c r="C146" s="55" t="s">
        <v>71</v>
      </c>
      <c r="D146" s="9">
        <v>351</v>
      </c>
      <c r="E146" s="56"/>
      <c r="F146" s="4" t="d">
        <f ca="1">Table9[[#This Row],[Surgery Start Date]]+1</f>
        <v>2020-03-11</v>
      </c>
      <c r="G146" s="53" t="d">
        <v>12:30:00.0000000000031950</v>
      </c>
      <c r="H146" s="53" t="d">
        <v>12:40:00.00000000000106275</v>
      </c>
      <c r="I146" s="53" t="d">
        <v>12:54:59.99999999999786775</v>
      </c>
      <c r="J146" s="53" t="d">
        <v>12:56:00.00000000000724425</v>
      </c>
      <c r="K146" s="53" t="d">
        <v>13:00:00.00000000000639675</v>
      </c>
      <c r="M146" s="54"/>
      <c r="O146" s="4"/>
    </row>
    <row r="147" spans="1:15" x14ac:dyDescent="0.2">
      <c r="A147">
        <f t="shared" si="2"/>
        <v>146</v>
      </c>
      <c r="B147" t="s">
        <v>240</v>
      </c>
      <c r="C147" s="55" t="s">
        <v>71</v>
      </c>
      <c r="D147" s="9">
        <v>351</v>
      </c>
      <c r="E147" s="56"/>
      <c r="F147" s="4" t="d">
        <f ca="1">Table9[[#This Row],[Surgery Start Date]]+1</f>
        <v>2020-03-11</v>
      </c>
      <c r="G147" s="53" t="d">
        <v>13:11:00.00000000000404925</v>
      </c>
      <c r="H147" s="53" t="d">
        <v>13:30:00.000</v>
      </c>
      <c r="I147" s="53" t="d">
        <v>13:59:00.00000000000341025</v>
      </c>
      <c r="J147" s="53" t="d">
        <v>14:03:00.00000000000255600</v>
      </c>
      <c r="K147" s="53" t="d">
        <v>14:05:00.00000000000213225</v>
      </c>
      <c r="M147" s="54"/>
      <c r="O147" s="4"/>
    </row>
    <row r="148" spans="1:15" x14ac:dyDescent="0.2">
      <c r="A148">
        <f t="shared" si="2"/>
        <v>147</v>
      </c>
      <c r="B148" t="s">
        <v>240</v>
      </c>
      <c r="C148" s="55" t="s">
        <v>71</v>
      </c>
      <c r="D148" s="9">
        <v>351</v>
      </c>
      <c r="E148" s="56"/>
      <c r="F148" s="4" t="d">
        <f ca="1">Table9[[#This Row],[Surgery Start Date]]+1</f>
        <v>2020-03-11</v>
      </c>
      <c r="G148" s="53" t="d">
        <v>13:46:00.00000000000618150</v>
      </c>
      <c r="H148" s="53" t="d">
        <v>14:26:59.999999999997441975</v>
      </c>
      <c r="I148" s="53" t="d">
        <v>15:04:59.99999999999893725</v>
      </c>
      <c r="J148" s="53" t="d">
        <v>15:10:00.00000000000745950</v>
      </c>
      <c r="K148" s="53" t="d">
        <v>15:15:00.00000000000639675</v>
      </c>
      <c r="M148" s="54"/>
      <c r="O148" s="4"/>
    </row>
    <row r="149" spans="1:15" x14ac:dyDescent="0.2">
      <c r="A149">
        <f t="shared" si="2"/>
        <v>148</v>
      </c>
      <c r="B149" t="s">
        <v>240</v>
      </c>
      <c r="C149" s="55" t="s">
        <v>71</v>
      </c>
      <c r="D149" s="9">
        <v>351</v>
      </c>
      <c r="E149" s="56"/>
      <c r="F149" s="4" t="d">
        <f ca="1">Table9[[#This Row],[Surgery Start Date]]+1</f>
        <v>2020-03-11</v>
      </c>
      <c r="G149" s="53" t="d">
        <v>14:46:00.00000000000298650</v>
      </c>
      <c r="H149" s="53" t="d">
        <v>15:25:00.00000000000426450</v>
      </c>
      <c r="I149" s="53" t="d">
        <v>15:55:00.00000000000745950</v>
      </c>
      <c r="J149" s="53" t="d">
        <v>15:57:59.99999999999722875</v>
      </c>
      <c r="K149" s="53" t="d">
        <v>16:00:00.00000000000639675</v>
      </c>
      <c r="M149" s="54"/>
      <c r="O149" s="4"/>
    </row>
    <row r="150" spans="1:15" x14ac:dyDescent="0.2">
      <c r="A150">
        <f t="shared" si="2"/>
        <v>149</v>
      </c>
      <c r="B150" t="s">
        <v>239</v>
      </c>
      <c r="C150" s="55" t="s">
        <v>72</v>
      </c>
      <c r="D150" s="9">
        <v>76</v>
      </c>
      <c r="E150" s="56"/>
      <c r="F150" s="4" t="d">
        <f ca="1">Table9[[#This Row],[Surgery Start Date]]+1</f>
        <v>2020-03-11</v>
      </c>
      <c r="G150" s="53" t="d">
        <v>08:39:59.99999999999467275</v>
      </c>
      <c r="H150" s="53" t="d">
        <v>08:44:59.9999999999984025</v>
      </c>
      <c r="I150" s="53" t="d">
        <v>09:24:59.99999999999467275</v>
      </c>
      <c r="J150" s="53" t="d">
        <v>09:39:59.99999999999627025</v>
      </c>
      <c r="K150" s="53" t="d">
        <v>09:41:00.00000000000085425</v>
      </c>
      <c r="M150" s="54"/>
      <c r="O150" s="4"/>
    </row>
    <row r="151" spans="1:15" x14ac:dyDescent="0.2">
      <c r="A151">
        <f t="shared" si="2"/>
        <v>150</v>
      </c>
      <c r="B151" t="s">
        <v>239</v>
      </c>
      <c r="C151" s="55" t="s">
        <v>72</v>
      </c>
      <c r="D151" s="9">
        <v>76</v>
      </c>
      <c r="E151" s="56"/>
      <c r="F151" s="4" t="d">
        <f ca="1">Table9[[#This Row],[Surgery Start Date]]+1</f>
        <v>2020-03-11</v>
      </c>
      <c r="G151" s="53" t="d">
        <v>11:04:59.99999999999733300</v>
      </c>
      <c r="H151" s="53" t="d">
        <v>11:42:59.99999999999882625</v>
      </c>
      <c r="I151" s="53" t="d">
        <v>14:20:00.00000000000852900</v>
      </c>
      <c r="J151" s="53" t="d">
        <v>14:24:59.99999999999786775</v>
      </c>
      <c r="K151" s="53" t="d">
        <v>14:30:00.00000000000639675</v>
      </c>
      <c r="M151" s="54"/>
      <c r="O151" s="4"/>
    </row>
    <row r="152" spans="1:15" x14ac:dyDescent="0.2">
      <c r="A152">
        <f t="shared" si="2"/>
        <v>151</v>
      </c>
      <c r="B152" t="s">
        <v>236</v>
      </c>
      <c r="C152" s="55" t="s">
        <v>71</v>
      </c>
      <c r="D152" s="9">
        <v>76</v>
      </c>
      <c r="E152" s="56"/>
      <c r="F152" s="4" t="d">
        <f ca="1">Table9[[#This Row],[Surgery Start Date]]+1</f>
        <v>2020-03-11</v>
      </c>
      <c r="G152" s="53" t="d">
        <v>08:15:00.000</v>
      </c>
      <c r="H152" s="53" t="d">
        <v>08:39:59.99999999999467275</v>
      </c>
      <c r="I152" s="53" t="d">
        <v>09:20:00.00000000000053475</v>
      </c>
      <c r="J152" s="53" t="d">
        <v>09:39:59.99999999999627025</v>
      </c>
      <c r="K152" s="53" t="d">
        <v>09:43:59.99999999999541600</v>
      </c>
      <c r="M152" s="54"/>
      <c r="O152" s="4"/>
    </row>
    <row r="153" spans="1:15" x14ac:dyDescent="0.2">
      <c r="A153">
        <f t="shared" si="2"/>
        <v>152</v>
      </c>
      <c r="B153" t="s">
        <v>236</v>
      </c>
      <c r="C153" s="55" t="s">
        <v>71</v>
      </c>
      <c r="D153" s="9">
        <v>427</v>
      </c>
      <c r="E153" s="56"/>
      <c r="F153" s="4" t="d">
        <f ca="1">Table9[[#This Row],[Surgery Start Date]]+1</f>
        <v>2020-03-11</v>
      </c>
      <c r="G153" s="53" t="d">
        <v>10:09:59.99999999999467275</v>
      </c>
      <c r="H153" s="53" t="d">
        <v>10:59:59.9999999999984025</v>
      </c>
      <c r="I153" s="53" t="d">
        <v>12:35:00.00000000000213225</v>
      </c>
      <c r="J153" s="53" t="d">
        <v>12:50:00.00000000000852900</v>
      </c>
      <c r="K153" s="53" t="d">
        <v>12:50:00.00000000000852900</v>
      </c>
      <c r="M153" s="54"/>
      <c r="O153" s="4"/>
    </row>
    <row r="154" spans="1:15" x14ac:dyDescent="0.2">
      <c r="A154">
        <f t="shared" si="2"/>
        <v>153</v>
      </c>
      <c r="B154" t="s">
        <v>236</v>
      </c>
      <c r="C154" s="55" t="s">
        <v>71</v>
      </c>
      <c r="D154" s="9">
        <v>388</v>
      </c>
      <c r="E154" s="56"/>
      <c r="F154" s="4" t="d">
        <f ca="1">Table9[[#This Row],[Surgery Start Date]]+1</f>
        <v>2020-03-11</v>
      </c>
      <c r="G154" s="53" t="d">
        <v>13:10:00.00000000000426450</v>
      </c>
      <c r="H154" s="53" t="d">
        <v>13:35:00.00000000000852900</v>
      </c>
      <c r="I154" s="53" t="d">
        <v>14:35:00.00000000000532725</v>
      </c>
      <c r="J154" s="53" t="d">
        <v>14:40:00.00000000000426450</v>
      </c>
      <c r="K154" s="53" t="d">
        <v>14:41:00.00000000000404925</v>
      </c>
      <c r="M154" s="54"/>
      <c r="O154" s="4"/>
    </row>
    <row r="155" spans="1:15" x14ac:dyDescent="0.2">
      <c r="A155">
        <f t="shared" si="2"/>
        <v>154</v>
      </c>
      <c r="B155" t="s">
        <v>236</v>
      </c>
      <c r="C155" s="55" t="s">
        <v>71</v>
      </c>
      <c r="D155" s="9">
        <v>76</v>
      </c>
      <c r="E155" s="56"/>
      <c r="F155" s="4" t="d">
        <f ca="1">Table9[[#This Row],[Surgery Start Date]]+1</f>
        <v>2020-03-12</v>
      </c>
      <c r="G155" s="53" t="d">
        <v>08:25:59.9999999999976525</v>
      </c>
      <c r="H155" s="53" t="d">
        <v>09:09:59.99999999999786775</v>
      </c>
      <c r="I155" s="53" t="d">
        <v>10:54:59.99999999999467275</v>
      </c>
      <c r="J155" s="53" t="d">
        <v>10:59:59.9999999999984025</v>
      </c>
      <c r="K155" s="53" t="d">
        <v>11:52:59.99999999999669400</v>
      </c>
      <c r="M155" s="54"/>
      <c r="O155" s="4"/>
    </row>
    <row r="156" spans="1:15" x14ac:dyDescent="0.2">
      <c r="A156">
        <f t="shared" si="2"/>
        <v>155</v>
      </c>
      <c r="B156" t="s">
        <v>236</v>
      </c>
      <c r="C156" s="55" t="s">
        <v>71</v>
      </c>
      <c r="D156" s="9">
        <v>27</v>
      </c>
      <c r="E156" s="56"/>
      <c r="F156" s="4" t="d">
        <f ca="1">Table9[[#This Row],[Surgery Start Date]]+1</f>
        <v>2020-03-13</v>
      </c>
      <c r="G156" s="53" t="d">
        <v>08:11:59.99999999999584650</v>
      </c>
      <c r="H156" s="53" t="d">
        <v>08:27:59.99999999999722875</v>
      </c>
      <c r="I156" s="53" t="d">
        <v>08:39:59.99999999999467275</v>
      </c>
      <c r="J156" s="53" t="d">
        <v>08:50:00.00000000000213225</v>
      </c>
      <c r="K156" s="53" t="d">
        <v>09:35:00.00000000000213225</v>
      </c>
      <c r="M156" s="54"/>
      <c r="O156" s="4"/>
    </row>
    <row r="157" spans="1:15" x14ac:dyDescent="0.2">
      <c r="A157">
        <f t="shared" si="2"/>
        <v>156</v>
      </c>
      <c r="B157" t="s">
        <v>236</v>
      </c>
      <c r="C157" s="55" t="s">
        <v>71</v>
      </c>
      <c r="D157" s="9">
        <v>27</v>
      </c>
      <c r="E157" s="56"/>
      <c r="F157" s="4" t="d">
        <f ca="1">Table9[[#This Row],[Surgery Start Date]]+1</f>
        <v>2020-03-13</v>
      </c>
      <c r="G157" s="53" t="d">
        <v>10:34:59.99999999999893725</v>
      </c>
      <c r="H157" s="53" t="d">
        <v>10:44:59.9999999999968050</v>
      </c>
      <c r="I157" s="53" t="d">
        <v>11:15:01</v>
      </c>
      <c r="J157" s="53" t="d">
        <v>11:20:00.00000000000372975</v>
      </c>
      <c r="K157" s="53" t="d">
        <v>11:30:00.0000000000015975</v>
      </c>
      <c r="M157" s="15"/>
      <c r="O157" s="4"/>
    </row>
    <row r="158" spans="1:15" x14ac:dyDescent="0.2">
      <c r="A158">
        <f t="shared" si="2"/>
        <v>157</v>
      </c>
      <c r="B158" t="s">
        <v>236</v>
      </c>
      <c r="C158" s="55" t="s">
        <v>71</v>
      </c>
      <c r="D158" s="9">
        <v>43</v>
      </c>
      <c r="E158" s="56"/>
      <c r="F158" s="4" t="d">
        <f ca="1">Table9[[#This Row],[Surgery Start Date]]+1</f>
        <v>2020-03-13</v>
      </c>
      <c r="G158" s="53" t="d">
        <v>12:54:59.99999999999786775</v>
      </c>
      <c r="H158" s="53" t="d">
        <v>13:10:00.00000000000426450</v>
      </c>
      <c r="I158" s="53" t="d">
        <v>14:20:00.00000000000852900</v>
      </c>
      <c r="J158" s="53" t="d">
        <v>14:45:00.0000000000031950</v>
      </c>
      <c r="K158" s="53" t="d">
        <v>14:50:00.00000000000213225</v>
      </c>
      <c r="M158" s="15"/>
      <c r="O158" s="4"/>
    </row>
    <row r="159" spans="1:15" x14ac:dyDescent="0.2">
      <c r="A159">
        <f t="shared" si="2"/>
        <v>158</v>
      </c>
      <c r="B159" t="s">
        <v>236</v>
      </c>
      <c r="C159" s="55" t="s">
        <v>71</v>
      </c>
      <c r="D159" s="9">
        <v>427</v>
      </c>
      <c r="E159" s="72"/>
      <c r="F159" s="4" t="d">
        <f ca="1">Table9[[#This Row],[Surgery Start Date]]+1</f>
        <v>2020-03-13</v>
      </c>
      <c r="G159" s="53" t="d">
        <v>15:31:00.00000000000298650</v>
      </c>
      <c r="H159" s="53" t="d">
        <v>15:49:59.99999999999893725</v>
      </c>
      <c r="I159" s="53" t="d">
        <v>16:55:00.00000000000426450</v>
      </c>
      <c r="J159" s="53" t="d">
        <v>17:00:00.0000000000031950</v>
      </c>
      <c r="K159" s="53" t="d">
        <v>17:19:59.99999999999893725</v>
      </c>
      <c r="M159" s="15"/>
      <c r="O159" s="4"/>
    </row>
    <row r="160" spans="1:15" x14ac:dyDescent="0.2">
      <c r="A160">
        <f t="shared" si="2"/>
        <v>159</v>
      </c>
      <c r="B160" t="s">
        <v>236</v>
      </c>
      <c r="C160" s="71" t="s">
        <v>71</v>
      </c>
      <c r="D160" s="9">
        <v>76</v>
      </c>
      <c r="E160" s="72"/>
      <c r="F160" s="4" t="d">
        <f ca="1">Table9[[#This Row],[Surgery Start Date]]+1</f>
        <v>2020-03-16</v>
      </c>
      <c r="G160" s="53" t="d">
        <v>09:00:59.999999999999786775</v>
      </c>
      <c r="H160" s="53" t="d">
        <v>09:04:59.99999999999893725</v>
      </c>
      <c r="I160" s="53" t="d">
        <v>09:49:59.99999999999893725</v>
      </c>
      <c r="J160" s="53" t="d">
        <v>10:01:59.99999999999637450</v>
      </c>
      <c r="K160" s="53" t="d">
        <v>10:05:59.99999999999552025</v>
      </c>
      <c r="M160" s="15"/>
      <c r="O160" s="4"/>
    </row>
    <row r="161" spans="1:15" x14ac:dyDescent="0.2">
      <c r="A161">
        <f t="shared" si="2"/>
        <v>160</v>
      </c>
      <c r="B161" t="s">
        <v>236</v>
      </c>
      <c r="C161" s="71" t="s">
        <v>71</v>
      </c>
      <c r="D161" s="9">
        <v>388</v>
      </c>
      <c r="E161" s="72"/>
      <c r="F161" s="4" t="d">
        <f ca="1">Table9[[#This Row],[Surgery Start Date]]+1</f>
        <v>2020-03-12</v>
      </c>
      <c r="G161" s="53" t="d">
        <v>12:56:00.00000000000724425</v>
      </c>
      <c r="H161" s="53" t="d">
        <v>13:10:00.00000000000426450</v>
      </c>
      <c r="I161" s="53" t="d">
        <v>15:19:59.99999999999573550</v>
      </c>
      <c r="J161" s="53" t="d">
        <v>15:25:00.00000000000426450</v>
      </c>
      <c r="K161" s="53" t="d">
        <v>15:30:00.0000000000031950</v>
      </c>
      <c r="M161" s="15"/>
      <c r="O161" s="4"/>
    </row>
    <row r="162" spans="1:15" x14ac:dyDescent="0.2">
      <c r="A162">
        <f t="shared" si="2"/>
        <v>161</v>
      </c>
      <c r="B162" t="s">
        <v>236</v>
      </c>
      <c r="C162" s="71" t="s">
        <v>71</v>
      </c>
      <c r="D162" s="9">
        <v>427</v>
      </c>
      <c r="E162" s="72"/>
      <c r="F162" s="4" t="d">
        <f ca="1">Table9[[#This Row],[Surgery Start Date]]+1</f>
        <v>2020-03-12</v>
      </c>
      <c r="G162" s="53" t="d">
        <v>16:04:59.99999999999573550</v>
      </c>
      <c r="H162" s="53" t="d">
        <v>17:15:00.000</v>
      </c>
      <c r="I162" s="53" t="d">
        <v>18:35:00.00000000000213225</v>
      </c>
      <c r="J162" s="53" t="d">
        <v>18:40:00.00000000001066125</v>
      </c>
      <c r="K162" s="53" t="d">
        <v>18:45:00.000</v>
      </c>
      <c r="M162" s="15"/>
      <c r="O162" s="4"/>
    </row>
    <row r="163" spans="1:15" x14ac:dyDescent="0.2">
      <c r="A163">
        <f t="shared" si="2"/>
        <v>162</v>
      </c>
      <c r="B163" t="s">
        <v>237</v>
      </c>
      <c r="C163" s="71" t="s">
        <v>71</v>
      </c>
      <c r="D163" s="9">
        <v>351</v>
      </c>
      <c r="E163" s="72"/>
      <c r="F163" s="4" t="d">
        <f ca="1">Table9[[#This Row],[Surgery Start Date]]+1</f>
        <v>2020-03-09</v>
      </c>
      <c r="G163" s="53" t="d">
        <v>09:07:59.99999999999829150</v>
      </c>
      <c r="H163" s="53" t="d">
        <v>09:39:59.99999999999627025</v>
      </c>
      <c r="I163" s="53" t="d">
        <v>10:14:59.9999999999984025</v>
      </c>
      <c r="J163" s="53" t="d">
        <v>10:22:00.00000000000170850</v>
      </c>
      <c r="K163" s="53" t="d">
        <v>10:24:00.00000000000127800</v>
      </c>
      <c r="M163" s="15"/>
      <c r="O163" s="4"/>
    </row>
    <row r="164" spans="1:15" x14ac:dyDescent="0.2">
      <c r="A164">
        <f t="shared" si="2"/>
        <v>163</v>
      </c>
      <c r="B164" t="s">
        <v>237</v>
      </c>
      <c r="C164" s="71" t="s">
        <v>72</v>
      </c>
      <c r="D164" s="9">
        <v>223</v>
      </c>
      <c r="E164" s="72"/>
      <c r="F164" s="4" t="d">
        <f ca="1">Table9[[#This Row],[Surgery Start Date]]+1</f>
        <v>2020-03-09</v>
      </c>
      <c r="G164" s="53" t="d">
        <v>10:35:59.99999999999872200</v>
      </c>
      <c r="H164" s="53" t="d">
        <v>10:36:59.99999999999850675</v>
      </c>
      <c r="I164" s="53" t="d">
        <v>10:46:59.99999999999637450</v>
      </c>
      <c r="J164" s="53" t="d">
        <v>10:48:00.00000000000095850</v>
      </c>
      <c r="K164" s="53" t="d">
        <v>10:50:00.00000000000053475</v>
      </c>
      <c r="M164" s="15"/>
      <c r="O164" s="4"/>
    </row>
    <row r="165" spans="1:15" x14ac:dyDescent="0.2">
      <c r="A165">
        <f t="shared" si="2"/>
        <v>164</v>
      </c>
      <c r="B165" t="s">
        <v>237</v>
      </c>
      <c r="C165" s="71" t="s">
        <v>72</v>
      </c>
      <c r="D165" s="9">
        <v>223</v>
      </c>
      <c r="E165" s="72"/>
      <c r="F165" s="4" t="d">
        <f ca="1">Table9[[#This Row],[Surgery Start Date]]+1</f>
        <v>2020-03-09</v>
      </c>
      <c r="G165" s="53" t="d">
        <v>10:30:00.000</v>
      </c>
      <c r="H165" s="53" t="d">
        <v>11:09:59.99999999999627025</v>
      </c>
      <c r="I165" s="53" t="d">
        <v>11:47:59.99999999999776350</v>
      </c>
      <c r="J165" s="53" t="d">
        <v>11:49:59.99999999999733300</v>
      </c>
      <c r="K165" s="53" t="d">
        <v>11:50:59.99999999999712450</v>
      </c>
      <c r="M165" s="15"/>
      <c r="O165" s="4"/>
    </row>
    <row r="166" spans="1:15" x14ac:dyDescent="0.2">
      <c r="A166">
        <f t="shared" si="2"/>
        <v>165</v>
      </c>
      <c r="B166" t="s">
        <v>237</v>
      </c>
      <c r="C166" s="71" t="s">
        <v>72</v>
      </c>
      <c r="D166" s="9">
        <v>223</v>
      </c>
      <c r="E166" s="72"/>
      <c r="F166" s="4" t="d">
        <f ca="1">Table9[[#This Row],[Surgery Start Date]]+1</f>
        <v>2020-03-09</v>
      </c>
      <c r="G166" s="53" t="d">
        <v>11:54:59.99999999999627025</v>
      </c>
      <c r="H166" s="53" t="d">
        <v>12:15:00.00000000000639675</v>
      </c>
      <c r="I166" s="53" t="d">
        <v>13:54:00.00000000000447975</v>
      </c>
      <c r="J166" s="53" t="d">
        <v>14:00:00.0000000000031950</v>
      </c>
      <c r="K166" s="53" t="d">
        <v>14:02:00.00000000000277125</v>
      </c>
      <c r="M166" s="15"/>
      <c r="O166" s="4"/>
    </row>
    <row r="167" spans="1:15" x14ac:dyDescent="0.2">
      <c r="A167">
        <f t="shared" si="2"/>
        <v>166</v>
      </c>
      <c r="B167" t="s">
        <v>237</v>
      </c>
      <c r="C167" s="71" t="s">
        <v>72</v>
      </c>
      <c r="D167" s="9">
        <v>223</v>
      </c>
      <c r="E167" s="72"/>
      <c r="F167" s="4" t="d">
        <f ca="1">Table9[[#This Row],[Surgery Start Date]]+1</f>
        <v>2020-03-09</v>
      </c>
      <c r="G167" s="53" t="d">
        <v>13:55:00.00000000000426450</v>
      </c>
      <c r="H167" s="53" t="d">
        <v>14:26:00.00000000000724425</v>
      </c>
      <c r="I167" s="53" t="d">
        <v>14:42:00.00000000000383400</v>
      </c>
      <c r="J167" s="53" t="d">
        <v>14:45:00.0000000000031950</v>
      </c>
      <c r="K167" s="53" t="d">
        <v>14:48:00.00000000000255600</v>
      </c>
      <c r="M167" s="15"/>
      <c r="O167" s="4"/>
    </row>
    <row r="168" spans="1:15" x14ac:dyDescent="0.2">
      <c r="A168">
        <f t="shared" si="2"/>
        <v>167</v>
      </c>
      <c r="B168" t="s">
        <v>237</v>
      </c>
      <c r="C168" s="71" t="s">
        <v>71</v>
      </c>
      <c r="D168" s="9">
        <v>351</v>
      </c>
      <c r="E168" s="72"/>
      <c r="F168" s="4" t="d">
        <f ca="1">Table9[[#This Row],[Surgery Start Date]]+1</f>
        <v>2020-03-09</v>
      </c>
      <c r="G168" s="53" t="d">
        <v>14:58:00.00000000000042375</v>
      </c>
      <c r="H168" s="53" t="d">
        <v>15:11:59.999999999997441975</v>
      </c>
      <c r="I168" s="53" t="d">
        <v>15:55:00.00000000000745950</v>
      </c>
      <c r="J168" s="53" t="d">
        <v>16:00:00.00000000000639675</v>
      </c>
      <c r="K168" s="53" t="d">
        <v>16:00:59.99999999999658975</v>
      </c>
      <c r="M168" s="15"/>
      <c r="O168" s="4"/>
    </row>
    <row r="169" spans="1:15" x14ac:dyDescent="0.2">
      <c r="A169">
        <f t="shared" ref="A169:A218" si="3">ROW()-1</f>
        <v>168</v>
      </c>
      <c r="B169" t="s">
        <v>237</v>
      </c>
      <c r="C169" s="71" t="s">
        <v>72</v>
      </c>
      <c r="D169" s="9">
        <v>223</v>
      </c>
      <c r="E169" s="72"/>
      <c r="F169" s="4" t="d">
        <f ca="1">Table9[[#This Row],[Surgery Start Date]]+1</f>
        <v>2020-03-12</v>
      </c>
      <c r="G169" s="53" t="d">
        <v>07:59:59.9999999999984025</v>
      </c>
      <c r="H169" s="53" t="d">
        <v>08:54:59.99999999999627025</v>
      </c>
      <c r="I169" s="53" t="d">
        <v>12:13:00.00000000000682050</v>
      </c>
      <c r="J169" s="53" t="d">
        <v>12:46:59.99999999999957625</v>
      </c>
      <c r="K169" s="53" t="d">
        <v>12:48:59.99999999999914575</v>
      </c>
      <c r="M169" s="15"/>
      <c r="O169" s="4"/>
    </row>
    <row r="170" spans="1:15" x14ac:dyDescent="0.2">
      <c r="A170">
        <f t="shared" si="3"/>
        <v>169</v>
      </c>
      <c r="B170" t="s">
        <v>237</v>
      </c>
      <c r="C170" s="71" t="s">
        <v>72</v>
      </c>
      <c r="D170" s="9">
        <v>223</v>
      </c>
      <c r="E170" s="72"/>
      <c r="F170" s="4" t="d">
        <f ca="1">Table9[[#This Row],[Surgery Start Date]]+1</f>
        <v>2020-03-12</v>
      </c>
      <c r="G170" s="53" t="d">
        <v>12:22:00.00000000000490350</v>
      </c>
      <c r="H170" s="53" t="d">
        <v>13:10:00.00000000000426450</v>
      </c>
      <c r="I170" s="53" t="d">
        <v>13:43:59.99999999999701350</v>
      </c>
      <c r="J170" s="53" t="d">
        <v>13:45:00.00000000000639675</v>
      </c>
      <c r="K170" s="53" t="d">
        <v>13:46:00.00000000000618150</v>
      </c>
      <c r="M170" s="15"/>
      <c r="O170" s="4"/>
    </row>
    <row r="171" spans="1:15" x14ac:dyDescent="0.2">
      <c r="A171">
        <f t="shared" si="3"/>
        <v>170</v>
      </c>
      <c r="B171" t="s">
        <v>237</v>
      </c>
      <c r="C171" s="71" t="s">
        <v>71</v>
      </c>
      <c r="D171" s="9">
        <v>351</v>
      </c>
      <c r="E171" s="72"/>
      <c r="F171" s="4" t="d">
        <f ca="1">Table9[[#This Row],[Surgery Start Date]]+1</f>
        <v>2020-03-12</v>
      </c>
      <c r="G171" s="53" t="d">
        <v>14:24:59.99999999999786775</v>
      </c>
      <c r="H171" s="53" t="d">
        <v>15:10:00.00000000000745950</v>
      </c>
      <c r="I171" s="53" t="d">
        <v>16:45:59.99999999999658975</v>
      </c>
      <c r="J171" s="53" t="d">
        <v>17:00:00.0000000000031950</v>
      </c>
      <c r="K171" s="53" t="d">
        <v>17:41:00.00000000000404925</v>
      </c>
      <c r="M171" s="15"/>
      <c r="O171" s="4"/>
    </row>
    <row r="172" spans="1:15" x14ac:dyDescent="0.2">
      <c r="A172">
        <f t="shared" si="3"/>
        <v>171</v>
      </c>
      <c r="B172" t="s">
        <v>237</v>
      </c>
      <c r="C172" s="71" t="s">
        <v>72</v>
      </c>
      <c r="D172" s="9">
        <v>223</v>
      </c>
      <c r="E172" s="72"/>
      <c r="F172" s="4" t="d">
        <f ca="1">Table9[[#This Row],[Surgery Start Date]]+1</f>
        <v>2020-03-13</v>
      </c>
      <c r="G172" s="53" t="d">
        <v>07:54:59.99999999999467275</v>
      </c>
      <c r="H172" s="53" t="d">
        <v>08:15:59.999999999999786775</v>
      </c>
      <c r="I172" s="53" t="d">
        <v>09:04:59.99999999999893725</v>
      </c>
      <c r="J172" s="53" t="d">
        <v>09:07:59.99999999999829150</v>
      </c>
      <c r="K172" s="53" t="d">
        <v>09:09:59.99999999999786775</v>
      </c>
      <c r="M172" s="15"/>
      <c r="O172" s="4"/>
    </row>
    <row r="173" spans="1:15" x14ac:dyDescent="0.2">
      <c r="A173">
        <f t="shared" si="3"/>
        <v>172</v>
      </c>
      <c r="B173" t="s">
        <v>237</v>
      </c>
      <c r="C173" s="71" t="s">
        <v>72</v>
      </c>
      <c r="D173" s="9">
        <v>223</v>
      </c>
      <c r="E173" s="72"/>
      <c r="F173" s="4" t="d">
        <f ca="1">Table9[[#This Row],[Surgery Start Date]]+1</f>
        <v>2020-03-13</v>
      </c>
      <c r="G173" s="53" t="d">
        <v>09:00:59.999999999999786775</v>
      </c>
      <c r="H173" s="53" t="d">
        <v>09:45:59.999999999999786775</v>
      </c>
      <c r="I173" s="53" t="d">
        <v>10:44:59.9999999999968050</v>
      </c>
      <c r="J173" s="53" t="d">
        <v>10:46:59.99999999999637450</v>
      </c>
      <c r="K173" s="53" t="d">
        <v>10:48:00.00000000000095850</v>
      </c>
      <c r="M173" s="15"/>
      <c r="O173" s="4"/>
    </row>
    <row r="174" spans="1:15" x14ac:dyDescent="0.2">
      <c r="A174">
        <f t="shared" si="3"/>
        <v>173</v>
      </c>
      <c r="B174" t="s">
        <v>237</v>
      </c>
      <c r="C174" s="71" t="s">
        <v>72</v>
      </c>
      <c r="D174" s="9">
        <v>223</v>
      </c>
      <c r="E174" s="72"/>
      <c r="F174" s="4" t="d">
        <f ca="1">Table9[[#This Row],[Surgery Start Date]]+1</f>
        <v>2020-03-13</v>
      </c>
      <c r="G174" s="53" t="d">
        <v>10:39:59.99999999999786775</v>
      </c>
      <c r="H174" s="53" t="d">
        <v>11:04:59.99999999999733300</v>
      </c>
      <c r="I174" s="53" t="d">
        <v>11:30:00.0000000000015975</v>
      </c>
      <c r="J174" s="53" t="d">
        <v>11:32:00.00000000000117375</v>
      </c>
      <c r="K174" s="53" t="d">
        <v>11:42:59.99999999999882625</v>
      </c>
      <c r="M174" s="15"/>
      <c r="O174" s="4"/>
    </row>
    <row r="175" spans="1:15" x14ac:dyDescent="0.2">
      <c r="A175">
        <f t="shared" si="3"/>
        <v>174</v>
      </c>
      <c r="B175" t="s">
        <v>237</v>
      </c>
      <c r="C175" s="71" t="s">
        <v>72</v>
      </c>
      <c r="D175" s="9">
        <v>223</v>
      </c>
      <c r="E175" s="72"/>
      <c r="F175" s="4" t="d">
        <f ca="1">Table9[[#This Row],[Surgery Start Date]]+1</f>
        <v>2020-03-13</v>
      </c>
      <c r="G175" s="53" t="d">
        <v>11:30:00.0000000000015975</v>
      </c>
      <c r="H175" s="53" t="d">
        <v>12:00:01</v>
      </c>
      <c r="I175" s="53" t="d">
        <v>12:54:59.99999999999786775</v>
      </c>
      <c r="J175" s="53" t="d">
        <v>13:07:00.00000000000490350</v>
      </c>
      <c r="K175" s="53" t="d">
        <v>13:08:00.000000000004689600</v>
      </c>
      <c r="M175" s="15"/>
      <c r="O175" s="4"/>
    </row>
    <row r="176" spans="1:15" x14ac:dyDescent="0.2">
      <c r="A176">
        <f t="shared" si="3"/>
        <v>175</v>
      </c>
      <c r="B176" t="s">
        <v>237</v>
      </c>
      <c r="C176" s="71" t="s">
        <v>72</v>
      </c>
      <c r="D176" s="9">
        <v>223</v>
      </c>
      <c r="E176" s="72"/>
      <c r="F176" s="4" t="d">
        <f ca="1">Table9[[#This Row],[Surgery Start Date]]+1</f>
        <v>2020-03-13</v>
      </c>
      <c r="G176" s="53" t="d">
        <v>12:54:59.99999999999786775</v>
      </c>
      <c r="H176" s="53" t="d">
        <v>13:30:00.000</v>
      </c>
      <c r="I176" s="53" t="d">
        <v>15:30:00.0000000000031950</v>
      </c>
      <c r="J176" s="53" t="d">
        <v>15:37:00.00000000000170850</v>
      </c>
      <c r="K176" s="53" t="d">
        <v>15:40:00.00000000001066125</v>
      </c>
      <c r="M176" s="15"/>
      <c r="O176" s="4"/>
    </row>
    <row r="177" spans="1:15" x14ac:dyDescent="0.2">
      <c r="A177">
        <f t="shared" si="3"/>
        <v>176</v>
      </c>
      <c r="B177" t="s">
        <v>240</v>
      </c>
      <c r="C177" s="55" t="s">
        <v>71</v>
      </c>
      <c r="D177" s="9">
        <v>351</v>
      </c>
      <c r="E177" s="72"/>
      <c r="F177" s="4" t="d">
        <f ca="1">Table9[[#This Row],[Surgery Start Date]]+1</f>
        <v>2020-03-09</v>
      </c>
      <c r="G177" s="53" t="d">
        <v>08:19:59.99999999999893725</v>
      </c>
      <c r="H177" s="53" t="d">
        <v>08:38:59.99999999999968050</v>
      </c>
      <c r="I177" s="53" t="d">
        <v>09:49:59.99999999999893725</v>
      </c>
      <c r="J177" s="53" t="d">
        <v>09:50:59.99999999999872200</v>
      </c>
      <c r="K177" s="53" t="d">
        <v>09:52:59.99999999999829150</v>
      </c>
      <c r="M177" s="15"/>
      <c r="O177" s="4"/>
    </row>
    <row r="178" spans="1:15" x14ac:dyDescent="0.2">
      <c r="A178">
        <f t="shared" si="3"/>
        <v>177</v>
      </c>
      <c r="B178" t="s">
        <v>240</v>
      </c>
      <c r="C178" s="55" t="s">
        <v>71</v>
      </c>
      <c r="D178" s="9">
        <v>351</v>
      </c>
      <c r="E178" s="72"/>
      <c r="F178" s="4" t="d">
        <f ca="1">Table9[[#This Row],[Surgery Start Date]]+1</f>
        <v>2020-03-09</v>
      </c>
      <c r="G178" s="53" t="d">
        <v>09:09:59.99999999999786775</v>
      </c>
      <c r="H178" s="53" t="d">
        <v>10:20:00.00000000000213225</v>
      </c>
      <c r="I178" s="53" t="d">
        <v>11:35:00.00000000000053475</v>
      </c>
      <c r="J178" s="53" t="d">
        <v>11:39:59.99999999999946525</v>
      </c>
      <c r="K178" s="53" t="d">
        <v>11:40:59.99999999999925675</v>
      </c>
      <c r="M178" s="15"/>
      <c r="O178" s="4"/>
    </row>
    <row r="179" spans="1:15" x14ac:dyDescent="0.2">
      <c r="A179">
        <f t="shared" si="3"/>
        <v>178</v>
      </c>
      <c r="B179" t="s">
        <v>240</v>
      </c>
      <c r="C179" s="55" t="s">
        <v>71</v>
      </c>
      <c r="D179" s="9">
        <v>351</v>
      </c>
      <c r="E179" s="72"/>
      <c r="F179" s="4" t="d">
        <f ca="1">Table9[[#This Row],[Surgery Start Date]]+1</f>
        <v>2020-03-09</v>
      </c>
      <c r="G179" s="53" t="d">
        <v>11:04:59.99999999999733300</v>
      </c>
      <c r="H179" s="53" t="d">
        <v>12:25:00.00000000000426450</v>
      </c>
      <c r="I179" s="53" t="d">
        <v>14:10:00.00000000000106275</v>
      </c>
      <c r="J179" s="53" t="d">
        <v>14:12:00.00000000000063900</v>
      </c>
      <c r="K179" s="53" t="d">
        <v>14:13:00.00000000000042375</v>
      </c>
      <c r="M179" s="15"/>
      <c r="O179" s="4"/>
    </row>
    <row r="180" spans="1:15" x14ac:dyDescent="0.2">
      <c r="A180">
        <f t="shared" si="3"/>
        <v>179</v>
      </c>
      <c r="B180" t="s">
        <v>240</v>
      </c>
      <c r="C180" s="55" t="s">
        <v>71</v>
      </c>
      <c r="D180" s="9">
        <v>351</v>
      </c>
      <c r="E180" s="72"/>
      <c r="F180" s="4" t="d">
        <f ca="1">Table9[[#This Row],[Surgery Start Date]]+1</f>
        <v>2020-03-09</v>
      </c>
      <c r="G180" s="53" t="d">
        <v>13:50:00.00000000000532725</v>
      </c>
      <c r="H180" s="53" t="d">
        <v>14:53:00.00000000000149325</v>
      </c>
      <c r="I180" s="53" t="d">
        <v>16:55:00.00000000000426450</v>
      </c>
      <c r="J180" s="53" t="d">
        <v>17:00:00.0000000000031950</v>
      </c>
      <c r="K180" s="53" t="d">
        <v>17:12:00.00000000000063900</v>
      </c>
      <c r="M180" s="15"/>
      <c r="O180" s="4"/>
    </row>
    <row r="181" spans="1:15" x14ac:dyDescent="0.2">
      <c r="A181">
        <f t="shared" si="3"/>
        <v>180</v>
      </c>
      <c r="B181" t="s">
        <v>238</v>
      </c>
      <c r="C181" s="55" t="s">
        <v>72</v>
      </c>
      <c r="D181" s="9">
        <v>252</v>
      </c>
      <c r="E181" s="72"/>
      <c r="F181" s="4" t="d">
        <f ca="1">Table9[[#This Row],[Surgery Start Date]]+1</f>
        <v>2020-03-05</v>
      </c>
      <c r="G181" s="53" t="d">
        <v>08:11:59.99999999999584650</v>
      </c>
      <c r="H181" s="53" t="d">
        <v>08:29:59.9999999999968050</v>
      </c>
      <c r="I181" s="53" t="d">
        <v>09:00:00.000</v>
      </c>
      <c r="J181" s="53" t="d">
        <v>09:14:59.9999999999968050</v>
      </c>
      <c r="K181" s="53" t="d">
        <v>09:16:00.00000000000138225</v>
      </c>
      <c r="M181" s="15"/>
      <c r="O181" s="4"/>
    </row>
    <row r="182" spans="1:15" x14ac:dyDescent="0.2">
      <c r="A182">
        <f t="shared" si="3"/>
        <v>181</v>
      </c>
      <c r="B182" t="s">
        <v>238</v>
      </c>
      <c r="C182" s="55" t="s">
        <v>72</v>
      </c>
      <c r="D182" s="9">
        <v>252</v>
      </c>
      <c r="E182" s="72"/>
      <c r="F182" s="4" t="d">
        <f ca="1">Table9[[#This Row],[Surgery Start Date]]+1</f>
        <v>2020-03-05</v>
      </c>
      <c r="G182" s="53" t="d">
        <v>09:05:59.99999999999872200</v>
      </c>
      <c r="H182" s="53" t="d">
        <v>09:20:00.00000000000053475</v>
      </c>
      <c r="I182" s="53" t="d">
        <v>09:49:59.99999999999893725</v>
      </c>
      <c r="J182" s="53" t="d">
        <v>09:54:59.99999999999786775</v>
      </c>
      <c r="K182" s="53" t="d">
        <v>09:59:59.9999999999968050</v>
      </c>
      <c r="M182" s="15"/>
      <c r="O182" s="4"/>
    </row>
    <row r="183" spans="1:15" x14ac:dyDescent="0.2">
      <c r="A183">
        <f t="shared" si="3"/>
        <v>182</v>
      </c>
      <c r="B183" t="s">
        <v>238</v>
      </c>
      <c r="C183" s="71" t="s">
        <v>72</v>
      </c>
      <c r="D183" s="9">
        <v>252</v>
      </c>
      <c r="E183" s="72"/>
      <c r="F183" s="4" t="d">
        <f ca="1">Table9[[#This Row],[Surgery Start Date]]+1</f>
        <v>2020-03-05</v>
      </c>
      <c r="G183" s="53" t="d">
        <v>09:41:59.99999999999584650</v>
      </c>
      <c r="H183" s="53" t="d">
        <v>10:14:59.9999999999984025</v>
      </c>
      <c r="I183" s="53" t="d">
        <v>13:45:00.00000000000639675</v>
      </c>
      <c r="J183" s="53" t="d">
        <v>13:55:00.00000000000426450</v>
      </c>
      <c r="K183" s="53" t="d">
        <v>14:00:00.0000000000031950</v>
      </c>
      <c r="M183" s="15"/>
      <c r="O183" s="4"/>
    </row>
    <row r="184" spans="1:15" x14ac:dyDescent="0.2">
      <c r="A184">
        <f t="shared" si="3"/>
        <v>183</v>
      </c>
      <c r="B184" t="s">
        <v>238</v>
      </c>
      <c r="C184" s="71" t="s">
        <v>72</v>
      </c>
      <c r="D184" s="9">
        <v>252</v>
      </c>
      <c r="E184" s="72"/>
      <c r="F184" s="4" t="d">
        <f ca="1">Table9[[#This Row],[Surgery Start Date]]+1</f>
        <v>2020-03-04</v>
      </c>
      <c r="G184" s="53" t="d">
        <v>08:01:00.00000000000298650</v>
      </c>
      <c r="H184" s="53" t="d">
        <v>08:19:59.99999999999893725</v>
      </c>
      <c r="I184" s="53" t="d">
        <v>10:09:59.99999999999467275</v>
      </c>
      <c r="J184" s="53" t="d">
        <v>10:12:59.99999999999882625</v>
      </c>
      <c r="K184" s="53" t="d">
        <v>10:14:59.9999999999984025</v>
      </c>
      <c r="M184" s="15"/>
      <c r="O184" s="4"/>
    </row>
    <row r="185" spans="1:15" x14ac:dyDescent="0.2">
      <c r="A185">
        <f t="shared" si="3"/>
        <v>184</v>
      </c>
      <c r="B185" t="s">
        <v>238</v>
      </c>
      <c r="C185" s="71" t="s">
        <v>72</v>
      </c>
      <c r="D185" s="9">
        <v>252</v>
      </c>
      <c r="E185" s="72"/>
      <c r="F185" s="4" t="d">
        <f ca="1">Table9[[#This Row],[Surgery Start Date]]+1</f>
        <v>2020-03-04</v>
      </c>
      <c r="G185" s="53" t="d">
        <v>10:01:00.00000000000138225</v>
      </c>
      <c r="H185" s="53" t="d">
        <v>10:24:59.99999999999627025</v>
      </c>
      <c r="I185" s="53" t="d">
        <v>11:20:00.00000000000372975</v>
      </c>
      <c r="J185" s="53" t="d">
        <v>11:24:59.99999999999307525</v>
      </c>
      <c r="K185" s="53" t="d">
        <v>11:28:00.00000000000202800</v>
      </c>
      <c r="M185" s="15"/>
      <c r="O185" s="4"/>
    </row>
    <row r="186" spans="1:15" x14ac:dyDescent="0.2">
      <c r="A186">
        <f t="shared" si="3"/>
        <v>185</v>
      </c>
      <c r="B186" t="s">
        <v>238</v>
      </c>
      <c r="C186" s="71" t="s">
        <v>72</v>
      </c>
      <c r="D186" s="9">
        <v>252</v>
      </c>
      <c r="E186" s="72"/>
      <c r="F186" s="4" t="d">
        <f ca="1">Table9[[#This Row],[Surgery Start Date]]+1</f>
        <v>2020-03-04</v>
      </c>
      <c r="G186" s="53" t="d">
        <v>11:24:59.99999999999307525</v>
      </c>
      <c r="H186" s="53" t="d">
        <v>11:39:59.99999999999946525</v>
      </c>
      <c r="I186" s="53" t="d">
        <v>14:45:00.0000000000031950</v>
      </c>
      <c r="J186" s="53" t="d">
        <v>14:50:00.00000000000213225</v>
      </c>
      <c r="K186" s="53" t="d">
        <v>15:00:00.000</v>
      </c>
      <c r="M186" s="15"/>
      <c r="O186" s="4"/>
    </row>
    <row r="187" spans="1:15" x14ac:dyDescent="0.2">
      <c r="A187">
        <f t="shared" si="3"/>
        <v>186</v>
      </c>
      <c r="B187" t="s">
        <v>238</v>
      </c>
      <c r="C187" s="71" t="s">
        <v>72</v>
      </c>
      <c r="D187" s="9">
        <v>252</v>
      </c>
      <c r="E187" s="72"/>
      <c r="F187" s="4" t="d">
        <f ca="1">Table9[[#This Row],[Surgery Start Date]]+1</f>
        <v>2020-03-06</v>
      </c>
      <c r="G187" s="53" t="d">
        <v>07:55:59.99999999999925675</v>
      </c>
      <c r="H187" s="53" t="d">
        <v>07:59:59.9999999999984025</v>
      </c>
      <c r="I187" s="53" t="d">
        <v>08:35:00.00000000000053475</v>
      </c>
      <c r="J187" s="53" t="d">
        <v>08:39:59.99999999999467275</v>
      </c>
      <c r="K187" s="53" t="d">
        <v>08:44:59.9999999999984025</v>
      </c>
      <c r="M187" s="15"/>
      <c r="O187" s="4"/>
    </row>
    <row r="188" spans="1:15" x14ac:dyDescent="0.2">
      <c r="A188">
        <f t="shared" si="3"/>
        <v>187</v>
      </c>
      <c r="B188" t="s">
        <v>238</v>
      </c>
      <c r="C188" s="71" t="s">
        <v>72</v>
      </c>
      <c r="D188" s="9">
        <v>252</v>
      </c>
      <c r="E188" s="72"/>
      <c r="F188" s="4" t="d">
        <f ca="1">Table9[[#This Row],[Surgery Start Date]]+1</f>
        <v>2020-03-06</v>
      </c>
      <c r="G188" s="53" t="d">
        <v>08:41:59.99999999999424225</v>
      </c>
      <c r="H188" s="53" t="d">
        <v>09:00:00.000</v>
      </c>
      <c r="I188" s="53" t="d">
        <v>09:45:00.000</v>
      </c>
      <c r="J188" s="53" t="d">
        <v>09:49:59.99999999999893725</v>
      </c>
      <c r="K188" s="53" t="d">
        <v>09:54:59.99999999999786775</v>
      </c>
      <c r="M188" s="15"/>
      <c r="O188" s="4"/>
    </row>
    <row r="189" spans="1:15" x14ac:dyDescent="0.2">
      <c r="A189">
        <f t="shared" si="3"/>
        <v>188</v>
      </c>
      <c r="B189" t="s">
        <v>238</v>
      </c>
      <c r="C189" s="71" t="s">
        <v>72</v>
      </c>
      <c r="D189" s="9">
        <v>252</v>
      </c>
      <c r="E189" s="72"/>
      <c r="F189" s="4" t="d">
        <f ca="1">Table9[[#This Row],[Surgery Start Date]]+1</f>
        <v>2020-03-06</v>
      </c>
      <c r="G189" s="53" t="d">
        <v>09:59:59.9999999999968050</v>
      </c>
      <c r="H189" s="53" t="d">
        <v>10:14:59.9999999999984025</v>
      </c>
      <c r="I189" s="53" t="d">
        <v>10:44:59.9999999999968050</v>
      </c>
      <c r="J189" s="53" t="d">
        <v>10:50:00.00000000000053475</v>
      </c>
      <c r="K189" s="53" t="d">
        <v>10:54:59.99999999999467275</v>
      </c>
      <c r="M189" s="15"/>
      <c r="O189" s="4"/>
    </row>
    <row r="190" spans="1:15" x14ac:dyDescent="0.2">
      <c r="A190">
        <f t="shared" si="3"/>
        <v>189</v>
      </c>
      <c r="B190" t="s">
        <v>238</v>
      </c>
      <c r="C190" s="71" t="s">
        <v>72</v>
      </c>
      <c r="D190" s="9">
        <v>252</v>
      </c>
      <c r="E190" s="72"/>
      <c r="F190" s="4" t="d">
        <f ca="1">Table9[[#This Row],[Surgery Start Date]]+1</f>
        <v>2020-03-06</v>
      </c>
      <c r="G190" s="53" t="d">
        <v>11:20:00.00000000000372975</v>
      </c>
      <c r="H190" s="53" t="d">
        <v>11:35:00.00000000000053475</v>
      </c>
      <c r="I190" s="53" t="d">
        <v>11:44:59.9999999999984025</v>
      </c>
      <c r="J190" s="53" t="d">
        <v>11:49:59.99999999999733300</v>
      </c>
      <c r="K190" s="53" t="d">
        <v>11:54:59.99999999999627025</v>
      </c>
      <c r="M190" s="15"/>
      <c r="O190" s="4"/>
    </row>
    <row r="191" spans="1:15" x14ac:dyDescent="0.2">
      <c r="A191">
        <f t="shared" si="3"/>
        <v>190</v>
      </c>
      <c r="B191" t="s">
        <v>238</v>
      </c>
      <c r="C191" s="71" t="s">
        <v>72</v>
      </c>
      <c r="D191" s="9">
        <v>252</v>
      </c>
      <c r="E191" s="72"/>
      <c r="F191" s="4" t="d">
        <f ca="1">Table9[[#This Row],[Surgery Start Date]]+1</f>
        <v>2020-03-06</v>
      </c>
      <c r="G191" s="53" t="d">
        <v>12:01:59.99999999999957625</v>
      </c>
      <c r="H191" s="53" t="d">
        <v>12:25:00.00000000000426450</v>
      </c>
      <c r="I191" s="53" t="d">
        <v>15:45:00.000</v>
      </c>
      <c r="J191" s="53" t="d">
        <v>15:49:59.99999999999893725</v>
      </c>
      <c r="K191" s="53" t="d">
        <v>16:00:00.00000000000639675</v>
      </c>
      <c r="M191" s="15"/>
      <c r="O191" s="4"/>
    </row>
    <row r="192" spans="1:15" x14ac:dyDescent="0.2">
      <c r="A192">
        <f t="shared" si="3"/>
        <v>191</v>
      </c>
      <c r="B192" t="s">
        <v>240</v>
      </c>
      <c r="C192" s="55" t="s">
        <v>71</v>
      </c>
      <c r="D192" s="9">
        <v>351</v>
      </c>
      <c r="E192" s="56"/>
      <c r="F192" s="4" t="d">
        <f ca="1">Table9[[#This Row],[Surgery Start Date]]+1</f>
        <v>2020-03-06</v>
      </c>
      <c r="G192" s="53" t="d">
        <v>13:50:00.00000000000532725</v>
      </c>
      <c r="H192" s="53" t="d">
        <v>13:55:00.00000000000426450</v>
      </c>
      <c r="I192" s="53" t="d">
        <v>14:10:00.00000000000106275</v>
      </c>
      <c r="J192" s="53" t="d">
        <v>14:16:59.99999999999957625</v>
      </c>
      <c r="K192" s="53" t="d">
        <v>14:18:00.00000000000895275</v>
      </c>
      <c r="M192" s="54"/>
      <c r="O192" s="4"/>
    </row>
    <row r="193" spans="1:15" x14ac:dyDescent="0.2">
      <c r="A193">
        <f t="shared" si="3"/>
        <v>192</v>
      </c>
      <c r="B193" t="s">
        <v>238</v>
      </c>
      <c r="C193" s="71" t="s">
        <v>72</v>
      </c>
      <c r="D193" s="9">
        <v>252</v>
      </c>
      <c r="E193" s="72"/>
      <c r="F193" s="4" t="d">
        <f ca="1">Table9[[#This Row],[Surgery Start Date]]+1</f>
        <v>2020-03-09</v>
      </c>
      <c r="G193" s="53" t="d">
        <v>08:09:59.99999999999627025</v>
      </c>
      <c r="H193" s="53" t="d">
        <v>08:35:00.00000000000053475</v>
      </c>
      <c r="I193" s="53" t="d">
        <v>09:07:59.99999999999829150</v>
      </c>
      <c r="J193" s="53" t="d">
        <v>09:18:00.00000000000095850</v>
      </c>
      <c r="K193" s="53" t="d">
        <v>09:20:00.00000000000053475</v>
      </c>
      <c r="M193" s="15"/>
      <c r="O193" s="4"/>
    </row>
    <row r="194" spans="1:15" x14ac:dyDescent="0.2">
      <c r="A194">
        <f t="shared" si="3"/>
        <v>193</v>
      </c>
      <c r="B194" t="s">
        <v>238</v>
      </c>
      <c r="C194" s="71" t="s">
        <v>72</v>
      </c>
      <c r="D194" s="9">
        <v>252</v>
      </c>
      <c r="E194" s="72"/>
      <c r="F194" s="4" t="d">
        <f ca="1">Table9[[#This Row],[Surgery Start Date]]+1</f>
        <v>2020-03-09</v>
      </c>
      <c r="G194" s="53" t="d">
        <v>09:22:00.00000000000010425</v>
      </c>
      <c r="H194" s="53" t="d">
        <v>10:05:00.00000000000053475</v>
      </c>
      <c r="I194" s="53" t="d">
        <v>11:35:00.00000000000053475</v>
      </c>
      <c r="J194" s="53" t="d">
        <v>11:39:59.99999999999946525</v>
      </c>
      <c r="K194" s="53" t="d">
        <v>11:44:59.9999999999984025</v>
      </c>
      <c r="M194" s="15"/>
      <c r="O194" s="4"/>
    </row>
    <row r="195" spans="1:15" x14ac:dyDescent="0.2">
      <c r="A195">
        <f t="shared" si="3"/>
        <v>194</v>
      </c>
      <c r="B195" t="s">
        <v>238</v>
      </c>
      <c r="C195" s="71" t="s">
        <v>72</v>
      </c>
      <c r="D195" s="9">
        <v>252</v>
      </c>
      <c r="E195" s="72"/>
      <c r="F195" s="4" t="d">
        <f ca="1">Table9[[#This Row],[Surgery Start Date]]+1</f>
        <v>2020-03-09</v>
      </c>
      <c r="G195" s="53" t="d">
        <v>11:45:59.99999999999818725</v>
      </c>
      <c r="H195" s="53" t="d">
        <v>12:00:01</v>
      </c>
      <c r="I195" s="53" t="d">
        <v>12:05:00.00000000000852900</v>
      </c>
      <c r="J195" s="53" t="d">
        <v>12:09:59.99999999999786775</v>
      </c>
      <c r="K195" s="53" t="d">
        <v>12:15:00.00000000000639675</v>
      </c>
      <c r="M195" s="15"/>
      <c r="O195" s="4"/>
    </row>
    <row r="196" spans="1:15" x14ac:dyDescent="0.2">
      <c r="A196">
        <f t="shared" si="3"/>
        <v>195</v>
      </c>
      <c r="B196" t="s">
        <v>238</v>
      </c>
      <c r="C196" s="71" t="s">
        <v>72</v>
      </c>
      <c r="D196" s="9">
        <v>252</v>
      </c>
      <c r="E196" s="72"/>
      <c r="F196" s="4" t="d">
        <f ca="1">Table9[[#This Row],[Surgery Start Date]]+1</f>
        <v>2020-03-09</v>
      </c>
      <c r="G196" s="53" t="d">
        <v>12:05:00.00000000000852900</v>
      </c>
      <c r="H196" s="53" t="d">
        <v>12:30:00.0000000000031950</v>
      </c>
      <c r="I196" s="53" t="d">
        <v>15:35:00.00000000000213225</v>
      </c>
      <c r="J196" s="53" t="d">
        <v>15:40:00.00000000001066125</v>
      </c>
      <c r="K196" s="53" t="d">
        <v>15:45:00.000</v>
      </c>
      <c r="M196" s="15"/>
      <c r="O196" s="4"/>
    </row>
    <row r="197" spans="1:15" x14ac:dyDescent="0.2">
      <c r="A197">
        <f t="shared" si="3"/>
        <v>196</v>
      </c>
      <c r="B197" t="s">
        <v>238</v>
      </c>
      <c r="C197" s="71" t="s">
        <v>72</v>
      </c>
      <c r="D197" s="9">
        <v>252</v>
      </c>
      <c r="E197" s="72"/>
      <c r="F197" s="4" t="d">
        <f ca="1">Table9[[#This Row],[Surgery Start Date]]+1</f>
        <v>2020-03-12</v>
      </c>
      <c r="G197" s="53" t="d">
        <v>08:19:59.99999999999893725</v>
      </c>
      <c r="H197" s="53" t="d">
        <v>08:54:59.99999999999627025</v>
      </c>
      <c r="I197" s="53" t="d">
        <v>11:54:59.99999999999627025</v>
      </c>
      <c r="J197" s="53" t="d">
        <v>12:00:01</v>
      </c>
      <c r="K197" s="53" t="d">
        <v>12:05:00.00000000000852900</v>
      </c>
      <c r="M197" s="15"/>
      <c r="O197" s="4"/>
    </row>
    <row r="198" spans="1:15" x14ac:dyDescent="0.2">
      <c r="A198">
        <f t="shared" si="3"/>
        <v>197</v>
      </c>
      <c r="B198" t="s">
        <v>238</v>
      </c>
      <c r="C198" s="71" t="s">
        <v>72</v>
      </c>
      <c r="D198" s="9">
        <v>252</v>
      </c>
      <c r="E198" s="72"/>
      <c r="F198" s="4" t="d">
        <f ca="1">Table9[[#This Row],[Surgery Start Date]]+1</f>
        <v>2020-03-12</v>
      </c>
      <c r="G198" s="53" t="d">
        <v>13:26:00.00000000000085425</v>
      </c>
      <c r="H198" s="53" t="d">
        <v>13:30:00.000</v>
      </c>
      <c r="I198" s="53" t="d">
        <v>13:35:00.00000000000852900</v>
      </c>
      <c r="J198" s="53" t="d">
        <v>13:39:59.99999999999786775</v>
      </c>
      <c r="K198" s="53" t="d">
        <v>13:45:00.00000000000639675</v>
      </c>
      <c r="M198" s="15"/>
      <c r="O198" s="4"/>
    </row>
    <row r="199" spans="1:15" x14ac:dyDescent="0.2">
      <c r="A199">
        <f t="shared" si="3"/>
        <v>198</v>
      </c>
      <c r="B199" t="s">
        <v>238</v>
      </c>
      <c r="C199" s="71" t="s">
        <v>72</v>
      </c>
      <c r="D199" s="9">
        <v>252</v>
      </c>
      <c r="E199" s="72"/>
      <c r="F199" s="4" t="d">
        <f ca="1">Table9[[#This Row],[Surgery Start Date]]+1</f>
        <v>2020-03-16</v>
      </c>
      <c r="G199" s="53" t="d">
        <v>08:13:59.99999999999541600</v>
      </c>
      <c r="H199" s="53" t="d">
        <v>08:29:59.9999999999968050</v>
      </c>
      <c r="I199" s="53" t="d">
        <v>08:54:59.99999999999627025</v>
      </c>
      <c r="J199" s="53" t="d">
        <v>09:00:00.000</v>
      </c>
      <c r="K199" s="53" t="d">
        <v>09:04:59.99999999999893725</v>
      </c>
      <c r="M199" s="15"/>
      <c r="O199" s="4"/>
    </row>
    <row r="200" spans="1:15" x14ac:dyDescent="0.2">
      <c r="A200">
        <f t="shared" si="3"/>
        <v>199</v>
      </c>
      <c r="B200" t="s">
        <v>238</v>
      </c>
      <c r="C200" s="71" t="s">
        <v>72</v>
      </c>
      <c r="D200" s="9">
        <v>252</v>
      </c>
      <c r="E200" s="72"/>
      <c r="F200" s="4" t="d">
        <f ca="1">Table9[[#This Row],[Surgery Start Date]]+1</f>
        <v>2020-03-16</v>
      </c>
      <c r="G200" s="53" t="d">
        <v>08:54:59.99999999999627025</v>
      </c>
      <c r="H200" s="53" t="d">
        <v>09:09:59.99999999999786775</v>
      </c>
      <c r="I200" s="53" t="d">
        <v>09:39:59.99999999999627025</v>
      </c>
      <c r="J200" s="53" t="d">
        <v>09:54:59.99999999999786775</v>
      </c>
      <c r="K200" s="53" t="d">
        <v>09:59:59.9999999999968050</v>
      </c>
      <c r="M200" s="15"/>
      <c r="O200" s="4"/>
    </row>
    <row r="201" spans="1:15" x14ac:dyDescent="0.2">
      <c r="A201">
        <f t="shared" si="3"/>
        <v>200</v>
      </c>
      <c r="B201" t="s">
        <v>238</v>
      </c>
      <c r="C201" s="71" t="s">
        <v>72</v>
      </c>
      <c r="D201" s="9">
        <v>252</v>
      </c>
      <c r="E201" s="72"/>
      <c r="F201" s="4" t="d">
        <f ca="1">Table9[[#This Row],[Surgery Start Date]]+1</f>
        <v>2020-03-16</v>
      </c>
      <c r="G201" s="53" t="d">
        <v>10:14:59.9999999999984025</v>
      </c>
      <c r="H201" s="53" t="d">
        <v>10:20:00.00000000000213225</v>
      </c>
      <c r="I201" s="53" t="d">
        <v>10:39:59.99999999999786775</v>
      </c>
      <c r="J201" s="53" t="d">
        <v>10:44:59.9999999999968050</v>
      </c>
      <c r="K201" s="53" t="d">
        <v>10:54:59.99999999999467275</v>
      </c>
      <c r="M201" s="15"/>
      <c r="O201" s="4"/>
    </row>
    <row r="202" spans="1:15" x14ac:dyDescent="0.2">
      <c r="A202">
        <f t="shared" si="3"/>
        <v>201</v>
      </c>
      <c r="B202" t="s">
        <v>238</v>
      </c>
      <c r="C202" s="71" t="s">
        <v>72</v>
      </c>
      <c r="D202" s="9">
        <v>252</v>
      </c>
      <c r="E202" s="72"/>
      <c r="F202" s="4" t="d">
        <f ca="1">Table9[[#This Row],[Surgery Start Date]]+1</f>
        <v>2020-03-16</v>
      </c>
      <c r="G202" s="53" t="d">
        <v>11:20:59.99999999999392275</v>
      </c>
      <c r="H202" s="53" t="d">
        <v>11:49:59.99999999999733300</v>
      </c>
      <c r="I202" s="53" t="d">
        <v>12:20:00.00000000000532725</v>
      </c>
      <c r="J202" s="53" t="d">
        <v>12:30:00.0000000000031950</v>
      </c>
      <c r="K202" s="53" t="d">
        <v>12:32:00.00000000000277125</v>
      </c>
      <c r="M202" s="15"/>
      <c r="O202" s="4"/>
    </row>
    <row r="203" spans="1:15" x14ac:dyDescent="0.2">
      <c r="A203">
        <f t="shared" si="3"/>
        <v>202</v>
      </c>
      <c r="B203" t="s">
        <v>238</v>
      </c>
      <c r="C203" s="71" t="s">
        <v>72</v>
      </c>
      <c r="D203" s="9">
        <v>252</v>
      </c>
      <c r="E203" s="72"/>
      <c r="F203" s="4" t="d">
        <f ca="1">Table9[[#This Row],[Surgery Start Date]]+1</f>
        <v>2020-03-13</v>
      </c>
      <c r="G203" s="53" t="d">
        <v>07:59:59.9999999999984025</v>
      </c>
      <c r="H203" s="53" t="d">
        <v>08:19:59.99999999999893725</v>
      </c>
      <c r="I203" s="53" t="d">
        <v>08:31:59.99999999999637450</v>
      </c>
      <c r="J203" s="53" t="d">
        <v>08:35:00.00000000000053475</v>
      </c>
      <c r="K203" s="53" t="d">
        <v>08:35:59.99999999999552025</v>
      </c>
      <c r="M203" s="15"/>
      <c r="O203" s="4"/>
    </row>
    <row r="204" spans="1:15" x14ac:dyDescent="0.2">
      <c r="A204">
        <f t="shared" si="3"/>
        <v>203</v>
      </c>
      <c r="B204" t="s">
        <v>238</v>
      </c>
      <c r="C204" s="71" t="s">
        <v>72</v>
      </c>
      <c r="D204" s="9">
        <v>252</v>
      </c>
      <c r="E204" s="72"/>
      <c r="F204" s="4" t="d">
        <f ca="1">Table9[[#This Row],[Surgery Start Date]]+1</f>
        <v>2020-03-13</v>
      </c>
      <c r="G204" s="53" t="d">
        <v>08:50:00.00000000000213225</v>
      </c>
      <c r="H204" s="53" t="d">
        <v>09:09:59.99999999999786775</v>
      </c>
      <c r="I204" s="53" t="d">
        <v>09:35:00.00000000000213225</v>
      </c>
      <c r="J204" s="53" t="d">
        <v>09:45:00.000</v>
      </c>
      <c r="K204" s="53" t="d">
        <v>09:47:59.99999999999936100</v>
      </c>
      <c r="M204" s="15"/>
      <c r="O204" s="4"/>
    </row>
    <row r="205" spans="1:15" x14ac:dyDescent="0.2">
      <c r="A205">
        <f t="shared" si="3"/>
        <v>204</v>
      </c>
      <c r="B205" t="s">
        <v>238</v>
      </c>
      <c r="C205" s="71" t="s">
        <v>72</v>
      </c>
      <c r="D205" s="9">
        <v>252</v>
      </c>
      <c r="E205" s="72"/>
      <c r="F205" s="4" t="d">
        <f ca="1">Table9[[#This Row],[Surgery Start Date]]+1</f>
        <v>2020-03-13</v>
      </c>
      <c r="G205" s="53" t="d">
        <v>09:45:00.000</v>
      </c>
      <c r="H205" s="53" t="d">
        <v>10:36:59.99999999999850675</v>
      </c>
      <c r="I205" s="53" t="d">
        <v>15:30:00.0000000000031950</v>
      </c>
      <c r="J205" s="53" t="d">
        <v>15:35:00.00000000000213225</v>
      </c>
      <c r="K205" s="53" t="d">
        <v>15:36:00.00000000001150875</v>
      </c>
      <c r="M205" s="15"/>
      <c r="O205" s="4"/>
    </row>
    <row r="206" spans="1:15" x14ac:dyDescent="0.2">
      <c r="A206">
        <f t="shared" si="3"/>
        <v>205</v>
      </c>
      <c r="B206" t="s">
        <v>236</v>
      </c>
      <c r="C206" s="71" t="s">
        <v>71</v>
      </c>
      <c r="D206" s="9">
        <v>388</v>
      </c>
      <c r="E206" s="72"/>
      <c r="F206" s="4" t="d">
        <f ca="1">Table9[[#This Row],[Surgery Start Date]]+1</f>
        <v>2020-03-16</v>
      </c>
      <c r="G206" s="53" t="d">
        <v>12:50:00.00000000000852900</v>
      </c>
      <c r="H206" s="53" t="d">
        <v>13:10:00.00000000000426450</v>
      </c>
      <c r="I206" s="53" t="d">
        <v>14:10:00.00000000000106275</v>
      </c>
      <c r="J206" s="53" t="d">
        <v>14:24:59.99999999999786775</v>
      </c>
      <c r="K206" s="53" t="d">
        <v>16:37:59.99999999999829150</v>
      </c>
      <c r="M206" s="15"/>
      <c r="O206" s="4"/>
    </row>
    <row r="207" spans="1:15" x14ac:dyDescent="0.2">
      <c r="A207">
        <f t="shared" si="3"/>
        <v>206</v>
      </c>
      <c r="B207" t="s">
        <v>237</v>
      </c>
      <c r="C207" s="55" t="s">
        <v>72</v>
      </c>
      <c r="D207" s="9">
        <v>223</v>
      </c>
      <c r="E207" s="56"/>
      <c r="F207" s="4" t="d">
        <f ca="1">Table9[[#This Row],[Surgery Start Date]]+1</f>
        <v>2020-03-16</v>
      </c>
      <c r="G207" s="53" t="d">
        <v>09:27:59.99999999999882625</v>
      </c>
      <c r="H207" s="53" t="d">
        <v>09:47:59.99999999999936100</v>
      </c>
      <c r="I207" s="53" t="d">
        <v>10:05:00.00000000000053475</v>
      </c>
      <c r="J207" s="53" t="d">
        <v>10:09:59.99999999999467275</v>
      </c>
      <c r="K207" s="53" t="d">
        <v>10:10:59.99999999999925675</v>
      </c>
      <c r="M207" s="54"/>
      <c r="O207" s="4"/>
    </row>
    <row r="208" spans="1:15" x14ac:dyDescent="0.2">
      <c r="A208">
        <f t="shared" si="3"/>
        <v>207</v>
      </c>
      <c r="B208" t="s">
        <v>237</v>
      </c>
      <c r="C208" s="55" t="s">
        <v>72</v>
      </c>
      <c r="D208" s="9">
        <v>223</v>
      </c>
      <c r="E208" s="56"/>
      <c r="F208" s="4" t="d">
        <f ca="1">Table9[[#This Row],[Surgery Start Date]]+1</f>
        <v>2020-03-16</v>
      </c>
      <c r="G208" s="53" t="d">
        <v>10:31:59.99999999999957625</v>
      </c>
      <c r="H208" s="53" t="d">
        <v>10:57:59.99999999999882625</v>
      </c>
      <c r="I208" s="53" t="d">
        <v>11:49:59.99999999999733300</v>
      </c>
      <c r="J208" s="53" t="d">
        <v>11:50:59.99999999999712450</v>
      </c>
      <c r="K208" s="53" t="d">
        <v>12:00:01</v>
      </c>
      <c r="M208" s="54"/>
      <c r="O208" s="4"/>
    </row>
    <row r="209" spans="1:15" x14ac:dyDescent="0.2">
      <c r="A209">
        <f t="shared" si="3"/>
        <v>208</v>
      </c>
      <c r="B209" t="s">
        <v>240</v>
      </c>
      <c r="C209" s="55" t="s">
        <v>71</v>
      </c>
      <c r="D209" s="9">
        <v>351</v>
      </c>
      <c r="E209" s="56"/>
      <c r="F209" s="4" t="d">
        <f ca="1">Table9[[#This Row],[Surgery Start Date]]+1</f>
        <v>2020-03-12</v>
      </c>
      <c r="G209" s="53" t="d">
        <v>08:05:00.00000000000213225</v>
      </c>
      <c r="H209" s="53" t="d">
        <v>08:33:59.99999999999595075</v>
      </c>
      <c r="I209" s="53" t="d">
        <v>10:18:00.00000000000255600</v>
      </c>
      <c r="J209" s="53" t="d">
        <v>10:38:59.99999999999808300</v>
      </c>
      <c r="K209" s="53" t="d">
        <v>10:39:59.99999999999786775</v>
      </c>
      <c r="M209" s="54"/>
      <c r="O209" s="4"/>
    </row>
    <row r="210" spans="1:15" x14ac:dyDescent="0.2">
      <c r="A210">
        <f t="shared" si="3"/>
        <v>209</v>
      </c>
      <c r="B210" t="s">
        <v>240</v>
      </c>
      <c r="C210" s="55" t="s">
        <v>71</v>
      </c>
      <c r="D210" s="9">
        <v>351</v>
      </c>
      <c r="E210" s="56"/>
      <c r="F210" s="4" t="d">
        <f ca="1">Table9[[#This Row],[Surgery Start Date]]+1</f>
        <v>2020-03-12</v>
      </c>
      <c r="G210" s="53" t="d">
        <v>10:14:59.9999999999984025</v>
      </c>
      <c r="H210" s="53" t="d">
        <v>10:44:59.9999999999968050</v>
      </c>
      <c r="I210" s="53" t="d">
        <v>11:15:01</v>
      </c>
      <c r="J210" s="53" t="d">
        <v>11:16:00.000000000004583325</v>
      </c>
      <c r="K210" s="53" t="d">
        <v>11:16:59.99999999999477700</v>
      </c>
      <c r="M210" s="54"/>
      <c r="O210" s="4"/>
    </row>
    <row r="211" spans="1:15" x14ac:dyDescent="0.2">
      <c r="A211">
        <f t="shared" si="3"/>
        <v>210</v>
      </c>
      <c r="B211" t="s">
        <v>240</v>
      </c>
      <c r="C211" s="55" t="s">
        <v>72</v>
      </c>
      <c r="D211" s="9">
        <v>223</v>
      </c>
      <c r="E211" s="56"/>
      <c r="F211" s="4" t="d">
        <f ca="1">Table9[[#This Row],[Surgery Start Date]]+1</f>
        <v>2020-03-12</v>
      </c>
      <c r="G211" s="53" t="d">
        <v>11:16:59.99999999999477700</v>
      </c>
      <c r="H211" s="53" t="d">
        <v>11:41:59.99999999999904150</v>
      </c>
      <c r="I211" s="53" t="d">
        <v>12:35:00.00000000000213225</v>
      </c>
      <c r="J211" s="53" t="d">
        <v>12:40:00.00000000000106275</v>
      </c>
      <c r="K211" s="53" t="d">
        <v>12:41:00.00000000000085425</v>
      </c>
      <c r="M211" s="54"/>
      <c r="O211" s="4"/>
    </row>
    <row r="212" spans="1:15" x14ac:dyDescent="0.2">
      <c r="A212">
        <f t="shared" si="3"/>
        <v>211</v>
      </c>
      <c r="B212" t="s">
        <v>240</v>
      </c>
      <c r="C212" s="55" t="s">
        <v>71</v>
      </c>
      <c r="D212" s="9">
        <v>351</v>
      </c>
      <c r="E212" s="56"/>
      <c r="F212" s="4" t="d">
        <f ca="1">Table9[[#This Row],[Surgery Start Date]]+1</f>
        <v>2020-03-12</v>
      </c>
      <c r="G212" s="53" t="d">
        <v>13:00:00.00000000000639675</v>
      </c>
      <c r="H212" s="53" t="d">
        <v>13:25:00.00000000000106275</v>
      </c>
      <c r="I212" s="53" t="d">
        <v>15:35:00.00000000000213225</v>
      </c>
      <c r="J212" s="53" t="d">
        <v>15:45:00.000</v>
      </c>
      <c r="K212" s="53" t="d">
        <v>15:45:59.999999999999786775</v>
      </c>
      <c r="M212" s="54"/>
      <c r="O212" s="4"/>
    </row>
    <row r="213" spans="1:15" x14ac:dyDescent="0.2">
      <c r="A213">
        <f t="shared" si="3"/>
        <v>212</v>
      </c>
      <c r="B213" t="s">
        <v>240</v>
      </c>
      <c r="C213" s="55" t="s">
        <v>71</v>
      </c>
      <c r="D213" s="9">
        <v>351</v>
      </c>
      <c r="E213" s="56"/>
      <c r="F213" s="4" t="d">
        <f ca="1">Table9[[#This Row],[Surgery Start Date]]+1</f>
        <v>2020-03-13</v>
      </c>
      <c r="G213" s="53" t="d">
        <v>07:46:59.99999999999637450</v>
      </c>
      <c r="H213" s="53" t="d">
        <v>08:15:00.000</v>
      </c>
      <c r="I213" s="53" t="d">
        <v>08:48:59.999999999997548925</v>
      </c>
      <c r="J213" s="53" t="d">
        <v>08:50:00.00000000000213225</v>
      </c>
      <c r="K213" s="53" t="d">
        <v>08:50:59.99999999999712450</v>
      </c>
      <c r="M213" s="54"/>
      <c r="O213" s="4"/>
    </row>
    <row r="214" spans="1:15" x14ac:dyDescent="0.2">
      <c r="A214">
        <f t="shared" si="3"/>
        <v>213</v>
      </c>
      <c r="B214" t="s">
        <v>240</v>
      </c>
      <c r="C214" s="55" t="s">
        <v>71</v>
      </c>
      <c r="D214" s="9">
        <v>351</v>
      </c>
      <c r="E214" s="56"/>
      <c r="F214" s="4" t="d">
        <f ca="1">Table9[[#This Row],[Surgery Start Date]]+1</f>
        <v>2020-03-13</v>
      </c>
      <c r="G214" s="53" t="d">
        <v>09:00:00.000</v>
      </c>
      <c r="H214" s="53" t="d">
        <v>09:07:59.99999999999829150</v>
      </c>
      <c r="I214" s="53" t="d">
        <v>09:22:59.999999999995097175</v>
      </c>
      <c r="J214" s="53" t="d">
        <v>09:23:59.99999999999968050</v>
      </c>
      <c r="K214" s="53" t="d">
        <v>09:24:59.99999999999467275</v>
      </c>
      <c r="M214" s="54"/>
      <c r="O214" s="4"/>
    </row>
    <row r="215" spans="1:15" x14ac:dyDescent="0.2">
      <c r="A215">
        <f t="shared" si="3"/>
        <v>214</v>
      </c>
      <c r="B215" t="s">
        <v>240</v>
      </c>
      <c r="C215" s="55" t="s">
        <v>71</v>
      </c>
      <c r="D215" s="9">
        <v>351</v>
      </c>
      <c r="E215" s="56"/>
      <c r="F215" s="4" t="d">
        <f ca="1">Table9[[#This Row],[Surgery Start Date]]+1</f>
        <v>2020-03-13</v>
      </c>
      <c r="G215" s="53" t="d">
        <v>09:35:00.00000000000213225</v>
      </c>
      <c r="H215" s="53" t="d">
        <v>10:01:59.99999999999637450</v>
      </c>
      <c r="I215" s="53" t="d">
        <v>11:04:59.99999999999733300</v>
      </c>
      <c r="J215" s="53" t="d">
        <v>11:06:59.99999999999690925</v>
      </c>
      <c r="K215" s="53" t="d">
        <v>11:07:59.99999999999669400</v>
      </c>
      <c r="M215" s="54"/>
      <c r="O215" s="4"/>
    </row>
    <row r="216" spans="1:15" x14ac:dyDescent="0.2">
      <c r="A216">
        <f t="shared" si="3"/>
        <v>215</v>
      </c>
      <c r="B216" t="s">
        <v>240</v>
      </c>
      <c r="C216" s="55" t="s">
        <v>71</v>
      </c>
      <c r="D216" s="9">
        <v>351</v>
      </c>
      <c r="E216" s="56"/>
      <c r="F216" s="4" t="d">
        <f ca="1">Table9[[#This Row],[Surgery Start Date]]+1</f>
        <v>2020-03-13</v>
      </c>
      <c r="G216" s="53" t="d">
        <v>11:16:00.000000000004583325</v>
      </c>
      <c r="H216" s="53" t="d">
        <v>11:37:59.999999999999893725</v>
      </c>
      <c r="I216" s="53" t="d">
        <v>12:09:59.99999999999786775</v>
      </c>
      <c r="J216" s="53" t="d">
        <v>12:11:00.00000000000724425</v>
      </c>
      <c r="K216" s="53" t="d">
        <v>12:11:59.999999999997441975</v>
      </c>
      <c r="M216" s="54"/>
      <c r="O216" s="4"/>
    </row>
    <row r="217" spans="1:15" x14ac:dyDescent="0.2">
      <c r="A217">
        <f t="shared" si="3"/>
        <v>216</v>
      </c>
      <c r="B217" t="s">
        <v>240</v>
      </c>
      <c r="C217" s="55" t="s">
        <v>71</v>
      </c>
      <c r="D217" s="9">
        <v>351</v>
      </c>
      <c r="E217" s="56"/>
      <c r="F217" s="4" t="d">
        <f ca="1">Table9[[#This Row],[Surgery Start Date]]+1</f>
        <v>2020-03-13</v>
      </c>
      <c r="G217" s="53" t="d">
        <v>12:01:00.000000000009379200</v>
      </c>
      <c r="H217" s="53" t="d">
        <v>12:25:00.00000000000426450</v>
      </c>
      <c r="I217" s="53" t="d">
        <v>13:49:00.0000000000055425</v>
      </c>
      <c r="J217" s="53" t="d">
        <v>13:53:00.000000000004689600</v>
      </c>
      <c r="K217" s="53" t="d">
        <v>13:54:00.00000000000447975</v>
      </c>
      <c r="M217" s="54"/>
      <c r="O217" s="4"/>
    </row>
    <row r="218" spans="1:15" x14ac:dyDescent="0.2">
      <c r="A218">
        <f t="shared" si="3"/>
        <v>217</v>
      </c>
      <c r="B218" t="s">
        <v>240</v>
      </c>
      <c r="C218" s="55" t="s">
        <v>71</v>
      </c>
      <c r="D218" s="9">
        <v>351</v>
      </c>
      <c r="E218" s="56"/>
      <c r="F218" s="4" t="d">
        <f ca="1">Table9[[#This Row],[Surgery Start Date]]+1</f>
        <v>2020-03-13</v>
      </c>
      <c r="G218" s="53" t="d">
        <v>12:50:59.99999999999872200</v>
      </c>
      <c r="H218" s="53" t="d">
        <v>14:20:00.00000000000852900</v>
      </c>
      <c r="I218" s="53" t="d">
        <v>15:08:59.99999999999808300</v>
      </c>
      <c r="J218" s="53" t="d">
        <v>15:10:00.00000000000745950</v>
      </c>
      <c r="K218" s="53" t="d">
        <v>15:11:00.00000000000724425</v>
      </c>
      <c r="M218" s="54"/>
      <c r="O218" s="4"/>
    </row>
    <row r="219" spans="1:15" x14ac:dyDescent="0.2">
      <c r="A219">
        <f>ROW()-1</f>
        <v>218</v>
      </c>
      <c r="B219" t="s">
        <v>240</v>
      </c>
      <c r="C219" s="55" t="s">
        <v>71</v>
      </c>
      <c r="D219" s="9">
        <v>351</v>
      </c>
      <c r="E219" s="56"/>
      <c r="F219" s="4" t="d">
        <f ca="1">Table9[[#This Row],[Surgery Start Date]]+1</f>
        <v>2020-03-16</v>
      </c>
      <c r="G219" s="53" t="d">
        <v>08:09:59.99999999999627025</v>
      </c>
      <c r="H219" s="53" t="d">
        <v>08:52:00.00000000000170850</v>
      </c>
      <c r="I219" s="53" t="d">
        <v>10:28:59.99999999999541600</v>
      </c>
      <c r="J219" s="53" t="d">
        <v>10:30:00.000</v>
      </c>
      <c r="K219" s="53" t="d">
        <v>10:34:59.99999999999893725</v>
      </c>
      <c r="M219" s="54"/>
      <c r="O219" s="4"/>
    </row>
    <row r="220" spans="1:15" x14ac:dyDescent="0.2">
      <c r="A220" s="73">
        <f t="shared" ref="A220:A240" si="4">ROW()-1</f>
        <v>219</v>
      </c>
      <c r="B220" t="s">
        <v>240</v>
      </c>
      <c r="C220" s="55" t="s">
        <v>71</v>
      </c>
      <c r="D220" s="9">
        <v>351</v>
      </c>
      <c r="E220" s="56"/>
      <c r="F220" s="4" t="d">
        <f ca="1">Table9[[#This Row],[Surgery Start Date]]+1</f>
        <v>2020-03-16</v>
      </c>
      <c r="G220" s="53" t="d">
        <v>10:22:00.00000000000170850</v>
      </c>
      <c r="H220" s="53" t="d">
        <v>11:03:59.999999999997548925</v>
      </c>
      <c r="I220" s="53" t="d">
        <v>12:17:00.00000000000596625</v>
      </c>
      <c r="J220" s="53" t="d">
        <v>12:23:00.000000000004689600</v>
      </c>
      <c r="K220" s="53" t="d">
        <v>12:24:00.00000000000447975</v>
      </c>
      <c r="L220" s="74"/>
      <c r="M220" s="54"/>
      <c r="O220" s="4"/>
    </row>
    <row r="221" spans="1:15" x14ac:dyDescent="0.2">
      <c r="A221" s="73">
        <f t="shared" si="4"/>
        <v>220</v>
      </c>
      <c r="B221" t="s">
        <v>240</v>
      </c>
      <c r="C221" s="55" t="s">
        <v>71</v>
      </c>
      <c r="D221" s="9">
        <v>351</v>
      </c>
      <c r="E221" s="56"/>
      <c r="F221" s="4" t="d">
        <f ca="1">Table9[[#This Row],[Surgery Start Date]]+1</f>
        <v>2020-03-16</v>
      </c>
      <c r="G221" s="53" t="d">
        <v>12:15:00.00000000000639675</v>
      </c>
      <c r="H221" s="53" t="d">
        <v>12:50:00.00000000000852900</v>
      </c>
      <c r="I221" s="53" t="d">
        <v>13:25:00.00000000000106275</v>
      </c>
      <c r="J221" s="53" t="d">
        <v>13:37:59.99999999999829150</v>
      </c>
      <c r="K221" s="53" t="d">
        <v>13:39:59.99999999999786775</v>
      </c>
      <c r="L221" s="74"/>
      <c r="M221" s="54"/>
      <c r="O221" s="4"/>
    </row>
    <row r="222" spans="1:15" x14ac:dyDescent="0.2">
      <c r="A222" s="73">
        <f t="shared" si="4"/>
        <v>221</v>
      </c>
      <c r="B222" t="s">
        <v>240</v>
      </c>
      <c r="C222" s="55" t="s">
        <v>71</v>
      </c>
      <c r="D222" s="9">
        <v>351</v>
      </c>
      <c r="E222" s="56"/>
      <c r="F222" s="4" t="d">
        <f ca="1">Table9[[#This Row],[Surgery Start Date]]+1</f>
        <v>2020-03-16</v>
      </c>
      <c r="G222" s="53" t="d">
        <v>14:48:00.00000000000255600</v>
      </c>
      <c r="H222" s="53" t="d">
        <v>15:15:00.00000000000639675</v>
      </c>
      <c r="I222" s="53" t="d">
        <v>16:08:00.000000000004689600</v>
      </c>
      <c r="J222" s="53" t="d">
        <v>16:10:00.00000000000426450</v>
      </c>
      <c r="K222" s="53" t="d">
        <v>16:15:00.0000000000031950</v>
      </c>
      <c r="L222" s="74"/>
      <c r="M222" s="54"/>
      <c r="O222" s="4"/>
    </row>
    <row r="223" spans="1:15" x14ac:dyDescent="0.2">
      <c r="A223" s="73">
        <f t="shared" si="4"/>
        <v>222</v>
      </c>
      <c r="B223" t="s">
        <v>239</v>
      </c>
      <c r="C223" s="55" t="s">
        <v>72</v>
      </c>
      <c r="D223" s="9">
        <v>28</v>
      </c>
      <c r="E223" s="56"/>
      <c r="F223" s="4" t="d">
        <f ca="1">Table9[[#This Row],[Surgery Start Date]]+1</f>
        <v>2020-03-12</v>
      </c>
      <c r="G223" s="53" t="d">
        <v>07:30:59.999999999999786775</v>
      </c>
      <c r="H223" s="53" t="d">
        <v>08:19:59.99999999999893725</v>
      </c>
      <c r="I223" s="53" t="d">
        <v>09:09:59.99999999999786775</v>
      </c>
      <c r="J223" s="53" t="d">
        <v>09:10:59.9999999999976525</v>
      </c>
      <c r="K223" s="53" t="d">
        <v>09:20:00.00000000000053475</v>
      </c>
      <c r="L223" s="74"/>
      <c r="M223" s="54"/>
      <c r="O223" s="4"/>
    </row>
    <row r="224" spans="1:15" x14ac:dyDescent="0.2">
      <c r="A224" s="73">
        <f t="shared" si="4"/>
        <v>223</v>
      </c>
      <c r="B224" t="s">
        <v>239</v>
      </c>
      <c r="C224" s="55" t="s">
        <v>72</v>
      </c>
      <c r="D224" s="9">
        <v>28</v>
      </c>
      <c r="E224" s="56"/>
      <c r="F224" s="4" t="d">
        <f ca="1">Table9[[#This Row],[Surgery Start Date]]+1</f>
        <v>2020-03-12</v>
      </c>
      <c r="G224" s="53" t="d">
        <v>09:25:59.99999999999925675</v>
      </c>
      <c r="H224" s="53" t="d">
        <v>09:59:59.9999999999968050</v>
      </c>
      <c r="I224" s="53" t="d">
        <v>11:07:59.99999999999669400</v>
      </c>
      <c r="J224" s="53" t="d">
        <v>11:09:59.99999999999627025</v>
      </c>
      <c r="K224" s="53" t="d">
        <v>11:10:59.9999999999960550</v>
      </c>
      <c r="L224" s="74"/>
      <c r="M224" s="54"/>
      <c r="O224" s="4"/>
    </row>
    <row r="225" spans="1:15" x14ac:dyDescent="0.2">
      <c r="A225" s="73">
        <f t="shared" si="4"/>
        <v>224</v>
      </c>
      <c r="B225" t="s">
        <v>239</v>
      </c>
      <c r="C225" s="55" t="s">
        <v>72</v>
      </c>
      <c r="D225" s="9">
        <v>76</v>
      </c>
      <c r="E225" s="56"/>
      <c r="F225" s="4" t="d">
        <f ca="1">Table9[[#This Row],[Surgery Start Date]]+1</f>
        <v>2020-03-12</v>
      </c>
      <c r="G225" s="53" t="d">
        <v>11:16:00.000000000004583325</v>
      </c>
      <c r="H225" s="53" t="d">
        <v>11:35:00.00000000000053475</v>
      </c>
      <c r="I225" s="53" t="d">
        <v>12:05:00.00000000000852900</v>
      </c>
      <c r="J225" s="53" t="d">
        <v>12:09:59.99999999999786775</v>
      </c>
      <c r="K225" s="53" t="d">
        <v>12:15:00.00000000000639675</v>
      </c>
      <c r="L225" s="74"/>
      <c r="M225" s="54"/>
      <c r="O225" s="4"/>
    </row>
    <row r="226" spans="1:15" x14ac:dyDescent="0.2">
      <c r="A226" s="73">
        <f t="shared" si="4"/>
        <v>225</v>
      </c>
      <c r="B226" t="s">
        <v>239</v>
      </c>
      <c r="C226" s="55" t="s">
        <v>72</v>
      </c>
      <c r="D226" s="9">
        <v>28</v>
      </c>
      <c r="E226" s="56"/>
      <c r="F226" s="4" t="d">
        <f ca="1">Table9[[#This Row],[Surgery Start Date]]+1</f>
        <v>2020-03-12</v>
      </c>
      <c r="G226" s="53" t="d">
        <v>12:36:00.00000000000191700</v>
      </c>
      <c r="H226" s="53" t="d">
        <v>13:05:00.00000000000532725</v>
      </c>
      <c r="I226" s="53" t="d">
        <v>13:45:00.00000000000639675</v>
      </c>
      <c r="J226" s="53" t="d">
        <v>13:46:00.00000000000618150</v>
      </c>
      <c r="K226" s="53" t="d">
        <v>13:47:00.00000000000596625</v>
      </c>
      <c r="L226" s="74"/>
      <c r="M226" s="54"/>
      <c r="O226" s="4"/>
    </row>
    <row r="227" spans="1:15" x14ac:dyDescent="0.2">
      <c r="A227" s="73">
        <f t="shared" si="4"/>
        <v>226</v>
      </c>
      <c r="B227" t="s">
        <v>239</v>
      </c>
      <c r="C227" s="55" t="s">
        <v>72</v>
      </c>
      <c r="D227" s="9">
        <v>28</v>
      </c>
      <c r="E227" s="56"/>
      <c r="F227" s="4" t="d">
        <f ca="1">Table9[[#This Row],[Surgery Start Date]]+1</f>
        <v>2020-03-12</v>
      </c>
      <c r="G227" s="53" t="d">
        <v>14:00:00.0000000000031950</v>
      </c>
      <c r="H227" s="53" t="d">
        <v>14:35:00.00000000000532725</v>
      </c>
      <c r="I227" s="53" t="d">
        <v>16:00:00.00000000000639675</v>
      </c>
      <c r="J227" s="53" t="d">
        <v>16:04:59.99999999999573550</v>
      </c>
      <c r="K227" s="53" t="d">
        <v>16:06:00.00000000000511875</v>
      </c>
      <c r="L227" s="74"/>
      <c r="M227" s="54"/>
      <c r="O227" s="4"/>
    </row>
    <row r="228" spans="1:15" x14ac:dyDescent="0.2">
      <c r="A228" s="73">
        <f t="shared" si="4"/>
        <v>227</v>
      </c>
      <c r="B228" t="s">
        <v>239</v>
      </c>
      <c r="C228" s="55" t="s">
        <v>72</v>
      </c>
      <c r="D228" s="9">
        <v>427</v>
      </c>
      <c r="E228" s="56"/>
      <c r="F228" s="4" t="d">
        <f ca="1">Table9[[#This Row],[Surgery Start Date]]+1</f>
        <v>2020-03-16</v>
      </c>
      <c r="G228" s="53" t="d">
        <v>08:20:59.99999999999872200</v>
      </c>
      <c r="H228" s="53" t="d">
        <v>08:54:59.99999999999627025</v>
      </c>
      <c r="I228" s="53" t="d">
        <v>09:59:59.9999999999968050</v>
      </c>
      <c r="J228" s="53" t="d">
        <v>10:09:59.99999999999467275</v>
      </c>
      <c r="K228" s="53" t="d">
        <v>10:14:59.9999999999984025</v>
      </c>
      <c r="L228" s="74"/>
      <c r="M228" s="54"/>
      <c r="O228" s="4"/>
    </row>
    <row r="229" spans="1:15" x14ac:dyDescent="0.2">
      <c r="A229" s="73">
        <f t="shared" si="4"/>
        <v>228</v>
      </c>
      <c r="B229" t="s">
        <v>239</v>
      </c>
      <c r="C229" s="55" t="s">
        <v>72</v>
      </c>
      <c r="D229" s="9">
        <v>427</v>
      </c>
      <c r="E229" s="56"/>
      <c r="F229" s="4" t="d">
        <f ca="1">Table9[[#This Row],[Surgery Start Date]]+1</f>
        <v>2020-03-16</v>
      </c>
      <c r="G229" s="53" t="d">
        <v>10:39:59.99999999999786775</v>
      </c>
      <c r="H229" s="53" t="d">
        <v>10:46:59.99999999999637450</v>
      </c>
      <c r="I229" s="53" t="d">
        <v>12:30:00.0000000000031950</v>
      </c>
      <c r="J229" s="53" t="d">
        <v>12:40:00.00000000000106275</v>
      </c>
      <c r="K229" s="53" t="d">
        <v>12:41:00.00000000000085425</v>
      </c>
      <c r="L229" s="74"/>
      <c r="M229" s="54"/>
      <c r="O229" s="4"/>
    </row>
    <row r="230" spans="1:15" x14ac:dyDescent="0.2">
      <c r="A230" s="73">
        <f t="shared" si="4"/>
        <v>229</v>
      </c>
      <c r="B230" t="s">
        <v>239</v>
      </c>
      <c r="C230" s="55" t="s">
        <v>72</v>
      </c>
      <c r="D230" s="9">
        <v>427</v>
      </c>
      <c r="E230" s="56"/>
      <c r="F230" s="4" t="d">
        <f ca="1">Table9[[#This Row],[Surgery Start Date]]+1</f>
        <v>2020-03-16</v>
      </c>
      <c r="G230" s="53" t="d">
        <v>13:21:00.00000000000191700</v>
      </c>
      <c r="H230" s="53" t="d">
        <v>13:25:00.00000000000106275</v>
      </c>
      <c r="I230" s="53" t="d">
        <v>14:50:00.00000000000213225</v>
      </c>
      <c r="J230" s="53" t="d">
        <v>15:00:00.000</v>
      </c>
      <c r="K230" s="53" t="d">
        <v>15:04:59.99999999999893725</v>
      </c>
      <c r="L230" s="74"/>
      <c r="M230" s="54"/>
      <c r="O230" s="4"/>
    </row>
    <row r="231" spans="1:15" x14ac:dyDescent="0.2">
      <c r="A231" s="73">
        <f t="shared" si="4"/>
        <v>230</v>
      </c>
      <c r="B231" t="s">
        <v>241</v>
      </c>
      <c r="C231" s="55" t="s">
        <v>72</v>
      </c>
      <c r="D231" s="9">
        <v>388</v>
      </c>
      <c r="E231" s="56"/>
      <c r="F231" s="4" t="d">
        <f ca="1">Table9[[#This Row],[Surgery Start Date]]+1</f>
        <v>2020-03-11</v>
      </c>
      <c r="G231" s="53" t="d">
        <v>08:15:00.000</v>
      </c>
      <c r="H231" s="53" t="d">
        <v>08:15:59.999999999999786775</v>
      </c>
      <c r="I231" s="53" t="d">
        <v>08:54:59.99999999999627025</v>
      </c>
      <c r="J231" s="53" t="d">
        <v>08:56:00.00000000000085425</v>
      </c>
      <c r="K231" s="53" t="d">
        <v>09:00:00.000</v>
      </c>
      <c r="L231" s="74"/>
      <c r="M231" s="54"/>
      <c r="O231" s="4"/>
    </row>
    <row r="232" spans="1:15" x14ac:dyDescent="0.2">
      <c r="A232" s="73">
        <f t="shared" si="4"/>
        <v>231</v>
      </c>
      <c r="B232" t="s">
        <v>241</v>
      </c>
      <c r="C232" s="55" t="s">
        <v>72</v>
      </c>
      <c r="D232" s="9">
        <v>388</v>
      </c>
      <c r="E232" s="56"/>
      <c r="F232" s="4" t="d">
        <f ca="1">Table9[[#This Row],[Surgery Start Date]]+1</f>
        <v>2020-03-11</v>
      </c>
      <c r="G232" s="53" t="d">
        <v>09:09:59.99999999999786775</v>
      </c>
      <c r="H232" s="53" t="d">
        <v>09:24:59.99999999999467275</v>
      </c>
      <c r="I232" s="53" t="d">
        <v>09:59:59.9999999999968050</v>
      </c>
      <c r="J232" s="53" t="d">
        <v>10:05:00.00000000000053475</v>
      </c>
      <c r="K232" s="53" t="d">
        <v>10:09:59.99999999999467275</v>
      </c>
      <c r="L232" s="74"/>
      <c r="M232" s="54"/>
      <c r="O232" s="4"/>
    </row>
    <row r="233" spans="1:15" x14ac:dyDescent="0.2">
      <c r="A233" s="73">
        <f t="shared" si="4"/>
        <v>232</v>
      </c>
      <c r="B233" t="s">
        <v>241</v>
      </c>
      <c r="C233" s="55" t="s">
        <v>72</v>
      </c>
      <c r="D233" s="9">
        <v>388</v>
      </c>
      <c r="E233" s="56"/>
      <c r="F233" s="4" t="d">
        <f ca="1">Table9[[#This Row],[Surgery Start Date]]+1</f>
        <v>2020-03-11</v>
      </c>
      <c r="G233" s="53" t="d">
        <v>10:39:59.99999999999786775</v>
      </c>
      <c r="H233" s="53" t="d">
        <v>10:44:59.9999999999968050</v>
      </c>
      <c r="I233" s="53" t="d">
        <v>11:20:00.00000000000372975</v>
      </c>
      <c r="J233" s="53" t="d">
        <v>11:20:59.99999999999392275</v>
      </c>
      <c r="K233" s="53" t="d">
        <v>11:32:00.00000000000117375</v>
      </c>
      <c r="L233" s="74"/>
      <c r="M233" s="54"/>
      <c r="O233" s="4"/>
    </row>
    <row r="234" spans="1:15" x14ac:dyDescent="0.2">
      <c r="A234" s="73">
        <f t="shared" si="4"/>
        <v>233</v>
      </c>
      <c r="B234" t="s">
        <v>241</v>
      </c>
      <c r="C234" s="55" t="s">
        <v>72</v>
      </c>
      <c r="D234" s="9">
        <v>388</v>
      </c>
      <c r="E234" s="56"/>
      <c r="F234" s="4" t="d">
        <f ca="1">Table9[[#This Row],[Surgery Start Date]]+1</f>
        <v>2020-03-11</v>
      </c>
      <c r="G234" s="53" t="d">
        <v>12:00:01</v>
      </c>
      <c r="H234" s="53" t="d">
        <v>12:09:59.99999999999786775</v>
      </c>
      <c r="I234" s="53" t="d">
        <v>13:35:00.00000000000852900</v>
      </c>
      <c r="J234" s="53" t="d">
        <v>13:39:59.99999999999786775</v>
      </c>
      <c r="K234" s="53" t="d">
        <v>13:55:00.00000000000426450</v>
      </c>
      <c r="L234" s="74"/>
      <c r="M234" s="54"/>
      <c r="O234" s="4"/>
    </row>
    <row r="235" spans="1:15" x14ac:dyDescent="0.2">
      <c r="A235" s="73">
        <f t="shared" si="4"/>
        <v>234</v>
      </c>
      <c r="B235" t="s">
        <v>241</v>
      </c>
      <c r="C235" s="55" t="s">
        <v>72</v>
      </c>
      <c r="D235" s="9">
        <v>388</v>
      </c>
      <c r="E235" s="56"/>
      <c r="F235" s="4" t="d">
        <f ca="1">Table9[[#This Row],[Surgery Start Date]]+1</f>
        <v>2020-03-11</v>
      </c>
      <c r="G235" s="53" t="d">
        <v>14:00:00.0000000000031950</v>
      </c>
      <c r="H235" s="53" t="d">
        <v>14:35:00.00000000000532725</v>
      </c>
      <c r="I235" s="53" t="d">
        <v>15:45:00.000</v>
      </c>
      <c r="J235" s="53" t="d">
        <v>15:49:59.99999999999893725</v>
      </c>
      <c r="K235" s="53" t="d">
        <v>15:55:00.00000000000745950</v>
      </c>
      <c r="L235" s="74"/>
      <c r="M235" s="54"/>
      <c r="O235" s="4"/>
    </row>
    <row r="236" spans="1:15" x14ac:dyDescent="0.2">
      <c r="A236" s="73">
        <f t="shared" si="4"/>
        <v>235</v>
      </c>
      <c r="B236" t="s">
        <v>241</v>
      </c>
      <c r="C236" s="55" t="s">
        <v>72</v>
      </c>
      <c r="D236" s="9">
        <v>76</v>
      </c>
      <c r="E236" s="56"/>
      <c r="F236" s="4" t="d">
        <f ca="1">Table9[[#This Row],[Surgery Start Date]]+1</f>
        <v>2020-03-12</v>
      </c>
      <c r="G236" s="53" t="d">
        <v>09:00:00.000</v>
      </c>
      <c r="H236" s="53" t="d">
        <v>09:45:00.000</v>
      </c>
      <c r="I236" s="53" t="d">
        <v>16:10:00.00000000000426450</v>
      </c>
      <c r="J236" s="53" t="d">
        <v>16:25:00.00000000001066125</v>
      </c>
      <c r="K236" s="53" t="d">
        <v>16:30:00.000</v>
      </c>
      <c r="L236" s="74"/>
      <c r="M236" s="54"/>
      <c r="O236" s="4"/>
    </row>
    <row r="237" spans="1:15" x14ac:dyDescent="0.2">
      <c r="A237" s="73">
        <f t="shared" si="4"/>
        <v>236</v>
      </c>
      <c r="B237" t="s">
        <v>241</v>
      </c>
      <c r="C237" s="55" t="s">
        <v>72</v>
      </c>
      <c r="D237" s="9">
        <v>388</v>
      </c>
      <c r="E237" s="56"/>
      <c r="F237" s="4" t="d">
        <f ca="1">Table9[[#This Row],[Surgery Start Date]]+1</f>
        <v>2020-03-16</v>
      </c>
      <c r="G237" s="53" t="d">
        <v>08:01:00.00000000000298650</v>
      </c>
      <c r="H237" s="53" t="d">
        <v>08:39:59.99999999999467275</v>
      </c>
      <c r="I237" s="53" t="d">
        <v>08:50:00.00000000000213225</v>
      </c>
      <c r="J237" s="53" t="d">
        <v>08:54:59.99999999999627025</v>
      </c>
      <c r="K237" s="53" t="d">
        <v>08:56:00.00000000000085425</v>
      </c>
      <c r="L237" s="74"/>
      <c r="M237" s="54"/>
      <c r="O237" s="4"/>
    </row>
    <row r="238" spans="1:15" x14ac:dyDescent="0.2">
      <c r="A238" s="73">
        <f t="shared" si="4"/>
        <v>237</v>
      </c>
      <c r="B238" t="s">
        <v>241</v>
      </c>
      <c r="C238" s="55" t="s">
        <v>72</v>
      </c>
      <c r="D238" s="9">
        <v>388</v>
      </c>
      <c r="E238" s="56"/>
      <c r="F238" s="4" t="d">
        <f ca="1">Table9[[#This Row],[Surgery Start Date]]+1</f>
        <v>2020-03-16</v>
      </c>
      <c r="G238" s="53" t="d">
        <v>09:16:00.00000000000138225</v>
      </c>
      <c r="H238" s="53" t="d">
        <v>09:43:00.00000000000042375</v>
      </c>
      <c r="I238" s="53" t="d">
        <v>10:09:59.99999999999467275</v>
      </c>
      <c r="J238" s="53" t="d">
        <v>10:20:00.00000000000213225</v>
      </c>
      <c r="K238" s="53" t="d">
        <v>10:46:00.00000000000138225</v>
      </c>
      <c r="L238" s="74"/>
      <c r="M238" s="54"/>
      <c r="O238" s="4"/>
    </row>
    <row r="239" spans="1:15" x14ac:dyDescent="0.2">
      <c r="A239" s="73">
        <f t="shared" si="4"/>
        <v>238</v>
      </c>
      <c r="B239" t="s">
        <v>241</v>
      </c>
      <c r="C239" s="55" t="s">
        <v>72</v>
      </c>
      <c r="D239" s="9">
        <v>76</v>
      </c>
      <c r="E239" s="56"/>
      <c r="F239" s="4" t="d">
        <f ca="1">Table9[[#This Row],[Surgery Start Date]]+1</f>
        <v>2020-03-16</v>
      </c>
      <c r="G239" s="53" t="d">
        <v>10:50:00.00000000000053475</v>
      </c>
      <c r="H239" s="53" t="d">
        <v>10:58:59.99999999999381850</v>
      </c>
      <c r="I239" s="53" t="d">
        <v>12:00:01</v>
      </c>
      <c r="J239" s="53" t="d">
        <v>12:05:00.00000000000852900</v>
      </c>
      <c r="K239" s="53" t="d">
        <v>12:18:00.00000000000575775</v>
      </c>
      <c r="L239" s="74"/>
      <c r="M239" s="54"/>
      <c r="O239" s="4"/>
    </row>
    <row r="240" spans="1:15" x14ac:dyDescent="0.2">
      <c r="A240" s="73">
        <f t="shared" si="4"/>
        <v>239</v>
      </c>
      <c r="B240" t="s">
        <v>241</v>
      </c>
      <c r="C240" s="55" t="s">
        <v>72</v>
      </c>
      <c r="D240" s="9">
        <v>76</v>
      </c>
      <c r="E240" s="56"/>
      <c r="F240" s="4" t="d">
        <f ca="1">Table9[[#This Row],[Surgery Start Date]]+1</f>
        <v>2020-03-16</v>
      </c>
      <c r="G240" s="53" t="d">
        <v>12:50:59.99999999999872200</v>
      </c>
      <c r="H240" s="53" t="d">
        <v>13:15:00.0000000000031950</v>
      </c>
      <c r="I240" s="53" t="d">
        <v>14:05:00.00000000000213225</v>
      </c>
      <c r="J240" s="53" t="d">
        <v>14:06:00.00000000000191700</v>
      </c>
      <c r="K240" s="53" t="d">
        <v>14:15:00.000</v>
      </c>
      <c r="L240" s="74"/>
      <c r="M240" s="54"/>
      <c r="O240" s="4"/>
    </row>
    <row r="241" spans="1:15" x14ac:dyDescent="0.2">
      <c r="A241" s="73">
        <f t="shared" ref="A241:A264" si="5">ROW()-1</f>
        <v>240</v>
      </c>
      <c r="B241" t="s">
        <v>236</v>
      </c>
      <c r="C241" s="55" t="s">
        <v>71</v>
      </c>
      <c r="D241" s="9">
        <v>223</v>
      </c>
      <c r="E241" s="56"/>
      <c r="F241" s="4" t="d">
        <f ca="1">Table9[[#This Row],[Surgery Start Date]]+1</f>
        <v>2020-03-17</v>
      </c>
      <c r="G241" s="53" t="d">
        <v>09:24:59.99999999999467275</v>
      </c>
      <c r="H241" s="53" t="d">
        <v>09:59:59.9999999999968050</v>
      </c>
      <c r="I241" s="53" t="d">
        <v>10:34:59.99999999999893725</v>
      </c>
      <c r="J241" s="53" t="d">
        <v>10:54:59.99999999999467275</v>
      </c>
      <c r="K241" s="53" t="d">
        <v>11:39:59.99999999999946525</v>
      </c>
      <c r="L241" s="74"/>
      <c r="M241" s="54"/>
      <c r="O241" s="4"/>
    </row>
    <row r="242" spans="1:15" x14ac:dyDescent="0.2">
      <c r="A242" s="73">
        <f t="shared" si="5"/>
        <v>241</v>
      </c>
      <c r="B242" t="s">
        <v>236</v>
      </c>
      <c r="C242" s="55" t="s">
        <v>71</v>
      </c>
      <c r="D242" s="9">
        <v>388</v>
      </c>
      <c r="E242" s="56"/>
      <c r="F242" s="4" t="d">
        <f ca="1">Table9[[#This Row],[Surgery Start Date]]+1</f>
        <v>2020-03-18</v>
      </c>
      <c r="G242" s="53" t="d">
        <v>08:37:59.999999999995097175</v>
      </c>
      <c r="H242" s="53" t="d">
        <v>08:41:59.99999999999424225</v>
      </c>
      <c r="I242" s="53" t="d">
        <v>09:04:59.99999999999893725</v>
      </c>
      <c r="J242" s="53" t="d">
        <v>09:08:59.99999999999808300</v>
      </c>
      <c r="K242" s="53" t="d">
        <v>09:09:59.99999999999786775</v>
      </c>
      <c r="L242" s="74"/>
      <c r="M242" s="54"/>
      <c r="O242" s="4"/>
    </row>
    <row r="243" spans="1:15" x14ac:dyDescent="0.2">
      <c r="A243" s="73">
        <f t="shared" si="5"/>
        <v>242</v>
      </c>
      <c r="B243" t="s">
        <v>237</v>
      </c>
      <c r="C243" s="55" t="s">
        <v>72</v>
      </c>
      <c r="D243" s="9">
        <v>223</v>
      </c>
      <c r="E243" s="56"/>
      <c r="F243" s="4" t="d">
        <f ca="1">Table9[[#This Row],[Surgery Start Date]]+1</f>
        <v>2020-03-16</v>
      </c>
      <c r="G243" s="53" t="d">
        <v>08:23:59.99999999999808300</v>
      </c>
      <c r="H243" s="53" t="d">
        <v>08:24:59.99999999999786775</v>
      </c>
      <c r="I243" s="53" t="d">
        <v>08:40:59.99999999999925675</v>
      </c>
      <c r="J243" s="53" t="d">
        <v>08:41:59.99999999999424225</v>
      </c>
      <c r="K243" s="53" t="d">
        <v>08:42:59.99999999999882625</v>
      </c>
      <c r="L243" s="74"/>
      <c r="M243" s="54"/>
      <c r="O243" s="4"/>
    </row>
    <row r="244" spans="1:15" x14ac:dyDescent="0.2">
      <c r="A244" s="73">
        <f t="shared" si="5"/>
        <v>243</v>
      </c>
      <c r="B244" t="s">
        <v>237</v>
      </c>
      <c r="C244" s="55" t="s">
        <v>72</v>
      </c>
      <c r="D244" s="9">
        <v>223</v>
      </c>
      <c r="E244" s="56"/>
      <c r="F244" s="4" t="d">
        <f ca="1">Table9[[#This Row],[Surgery Start Date]]+1</f>
        <v>2020-03-16</v>
      </c>
      <c r="G244" s="53" t="d">
        <v>07:59:59.9999999999984025</v>
      </c>
      <c r="H244" s="53" t="d">
        <v>08:05:00.00000000000213225</v>
      </c>
      <c r="I244" s="53" t="d">
        <v>08:05:59.99999999999712450</v>
      </c>
      <c r="J244" s="53" t="d">
        <v>08:07:00.00000000000170850</v>
      </c>
      <c r="K244" s="53" t="d">
        <v>08:09:00.00000000000127800</v>
      </c>
      <c r="L244" s="74"/>
      <c r="M244" s="54"/>
      <c r="O244" s="4"/>
    </row>
    <row r="245" spans="1:15" x14ac:dyDescent="0.2">
      <c r="A245" s="73">
        <f t="shared" si="5"/>
        <v>244</v>
      </c>
      <c r="B245" t="s">
        <v>237</v>
      </c>
      <c r="C245" s="55" t="s">
        <v>71</v>
      </c>
      <c r="D245" s="9">
        <v>351</v>
      </c>
      <c r="E245" s="56"/>
      <c r="F245" s="4" t="d">
        <f ca="1">Table9[[#This Row],[Surgery Start Date]]+1</f>
        <v>2020-03-17</v>
      </c>
      <c r="G245" s="53" t="d">
        <v>08:05:59.99999999999712450</v>
      </c>
      <c r="H245" s="53" t="d">
        <v>08:44:59.9999999999984025</v>
      </c>
      <c r="I245" s="53" t="d">
        <v>10:37:59.99999999999829150</v>
      </c>
      <c r="J245" s="53" t="d">
        <v>10:46:59.99999999999637450</v>
      </c>
      <c r="K245" s="53" t="d">
        <v>10:48:00.00000000000095850</v>
      </c>
      <c r="L245" s="74"/>
      <c r="M245" s="54"/>
      <c r="O245" s="4"/>
    </row>
    <row r="246" spans="1:15" x14ac:dyDescent="0.2">
      <c r="A246" s="73">
        <f t="shared" si="5"/>
        <v>245</v>
      </c>
      <c r="B246" t="s">
        <v>237</v>
      </c>
      <c r="C246" s="55" t="s">
        <v>71</v>
      </c>
      <c r="D246" s="9">
        <v>351</v>
      </c>
      <c r="E246" s="56"/>
      <c r="F246" s="4" t="d">
        <f ca="1">Table9[[#This Row],[Surgery Start Date]]+1</f>
        <v>2020-03-17</v>
      </c>
      <c r="G246" s="53" t="d">
        <v>10:34:59.99999999999893725</v>
      </c>
      <c r="H246" s="53" t="d">
        <v>11:20:00.00000000000372975</v>
      </c>
      <c r="I246" s="53" t="d">
        <v>13:35:00.00000000000852900</v>
      </c>
      <c r="J246" s="53" t="d">
        <v>13:48:00.00000000000575775</v>
      </c>
      <c r="K246" s="53" t="d">
        <v>13:50:00.00000000000532725</v>
      </c>
      <c r="L246" s="74"/>
      <c r="M246" s="54"/>
      <c r="O246" s="4"/>
    </row>
    <row r="247" spans="1:15" x14ac:dyDescent="0.2">
      <c r="A247" s="73">
        <f t="shared" si="5"/>
        <v>246</v>
      </c>
      <c r="B247" t="s">
        <v>237</v>
      </c>
      <c r="C247" s="55" t="s">
        <v>71</v>
      </c>
      <c r="D247" s="9">
        <v>351</v>
      </c>
      <c r="E247" s="56"/>
      <c r="F247" s="4" t="d">
        <f ca="1">Table9[[#This Row],[Surgery Start Date]]+1</f>
        <v>2020-03-17</v>
      </c>
      <c r="G247" s="53" t="d">
        <v>14:00:00.0000000000031950</v>
      </c>
      <c r="H247" s="53" t="d">
        <v>14:43:00.00000000000362550</v>
      </c>
      <c r="I247" s="53" t="d">
        <v>16:03:00.00000000000575775</v>
      </c>
      <c r="J247" s="53" t="d">
        <v>16:04:59.99999999999573550</v>
      </c>
      <c r="K247" s="53" t="d">
        <v>16:06:00.00000000000511875</v>
      </c>
      <c r="L247" s="74"/>
      <c r="M247" s="54"/>
      <c r="O247" s="4"/>
    </row>
    <row r="248" spans="1:15" x14ac:dyDescent="0.2">
      <c r="A248" s="73">
        <f t="shared" si="5"/>
        <v>247</v>
      </c>
      <c r="B248" t="s">
        <v>238</v>
      </c>
      <c r="C248" s="55" t="s">
        <v>72</v>
      </c>
      <c r="D248" s="9">
        <v>252</v>
      </c>
      <c r="E248" s="56"/>
      <c r="F248" s="4" t="d">
        <f ca="1">Table9[[#This Row],[Surgery Start Date]]+1</f>
        <v>2020-03-17</v>
      </c>
      <c r="G248" s="53" t="d">
        <v>07:54:59.99999999999467275</v>
      </c>
      <c r="H248" s="53" t="d">
        <v>07:59:59.9999999999984025</v>
      </c>
      <c r="I248" s="53" t="d">
        <v>08:35:00.00000000000053475</v>
      </c>
      <c r="J248" s="53" t="d">
        <v>08:35:59.99999999999552025</v>
      </c>
      <c r="K248" s="53" t="d">
        <v>08:37:00.00000000000010425</v>
      </c>
      <c r="L248" s="74"/>
      <c r="M248" s="54"/>
      <c r="O248" s="4"/>
    </row>
    <row r="249" spans="1:15" x14ac:dyDescent="0.2">
      <c r="A249" s="73">
        <f t="shared" si="5"/>
        <v>248</v>
      </c>
      <c r="B249" t="s">
        <v>238</v>
      </c>
      <c r="C249" s="55" t="s">
        <v>72</v>
      </c>
      <c r="D249" s="9">
        <v>252</v>
      </c>
      <c r="E249" s="56"/>
      <c r="F249" s="4" t="d">
        <f ca="1">Table9[[#This Row],[Surgery Start Date]]+1</f>
        <v>2020-03-17</v>
      </c>
      <c r="G249" s="53" t="d">
        <v>08:39:59.99999999999467275</v>
      </c>
      <c r="H249" s="53" t="d">
        <v>08:41:59.99999999999424225</v>
      </c>
      <c r="I249" s="53" t="d">
        <v>08:50:00.00000000000213225</v>
      </c>
      <c r="J249" s="53" t="d">
        <v>08:52:00.00000000000170850</v>
      </c>
      <c r="K249" s="53" t="d">
        <v>08:54:59.99999999999627025</v>
      </c>
      <c r="L249" s="74"/>
      <c r="M249" s="54"/>
      <c r="O249" s="4"/>
    </row>
    <row r="250" spans="1:15" x14ac:dyDescent="0.2">
      <c r="A250" s="73">
        <f t="shared" si="5"/>
        <v>249</v>
      </c>
      <c r="B250" t="s">
        <v>238</v>
      </c>
      <c r="C250" s="55" t="s">
        <v>71</v>
      </c>
      <c r="D250" s="9">
        <v>252</v>
      </c>
      <c r="E250" s="56"/>
      <c r="F250" s="4" t="d">
        <f ca="1">Table9[[#This Row],[Surgery Start Date]]+1</f>
        <v>2020-03-17</v>
      </c>
      <c r="G250" s="53" t="d">
        <v>09:04:59.99999999999893725</v>
      </c>
      <c r="H250" s="53" t="d">
        <v>09:20:00.00000000000053475</v>
      </c>
      <c r="I250" s="53" t="d">
        <v>09:49:59.99999999999893725</v>
      </c>
      <c r="J250" s="53" t="d">
        <v>09:59:59.9999999999968050</v>
      </c>
      <c r="K250" s="53" t="d">
        <v>10:05:00.00000000000053475</v>
      </c>
      <c r="L250" s="74"/>
      <c r="M250" s="54"/>
      <c r="O250" s="4"/>
    </row>
    <row r="251" spans="1:15" x14ac:dyDescent="0.2">
      <c r="A251" s="73">
        <f t="shared" si="5"/>
        <v>250</v>
      </c>
      <c r="B251" t="s">
        <v>238</v>
      </c>
      <c r="C251" s="55" t="s">
        <v>72</v>
      </c>
      <c r="D251" s="9">
        <v>76</v>
      </c>
      <c r="E251" s="56"/>
      <c r="F251" s="4" t="d">
        <f ca="1">Table9[[#This Row],[Surgery Start Date]]+1</f>
        <v>2020-03-17</v>
      </c>
      <c r="G251" s="53" t="d">
        <v>11:04:59.99999999999733300</v>
      </c>
      <c r="H251" s="53" t="d">
        <v>11:30:00.0000000000015975</v>
      </c>
      <c r="I251" s="53" t="d">
        <v>12:20:00.00000000000532725</v>
      </c>
      <c r="J251" s="53" t="d">
        <v>12:30:00.0000000000031950</v>
      </c>
      <c r="K251" s="53" t="d">
        <v>12:35:00.00000000000213225</v>
      </c>
      <c r="L251" s="74"/>
      <c r="M251" s="54"/>
      <c r="O251" s="4"/>
    </row>
    <row r="252" spans="1:15" x14ac:dyDescent="0.2">
      <c r="A252" s="73">
        <f t="shared" si="5"/>
        <v>251</v>
      </c>
      <c r="B252" t="s">
        <v>240</v>
      </c>
      <c r="C252" s="55" t="s">
        <v>71</v>
      </c>
      <c r="D252" s="9">
        <v>351</v>
      </c>
      <c r="E252" s="56"/>
      <c r="F252" s="4" t="d">
        <f ca="1">Table9[[#This Row],[Surgery Start Date]]+1</f>
        <v>2020-03-17</v>
      </c>
      <c r="G252" s="53" t="d">
        <v>07:59:59.9999999999984025</v>
      </c>
      <c r="H252" s="53" t="d">
        <v>08:15:59.999999999999786775</v>
      </c>
      <c r="I252" s="53" t="d">
        <v>08:31:59.99999999999637450</v>
      </c>
      <c r="J252" s="53" t="d">
        <v>08:33:00.00000000000095850</v>
      </c>
      <c r="K252" s="53" t="d">
        <v>08:33:59.99999999999595075</v>
      </c>
      <c r="L252" s="74"/>
      <c r="M252" s="54"/>
      <c r="O252" s="4"/>
    </row>
    <row r="253" spans="1:15" x14ac:dyDescent="0.2">
      <c r="A253" s="73">
        <f t="shared" si="5"/>
        <v>252</v>
      </c>
      <c r="B253" t="s">
        <v>240</v>
      </c>
      <c r="C253" s="55" t="s">
        <v>71</v>
      </c>
      <c r="D253" s="9">
        <v>351</v>
      </c>
      <c r="E253" s="56"/>
      <c r="F253" s="4" t="d">
        <f ca="1">Table9[[#This Row],[Surgery Start Date]]+1</f>
        <v>2020-03-17</v>
      </c>
      <c r="G253" s="53" t="d">
        <v>09:07:59.99999999999829150</v>
      </c>
      <c r="H253" s="53" t="d">
        <v>09:26:59.99999999999424225</v>
      </c>
      <c r="I253" s="53" t="d">
        <v>10:09:59.99999999999467275</v>
      </c>
      <c r="J253" s="53" t="d">
        <v>10:12:59.99999999999882625</v>
      </c>
      <c r="K253" s="53" t="d">
        <v>10:14:59.9999999999984025</v>
      </c>
      <c r="L253" s="74"/>
      <c r="M253" s="54"/>
      <c r="O253" s="4"/>
    </row>
    <row r="254" spans="1:15" x14ac:dyDescent="0.2">
      <c r="A254" s="73">
        <f t="shared" si="5"/>
        <v>253</v>
      </c>
      <c r="B254" t="s">
        <v>240</v>
      </c>
      <c r="C254" s="55" t="s">
        <v>71</v>
      </c>
      <c r="D254" s="9">
        <v>351</v>
      </c>
      <c r="E254" s="56"/>
      <c r="F254" s="4" t="d">
        <f ca="1">Table9[[#This Row],[Surgery Start Date]]+1</f>
        <v>2020-03-17</v>
      </c>
      <c r="G254" s="53" t="d">
        <v>10:38:59.99999999999808300</v>
      </c>
      <c r="H254" s="53" t="d">
        <v>10:46:00.00000000000138225</v>
      </c>
      <c r="I254" s="53" t="d">
        <v>10:57:59.99999999999882625</v>
      </c>
      <c r="J254" s="53" t="d">
        <v>11:07:59.99999999999669400</v>
      </c>
      <c r="K254" s="53" t="d">
        <v>11:08:59.99999999999648550</v>
      </c>
      <c r="L254" s="74"/>
      <c r="M254" s="54"/>
      <c r="O254" s="4"/>
    </row>
    <row r="255" spans="1:15" x14ac:dyDescent="0.2">
      <c r="A255" s="73">
        <f t="shared" si="5"/>
        <v>254</v>
      </c>
      <c r="B255" t="s">
        <v>240</v>
      </c>
      <c r="C255" s="55" t="s">
        <v>71</v>
      </c>
      <c r="D255" s="9">
        <v>351</v>
      </c>
      <c r="E255" s="56"/>
      <c r="F255" s="4" t="d">
        <f ca="1">Table9[[#This Row],[Surgery Start Date]]+1</f>
        <v>2020-03-17</v>
      </c>
      <c r="G255" s="53" t="d">
        <v>11:13:59.99999999999541600</v>
      </c>
      <c r="H255" s="53" t="d">
        <v>11:22:59.99999999999349900</v>
      </c>
      <c r="I255" s="53" t="d">
        <v>12:18:00.00000000000575775</v>
      </c>
      <c r="J255" s="53" t="d">
        <v>12:20:00.00000000000532725</v>
      </c>
      <c r="K255" s="53" t="d">
        <v>12:22:00.00000000000490350</v>
      </c>
      <c r="L255" s="74"/>
      <c r="M255" s="54"/>
      <c r="O255" s="4"/>
    </row>
    <row r="256" spans="1:15" x14ac:dyDescent="0.2">
      <c r="A256" s="73">
        <f t="shared" si="5"/>
        <v>255</v>
      </c>
      <c r="B256" t="s">
        <v>240</v>
      </c>
      <c r="C256" s="55" t="s">
        <v>71</v>
      </c>
      <c r="D256" s="9">
        <v>351</v>
      </c>
      <c r="E256" s="56"/>
      <c r="F256" s="4" t="d">
        <f ca="1">Table9[[#This Row],[Surgery Start Date]]+1</f>
        <v>2020-03-17</v>
      </c>
      <c r="G256" s="53" t="d">
        <v>12:58:59.99999999999701350</v>
      </c>
      <c r="H256" s="53" t="d">
        <v>13:55:00.00000000000426450</v>
      </c>
      <c r="I256" s="53" t="d">
        <v>14:57:00.00000000000063900</v>
      </c>
      <c r="J256" s="53" t="d">
        <v>14:59:00.00000000000021525</v>
      </c>
      <c r="K256" s="53" t="d">
        <v>15:35:00.00000000000213225</v>
      </c>
      <c r="L256" s="74"/>
      <c r="M256" s="54"/>
      <c r="O256" s="4"/>
    </row>
    <row r="257" spans="1:15" x14ac:dyDescent="0.2">
      <c r="A257" s="73">
        <f t="shared" si="5"/>
        <v>256</v>
      </c>
      <c r="B257" t="s">
        <v>240</v>
      </c>
      <c r="C257" s="55" t="s">
        <v>71</v>
      </c>
      <c r="D257" s="9">
        <v>76</v>
      </c>
      <c r="E257" s="56" t="s">
        <v>229</v>
      </c>
      <c r="F257" s="4" t="d">
        <f ca="1">Table9[[#This Row],[Surgery Start Date]]+1</f>
        <v>2020-03-17</v>
      </c>
      <c r="L257" s="74"/>
      <c r="M257" s="54"/>
      <c r="O257" s="4"/>
    </row>
    <row r="258" spans="1:15" x14ac:dyDescent="0.2">
      <c r="A258" s="73">
        <f t="shared" si="5"/>
        <v>257</v>
      </c>
      <c r="B258" t="s">
        <v>241</v>
      </c>
      <c r="C258" s="55" t="s">
        <v>72</v>
      </c>
      <c r="D258" s="9">
        <v>76</v>
      </c>
      <c r="E258" s="56"/>
      <c r="F258" s="4" t="d">
        <f ca="1">Table9[[#This Row],[Surgery Start Date]]+1</f>
        <v>2020-03-17</v>
      </c>
      <c r="G258" s="53" t="d">
        <v>08:01:59.99999999999797200</v>
      </c>
      <c r="H258" s="53" t="d">
        <v>08:09:59.99999999999627025</v>
      </c>
      <c r="I258" s="53" t="d">
        <v>09:20:00.00000000000053475</v>
      </c>
      <c r="J258" s="53" t="d">
        <v>09:20:59.99999999999552025</v>
      </c>
      <c r="K258" s="53" t="d">
        <v>09:26:59.99999999999424225</v>
      </c>
      <c r="L258" s="74"/>
      <c r="M258" s="54"/>
      <c r="O258" s="4"/>
    </row>
    <row r="259" spans="1:15" x14ac:dyDescent="0.2">
      <c r="A259" s="73">
        <f t="shared" si="5"/>
        <v>258</v>
      </c>
      <c r="B259" t="s">
        <v>241</v>
      </c>
      <c r="C259" s="55" t="s">
        <v>72</v>
      </c>
      <c r="D259" s="9">
        <v>76</v>
      </c>
      <c r="E259" s="56"/>
      <c r="F259" s="4" t="d">
        <f ca="1">Table9[[#This Row],[Surgery Start Date]]+1</f>
        <v>2020-03-17</v>
      </c>
      <c r="G259" s="53" t="d">
        <v>09:20:00.00000000000053475</v>
      </c>
      <c r="H259" s="53" t="d">
        <v>09:22:00.00000000000010425</v>
      </c>
      <c r="I259" s="53" t="d">
        <v>09:27:59.99999999999882625</v>
      </c>
      <c r="J259" s="53" t="d">
        <v>09:31:59.99999999999797200</v>
      </c>
      <c r="K259" s="53" t="d">
        <v>09:35:00.00000000000213225</v>
      </c>
      <c r="L259" s="74"/>
      <c r="M259" s="54"/>
      <c r="O259" s="4"/>
    </row>
    <row r="260" spans="1:15" x14ac:dyDescent="0.2">
      <c r="A260" s="73">
        <f t="shared" si="5"/>
        <v>259</v>
      </c>
      <c r="B260" t="s">
        <v>241</v>
      </c>
      <c r="C260" s="55" t="s">
        <v>72</v>
      </c>
      <c r="D260" s="9">
        <v>76</v>
      </c>
      <c r="E260" s="56"/>
      <c r="F260" s="4" t="d">
        <f ca="1">Table9[[#This Row],[Surgery Start Date]]+1</f>
        <v>2020-03-17</v>
      </c>
      <c r="G260" s="53" t="d">
        <v>12:00:01</v>
      </c>
      <c r="H260" s="53" t="d">
        <v>12:40:00.00000000000106275</v>
      </c>
      <c r="I260" s="53" t="d">
        <v>16:49:59.99999999999573550</v>
      </c>
      <c r="J260" s="53" t="d">
        <v>16:55:00.00000000000426450</v>
      </c>
      <c r="K260" s="53" t="d">
        <v>16:57:00.00000000000383400</v>
      </c>
      <c r="L260" s="74"/>
      <c r="M260" s="54"/>
      <c r="O260" s="4"/>
    </row>
    <row r="261" spans="1:15" x14ac:dyDescent="0.2">
      <c r="A261" s="73">
        <f t="shared" si="5"/>
        <v>260</v>
      </c>
      <c r="B261" t="s">
        <v>241</v>
      </c>
      <c r="C261" s="55" t="s">
        <v>72</v>
      </c>
      <c r="D261" s="9">
        <v>76</v>
      </c>
      <c r="E261" s="56"/>
      <c r="F261" s="4" t="d">
        <f ca="1">Table9[[#This Row],[Surgery Start Date]]+1</f>
        <v>2020-03-17</v>
      </c>
      <c r="G261" s="53" t="d">
        <v>10:30:59.999999999999786775</v>
      </c>
      <c r="H261" s="53" t="d">
        <v>11:04:59.99999999999733300</v>
      </c>
      <c r="I261" s="53" t="d">
        <v>11:44:59.9999999999984025</v>
      </c>
      <c r="J261" s="53" t="d">
        <v>11:57:59.99999999999563125</v>
      </c>
      <c r="K261" s="53" t="d">
        <v>12:00:01</v>
      </c>
      <c r="L261" s="74"/>
      <c r="M261" s="54"/>
      <c r="O261" s="4"/>
    </row>
    <row r="262" spans="1:15" x14ac:dyDescent="0.2">
      <c r="A262" s="73">
        <f t="shared" si="5"/>
        <v>261</v>
      </c>
      <c r="B262" t="s">
        <v>236</v>
      </c>
      <c r="C262" s="55" t="s">
        <v>71</v>
      </c>
      <c r="D262" s="9">
        <v>43</v>
      </c>
      <c r="E262" s="56"/>
      <c r="F262" s="4" t="d">
        <f ca="1">Table9[[#This Row],[Surgery Start Date]]+1</f>
        <v>2020-03-18</v>
      </c>
      <c r="G262" s="53" t="d">
        <v>09:59:59.9999999999968050</v>
      </c>
      <c r="H262" s="53" t="d">
        <v>10:14:59.9999999999984025</v>
      </c>
      <c r="I262" s="53" t="d">
        <v>12:15:00.00000000000639675</v>
      </c>
      <c r="J262" s="53" t="d">
        <v>12:20:00.00000000000532725</v>
      </c>
      <c r="K262" s="53" t="d">
        <v>12:25:00.00000000000426450</v>
      </c>
      <c r="L262" s="74"/>
      <c r="M262" s="54"/>
      <c r="O262" s="4"/>
    </row>
    <row r="263" spans="1:15" x14ac:dyDescent="0.2">
      <c r="A263" s="73">
        <f t="shared" si="5"/>
        <v>262</v>
      </c>
      <c r="B263" t="s">
        <v>236</v>
      </c>
      <c r="C263" s="55" t="s">
        <v>71</v>
      </c>
      <c r="D263" s="9">
        <v>76</v>
      </c>
      <c r="E263" s="56"/>
      <c r="F263" s="4" t="d">
        <f ca="1">Table9[[#This Row],[Surgery Start Date]]+1</f>
        <v>2020-03-18</v>
      </c>
      <c r="G263" s="53" t="d">
        <v>13:10:00.00000000000426450</v>
      </c>
      <c r="H263" s="53" t="d">
        <v>14:15:00.000</v>
      </c>
      <c r="I263" s="53" t="d">
        <v>16:49:59.99999999999573550</v>
      </c>
      <c r="J263" s="53" t="d">
        <v>17:10:00.00000000001066125</v>
      </c>
      <c r="K263" s="53" t="d">
        <v>17:15:00.000</v>
      </c>
      <c r="L263" s="74"/>
      <c r="M263" s="54"/>
      <c r="O263" s="4"/>
    </row>
    <row r="264" spans="1:15" x14ac:dyDescent="0.2">
      <c r="A264" s="73">
        <f t="shared" si="5"/>
        <v>263</v>
      </c>
      <c r="B264" t="s">
        <v>238</v>
      </c>
      <c r="C264" s="55" t="s">
        <v>72</v>
      </c>
      <c r="D264" s="9">
        <v>252</v>
      </c>
      <c r="E264" s="56"/>
      <c r="F264" s="4" t="d">
        <f ca="1">Table9[[#This Row],[Surgery Start Date]]+1</f>
        <v>2020-03-18</v>
      </c>
      <c r="G264" s="53" t="d">
        <v>08:35:00.00000000000053475</v>
      </c>
      <c r="H264" s="53" t="d">
        <v>08:44:59.9999999999984025</v>
      </c>
      <c r="I264" s="53" t="d">
        <v>10:05:00.00000000000053475</v>
      </c>
      <c r="J264" s="53" t="d">
        <v>10:09:59.99999999999467275</v>
      </c>
      <c r="K264" s="53" t="d">
        <v>10:14:59.9999999999984025</v>
      </c>
      <c r="L264" s="74"/>
      <c r="M264" s="54"/>
      <c r="O264" s="4"/>
    </row>
    <row r="265" spans="1:15" x14ac:dyDescent="0.2">
      <c r="A265" s="73">
        <f t="shared" ref="A265:A294" si="6">ROW()-1</f>
        <v>264</v>
      </c>
      <c r="B265" t="s">
        <v>238</v>
      </c>
      <c r="C265" s="55" t="s">
        <v>72</v>
      </c>
      <c r="D265" s="9">
        <v>252</v>
      </c>
      <c r="E265" s="56"/>
      <c r="F265" s="4" t="d">
        <f ca="1">Table9[[#This Row],[Surgery Start Date]]+1</f>
        <v>2020-03-18</v>
      </c>
      <c r="G265" s="53" t="d">
        <v>10:05:00.00000000000053475</v>
      </c>
      <c r="H265" s="53" t="d">
        <v>10:34:59.99999999999893725</v>
      </c>
      <c r="I265" s="53" t="d">
        <v>11:39:59.99999999999946525</v>
      </c>
      <c r="J265" s="53" t="d">
        <v>11:44:59.9999999999984025</v>
      </c>
      <c r="K265" s="53" t="d">
        <v>11:49:59.99999999999733300</v>
      </c>
      <c r="L265" s="74"/>
      <c r="M265" s="54"/>
      <c r="O265" s="4"/>
    </row>
    <row r="266" spans="1:15" x14ac:dyDescent="0.2">
      <c r="A266" s="73">
        <f t="shared" si="6"/>
        <v>265</v>
      </c>
      <c r="B266" t="s">
        <v>238</v>
      </c>
      <c r="C266" s="55" t="s">
        <v>72</v>
      </c>
      <c r="D266" s="9">
        <v>252</v>
      </c>
      <c r="E266" s="56"/>
      <c r="F266" s="4" t="d">
        <f ca="1">Table9[[#This Row],[Surgery Start Date]]+1</f>
        <v>2020-03-18</v>
      </c>
      <c r="G266" s="53" t="d">
        <v>11:20:00.00000000000372975</v>
      </c>
      <c r="H266" s="53" t="d">
        <v>11:39:59.99999999999946525</v>
      </c>
      <c r="I266" s="53" t="d">
        <v>15:15:00.00000000000639675</v>
      </c>
      <c r="J266" s="53" t="d">
        <v>15:19:00.0000000000055425</v>
      </c>
      <c r="K266" s="53" t="d">
        <v>15:19:59.99999999999573550</v>
      </c>
      <c r="L266" s="74"/>
      <c r="M266" s="54"/>
      <c r="O266" s="4"/>
    </row>
    <row r="267" spans="1:15" x14ac:dyDescent="0.2">
      <c r="A267" s="73">
        <f t="shared" si="6"/>
        <v>266</v>
      </c>
      <c r="B267" t="s">
        <v>240</v>
      </c>
      <c r="C267" s="55" t="s">
        <v>71</v>
      </c>
      <c r="D267" s="9">
        <v>351</v>
      </c>
      <c r="E267" s="56"/>
      <c r="F267" s="4" t="d">
        <f ca="1">Table9[[#This Row],[Surgery Start Date]]+1</f>
        <v>2020-03-18</v>
      </c>
      <c r="G267" s="53" t="d">
        <v>08:05:59.99999999999712450</v>
      </c>
      <c r="H267" s="53" t="d">
        <v>08:07:59.99999999999669400</v>
      </c>
      <c r="I267" s="53" t="d">
        <v>08:35:00.00000000000053475</v>
      </c>
      <c r="J267" s="53" t="d">
        <v>08:37:00.00000000000010425</v>
      </c>
      <c r="K267" s="53" t="d">
        <v>08:37:59.999999999995097175</v>
      </c>
      <c r="L267" s="74"/>
      <c r="M267" s="54"/>
      <c r="O267" s="4"/>
    </row>
    <row r="268" spans="1:15" x14ac:dyDescent="0.2">
      <c r="A268" s="73">
        <f t="shared" si="6"/>
        <v>267</v>
      </c>
      <c r="B268" t="s">
        <v>240</v>
      </c>
      <c r="C268" s="55" t="s">
        <v>71</v>
      </c>
      <c r="D268" s="9">
        <v>351</v>
      </c>
      <c r="E268" s="56"/>
      <c r="F268" s="4" t="d">
        <f ca="1">Table9[[#This Row],[Surgery Start Date]]+1</f>
        <v>2020-03-18</v>
      </c>
      <c r="G268" s="53" t="d">
        <v>08:25:59.9999999999976525</v>
      </c>
      <c r="H268" s="53" t="d">
        <v>09:02:59.99999999999936100</v>
      </c>
      <c r="I268" s="53" t="d">
        <v>09:29:59.9999999999984025</v>
      </c>
      <c r="J268" s="53" t="d">
        <v>09:31:00.00000000000298650</v>
      </c>
      <c r="K268" s="53" t="d">
        <v>09:35:00.00000000000213225</v>
      </c>
      <c r="L268" s="74"/>
      <c r="M268" s="54"/>
      <c r="O268" s="4"/>
    </row>
    <row r="269" spans="1:15" x14ac:dyDescent="0.2">
      <c r="A269" s="73">
        <f t="shared" si="6"/>
        <v>268</v>
      </c>
      <c r="B269" t="s">
        <v>240</v>
      </c>
      <c r="C269" s="55" t="s">
        <v>71</v>
      </c>
      <c r="D269" s="9">
        <v>351</v>
      </c>
      <c r="E269" s="56" t="s">
        <v>229</v>
      </c>
      <c r="F269" s="4" t="d">
        <f ca="1">Table9[[#This Row],[Surgery Start Date]]+1</f>
        <v>2020-03-18</v>
      </c>
      <c r="L269" s="74"/>
      <c r="M269" s="54"/>
      <c r="O269" s="4"/>
    </row>
    <row r="270" spans="1:15" x14ac:dyDescent="0.2">
      <c r="A270" s="73">
        <f t="shared" si="6"/>
        <v>269</v>
      </c>
      <c r="B270" t="s">
        <v>240</v>
      </c>
      <c r="C270" s="55" t="s">
        <v>71</v>
      </c>
      <c r="D270" s="9">
        <v>351</v>
      </c>
      <c r="E270" s="56"/>
      <c r="F270" s="4" t="d">
        <f ca="1">Table9[[#This Row],[Surgery Start Date]]+1</f>
        <v>2020-03-18</v>
      </c>
      <c r="G270" s="53" t="d">
        <v>10:20:00.00000000000213225</v>
      </c>
      <c r="H270" s="53" t="d">
        <v>10:59:59.9999999999984025</v>
      </c>
      <c r="I270" s="53" t="d">
        <v>11:47:59.99999999999776350</v>
      </c>
      <c r="J270" s="53" t="d">
        <v>11:57:59.99999999999563125</v>
      </c>
      <c r="K270" s="53" t="d">
        <v>12:05:00.00000000000852900</v>
      </c>
      <c r="L270" s="74"/>
      <c r="M270" s="54"/>
      <c r="O270" s="4"/>
    </row>
    <row r="271" spans="1:15" x14ac:dyDescent="0.2">
      <c r="A271" s="73">
        <f t="shared" si="6"/>
        <v>270</v>
      </c>
      <c r="B271" t="s">
        <v>240</v>
      </c>
      <c r="C271" s="55" t="s">
        <v>71</v>
      </c>
      <c r="D271" s="9">
        <v>351</v>
      </c>
      <c r="E271" s="56"/>
      <c r="F271" s="4" t="d">
        <f ca="1">Table9[[#This Row],[Surgery Start Date]]+1</f>
        <v>2020-03-18</v>
      </c>
      <c r="G271" s="53" t="d">
        <v>12:16:00.00000000000618150</v>
      </c>
      <c r="H271" s="53" t="d">
        <v>13:07:00.00000000000490350</v>
      </c>
      <c r="I271" s="53" t="d">
        <v>14:18:00.00000000000895275</v>
      </c>
      <c r="J271" s="53" t="d">
        <v>14:22:59.99999999999829150</v>
      </c>
      <c r="K271" s="53" t="d">
        <v>14:24:00.00000000000767475</v>
      </c>
      <c r="L271" s="74"/>
      <c r="M271" s="54"/>
      <c r="O271" s="4"/>
    </row>
    <row r="272" spans="1:15" x14ac:dyDescent="0.2">
      <c r="A272" s="73">
        <f t="shared" si="6"/>
        <v>271</v>
      </c>
      <c r="B272" t="s">
        <v>240</v>
      </c>
      <c r="C272" s="55" t="s">
        <v>71</v>
      </c>
      <c r="D272" s="9">
        <v>351</v>
      </c>
      <c r="E272" s="56"/>
      <c r="F272" s="4" t="d">
        <f ca="1">Table9[[#This Row],[Surgery Start Date]]+1</f>
        <v>2020-03-18</v>
      </c>
      <c r="G272" s="53" t="d">
        <v>14:30:00.00000000000639675</v>
      </c>
      <c r="H272" s="53" t="d">
        <v>15:00:59.999999999999786775</v>
      </c>
      <c r="I272" s="53" t="d">
        <v>16:45:00.00000000000639675</v>
      </c>
      <c r="J272" s="53" t="d">
        <v>16:49:00.0000000000055425</v>
      </c>
      <c r="K272" s="53" t="d">
        <v>16:49:59.99999999999573550</v>
      </c>
      <c r="L272" s="74"/>
      <c r="M272" s="54"/>
      <c r="O272" s="4"/>
    </row>
    <row r="273" spans="1:15" x14ac:dyDescent="0.2">
      <c r="A273" s="73">
        <f t="shared" si="6"/>
        <v>272</v>
      </c>
      <c r="B273" t="s">
        <v>237</v>
      </c>
      <c r="C273" s="55" t="s">
        <v>71</v>
      </c>
      <c r="D273" s="9">
        <v>76</v>
      </c>
      <c r="E273" s="56"/>
      <c r="F273" s="4" t="d">
        <f ca="1">Table9[[#This Row],[Surgery Start Date]]+1</f>
        <v>2020-03-18</v>
      </c>
      <c r="G273" s="53" t="d">
        <v>08:05:00.00000000000213225</v>
      </c>
      <c r="H273" s="53" t="d">
        <v>08:31:59.99999999999637450</v>
      </c>
      <c r="I273" s="53" t="d">
        <v>09:22:00.00000000000010425</v>
      </c>
      <c r="J273" s="53" t="d">
        <v>09:25:59.99999999999925675</v>
      </c>
      <c r="K273" s="53" t="d">
        <v>09:26:59.99999999999424225</v>
      </c>
      <c r="L273" s="74"/>
      <c r="M273" s="54"/>
      <c r="O273" s="4"/>
    </row>
    <row r="274" spans="1:15" x14ac:dyDescent="0.2">
      <c r="A274" s="73">
        <f t="shared" si="6"/>
        <v>273</v>
      </c>
      <c r="B274" t="s">
        <v>237</v>
      </c>
      <c r="C274" s="55" t="s">
        <v>71</v>
      </c>
      <c r="D274" s="9">
        <v>351</v>
      </c>
      <c r="E274" s="56"/>
      <c r="F274" s="4" t="d">
        <f ca="1">Table9[[#This Row],[Surgery Start Date]]+1</f>
        <v>2020-03-18</v>
      </c>
      <c r="G274" s="53" t="d">
        <v>08:54:59.99999999999627025</v>
      </c>
      <c r="H274" s="53" t="d">
        <v>09:43:00.00000000000042375</v>
      </c>
      <c r="I274" s="53" t="d">
        <v>10:05:00.00000000000053475</v>
      </c>
      <c r="J274" s="53" t="d">
        <v>10:05:59.99999999999552025</v>
      </c>
      <c r="K274" s="53" t="d">
        <v>10:16:00.00000000000298650</v>
      </c>
      <c r="L274" s="74"/>
      <c r="M274" s="54"/>
      <c r="O274" s="4"/>
    </row>
    <row r="275" spans="1:15" x14ac:dyDescent="0.2">
      <c r="A275" s="73">
        <f t="shared" si="6"/>
        <v>274</v>
      </c>
      <c r="B275" t="s">
        <v>237</v>
      </c>
      <c r="C275" s="55" t="s">
        <v>71</v>
      </c>
      <c r="D275" s="9">
        <v>351</v>
      </c>
      <c r="E275" s="56"/>
      <c r="F275" s="4" t="d">
        <f ca="1">Table9[[#This Row],[Surgery Start Date]]+1</f>
        <v>2020-03-18</v>
      </c>
      <c r="G275" s="53" t="d">
        <v>10:11:59.99999999999424225</v>
      </c>
      <c r="H275" s="53" t="d">
        <v>11:04:59.99999999999733300</v>
      </c>
      <c r="I275" s="53" t="d">
        <v>14:42:00.00000000000383400</v>
      </c>
      <c r="J275" s="53" t="d">
        <v>14:44:00.00000000000341025</v>
      </c>
      <c r="K275" s="53" t="d">
        <v>14:45:00.0000000000031950</v>
      </c>
      <c r="L275" s="74"/>
      <c r="M275" s="54"/>
      <c r="O275" s="4"/>
    </row>
    <row r="276" spans="1:15" x14ac:dyDescent="0.2">
      <c r="A276" s="73">
        <f t="shared" si="6"/>
        <v>275</v>
      </c>
      <c r="B276" t="s">
        <v>237</v>
      </c>
      <c r="C276" s="55" t="s">
        <v>71</v>
      </c>
      <c r="D276" s="9">
        <v>351</v>
      </c>
      <c r="E276" s="56"/>
      <c r="F276" s="4" t="d">
        <f ca="1">Table9[[#This Row],[Surgery Start Date]]+1</f>
        <v>2020-03-18</v>
      </c>
      <c r="G276" s="53" t="d">
        <v>15:00:00.000</v>
      </c>
      <c r="H276" s="53" t="d">
        <v>15:08:59.99999999999808300</v>
      </c>
      <c r="I276" s="53" t="d">
        <v>16:55:00.00000000000426450</v>
      </c>
      <c r="J276" s="53" t="d">
        <v>16:57:00.00000000000383400</v>
      </c>
      <c r="K276" s="53" t="d">
        <v>16:57:59.99999999999403375</v>
      </c>
      <c r="L276" s="74"/>
      <c r="M276" s="54"/>
      <c r="O276" s="4"/>
    </row>
    <row r="277" spans="1:15" x14ac:dyDescent="0.2">
      <c r="A277" s="73">
        <f t="shared" si="6"/>
        <v>276</v>
      </c>
      <c r="B277" t="s">
        <v>239</v>
      </c>
      <c r="C277" s="55" t="s">
        <v>71</v>
      </c>
      <c r="D277" s="9">
        <v>76</v>
      </c>
      <c r="E277" s="56"/>
      <c r="F277" s="4" t="d">
        <f ca="1">Table9[[#This Row],[Surgery Start Date]]+1</f>
        <v>2020-03-18</v>
      </c>
      <c r="G277" s="53" t="d">
        <v>09:00:00.000</v>
      </c>
      <c r="H277" s="53" t="d">
        <v>09:14:59.9999999999968050</v>
      </c>
      <c r="I277" s="53" t="d">
        <v>10:01:59.99999999999637450</v>
      </c>
      <c r="J277" s="53" t="d">
        <v>10:07:00.00000000000010425</v>
      </c>
      <c r="K277" s="53" t="d">
        <v>10:07:59.999999999995097175</v>
      </c>
      <c r="L277" s="74"/>
      <c r="M277" s="54"/>
      <c r="O277" s="4"/>
    </row>
    <row r="278" spans="1:15" x14ac:dyDescent="0.2">
      <c r="A278" s="73">
        <f t="shared" si="6"/>
        <v>277</v>
      </c>
      <c r="B278" t="s">
        <v>239</v>
      </c>
      <c r="C278" s="55" t="s">
        <v>71</v>
      </c>
      <c r="D278" s="9">
        <v>76</v>
      </c>
      <c r="E278" s="56"/>
      <c r="F278" s="4" t="d">
        <f ca="1">Table9[[#This Row],[Surgery Start Date]]+1</f>
        <v>2020-03-18</v>
      </c>
      <c r="G278" s="53" t="d">
        <v>10:09:59.99999999999467275</v>
      </c>
      <c r="H278" s="53" t="d">
        <v>10:44:59.9999999999968050</v>
      </c>
      <c r="I278" s="53" t="d">
        <v>13:00:00.00000000000639675</v>
      </c>
      <c r="J278" s="53" t="d">
        <v>13:05:00.00000000000532725</v>
      </c>
      <c r="K278" s="53" t="d">
        <v>13:10:00.00000000000426450</v>
      </c>
      <c r="L278" s="74"/>
      <c r="M278" s="54"/>
      <c r="O278" s="4"/>
    </row>
    <row r="279" spans="1:15" x14ac:dyDescent="0.2">
      <c r="A279" s="73">
        <f t="shared" si="6"/>
        <v>278</v>
      </c>
      <c r="B279" t="s">
        <v>241</v>
      </c>
      <c r="C279" s="55" t="s">
        <v>72</v>
      </c>
      <c r="D279" s="9">
        <v>388</v>
      </c>
      <c r="E279" s="56"/>
      <c r="F279" s="4" t="d">
        <f ca="1">Table9[[#This Row],[Surgery Start Date]]+1</f>
        <v>2020-03-18</v>
      </c>
      <c r="G279" s="53" t="d">
        <v>08:29:59.9999999999968050</v>
      </c>
      <c r="H279" s="53" t="d">
        <v>08:39:59.99999999999467275</v>
      </c>
      <c r="I279" s="53" t="d">
        <v>09:24:59.99999999999467275</v>
      </c>
      <c r="J279" s="53" t="d">
        <v>09:29:59.9999999999984025</v>
      </c>
      <c r="K279" s="53" t="d">
        <v>09:39:59.99999999999627025</v>
      </c>
      <c r="L279" s="74"/>
      <c r="M279" s="54"/>
      <c r="O279" s="4"/>
    </row>
    <row r="280" spans="1:15" x14ac:dyDescent="0.2">
      <c r="A280" s="73">
        <f t="shared" si="6"/>
        <v>279</v>
      </c>
      <c r="B280" t="s">
        <v>241</v>
      </c>
      <c r="C280" s="55" t="s">
        <v>72</v>
      </c>
      <c r="D280" s="9">
        <v>388</v>
      </c>
      <c r="E280" s="56"/>
      <c r="F280" s="4" t="d">
        <f ca="1">Table9[[#This Row],[Surgery Start Date]]+1</f>
        <v>2020-03-18</v>
      </c>
      <c r="G280" s="53" t="d">
        <v>09:29:59.9999999999984025</v>
      </c>
      <c r="H280" s="53" t="d">
        <v>09:49:59.99999999999893725</v>
      </c>
      <c r="I280" s="53" t="d">
        <v>09:59:59.9999999999968050</v>
      </c>
      <c r="J280" s="53" t="d">
        <v>10:01:00.00000000000138225</v>
      </c>
      <c r="K280" s="53" t="d">
        <v>10:09:59.99999999999467275</v>
      </c>
      <c r="L280" s="74"/>
      <c r="M280" s="54"/>
      <c r="O280" s="4"/>
    </row>
    <row r="281" spans="1:15" x14ac:dyDescent="0.2">
      <c r="A281" s="73">
        <f t="shared" si="6"/>
        <v>280</v>
      </c>
      <c r="B281" t="s">
        <v>241</v>
      </c>
      <c r="C281" s="55" t="s">
        <v>72</v>
      </c>
      <c r="D281" s="9">
        <v>76</v>
      </c>
      <c r="E281" s="56"/>
      <c r="F281" s="4" t="d">
        <f ca="1">Table9[[#This Row],[Surgery Start Date]]+1</f>
        <v>2020-03-18</v>
      </c>
      <c r="G281" s="53" t="d">
        <v>10:20:59.99999999999712450</v>
      </c>
      <c r="H281" s="53" t="d">
        <v>10:59:59.9999999999984025</v>
      </c>
      <c r="I281" s="53" t="d">
        <v>11:15:01</v>
      </c>
      <c r="J281" s="53" t="d">
        <v>11:16:00.000000000004583325</v>
      </c>
      <c r="K281" s="53" t="d">
        <v>11:20:00.00000000000372975</v>
      </c>
      <c r="L281" s="74"/>
      <c r="M281" s="54"/>
      <c r="O281" s="4"/>
    </row>
    <row r="282" spans="1:15" x14ac:dyDescent="0.2">
      <c r="A282" s="73">
        <f t="shared" si="6"/>
        <v>281</v>
      </c>
      <c r="B282" t="s">
        <v>241</v>
      </c>
      <c r="C282" s="55" t="s">
        <v>72</v>
      </c>
      <c r="D282" s="9">
        <v>388</v>
      </c>
      <c r="E282" s="56"/>
      <c r="F282" s="4" t="d">
        <f ca="1">Table9[[#This Row],[Surgery Start Date]]+1</f>
        <v>2020-03-18</v>
      </c>
      <c r="G282" s="53" t="d">
        <v>11:39:59.99999999999946525</v>
      </c>
      <c r="H282" s="53" t="d">
        <v>12:09:59.99999999999786775</v>
      </c>
      <c r="I282" s="53" t="d">
        <v>13:35:00.00000000000852900</v>
      </c>
      <c r="J282" s="53" t="d">
        <v>13:45:00.00000000000639675</v>
      </c>
      <c r="K282" s="53" t="d">
        <v>13:50:00.00000000000532725</v>
      </c>
      <c r="L282" s="74"/>
      <c r="M282" s="54"/>
      <c r="O282" s="4"/>
    </row>
    <row r="283" spans="1:15" x14ac:dyDescent="0.2">
      <c r="A283" s="73">
        <f t="shared" si="6"/>
        <v>282</v>
      </c>
      <c r="B283" t="s">
        <v>239</v>
      </c>
      <c r="C283" s="55" t="s">
        <v>71</v>
      </c>
      <c r="D283" s="9">
        <v>76</v>
      </c>
      <c r="E283" s="56"/>
      <c r="F283" s="4" t="d">
        <f ca="1">Table9[[#This Row],[Surgery Start Date]]+1</f>
        <v>2020-03-18</v>
      </c>
      <c r="G283" s="53" t="d">
        <v>12:56:00.00000000000724425</v>
      </c>
      <c r="H283" s="53" t="d">
        <v>13:30:00.000</v>
      </c>
      <c r="I283" s="53" t="d">
        <v>14:50:00.00000000000213225</v>
      </c>
      <c r="J283" s="53" t="d">
        <v>14:55:00.00000000000106275</v>
      </c>
      <c r="K283" s="53" t="d">
        <v>15:00:00.000</v>
      </c>
      <c r="L283" s="74"/>
      <c r="M283" s="54"/>
      <c r="O283" s="4"/>
    </row>
    <row r="284" spans="1:15" x14ac:dyDescent="0.2">
      <c r="A284" s="73">
        <f t="shared" si="6"/>
        <v>283</v>
      </c>
      <c r="B284" t="s">
        <v>239</v>
      </c>
      <c r="C284" s="55" t="s">
        <v>71</v>
      </c>
      <c r="D284" s="9">
        <v>76</v>
      </c>
      <c r="E284" s="56"/>
      <c r="F284" s="4" t="d">
        <f ca="1">Table9[[#This Row],[Surgery Start Date]]+1</f>
        <v>2020-03-18</v>
      </c>
      <c r="G284" s="53" t="d">
        <v>14:56:00.00000000000085425</v>
      </c>
      <c r="H284" s="53" t="d">
        <v>15:19:59.99999999999573550</v>
      </c>
      <c r="I284" s="53" t="d">
        <v>16:55:00.00000000000426450</v>
      </c>
      <c r="J284" s="53" t="d">
        <v>17:00:00.0000000000031950</v>
      </c>
      <c r="K284" s="53" t="d">
        <v>17:40:00.00000000000426450</v>
      </c>
      <c r="L284" s="74"/>
      <c r="M284" s="54"/>
      <c r="O284" s="4"/>
    </row>
    <row r="285" spans="1:15" x14ac:dyDescent="0.2">
      <c r="A285" s="73">
        <f t="shared" si="6"/>
        <v>284</v>
      </c>
      <c r="B285" t="s">
        <v>241</v>
      </c>
      <c r="C285" s="55" t="s">
        <v>72</v>
      </c>
      <c r="D285" s="9">
        <v>76</v>
      </c>
      <c r="E285" s="56"/>
      <c r="F285" s="4" t="d">
        <f ca="1">Table9[[#This Row],[Surgery Start Date]]+1</f>
        <v>2020-03-18</v>
      </c>
      <c r="G285" s="53" t="d">
        <v>13:35:00.00000000000852900</v>
      </c>
      <c r="H285" s="53" t="d">
        <v>13:55:00.00000000000426450</v>
      </c>
      <c r="I285" s="53" t="d">
        <v>14:55:00.00000000000106275</v>
      </c>
      <c r="J285" s="53" t="d">
        <v>15:00:00.000</v>
      </c>
      <c r="K285" s="53" t="d">
        <v>15:04:59.99999999999893725</v>
      </c>
      <c r="L285" s="74"/>
      <c r="M285" s="54"/>
      <c r="O285" s="4"/>
    </row>
    <row r="286" spans="1:15" x14ac:dyDescent="0.2">
      <c r="A286" s="73">
        <f t="shared" si="6"/>
        <v>285</v>
      </c>
      <c r="B286" t="s">
        <v>236</v>
      </c>
      <c r="C286" s="55" t="s">
        <v>71</v>
      </c>
      <c r="D286" s="9">
        <v>427</v>
      </c>
      <c r="E286" s="56" t="s">
        <v>229</v>
      </c>
      <c r="F286" s="4" t="d">
        <f ca="1">Table9[[#This Row],[Surgery Start Date]]+1</f>
        <v>2020-03-19</v>
      </c>
      <c r="L286" s="74"/>
      <c r="O286" s="4"/>
    </row>
    <row r="287" spans="1:15" x14ac:dyDescent="0.2">
      <c r="A287" s="73">
        <f t="shared" si="6"/>
        <v>286</v>
      </c>
      <c r="B287" t="s">
        <v>236</v>
      </c>
      <c r="C287" s="55" t="s">
        <v>71</v>
      </c>
      <c r="D287" s="9">
        <v>427</v>
      </c>
      <c r="E287" s="56"/>
      <c r="F287" s="4" t="d">
        <f ca="1">Table9[[#This Row],[Surgery Start Date]]+1</f>
        <v>2020-03-19</v>
      </c>
      <c r="G287" s="53" t="d">
        <v>11:04:59.99999999999733300</v>
      </c>
      <c r="H287" s="53" t="d">
        <v>11:15:01</v>
      </c>
      <c r="I287" s="53" t="d">
        <v>11:35:00.00000000000053475</v>
      </c>
      <c r="J287" s="53" t="d">
        <v>11:44:59.9999999999984025</v>
      </c>
      <c r="K287" s="53" t="d">
        <v>12:45:00.000</v>
      </c>
      <c r="L287" s="74"/>
      <c r="O287" s="4"/>
    </row>
    <row r="288" spans="1:15" x14ac:dyDescent="0.2">
      <c r="A288" s="73">
        <f t="shared" si="6"/>
        <v>287</v>
      </c>
      <c r="B288" t="s">
        <v>236</v>
      </c>
      <c r="C288" s="55" t="s">
        <v>71</v>
      </c>
      <c r="D288" s="9">
        <v>223</v>
      </c>
      <c r="E288" s="56"/>
      <c r="F288" s="4" t="d">
        <f ca="1">Table9[[#This Row],[Surgery Start Date]]+1</f>
        <v>2020-03-19</v>
      </c>
      <c r="G288" s="53" t="d">
        <v>13:55:00.00000000000426450</v>
      </c>
      <c r="H288" s="53" t="d">
        <v>15:10:00.00000000000745950</v>
      </c>
      <c r="I288" s="53" t="d">
        <v>15:40:00.00000000001066125</v>
      </c>
      <c r="J288" s="53" t="d">
        <v>15:41:00.00000000000085425</v>
      </c>
      <c r="K288" s="53" t="d">
        <v>17:15:00.000</v>
      </c>
      <c r="L288" s="74"/>
      <c r="M288" s="54"/>
      <c r="O288" s="4"/>
    </row>
    <row r="289" spans="1:15" x14ac:dyDescent="0.2">
      <c r="A289" s="73">
        <f t="shared" si="6"/>
        <v>288</v>
      </c>
      <c r="B289" t="s">
        <v>237</v>
      </c>
      <c r="C289" s="55" t="s">
        <v>71</v>
      </c>
      <c r="D289" s="9">
        <v>351</v>
      </c>
      <c r="E289" s="56"/>
      <c r="F289" s="4" t="d">
        <f ca="1">Table9[[#This Row],[Surgery Start Date]]+1</f>
        <v>2020-03-19</v>
      </c>
      <c r="G289" s="53" t="d">
        <v>07:56:59.99999999999424225</v>
      </c>
      <c r="H289" s="53" t="d">
        <v>08:24:59.99999999999786775</v>
      </c>
      <c r="I289" s="53" t="d">
        <v>09:09:59.99999999999786775</v>
      </c>
      <c r="J289" s="53" t="d">
        <v>09:10:59.9999999999976525</v>
      </c>
      <c r="K289" s="53" t="d">
        <v>09:12:59.99999999999722875</v>
      </c>
      <c r="L289" s="74"/>
      <c r="M289" s="54"/>
      <c r="O289" s="4"/>
    </row>
    <row r="290" spans="1:15" x14ac:dyDescent="0.2">
      <c r="A290" s="73">
        <f t="shared" si="6"/>
        <v>289</v>
      </c>
      <c r="B290" t="s">
        <v>237</v>
      </c>
      <c r="C290" s="55" t="s">
        <v>71</v>
      </c>
      <c r="D290" s="9">
        <v>351</v>
      </c>
      <c r="E290" s="56"/>
      <c r="F290" s="4" t="d">
        <f ca="1">Table9[[#This Row],[Surgery Start Date]]+1</f>
        <v>2020-03-19</v>
      </c>
      <c r="G290" s="53" t="d">
        <v>08:40:59.99999999999925675</v>
      </c>
      <c r="H290" s="53" t="d">
        <v>10:01:59.99999999999637450</v>
      </c>
      <c r="I290" s="53" t="d">
        <v>14:20:00.00000000000852900</v>
      </c>
      <c r="J290" s="53" t="d">
        <v>14:30:00.00000000000639675</v>
      </c>
      <c r="K290" s="53" t="d">
        <v>14:32:00.00000000000596625</v>
      </c>
      <c r="L290" s="74"/>
      <c r="M290" s="54"/>
      <c r="O290" s="4"/>
    </row>
    <row r="291" spans="1:15" x14ac:dyDescent="0.2">
      <c r="A291" s="73">
        <f t="shared" si="6"/>
        <v>290</v>
      </c>
      <c r="B291" t="s">
        <v>237</v>
      </c>
      <c r="C291" s="55" t="s">
        <v>72</v>
      </c>
      <c r="D291" s="9">
        <v>223</v>
      </c>
      <c r="E291" s="56"/>
      <c r="F291" s="4" t="d">
        <f ca="1">Table9[[#This Row],[Surgery Start Date]]+1</f>
        <v>2020-03-19</v>
      </c>
      <c r="G291" s="53" t="d">
        <v>14:11:00.00000000000085425</v>
      </c>
      <c r="H291" s="53" t="d">
        <v>15:08:59.99999999999808300</v>
      </c>
      <c r="I291" s="53" t="d">
        <v>16:03:00.00000000000575775</v>
      </c>
      <c r="J291" s="53" t="d">
        <v>16:04:00.0000000000055425</v>
      </c>
      <c r="K291" s="53" t="d">
        <v>16:04:59.99999999999573550</v>
      </c>
      <c r="L291" s="74"/>
      <c r="M291" s="54"/>
      <c r="O291" s="4"/>
    </row>
    <row r="292" spans="1:15" x14ac:dyDescent="0.2">
      <c r="A292" s="73">
        <f t="shared" si="6"/>
        <v>291</v>
      </c>
      <c r="B292" t="s">
        <v>237</v>
      </c>
      <c r="C292" s="55" t="s">
        <v>72</v>
      </c>
      <c r="D292" s="9">
        <v>223</v>
      </c>
      <c r="E292" s="56"/>
      <c r="F292" s="4" t="d">
        <f ca="1">Table9[[#This Row],[Surgery Start Date]]+1</f>
        <v>2020-03-20</v>
      </c>
      <c r="G292" s="53" t="d">
        <v>07:50:59.99999999999552025</v>
      </c>
      <c r="H292" s="53" t="d">
        <v>08:24:59.99999999999786775</v>
      </c>
      <c r="I292" s="53" t="d">
        <v>09:49:59.99999999999893725</v>
      </c>
      <c r="J292" s="53" t="d">
        <v>10:01:00.00000000000138225</v>
      </c>
      <c r="K292" s="53" t="d">
        <v>10:03:00.00000000000095850</v>
      </c>
      <c r="L292" s="74"/>
      <c r="M292" s="54"/>
      <c r="O292" s="4"/>
    </row>
    <row r="293" spans="1:15" x14ac:dyDescent="0.2">
      <c r="A293" s="73">
        <f t="shared" si="6"/>
        <v>292</v>
      </c>
      <c r="B293" t="s">
        <v>237</v>
      </c>
      <c r="C293" s="55" t="s">
        <v>71</v>
      </c>
      <c r="D293" s="9">
        <v>351</v>
      </c>
      <c r="E293" s="56"/>
      <c r="F293" s="4" t="d">
        <f ca="1">Table9[[#This Row],[Surgery Start Date]]+1</f>
        <v>2020-03-20</v>
      </c>
      <c r="G293" s="53" t="d">
        <v>09:24:59.99999999999467275</v>
      </c>
      <c r="H293" s="53" t="d">
        <v>09:59:59.9999999999968050</v>
      </c>
      <c r="I293" s="53" t="d">
        <v>10:36:59.99999999999850675</v>
      </c>
      <c r="J293" s="53" t="d">
        <v>10:41:59.999999999997441975</v>
      </c>
      <c r="K293" s="53" t="d">
        <v>10:42:59.99999999999722875</v>
      </c>
      <c r="L293" s="74"/>
      <c r="M293" s="54"/>
      <c r="O293" s="4"/>
    </row>
    <row r="294" spans="1:15" x14ac:dyDescent="0.2">
      <c r="A294" s="73">
        <f t="shared" si="6"/>
        <v>293</v>
      </c>
      <c r="B294" t="s">
        <v>237</v>
      </c>
      <c r="C294" s="55" t="s">
        <v>72</v>
      </c>
      <c r="D294" s="9">
        <v>223</v>
      </c>
      <c r="E294" s="56"/>
      <c r="F294" s="4" t="d">
        <f ca="1">Table9[[#This Row],[Surgery Start Date]]+1</f>
        <v>2020-03-20</v>
      </c>
      <c r="G294" s="53" t="d">
        <v>10:54:59.99999999999467275</v>
      </c>
      <c r="H294" s="53" t="d">
        <v>11:09:59.99999999999627025</v>
      </c>
      <c r="I294" s="53" t="d">
        <v>16:06:00.00000000000511875</v>
      </c>
      <c r="J294" s="53" t="d">
        <v>16:08:00.000000000004689600</v>
      </c>
      <c r="K294" s="53" t="d">
        <v>16:08:59.99999999999488125</v>
      </c>
      <c r="L294" s="74"/>
      <c r="M294" s="54"/>
      <c r="O294" s="4"/>
    </row>
    <row r="295" spans="1:15" x14ac:dyDescent="0.2">
      <c r="A295" s="73">
        <f t="shared" ref="A295:A306" si="7">ROW()-1</f>
        <v>294</v>
      </c>
      <c r="B295" t="s">
        <v>238</v>
      </c>
      <c r="C295" s="55" t="s">
        <v>72</v>
      </c>
      <c r="D295" s="9">
        <v>252</v>
      </c>
      <c r="E295" s="56"/>
      <c r="F295" s="4" t="d">
        <f ca="1">Table9[[#This Row],[Surgery Start Date]]+1</f>
        <v>2020-03-19</v>
      </c>
      <c r="G295" s="53" t="d">
        <v>08:31:00.00000000000138225</v>
      </c>
      <c r="H295" s="53" t="d">
        <v>08:46:59.99999999999797200</v>
      </c>
      <c r="I295" s="53" t="d">
        <v>09:29:59.9999999999984025</v>
      </c>
      <c r="J295" s="53" t="d">
        <v>09:35:00.00000000000213225</v>
      </c>
      <c r="K295" s="53" t="d">
        <v>09:35:59.99999999999712450</v>
      </c>
      <c r="L295" s="74"/>
      <c r="M295" s="54"/>
      <c r="O295" s="4"/>
    </row>
    <row r="296" spans="1:15" x14ac:dyDescent="0.2">
      <c r="A296" s="73">
        <f t="shared" si="7"/>
        <v>295</v>
      </c>
      <c r="B296" t="s">
        <v>238</v>
      </c>
      <c r="C296" s="55" t="s">
        <v>72</v>
      </c>
      <c r="D296" s="9">
        <v>252</v>
      </c>
      <c r="E296" s="56"/>
      <c r="F296" s="4" t="d">
        <f ca="1">Table9[[#This Row],[Surgery Start Date]]+1</f>
        <v>2020-03-19</v>
      </c>
      <c r="G296" s="53" t="d">
        <v>09:39:59.99999999999627025</v>
      </c>
      <c r="H296" s="53" t="d">
        <v>09:41:59.99999999999584650</v>
      </c>
      <c r="I296" s="53" t="d">
        <v>10:20:00.00000000000213225</v>
      </c>
      <c r="J296" s="53" t="d">
        <v>10:24:59.99999999999627025</v>
      </c>
      <c r="K296" s="53" t="d">
        <v>10:28:00.00000000000042375</v>
      </c>
      <c r="L296" s="74"/>
      <c r="M296" s="54"/>
      <c r="O296" s="4"/>
    </row>
    <row r="297" spans="1:15" x14ac:dyDescent="0.2">
      <c r="A297" s="73">
        <f t="shared" si="7"/>
        <v>296</v>
      </c>
      <c r="B297" t="s">
        <v>238</v>
      </c>
      <c r="C297" s="55" t="s">
        <v>72</v>
      </c>
      <c r="D297" s="9">
        <v>252</v>
      </c>
      <c r="E297" s="56"/>
      <c r="F297" s="4" t="d">
        <f ca="1">Table9[[#This Row],[Surgery Start Date]]+1</f>
        <v>2020-03-19</v>
      </c>
      <c r="G297" s="53" t="d">
        <v>10:35:59.99999999999872200</v>
      </c>
      <c r="H297" s="53" t="d">
        <v>10:44:59.9999999999968050</v>
      </c>
      <c r="I297" s="53" t="d">
        <v>11:35:00.00000000000053475</v>
      </c>
      <c r="J297" s="53" t="d">
        <v>11:39:59.99999999999946525</v>
      </c>
      <c r="K297" s="53" t="d">
        <v>11:42:59.99999999999882625</v>
      </c>
      <c r="L297" s="74"/>
      <c r="M297" s="54"/>
      <c r="O297" s="4"/>
    </row>
    <row r="298" spans="1:15" x14ac:dyDescent="0.2">
      <c r="A298" s="73">
        <f t="shared" si="7"/>
        <v>297</v>
      </c>
      <c r="B298" t="s">
        <v>238</v>
      </c>
      <c r="C298" s="55" t="s">
        <v>72</v>
      </c>
      <c r="D298" s="9">
        <v>252</v>
      </c>
      <c r="E298" s="56"/>
      <c r="F298" s="4" t="d">
        <f ca="1">Table9[[#This Row],[Surgery Start Date]]+1</f>
        <v>2020-03-19</v>
      </c>
      <c r="G298" s="53" t="d">
        <v>11:51:59.99999999999690925</v>
      </c>
      <c r="H298" s="53" t="d">
        <v>12:20:00.00000000000532725</v>
      </c>
      <c r="I298" s="53" t="d">
        <v>12:43:00.00000000000042375</v>
      </c>
      <c r="J298" s="53" t="d">
        <v>12:46:00.000000000009379200</v>
      </c>
      <c r="K298" s="53" t="d">
        <v>12:50:00.00000000000852900</v>
      </c>
      <c r="L298" s="74"/>
      <c r="M298" s="54"/>
      <c r="O298" s="4"/>
    </row>
    <row r="299" spans="1:15" x14ac:dyDescent="0.2">
      <c r="A299" s="73">
        <f t="shared" si="7"/>
        <v>298</v>
      </c>
      <c r="B299" t="s">
        <v>238</v>
      </c>
      <c r="C299" s="55" t="s">
        <v>72</v>
      </c>
      <c r="D299" s="9">
        <v>252</v>
      </c>
      <c r="E299" s="56"/>
      <c r="F299" s="4" t="d">
        <f ca="1">Table9[[#This Row],[Surgery Start Date]]+1</f>
        <v>2020-03-19</v>
      </c>
      <c r="G299" s="53" t="d">
        <v>12:58:00.00000000000682050</v>
      </c>
      <c r="H299" s="53" t="d">
        <v>13:20:00.00000000000213225</v>
      </c>
      <c r="I299" s="53" t="d">
        <v>13:54:00.00000000000447975</v>
      </c>
      <c r="J299" s="53" t="d">
        <v>13:55:00.00000000000426450</v>
      </c>
      <c r="K299" s="53" t="d">
        <v>13:56:00.00000000000404925</v>
      </c>
      <c r="L299" s="74"/>
      <c r="M299" s="54"/>
      <c r="O299" s="4"/>
    </row>
    <row r="300" spans="1:15" x14ac:dyDescent="0.2">
      <c r="A300" s="73">
        <f t="shared" si="7"/>
        <v>299</v>
      </c>
      <c r="B300" t="s">
        <v>238</v>
      </c>
      <c r="C300" s="55" t="s">
        <v>72</v>
      </c>
      <c r="D300" s="9">
        <v>252</v>
      </c>
      <c r="E300" s="56"/>
      <c r="F300" s="4" t="d">
        <f ca="1">Table9[[#This Row],[Surgery Start Date]]+1</f>
        <v>2020-03-20</v>
      </c>
      <c r="G300" s="53" t="d">
        <v>08:31:00.00000000000138225</v>
      </c>
      <c r="H300" s="53" t="d">
        <v>09:24:59.99999999999467275</v>
      </c>
      <c r="I300" s="53" t="d">
        <v>11:30:00.0000000000015975</v>
      </c>
      <c r="J300" s="53" t="d">
        <v>11:54:59.99999999999627025</v>
      </c>
      <c r="K300" s="53" t="d">
        <v>12:00:01</v>
      </c>
      <c r="L300" s="74"/>
      <c r="M300" s="54"/>
      <c r="O300" s="4"/>
    </row>
    <row r="301" spans="1:15" x14ac:dyDescent="0.2">
      <c r="A301" s="73">
        <f t="shared" si="7"/>
        <v>300</v>
      </c>
      <c r="B301" t="s">
        <v>240</v>
      </c>
      <c r="C301" s="55" t="s">
        <v>71</v>
      </c>
      <c r="D301" s="9">
        <v>351</v>
      </c>
      <c r="E301" s="56"/>
      <c r="F301" s="4" t="d">
        <f ca="1">Table9[[#This Row],[Surgery Start Date]]+1</f>
        <v>2020-03-19</v>
      </c>
      <c r="G301" s="53" t="d">
        <v>08:05:00.00000000000213225</v>
      </c>
      <c r="H301" s="53" t="d">
        <v>08:29:59.9999999999968050</v>
      </c>
      <c r="I301" s="53" t="d">
        <v>08:40:59.99999999999925675</v>
      </c>
      <c r="J301" s="53" t="d">
        <v>08:43:59.99999999999381850</v>
      </c>
      <c r="K301" s="53" t="d">
        <v>08:44:59.9999999999984025</v>
      </c>
      <c r="L301" s="74"/>
      <c r="M301" s="54"/>
      <c r="O301" s="4"/>
    </row>
    <row r="302" spans="1:15" x14ac:dyDescent="0.2">
      <c r="A302" s="73">
        <f t="shared" si="7"/>
        <v>301</v>
      </c>
      <c r="B302" t="s">
        <v>240</v>
      </c>
      <c r="C302" s="55" t="s">
        <v>71</v>
      </c>
      <c r="D302" s="9">
        <v>351</v>
      </c>
      <c r="E302" s="56"/>
      <c r="F302" s="4" t="d">
        <f ca="1">Table9[[#This Row],[Surgery Start Date]]+1</f>
        <v>2020-03-19</v>
      </c>
      <c r="G302" s="53" t="d">
        <v>08:50:59.99999999999712450</v>
      </c>
      <c r="H302" s="53" t="d">
        <v>09:04:59.99999999999893725</v>
      </c>
      <c r="I302" s="53" t="d">
        <v>09:33:59.999999999997548925</v>
      </c>
      <c r="J302" s="53" t="d">
        <v>09:35:59.99999999999712450</v>
      </c>
      <c r="K302" s="53" t="d">
        <v>09:50:59.99999999999872200</v>
      </c>
      <c r="L302" s="74"/>
      <c r="M302" s="54"/>
      <c r="O302" s="4"/>
    </row>
    <row r="303" spans="1:15" x14ac:dyDescent="0.2">
      <c r="A303" s="73">
        <f t="shared" si="7"/>
        <v>302</v>
      </c>
      <c r="B303" t="s">
        <v>240</v>
      </c>
      <c r="C303" s="55" t="s">
        <v>71</v>
      </c>
      <c r="D303" s="9">
        <v>351</v>
      </c>
      <c r="E303" s="56"/>
      <c r="F303" s="4" t="d">
        <f ca="1">Table9[[#This Row],[Surgery Start Date]]+1</f>
        <v>2020-03-19</v>
      </c>
      <c r="G303" s="53" t="d">
        <v>09:29:59.9999999999984025</v>
      </c>
      <c r="H303" s="53" t="d">
        <v>09:39:00.00000000000127800</v>
      </c>
      <c r="I303" s="53" t="d">
        <v>09:39:59.99999999999627025</v>
      </c>
      <c r="J303" s="53" t="d">
        <v>09:41:00.00000000000085425</v>
      </c>
      <c r="K303" s="53" t="d">
        <v>10:46:00.00000000000138225</v>
      </c>
      <c r="L303" s="74"/>
      <c r="M303" s="54"/>
      <c r="O303" s="4"/>
    </row>
    <row r="304" spans="1:15" x14ac:dyDescent="0.2">
      <c r="A304" s="73">
        <f t="shared" si="7"/>
        <v>303</v>
      </c>
      <c r="B304" t="s">
        <v>240</v>
      </c>
      <c r="C304" s="55" t="s">
        <v>71</v>
      </c>
      <c r="D304" s="9">
        <v>351</v>
      </c>
      <c r="E304" s="56"/>
      <c r="F304" s="4" t="d">
        <f ca="1">Table9[[#This Row],[Surgery Start Date]]+1</f>
        <v>2020-03-19</v>
      </c>
      <c r="G304" s="53" t="d">
        <v>10:39:59.99999999999786775</v>
      </c>
      <c r="H304" s="53" t="d">
        <v>10:53:59.99999999999968050</v>
      </c>
      <c r="I304" s="53" t="d">
        <v>11:28:00.00000000000202800</v>
      </c>
      <c r="J304" s="53" t="d">
        <v>11:30:00.0000000000015975</v>
      </c>
      <c r="K304" s="53" t="d">
        <v>11:31:00.00000000000138225</v>
      </c>
      <c r="L304" s="74"/>
      <c r="M304" s="54"/>
      <c r="O304" s="4"/>
    </row>
    <row r="305" spans="1:15" x14ac:dyDescent="0.2">
      <c r="A305" s="73">
        <f t="shared" si="7"/>
        <v>304</v>
      </c>
      <c r="B305" t="s">
        <v>240</v>
      </c>
      <c r="C305" s="55" t="s">
        <v>71</v>
      </c>
      <c r="D305" s="9">
        <v>351</v>
      </c>
      <c r="E305" s="56"/>
      <c r="F305" s="4" t="d">
        <f ca="1">Table9[[#This Row],[Surgery Start Date]]+1</f>
        <v>2020-03-19</v>
      </c>
      <c r="G305" s="53" t="d">
        <v>11:24:59.99999999999307525</v>
      </c>
      <c r="H305" s="53" t="d">
        <v>12:07:00.00000000000809850</v>
      </c>
      <c r="I305" s="53" t="d">
        <v>13:20:00.00000000000213225</v>
      </c>
      <c r="J305" s="53" t="d">
        <v>13:25:00.00000000000106275</v>
      </c>
      <c r="K305" s="53" t="d">
        <v>13:26:00.00000000000085425</v>
      </c>
      <c r="L305" s="74"/>
      <c r="M305" s="54"/>
      <c r="O305" s="4"/>
    </row>
    <row r="306" spans="1:15" x14ac:dyDescent="0.2">
      <c r="A306" s="73">
        <f t="shared" si="7"/>
        <v>305</v>
      </c>
      <c r="B306" t="s">
        <v>240</v>
      </c>
      <c r="C306" s="55" t="s">
        <v>71</v>
      </c>
      <c r="D306" s="9">
        <v>351</v>
      </c>
      <c r="E306" s="56"/>
      <c r="F306" s="4" t="d">
        <f ca="1">Table9[[#This Row],[Surgery Start Date]]+1</f>
        <v>2020-03-19</v>
      </c>
      <c r="G306" s="53" t="d">
        <v>12:50:59.99999999999872200</v>
      </c>
      <c r="H306" s="53" t="d">
        <v>14:24:00.00000000000767475</v>
      </c>
      <c r="I306" s="53" t="d">
        <v>15:51:00.00000000000831375</v>
      </c>
      <c r="J306" s="53" t="d">
        <v>15:56:00.00000000000724425</v>
      </c>
      <c r="K306" s="53" t="d">
        <v>16:00:00.00000000000639675</v>
      </c>
      <c r="L306" s="74"/>
      <c r="M306" s="54"/>
      <c r="O306" s="4"/>
    </row>
    <row r="307" spans="1:15" x14ac:dyDescent="0.2">
      <c r="A307" s="73">
        <f t="shared" ref="A307:A322" si="8">ROW()-1</f>
        <v>306</v>
      </c>
      <c r="B307" t="s">
        <v>240</v>
      </c>
      <c r="C307" s="55" t="s">
        <v>71</v>
      </c>
      <c r="D307" s="9">
        <v>351</v>
      </c>
      <c r="E307" s="56"/>
      <c r="F307" s="4" t="d">
        <f ca="1">Table9[[#This Row],[Surgery Start Date]]+1</f>
        <v>2020-03-19</v>
      </c>
      <c r="G307" s="53" t="d">
        <v>15:21:00.00000000000511875</v>
      </c>
      <c r="H307" s="53" t="d">
        <v>16:33:00.00000000000895275</v>
      </c>
      <c r="I307" s="53" t="d">
        <v>18:00:00.000</v>
      </c>
      <c r="J307" s="53" t="d">
        <v>18:08:59.99999999999808300</v>
      </c>
      <c r="K307" s="53" t="d">
        <v>18:10:00.00000000000745950</v>
      </c>
      <c r="L307" s="74"/>
      <c r="M307" s="54"/>
      <c r="O307" s="4"/>
    </row>
    <row r="308" spans="1:15" x14ac:dyDescent="0.2">
      <c r="A308" s="73">
        <f t="shared" si="8"/>
        <v>307</v>
      </c>
      <c r="B308" t="s">
        <v>240</v>
      </c>
      <c r="C308" s="55" t="s">
        <v>71</v>
      </c>
      <c r="D308" s="9">
        <v>351</v>
      </c>
      <c r="E308" s="56"/>
      <c r="F308" s="4" t="d">
        <f ca="1">Table9[[#This Row],[Surgery Start Date]]+1</f>
        <v>2020-03-20</v>
      </c>
      <c r="G308" s="53" t="d">
        <v>07:53:59.99999999999968050</v>
      </c>
      <c r="H308" s="53" t="d">
        <v>08:25:59.9999999999976525</v>
      </c>
      <c r="I308" s="53" t="d">
        <v>09:23:59.99999999999968050</v>
      </c>
      <c r="J308" s="53" t="d">
        <v>09:24:59.99999999999467275</v>
      </c>
      <c r="K308" s="53" t="d">
        <v>09:25:59.99999999999925675</v>
      </c>
      <c r="L308" s="74"/>
      <c r="M308" s="54"/>
      <c r="O308" s="4"/>
    </row>
    <row r="309" spans="1:15" x14ac:dyDescent="0.2">
      <c r="A309" s="73">
        <f t="shared" si="8"/>
        <v>308</v>
      </c>
      <c r="B309" t="s">
        <v>240</v>
      </c>
      <c r="C309" s="55" t="s">
        <v>71</v>
      </c>
      <c r="D309" s="9">
        <v>351</v>
      </c>
      <c r="E309" s="56"/>
      <c r="F309" s="4" t="d">
        <f ca="1">Table9[[#This Row],[Surgery Start Date]]+1</f>
        <v>2020-03-20</v>
      </c>
      <c r="G309" s="53" t="d">
        <v>09:59:59.9999999999968050</v>
      </c>
      <c r="H309" s="53" t="d">
        <v>10:33:59.99999999999914575</v>
      </c>
      <c r="I309" s="53" t="d">
        <v>12:05:59.99999999999872200</v>
      </c>
      <c r="J309" s="53" t="d">
        <v>12:07:00.00000000000809850</v>
      </c>
      <c r="K309" s="53" t="d">
        <v>12:07:59.99999999999829150</v>
      </c>
      <c r="L309" s="74"/>
      <c r="M309" s="54"/>
      <c r="O309" s="4"/>
    </row>
    <row r="310" spans="1:15" x14ac:dyDescent="0.2">
      <c r="A310" s="73">
        <f t="shared" si="8"/>
        <v>309</v>
      </c>
      <c r="B310" t="s">
        <v>240</v>
      </c>
      <c r="C310" s="55" t="s">
        <v>71</v>
      </c>
      <c r="D310" s="9">
        <v>351</v>
      </c>
      <c r="E310" s="56"/>
      <c r="F310" s="4" t="d">
        <f ca="1">Table9[[#This Row],[Surgery Start Date]]+1</f>
        <v>2020-03-20</v>
      </c>
      <c r="G310" s="53" t="d">
        <v>12:22:00.00000000000490350</v>
      </c>
      <c r="H310" s="53" t="d">
        <v>12:48:00.00000000000895275</v>
      </c>
      <c r="I310" s="53" t="d">
        <v>14:12:00.00000000000063900</v>
      </c>
      <c r="J310" s="53" t="d">
        <v>14:13:00.00000000000042375</v>
      </c>
      <c r="K310" s="53" t="d">
        <v>14:18:00.00000000000895275</v>
      </c>
      <c r="L310" s="74"/>
      <c r="M310" s="54"/>
      <c r="O310" s="4"/>
    </row>
    <row r="311" spans="1:15" x14ac:dyDescent="0.2">
      <c r="A311" s="73">
        <f t="shared" si="8"/>
        <v>310</v>
      </c>
      <c r="B311" t="s">
        <v>240</v>
      </c>
      <c r="C311" s="55" t="s">
        <v>71</v>
      </c>
      <c r="D311" s="9">
        <v>351</v>
      </c>
      <c r="E311" s="56"/>
      <c r="F311" s="4" t="d">
        <f ca="1">Table9[[#This Row],[Surgery Start Date]]+1</f>
        <v>2020-03-20</v>
      </c>
      <c r="G311" s="53" t="d">
        <v>14:08:00.00000000000149325</v>
      </c>
      <c r="H311" s="53" t="d">
        <v>14:28:59.99999999999701350</v>
      </c>
      <c r="I311" s="53" t="d">
        <v>15:35:00.00000000000213225</v>
      </c>
      <c r="J311" s="53" t="d">
        <v>15:40:00.00000000001066125</v>
      </c>
      <c r="K311" s="53" t="d">
        <v>15:41:00.00000000000085425</v>
      </c>
      <c r="L311" s="74"/>
      <c r="M311" s="54"/>
      <c r="O311" s="4"/>
    </row>
    <row r="312" spans="1:15" x14ac:dyDescent="0.2">
      <c r="A312" s="73">
        <f t="shared" si="8"/>
        <v>311</v>
      </c>
      <c r="B312" t="s">
        <v>239</v>
      </c>
      <c r="C312" s="55" t="s">
        <v>72</v>
      </c>
      <c r="D312" s="9">
        <v>76</v>
      </c>
      <c r="E312" s="56"/>
      <c r="F312" s="4" t="d">
        <f ca="1">Table9[[#This Row],[Surgery Start Date]]+1</f>
        <v>2020-03-20</v>
      </c>
      <c r="G312" s="53" t="d">
        <v>09:00:00.000</v>
      </c>
      <c r="H312" s="53" t="d">
        <v>09:29:59.9999999999984025</v>
      </c>
      <c r="I312" s="53" t="d">
        <v>15:40:00.00000000001066125</v>
      </c>
      <c r="J312" s="53" t="d">
        <v>15:55:00.00000000000745950</v>
      </c>
      <c r="K312" s="53" t="d">
        <v>16:00:00.00000000000639675</v>
      </c>
      <c r="L312" s="74"/>
      <c r="M312" s="54"/>
      <c r="O312" s="4"/>
    </row>
    <row r="313" spans="1:15" x14ac:dyDescent="0.2">
      <c r="A313" s="73">
        <f t="shared" si="8"/>
        <v>312</v>
      </c>
      <c r="B313" t="s">
        <v>239</v>
      </c>
      <c r="C313" s="55" t="s">
        <v>72</v>
      </c>
      <c r="D313" s="9">
        <v>427</v>
      </c>
      <c r="E313" s="56"/>
      <c r="F313" s="4" t="d">
        <f ca="1">Table9[[#This Row],[Surgery Start Date]]+1</f>
        <v>2020-03-23</v>
      </c>
      <c r="G313" s="53" t="d">
        <v>11:11:59.99999999999584650</v>
      </c>
      <c r="H313" s="53" t="d">
        <v>13:00:00.00000000000639675</v>
      </c>
      <c r="I313" s="53" t="d">
        <v>18:49:59.99999999999893725</v>
      </c>
      <c r="J313" s="53" t="d">
        <v>19:15:00.0000000000031950</v>
      </c>
      <c r="K313" s="53" t="d">
        <v>20:00:00.0000000000031950</v>
      </c>
      <c r="L313" s="74"/>
      <c r="M313" s="54"/>
      <c r="O313" s="4"/>
    </row>
    <row r="314" spans="1:15" x14ac:dyDescent="0.2">
      <c r="A314" s="73">
        <f t="shared" si="8"/>
        <v>313</v>
      </c>
      <c r="B314" t="s">
        <v>241</v>
      </c>
      <c r="C314" s="55" t="s">
        <v>72</v>
      </c>
      <c r="D314" s="9">
        <v>76</v>
      </c>
      <c r="E314" s="56"/>
      <c r="F314" s="4" t="d">
        <f ca="1">Table9[[#This Row],[Surgery Start Date]]+1</f>
        <v>2020-03-20</v>
      </c>
      <c r="G314" s="53" t="d">
        <v>09:43:59.99999999999541600</v>
      </c>
      <c r="H314" s="53" t="d">
        <v>10:50:00.00000000000053475</v>
      </c>
      <c r="I314" s="53" t="d">
        <v>10:50:59.99999999999552025</v>
      </c>
      <c r="J314" s="53" t="d">
        <v>10:52:00.00000000000010425</v>
      </c>
      <c r="K314" s="53" t="d">
        <v>16:15:00.0000000000031950</v>
      </c>
      <c r="L314" s="74"/>
      <c r="M314" s="54"/>
      <c r="O314" s="4"/>
    </row>
    <row r="315" spans="1:15" x14ac:dyDescent="0.2">
      <c r="A315" s="73">
        <f t="shared" si="8"/>
        <v>314</v>
      </c>
      <c r="B315" t="s">
        <v>237</v>
      </c>
      <c r="C315" s="55"/>
      <c r="D315" s="9">
        <v>27</v>
      </c>
      <c r="E315" s="56"/>
      <c r="F315" s="4" t="d">
        <f ca="1">Table9[[#This Row],[Surgery Start Date]]+1</f>
        <v>2020-03-23</v>
      </c>
      <c r="G315" s="53" t="d">
        <v>07:52:59.999999999995097175</v>
      </c>
      <c r="H315" s="53" t="d">
        <v>08:09:00.00000000000127800</v>
      </c>
      <c r="I315" s="53" t="d">
        <v>08:33:59.99999999999595075</v>
      </c>
      <c r="J315" s="53" t="d">
        <v>08:35:00.00000000000053475</v>
      </c>
      <c r="K315" s="53" t="d">
        <v>08:35:59.99999999999552025</v>
      </c>
      <c r="L315" s="74"/>
      <c r="M315" s="54"/>
      <c r="O315" s="4"/>
    </row>
    <row r="316" spans="1:15" x14ac:dyDescent="0.2">
      <c r="A316" s="73">
        <f t="shared" si="8"/>
        <v>315</v>
      </c>
      <c r="B316" t="s">
        <v>237</v>
      </c>
      <c r="C316" s="55"/>
      <c r="D316" s="9">
        <v>27</v>
      </c>
      <c r="E316" s="56"/>
      <c r="F316" s="4" t="d">
        <f ca="1">Table9[[#This Row],[Surgery Start Date]]+1</f>
        <v>2020-03-23</v>
      </c>
      <c r="G316" s="53" t="d">
        <v>08:26:59.999999999997441975</v>
      </c>
      <c r="H316" s="53" t="d">
        <v>08:58:59.99999999999541600</v>
      </c>
      <c r="I316" s="53" t="d">
        <v>09:57:59.99999999999722875</v>
      </c>
      <c r="J316" s="53" t="d">
        <v>09:59:59.9999999999968050</v>
      </c>
      <c r="K316" s="53" t="d">
        <v>10:05:00.00000000000053475</v>
      </c>
      <c r="L316" s="74"/>
      <c r="M316" s="54"/>
      <c r="O316" s="4"/>
    </row>
    <row r="317" spans="1:15" x14ac:dyDescent="0.2">
      <c r="A317" s="73">
        <f t="shared" si="8"/>
        <v>316</v>
      </c>
      <c r="B317" t="s">
        <v>237</v>
      </c>
      <c r="C317" s="55"/>
      <c r="D317" s="9">
        <v>27</v>
      </c>
      <c r="E317" s="56"/>
      <c r="F317" s="4" t="d">
        <f ca="1">Table9[[#This Row],[Surgery Start Date]]+1</f>
        <v>2020-03-23</v>
      </c>
      <c r="G317" s="53" t="d">
        <v>10:05:00.00000000000053475</v>
      </c>
      <c r="H317" s="53" t="d">
        <v>11:15:01</v>
      </c>
      <c r="I317" s="53" t="d">
        <v>15:07:59.99999999999829150</v>
      </c>
      <c r="J317" s="53" t="d">
        <v>15:11:59.999999999997441975</v>
      </c>
      <c r="K317" s="53" t="d">
        <v>15:15:00.00000000000639675</v>
      </c>
      <c r="L317" s="74"/>
      <c r="M317" s="54"/>
      <c r="O317" s="4"/>
    </row>
    <row r="318" spans="1:15" x14ac:dyDescent="0.2">
      <c r="A318" s="73">
        <f t="shared" si="8"/>
        <v>317</v>
      </c>
      <c r="B318" t="s">
        <v>238</v>
      </c>
      <c r="C318" s="55" t="s">
        <v>72</v>
      </c>
      <c r="D318" s="9">
        <v>252</v>
      </c>
      <c r="E318" s="56"/>
      <c r="F318" s="4" t="d">
        <f ca="1">Table9[[#This Row],[Surgery Start Date]]+1</f>
        <v>2020-03-23</v>
      </c>
      <c r="G318" s="53" t="d">
        <v>07:46:59.99999999999637450</v>
      </c>
      <c r="H318" s="53" t="d">
        <v>08:05:00.00000000000213225</v>
      </c>
      <c r="I318" s="53" t="d">
        <v>08:19:59.99999999999893725</v>
      </c>
      <c r="J318" s="53" t="d">
        <v>08:24:59.99999999999786775</v>
      </c>
      <c r="K318" s="53" t="d">
        <v>08:29:59.9999999999968050</v>
      </c>
      <c r="L318" s="74"/>
      <c r="M318" s="54"/>
      <c r="O318" s="4"/>
    </row>
    <row r="319" spans="1:15" x14ac:dyDescent="0.2">
      <c r="A319" s="73">
        <f t="shared" si="8"/>
        <v>318</v>
      </c>
      <c r="B319" t="s">
        <v>238</v>
      </c>
      <c r="C319" s="55" t="s">
        <v>72</v>
      </c>
      <c r="D319" s="9">
        <v>252</v>
      </c>
      <c r="E319" s="56"/>
      <c r="F319" s="4" t="d">
        <f ca="1">Table9[[#This Row],[Surgery Start Date]]+1</f>
        <v>2020-03-23</v>
      </c>
      <c r="G319" s="53" t="d">
        <v>08:42:59.99999999999882625</v>
      </c>
      <c r="H319" s="53" t="d">
        <v>09:14:59.9999999999968050</v>
      </c>
      <c r="I319" s="53" t="d">
        <v>09:59:59.9999999999968050</v>
      </c>
      <c r="J319" s="53" t="d">
        <v>10:20:00.00000000000213225</v>
      </c>
      <c r="K319" s="53" t="d">
        <v>10:20:59.99999999999712450</v>
      </c>
      <c r="L319" s="74"/>
      <c r="M319" s="54"/>
      <c r="O319" s="4"/>
    </row>
    <row r="320" spans="1:15" x14ac:dyDescent="0.2">
      <c r="A320" s="73">
        <f t="shared" si="8"/>
        <v>319</v>
      </c>
      <c r="B320" t="s">
        <v>238</v>
      </c>
      <c r="C320" s="55" t="s">
        <v>72</v>
      </c>
      <c r="D320" s="9">
        <v>252</v>
      </c>
      <c r="E320" s="56"/>
      <c r="F320" s="4" t="d">
        <f ca="1">Table9[[#This Row],[Surgery Start Date]]+1</f>
        <v>2020-03-23</v>
      </c>
      <c r="G320" s="53" t="d">
        <v>10:44:59.9999999999968050</v>
      </c>
      <c r="H320" s="53" t="d">
        <v>11:09:59.99999999999627025</v>
      </c>
      <c r="I320" s="53" t="d">
        <v>11:20:00.00000000000372975</v>
      </c>
      <c r="J320" s="53" t="d">
        <v>11:22:59.99999999999349900</v>
      </c>
      <c r="K320" s="53" t="d">
        <v>11:24:59.99999999999307525</v>
      </c>
      <c r="L320" s="74"/>
      <c r="M320" s="54"/>
      <c r="O320" s="4"/>
    </row>
    <row r="321" spans="1:15" x14ac:dyDescent="0.2">
      <c r="A321" s="73">
        <f t="shared" si="8"/>
        <v>320</v>
      </c>
      <c r="B321" t="s">
        <v>238</v>
      </c>
      <c r="C321" s="55" t="s">
        <v>72</v>
      </c>
      <c r="D321" s="9">
        <v>252</v>
      </c>
      <c r="E321" s="56"/>
      <c r="F321" s="4" t="d">
        <f ca="1">Table9[[#This Row],[Surgery Start Date]]+1</f>
        <v>2020-03-23</v>
      </c>
      <c r="G321" s="53" t="d">
        <v>11:30:00.0000000000015975</v>
      </c>
      <c r="H321" s="53" t="d">
        <v>12:00:01</v>
      </c>
      <c r="I321" s="53" t="d">
        <v>12:50:00.00000000000852900</v>
      </c>
      <c r="J321" s="53" t="d">
        <v>13:05:00.00000000000532725</v>
      </c>
      <c r="K321" s="53" t="d">
        <v>13:06:00.00000000000511875</v>
      </c>
      <c r="L321" s="74"/>
      <c r="M321" s="54"/>
      <c r="O321" s="4"/>
    </row>
    <row r="322" spans="1:15" x14ac:dyDescent="0.2">
      <c r="A322" s="73">
        <f t="shared" si="8"/>
        <v>321</v>
      </c>
      <c r="B322" t="s">
        <v>238</v>
      </c>
      <c r="C322" s="55" t="s">
        <v>72</v>
      </c>
      <c r="D322" s="9">
        <v>252</v>
      </c>
      <c r="E322" s="56"/>
      <c r="F322" s="4" t="d">
        <f ca="1">Table9[[#This Row],[Surgery Start Date]]+1</f>
        <v>2020-03-23</v>
      </c>
      <c r="G322" s="53" t="d">
        <v>12:50:00.00000000000852900</v>
      </c>
      <c r="H322" s="53" t="d">
        <v>13:30:00.000</v>
      </c>
      <c r="I322" s="53" t="d">
        <v>17:10:00.00000000001066125</v>
      </c>
      <c r="J322" s="53" t="d">
        <v>17:19:59.99999999999893725</v>
      </c>
      <c r="K322" s="53" t="d">
        <v>17:25:00.00000000000745950</v>
      </c>
      <c r="L322" s="74"/>
      <c r="M322" s="54"/>
      <c r="O322" s="4"/>
    </row>
    <row r="323" spans="1:15" x14ac:dyDescent="0.2">
      <c r="A323" s="73">
        <f t="shared" ref="A323:A331" si="9">ROW()-1</f>
        <v>322</v>
      </c>
      <c r="B323" t="s">
        <v>240</v>
      </c>
      <c r="C323" s="55" t="s">
        <v>71</v>
      </c>
      <c r="D323" s="9">
        <v>351</v>
      </c>
      <c r="E323" s="56"/>
      <c r="F323" s="4" t="d">
        <f ca="1">Table9[[#This Row],[Surgery Start Date]]+1</f>
        <v>2020-03-23</v>
      </c>
      <c r="G323" s="53" t="d">
        <v>08:05:59.99999999999712450</v>
      </c>
      <c r="H323" s="53" t="d">
        <v>08:39:59.99999999999467275</v>
      </c>
      <c r="I323" s="53" t="d">
        <v>09:57:59.99999999999722875</v>
      </c>
      <c r="J323" s="53" t="d">
        <v>10:01:00.00000000000138225</v>
      </c>
      <c r="K323" s="53" t="d">
        <v>10:03:59.99999999999595075</v>
      </c>
      <c r="L323" s="74"/>
      <c r="M323" s="54"/>
      <c r="O323" s="4"/>
    </row>
    <row r="324" spans="1:15" x14ac:dyDescent="0.2">
      <c r="A324" s="73">
        <f t="shared" si="9"/>
        <v>323</v>
      </c>
      <c r="B324" t="s">
        <v>240</v>
      </c>
      <c r="C324" s="55" t="s">
        <v>71</v>
      </c>
      <c r="D324" s="9">
        <v>351</v>
      </c>
      <c r="E324" s="56"/>
      <c r="F324" s="4" t="d">
        <f ca="1">Table9[[#This Row],[Surgery Start Date]]+1</f>
        <v>2020-03-23</v>
      </c>
      <c r="G324" s="53" t="d">
        <v>10:09:59.99999999999467275</v>
      </c>
      <c r="H324" s="53" t="d">
        <v>10:28:00.00000000000042375</v>
      </c>
      <c r="I324" s="53" t="d">
        <v>10:57:59.99999999999882625</v>
      </c>
      <c r="J324" s="53" t="d">
        <v>11:05:59.99999999999712450</v>
      </c>
      <c r="K324" s="53" t="d">
        <v>11:06:59.99999999999690925</v>
      </c>
      <c r="L324" s="74"/>
      <c r="M324" s="54"/>
      <c r="O324" s="4"/>
    </row>
    <row r="325" spans="1:15" x14ac:dyDescent="0.2">
      <c r="A325" s="73">
        <f t="shared" si="9"/>
        <v>324</v>
      </c>
      <c r="B325" t="s">
        <v>240</v>
      </c>
      <c r="C325" s="55" t="s">
        <v>71</v>
      </c>
      <c r="D325" s="9">
        <v>351</v>
      </c>
      <c r="E325" s="56"/>
      <c r="F325" s="4" t="d">
        <f ca="1">Table9[[#This Row],[Surgery Start Date]]+1</f>
        <v>2020-03-23</v>
      </c>
      <c r="G325" s="53" t="d">
        <v>11:37:59.999999999999893725</v>
      </c>
      <c r="H325" s="53" t="d">
        <v>11:54:59.99999999999627025</v>
      </c>
      <c r="I325" s="53" t="d">
        <v>12:54:59.99999999999786775</v>
      </c>
      <c r="J325" s="53" t="d">
        <v>12:56:00.00000000000724425</v>
      </c>
      <c r="K325" s="53" t="d">
        <v>12:58:00.00000000000682050</v>
      </c>
      <c r="L325" s="74"/>
      <c r="M325" s="54"/>
      <c r="O325" s="4"/>
    </row>
    <row r="326" spans="1:15" x14ac:dyDescent="0.2">
      <c r="A326" s="73">
        <f t="shared" si="9"/>
        <v>325</v>
      </c>
      <c r="B326" t="s">
        <v>240</v>
      </c>
      <c r="C326" s="55" t="s">
        <v>71</v>
      </c>
      <c r="D326" s="9">
        <v>351</v>
      </c>
      <c r="E326" s="56"/>
      <c r="F326" s="4" t="d">
        <f ca="1">Table9[[#This Row],[Surgery Start Date]]+1</f>
        <v>2020-03-23</v>
      </c>
      <c r="G326" s="53" t="d">
        <v>13:05:00.00000000000532725</v>
      </c>
      <c r="H326" s="53" t="d">
        <v>13:10:00.00000000000426450</v>
      </c>
      <c r="I326" s="53" t="d">
        <v>13:55:00.00000000000426450</v>
      </c>
      <c r="J326" s="53" t="d">
        <v>13:56:00.00000000000404925</v>
      </c>
      <c r="K326" s="53" t="d">
        <v>13:57:00.00000000000383400</v>
      </c>
      <c r="L326" s="74"/>
      <c r="M326" s="54"/>
      <c r="O326" s="4"/>
    </row>
    <row r="327" spans="1:15" x14ac:dyDescent="0.2">
      <c r="A327" s="73">
        <f t="shared" si="9"/>
        <v>326</v>
      </c>
      <c r="B327" t="s">
        <v>240</v>
      </c>
      <c r="C327" s="55" t="s">
        <v>71</v>
      </c>
      <c r="D327" s="9">
        <v>351</v>
      </c>
      <c r="E327" s="56"/>
      <c r="F327" s="4" t="d">
        <f ca="1">Table9[[#This Row],[Surgery Start Date]]+1</f>
        <v>2020-03-23</v>
      </c>
      <c r="G327" s="53" t="d">
        <v>14:04:00.000000000002344800</v>
      </c>
      <c r="H327" s="53" t="d">
        <v>14:36:00.00000000000511875</v>
      </c>
      <c r="I327" s="53" t="d">
        <v>16:06:00.00000000000511875</v>
      </c>
      <c r="J327" s="53" t="d">
        <v>16:12:59.99999999999403375</v>
      </c>
      <c r="K327" s="53" t="d">
        <v>16:14:00.00000000000341025</v>
      </c>
      <c r="L327" s="74"/>
      <c r="M327" s="54"/>
      <c r="O327" s="4"/>
    </row>
    <row r="328" spans="1:15" x14ac:dyDescent="0.2">
      <c r="A328" s="73">
        <f t="shared" si="9"/>
        <v>327</v>
      </c>
      <c r="B328" t="s">
        <v>241</v>
      </c>
      <c r="C328" s="55" t="s">
        <v>72</v>
      </c>
      <c r="D328" s="9">
        <v>388</v>
      </c>
      <c r="E328" s="56"/>
      <c r="F328" s="4" t="d">
        <f ca="1">Table9[[#This Row],[Surgery Start Date]]+1</f>
        <v>2020-03-23</v>
      </c>
      <c r="G328" s="53" t="d">
        <v>08:05:00.00000000000213225</v>
      </c>
      <c r="H328" s="53" t="d">
        <v>08:19:59.99999999999893725</v>
      </c>
      <c r="I328" s="53" t="d">
        <v>09:35:00.00000000000213225</v>
      </c>
      <c r="J328" s="53" t="d">
        <v>09:39:59.99999999999627025</v>
      </c>
      <c r="K328" s="53" t="d">
        <v>09:45:00.000</v>
      </c>
      <c r="L328" s="74"/>
      <c r="M328" s="54"/>
      <c r="O328" s="4"/>
    </row>
    <row r="329" spans="1:15" x14ac:dyDescent="0.2">
      <c r="A329" s="73">
        <f t="shared" si="9"/>
        <v>328</v>
      </c>
      <c r="B329" t="s">
        <v>241</v>
      </c>
      <c r="C329" s="55" t="s">
        <v>72</v>
      </c>
      <c r="D329" s="9">
        <v>388</v>
      </c>
      <c r="E329" s="56"/>
      <c r="F329" s="4" t="d">
        <f ca="1">Table9[[#This Row],[Surgery Start Date]]+1</f>
        <v>2020-03-23</v>
      </c>
      <c r="G329" s="53" t="d">
        <v>10:05:59.99999999999552025</v>
      </c>
      <c r="H329" s="53" t="d">
        <v>10:07:00.00000000000010425</v>
      </c>
      <c r="I329" s="53" t="d">
        <v>10:54:59.99999999999467275</v>
      </c>
      <c r="J329" s="53" t="d">
        <v>10:56:59.99999999999424225</v>
      </c>
      <c r="K329" s="53" t="d">
        <v>10:59:59.9999999999984025</v>
      </c>
      <c r="L329" s="74"/>
      <c r="M329" s="54"/>
      <c r="O329" s="4"/>
    </row>
    <row r="330" spans="1:15" x14ac:dyDescent="0.2">
      <c r="A330" s="73">
        <f t="shared" si="9"/>
        <v>329</v>
      </c>
      <c r="B330" t="s">
        <v>241</v>
      </c>
      <c r="C330" s="55" t="s">
        <v>72</v>
      </c>
      <c r="D330" s="9">
        <v>388</v>
      </c>
      <c r="E330" s="56"/>
      <c r="F330" s="4" t="d">
        <f ca="1">Table9[[#This Row],[Surgery Start Date]]+1</f>
        <v>2020-03-23</v>
      </c>
      <c r="G330" s="53" t="d">
        <v>11:16:00.000000000004583325</v>
      </c>
      <c r="H330" s="53" t="d">
        <v>11:39:59.99999999999946525</v>
      </c>
      <c r="I330" s="53" t="d">
        <v>11:40:59.99999999999925675</v>
      </c>
      <c r="J330" s="53" t="d">
        <v>11:41:59.99999999999904150</v>
      </c>
      <c r="K330" s="53" t="d">
        <v>13:08:00.000000000004689600</v>
      </c>
      <c r="L330" s="74"/>
      <c r="M330" s="54"/>
      <c r="O330" s="4"/>
    </row>
    <row r="331" spans="1:15" x14ac:dyDescent="0.2">
      <c r="A331" s="73">
        <f t="shared" si="9"/>
        <v>330</v>
      </c>
      <c r="B331" t="s">
        <v>241</v>
      </c>
      <c r="C331" s="55" t="s">
        <v>72</v>
      </c>
      <c r="D331" s="9">
        <v>388</v>
      </c>
      <c r="E331" s="56"/>
      <c r="F331" s="4" t="d">
        <f ca="1">Table9[[#This Row],[Surgery Start Date]]+1</f>
        <v>2020-03-23</v>
      </c>
      <c r="G331" s="53" t="d">
        <v>14:05:00.00000000000213225</v>
      </c>
      <c r="H331" s="53" t="d">
        <v>14:20:00.00000000000852900</v>
      </c>
      <c r="I331" s="53" t="d">
        <v>15:04:59.99999999999893725</v>
      </c>
      <c r="J331" s="53" t="d">
        <v>15:07:59.99999999999829150</v>
      </c>
      <c r="K331" s="53" t="d">
        <v>15:12:59.99999999999722875</v>
      </c>
      <c r="L331" s="74"/>
      <c r="M331" s="54"/>
      <c r="O331" s="4"/>
    </row>
    <row r="332" spans="1:15" x14ac:dyDescent="0.2">
      <c r="A332" s="73">
        <f t="shared" ref="A332:A348" si="10">ROW()-1</f>
        <v>331</v>
      </c>
      <c r="B332" t="s">
        <v>237</v>
      </c>
      <c r="C332" s="55"/>
      <c r="D332" s="9">
        <v>27</v>
      </c>
      <c r="E332" s="56"/>
      <c r="F332" s="4" t="d">
        <f ca="1">Table9[[#This Row],[Surgery Start Date]]+1</f>
        <v>2020-03-24</v>
      </c>
      <c r="G332" s="53" t="d">
        <v>08:33:00.00000000000095850</v>
      </c>
      <c r="H332" s="53" t="d">
        <v>08:43:59.99999999999381850</v>
      </c>
      <c r="I332" s="53" t="d">
        <v>09:05:59.99999999999872200</v>
      </c>
      <c r="J332" s="53" t="d">
        <v>09:07:59.99999999999829150</v>
      </c>
      <c r="K332" s="53" t="d">
        <v>09:08:59.99999999999808300</v>
      </c>
      <c r="L332" s="74"/>
      <c r="M332" s="54"/>
      <c r="O332" s="4"/>
    </row>
    <row r="333" spans="1:15" x14ac:dyDescent="0.2">
      <c r="A333" s="73">
        <f t="shared" si="10"/>
        <v>332</v>
      </c>
      <c r="B333" t="s">
        <v>237</v>
      </c>
      <c r="C333" s="55"/>
      <c r="D333" s="9">
        <v>27</v>
      </c>
      <c r="E333" s="56"/>
      <c r="F333" s="4" t="d">
        <f ca="1">Table9[[#This Row],[Surgery Start Date]]+1</f>
        <v>2020-03-24</v>
      </c>
      <c r="G333" s="53" t="d">
        <v>09:09:59.99999999999786775</v>
      </c>
      <c r="H333" s="53" t="d">
        <v>09:43:59.99999999999541600</v>
      </c>
      <c r="I333" s="53" t="d">
        <v>11:05:59.99999999999712450</v>
      </c>
      <c r="J333" s="53" t="d">
        <v>11:06:59.99999999999690925</v>
      </c>
      <c r="K333" s="53" t="d">
        <v>11:07:59.99999999999669400</v>
      </c>
      <c r="L333" s="74"/>
      <c r="M333" s="54"/>
      <c r="O333" s="4"/>
    </row>
    <row r="334" spans="1:15" x14ac:dyDescent="0.2">
      <c r="A334" s="73">
        <f t="shared" si="10"/>
        <v>333</v>
      </c>
      <c r="B334" t="s">
        <v>237</v>
      </c>
      <c r="C334" s="55"/>
      <c r="D334" s="9">
        <v>27</v>
      </c>
      <c r="E334" s="56"/>
      <c r="F334" s="4" t="d">
        <f ca="1">Table9[[#This Row],[Surgery Start Date]]+1</f>
        <v>2020-03-24</v>
      </c>
      <c r="G334" s="53" t="d">
        <v>10:46:00.00000000000138225</v>
      </c>
      <c r="H334" s="53" t="d">
        <v>11:16:00.000000000004583325</v>
      </c>
      <c r="I334" s="53" t="d">
        <v>11:24:59.99999999999307525</v>
      </c>
      <c r="J334" s="53" t="d">
        <v>11:26:59.999999999992646100</v>
      </c>
      <c r="K334" s="53" t="d">
        <v>11:28:00.00000000000202800</v>
      </c>
      <c r="L334" s="74"/>
      <c r="M334" s="54"/>
      <c r="O334" s="4"/>
    </row>
    <row r="335" spans="1:15" x14ac:dyDescent="0.2">
      <c r="A335" s="73">
        <f t="shared" si="10"/>
        <v>334</v>
      </c>
      <c r="B335" t="s">
        <v>237</v>
      </c>
      <c r="C335" s="55"/>
      <c r="D335" s="9">
        <v>27</v>
      </c>
      <c r="E335" s="56"/>
      <c r="F335" s="4" t="d">
        <f ca="1">Table9[[#This Row],[Surgery Start Date]]+1</f>
        <v>2020-03-24</v>
      </c>
      <c r="G335" s="53" t="d">
        <v>11:44:59.9999999999984025</v>
      </c>
      <c r="H335" s="53" t="d">
        <v>12:20:00.00000000000532725</v>
      </c>
      <c r="I335" s="53" t="d">
        <v>13:37:00.00000000000809850</v>
      </c>
      <c r="J335" s="53" t="d">
        <v>13:52:00.00000000000490350</v>
      </c>
      <c r="K335" s="53" t="d">
        <v>13:54:00.00000000000447975</v>
      </c>
      <c r="L335" s="74"/>
      <c r="M335" s="54"/>
      <c r="O335" s="4"/>
    </row>
    <row r="336" spans="1:15" x14ac:dyDescent="0.2">
      <c r="A336" s="73">
        <f t="shared" si="10"/>
        <v>335</v>
      </c>
      <c r="B336" t="s">
        <v>237</v>
      </c>
      <c r="C336" s="55"/>
      <c r="D336" s="9">
        <v>27</v>
      </c>
      <c r="E336" s="56"/>
      <c r="F336" s="4" t="d">
        <f ca="1">Table9[[#This Row],[Surgery Start Date]]+1</f>
        <v>2020-03-24</v>
      </c>
      <c r="G336" s="53" t="d">
        <v>13:58:00.00000000000362550</v>
      </c>
      <c r="H336" s="53" t="d">
        <v>14:08:00.00000000000149325</v>
      </c>
      <c r="I336" s="53" t="d">
        <v>14:34:00.0000000000055425</v>
      </c>
      <c r="J336" s="53" t="d">
        <v>14:35:00.00000000000532725</v>
      </c>
      <c r="K336" s="53" t="d">
        <v>14:36:00.00000000000511875</v>
      </c>
      <c r="L336" s="74"/>
      <c r="M336" s="54"/>
      <c r="O336" s="4"/>
    </row>
    <row r="337" spans="1:15" x14ac:dyDescent="0.2">
      <c r="A337" s="73">
        <f t="shared" si="10"/>
        <v>336</v>
      </c>
      <c r="B337" t="s">
        <v>237</v>
      </c>
      <c r="C337" s="55"/>
      <c r="D337" s="9">
        <v>27</v>
      </c>
      <c r="E337" s="56"/>
      <c r="F337" s="4" t="d">
        <f ca="1">Table9[[#This Row],[Surgery Start Date]]+1</f>
        <v>2020-03-24</v>
      </c>
      <c r="G337" s="53" t="d">
        <v>15:04:59.99999999999893725</v>
      </c>
      <c r="H337" s="53" t="d">
        <v>15:55:00.00000000000745950</v>
      </c>
      <c r="I337" s="53" t="d">
        <v>17:30:00.00000000000639675</v>
      </c>
      <c r="J337" s="53" t="d">
        <v>17:45:00.0000000000031950</v>
      </c>
      <c r="K337" s="53" t="d">
        <v>17:46:00.00000000000298650</v>
      </c>
      <c r="L337" s="74"/>
      <c r="M337" s="54"/>
      <c r="O337" s="4"/>
    </row>
    <row r="338" spans="1:15" x14ac:dyDescent="0.2">
      <c r="A338" s="73">
        <f t="shared" si="10"/>
        <v>337</v>
      </c>
      <c r="B338" t="s">
        <v>240</v>
      </c>
      <c r="C338" s="55" t="s">
        <v>71</v>
      </c>
      <c r="D338" s="9">
        <v>351</v>
      </c>
      <c r="E338" s="56"/>
      <c r="F338" s="4" t="d">
        <f ca="1">Table9[[#This Row],[Surgery Start Date]]+1</f>
        <v>2020-03-24</v>
      </c>
      <c r="G338" s="53" t="d">
        <v>07:54:59.99999999999467275</v>
      </c>
      <c r="H338" s="53" t="d">
        <v>08:09:59.99999999999627025</v>
      </c>
      <c r="I338" s="53" t="d">
        <v>08:24:59.99999999999786775</v>
      </c>
      <c r="J338" s="53" t="d">
        <v>08:25:59.9999999999976525</v>
      </c>
      <c r="K338" s="53" t="d">
        <v>08:26:59.999999999997441975</v>
      </c>
      <c r="L338" s="74"/>
      <c r="M338" s="54"/>
      <c r="O338" s="4"/>
    </row>
    <row r="339" spans="1:15" x14ac:dyDescent="0.2">
      <c r="A339" s="73">
        <f t="shared" si="10"/>
        <v>338</v>
      </c>
      <c r="B339" t="s">
        <v>240</v>
      </c>
      <c r="C339" s="55" t="s">
        <v>71</v>
      </c>
      <c r="D339" s="9">
        <v>351</v>
      </c>
      <c r="E339" s="56"/>
      <c r="F339" s="4" t="d">
        <f ca="1">Table9[[#This Row],[Surgery Start Date]]+1</f>
        <v>2020-03-24</v>
      </c>
      <c r="G339" s="53" t="d">
        <v>08:35:59.99999999999552025</v>
      </c>
      <c r="H339" s="53" t="d">
        <v>08:52:00.00000000000170850</v>
      </c>
      <c r="I339" s="53" t="d">
        <v>10:09:59.99999999999467275</v>
      </c>
      <c r="J339" s="53" t="d">
        <v>10:10:59.99999999999925675</v>
      </c>
      <c r="K339" s="53" t="d">
        <v>10:14:59.9999999999984025</v>
      </c>
      <c r="L339" s="74"/>
      <c r="M339" s="54"/>
      <c r="O339" s="4"/>
    </row>
    <row r="340" spans="1:15" x14ac:dyDescent="0.2">
      <c r="A340" s="73">
        <f t="shared" si="10"/>
        <v>339</v>
      </c>
      <c r="B340" t="s">
        <v>240</v>
      </c>
      <c r="C340" s="55" t="s">
        <v>71</v>
      </c>
      <c r="D340" s="9">
        <v>351</v>
      </c>
      <c r="E340" s="56"/>
      <c r="F340" s="4" t="d">
        <f ca="1">Table9[[#This Row],[Surgery Start Date]]+1</f>
        <v>2020-03-24</v>
      </c>
      <c r="G340" s="53" t="d">
        <v>09:51:59.99999999999850675</v>
      </c>
      <c r="H340" s="53" t="d">
        <v>10:35:59.99999999999872200</v>
      </c>
      <c r="I340" s="53" t="d">
        <v>11:22:00.00000000000330600</v>
      </c>
      <c r="J340" s="53" t="d">
        <v>11:22:59.99999999999349900</v>
      </c>
      <c r="K340" s="53" t="d">
        <v>11:32:00.00000000000117375</v>
      </c>
      <c r="L340" s="74"/>
      <c r="M340" s="54"/>
      <c r="O340" s="4"/>
    </row>
    <row r="341" spans="1:15" x14ac:dyDescent="0.2">
      <c r="A341" s="73">
        <f t="shared" si="10"/>
        <v>340</v>
      </c>
      <c r="B341" t="s">
        <v>240</v>
      </c>
      <c r="C341" s="55" t="s">
        <v>71</v>
      </c>
      <c r="D341" s="9">
        <v>351</v>
      </c>
      <c r="E341" s="56"/>
      <c r="F341" s="4" t="d">
        <f ca="1">Table9[[#This Row],[Surgery Start Date]]+1</f>
        <v>2020-03-24</v>
      </c>
      <c r="L341" s="74"/>
      <c r="M341" s="54"/>
      <c r="O341" s="4"/>
    </row>
    <row r="342" spans="1:15" x14ac:dyDescent="0.2">
      <c r="A342">
        <f t="shared" si="10"/>
        <v>341</v>
      </c>
      <c r="B342" t="s">
        <v>240</v>
      </c>
      <c r="C342" s="55" t="s">
        <v>71</v>
      </c>
      <c r="D342" s="9">
        <v>351</v>
      </c>
      <c r="E342" s="56"/>
      <c r="F342" s="4" t="d">
        <f ca="1">Table9[[#This Row],[Surgery Start Date]]+1</f>
        <v>2020-03-24</v>
      </c>
      <c r="G342" s="53" t="d">
        <v>11:32:00.00000000000117375</v>
      </c>
      <c r="H342" s="53" t="d">
        <v>12:05:00.00000000000852900</v>
      </c>
      <c r="I342" s="53" t="d">
        <v>13:14:00.00000000000341025</v>
      </c>
      <c r="J342" s="53" t="d">
        <v>13:15:00.0000000000031950</v>
      </c>
      <c r="K342" s="53" t="d">
        <v>13:17:00.00000000000277125</v>
      </c>
      <c r="M342" s="54"/>
      <c r="O342" s="4"/>
    </row>
    <row r="343" spans="1:15" x14ac:dyDescent="0.2">
      <c r="A343">
        <f t="shared" si="10"/>
        <v>342</v>
      </c>
      <c r="B343" t="s">
        <v>240</v>
      </c>
      <c r="C343" s="55" t="s">
        <v>71</v>
      </c>
      <c r="D343" s="9">
        <v>351</v>
      </c>
      <c r="E343" s="56"/>
      <c r="F343" s="4" t="d">
        <f ca="1">Table9[[#This Row],[Surgery Start Date]]+1</f>
        <v>2020-03-24</v>
      </c>
      <c r="G343" s="53" t="d">
        <v>13:15:00.0000000000031950</v>
      </c>
      <c r="H343" s="53" t="d">
        <v>14:37:00.00000000000490350</v>
      </c>
      <c r="I343" s="53" t="d">
        <v>15:04:59.99999999999893725</v>
      </c>
      <c r="J343" s="53" t="d">
        <v>15:10:00.00000000000745950</v>
      </c>
      <c r="K343" s="53" t="d">
        <v>15:15:00.00000000000639675</v>
      </c>
      <c r="M343" s="54"/>
      <c r="O343" s="4"/>
    </row>
    <row r="344" spans="1:15" x14ac:dyDescent="0.2">
      <c r="A344">
        <f t="shared" si="10"/>
        <v>343</v>
      </c>
      <c r="B344" t="s">
        <v>241</v>
      </c>
      <c r="C344" s="55" t="s">
        <v>72</v>
      </c>
      <c r="D344" s="9">
        <v>28</v>
      </c>
      <c r="E344" s="56"/>
      <c r="F344" s="4" t="d">
        <f ca="1">Table9[[#This Row],[Surgery Start Date]]+1</f>
        <v>2020-03-24</v>
      </c>
      <c r="G344" s="53" t="d">
        <v>08:05:00.00000000000213225</v>
      </c>
      <c r="H344" s="53" t="d">
        <v>08:09:59.99999999999627025</v>
      </c>
      <c r="I344" s="53" t="d">
        <v>08:24:59.99999999999786775</v>
      </c>
      <c r="J344" s="53" t="d">
        <v>08:25:59.9999999999976525</v>
      </c>
      <c r="K344" s="53" t="d">
        <v>08:29:59.9999999999968050</v>
      </c>
      <c r="M344" s="54"/>
      <c r="O344" s="4"/>
    </row>
    <row r="345" spans="1:15" x14ac:dyDescent="0.2">
      <c r="A345">
        <f t="shared" si="10"/>
        <v>344</v>
      </c>
      <c r="B345" t="s">
        <v>241</v>
      </c>
      <c r="C345" s="55" t="s">
        <v>72</v>
      </c>
      <c r="D345" s="9">
        <v>28</v>
      </c>
      <c r="E345" s="56"/>
      <c r="F345" s="4" t="d">
        <f ca="1">Table9[[#This Row],[Surgery Start Date]]+1</f>
        <v>2020-03-24</v>
      </c>
      <c r="G345" s="53" t="d">
        <v>08:39:59.99999999999467275</v>
      </c>
      <c r="H345" s="53" t="d">
        <v>08:50:00.00000000000213225</v>
      </c>
      <c r="I345" s="53" t="d">
        <v>09:18:00.00000000000095850</v>
      </c>
      <c r="J345" s="53" t="d">
        <v>09:24:59.99999999999467275</v>
      </c>
      <c r="K345" s="53" t="d">
        <v>09:26:59.99999999999424225</v>
      </c>
      <c r="M345" s="54"/>
      <c r="O345" s="4"/>
    </row>
    <row r="346" spans="1:15" x14ac:dyDescent="0.2">
      <c r="A346">
        <f t="shared" si="10"/>
        <v>345</v>
      </c>
      <c r="B346" t="s">
        <v>241</v>
      </c>
      <c r="C346" s="55" t="s">
        <v>72</v>
      </c>
      <c r="D346" s="9">
        <v>28</v>
      </c>
      <c r="E346" s="56"/>
      <c r="F346" s="4" t="d">
        <f ca="1">Table9[[#This Row],[Surgery Start Date]]+1</f>
        <v>2020-03-24</v>
      </c>
      <c r="G346" s="53" t="d">
        <v>10:39:59.99999999999786775</v>
      </c>
      <c r="H346" s="53" t="d">
        <v>10:44:59.9999999999968050</v>
      </c>
      <c r="I346" s="53" t="d">
        <v>11:49:59.99999999999733300</v>
      </c>
      <c r="J346" s="53" t="d">
        <v>12:05:00.00000000000852900</v>
      </c>
      <c r="K346" s="53" t="d">
        <v>12:05:59.99999999999872200</v>
      </c>
      <c r="M346" s="54"/>
      <c r="O346" s="4"/>
    </row>
    <row r="347" spans="1:15" x14ac:dyDescent="0.2">
      <c r="A347">
        <f t="shared" si="10"/>
        <v>346</v>
      </c>
      <c r="B347" t="s">
        <v>241</v>
      </c>
      <c r="C347" s="55" t="s">
        <v>72</v>
      </c>
      <c r="D347" s="9">
        <v>28</v>
      </c>
      <c r="E347" s="56"/>
      <c r="F347" s="4" t="d">
        <f ca="1">Table9[[#This Row],[Surgery Start Date]]+1</f>
        <v>2020-03-24</v>
      </c>
      <c r="G347" s="53" t="d">
        <v>13:00:00.00000000000639675</v>
      </c>
      <c r="H347" s="53" t="d">
        <v>13:20:00.00000000000213225</v>
      </c>
      <c r="I347" s="53" t="d">
        <v>15:19:59.99999999999573550</v>
      </c>
      <c r="J347" s="53" t="d">
        <v>15:35:00.00000000000213225</v>
      </c>
      <c r="K347" s="53" t="d">
        <v>15:45:00.000</v>
      </c>
      <c r="M347" s="54"/>
      <c r="O347" s="4"/>
    </row>
    <row r="348" spans="1:15" x14ac:dyDescent="0.2">
      <c r="A348">
        <f t="shared" si="10"/>
        <v>347</v>
      </c>
      <c r="B348" t="s">
        <v>239</v>
      </c>
      <c r="C348" s="55" t="s">
        <v>72</v>
      </c>
      <c r="D348" s="9">
        <v>28</v>
      </c>
      <c r="E348" s="56"/>
      <c r="F348" s="4" t="d">
        <f ca="1">Table9[[#This Row],[Surgery Start Date]]+1</f>
        <v>2020-03-19</v>
      </c>
      <c r="G348" s="53" t="d">
        <v>10:59:59.9999999999984025</v>
      </c>
      <c r="H348" s="53" t="d">
        <v>11:11:59.99999999999584650</v>
      </c>
      <c r="I348" s="53" t="d">
        <v>11:26:59.999999999992646100</v>
      </c>
      <c r="J348" s="53" t="d">
        <v>11:28:00.00000000000202800</v>
      </c>
      <c r="K348" s="53" t="d">
        <v>11:28:59.99999999999222100</v>
      </c>
      <c r="M348" s="54"/>
      <c r="O348" s="4"/>
    </row>
    <row r="349" spans="1:15" x14ac:dyDescent="0.2">
      <c r="A349" s="73">
        <f t="shared" ref="A349:A372" si="11">ROW()-1</f>
        <v>348</v>
      </c>
      <c r="B349" t="s">
        <v>239</v>
      </c>
      <c r="C349" s="55" t="s">
        <v>72</v>
      </c>
      <c r="D349" s="9">
        <v>28</v>
      </c>
      <c r="E349" s="56"/>
      <c r="F349" s="4" t="d">
        <f ca="1">Table9[[#This Row],[Surgery Start Date]]+1</f>
        <v>2020-03-19</v>
      </c>
      <c r="G349" s="53" t="d">
        <v>07:54:59.99999999999467275</v>
      </c>
      <c r="H349" s="53" t="d">
        <v>08:05:00.00000000000213225</v>
      </c>
      <c r="I349" s="53" t="d">
        <v>08:19:59.99999999999893725</v>
      </c>
      <c r="J349" s="53" t="d">
        <v>08:20:59.99999999999872200</v>
      </c>
      <c r="K349" s="53" t="d">
        <v>08:21:59.99999999999850675</v>
      </c>
      <c r="L349" s="74"/>
      <c r="M349" s="54"/>
      <c r="O349" s="4"/>
    </row>
    <row r="350" spans="1:15" x14ac:dyDescent="0.2">
      <c r="A350" s="73">
        <f t="shared" si="11"/>
        <v>349</v>
      </c>
      <c r="B350" t="s">
        <v>239</v>
      </c>
      <c r="C350" s="55" t="s">
        <v>72</v>
      </c>
      <c r="D350" s="9">
        <v>28</v>
      </c>
      <c r="E350" s="56"/>
      <c r="F350" s="4" t="d">
        <f ca="1">Table9[[#This Row],[Surgery Start Date]]+1</f>
        <v>2020-03-19</v>
      </c>
      <c r="L350" s="74"/>
      <c r="M350" s="54"/>
      <c r="O350" s="4"/>
    </row>
    <row r="351" spans="1:15" x14ac:dyDescent="0.2">
      <c r="A351" s="73">
        <f t="shared" si="11"/>
        <v>350</v>
      </c>
      <c r="B351" t="s">
        <v>239</v>
      </c>
      <c r="C351" s="55" t="s">
        <v>72</v>
      </c>
      <c r="D351" s="9">
        <v>28</v>
      </c>
      <c r="E351" s="56"/>
      <c r="F351" s="4" t="d">
        <f ca="1">Table9[[#This Row],[Surgery Start Date]]+1</f>
        <v>2020-03-19</v>
      </c>
      <c r="G351" s="53" t="d">
        <v>08:26:59.999999999997441975</v>
      </c>
      <c r="H351" s="53" t="d">
        <v>08:44:59.9999999999984025</v>
      </c>
      <c r="I351" s="53" t="d">
        <v>08:50:00.00000000000213225</v>
      </c>
      <c r="J351" s="53" t="d">
        <v>08:58:59.99999999999541600</v>
      </c>
      <c r="K351" s="53" t="d">
        <v>09:00:00.000</v>
      </c>
      <c r="L351" s="74"/>
      <c r="M351" s="54"/>
      <c r="O351" s="4"/>
    </row>
    <row r="352" spans="1:15" x14ac:dyDescent="0.2">
      <c r="A352" s="73">
        <f t="shared" si="11"/>
        <v>351</v>
      </c>
      <c r="B352" t="s">
        <v>239</v>
      </c>
      <c r="C352" s="55" t="s">
        <v>72</v>
      </c>
      <c r="D352" s="9">
        <v>28</v>
      </c>
      <c r="E352" s="56"/>
      <c r="F352" s="4" t="d">
        <f ca="1">Table9[[#This Row],[Surgery Start Date]]+1</f>
        <v>2020-03-19</v>
      </c>
      <c r="G352" s="53" t="d">
        <v>09:35:59.99999999999712450</v>
      </c>
      <c r="H352" s="53" t="d">
        <v>09:54:59.99999999999786775</v>
      </c>
      <c r="I352" s="53" t="d">
        <v>10:39:59.99999999999786775</v>
      </c>
      <c r="J352" s="53" t="d">
        <v>10:40:59.9999999999976525</v>
      </c>
      <c r="K352" s="53" t="d">
        <v>10:44:59.9999999999968050</v>
      </c>
      <c r="L352" s="74"/>
      <c r="M352" s="54"/>
      <c r="O352" s="4"/>
    </row>
    <row r="353" spans="1:15" x14ac:dyDescent="0.2">
      <c r="A353" s="73">
        <f t="shared" si="11"/>
        <v>352</v>
      </c>
      <c r="B353" t="s">
        <v>239</v>
      </c>
      <c r="C353" s="55" t="s">
        <v>72</v>
      </c>
      <c r="D353" s="9">
        <v>427</v>
      </c>
      <c r="E353" s="56"/>
      <c r="F353" s="4" t="d">
        <f ca="1">Table9[[#This Row],[Surgery Start Date]]+1</f>
        <v>2020-03-24</v>
      </c>
      <c r="G353" s="53" t="d">
        <v>08:15:00.000</v>
      </c>
      <c r="H353" s="53" t="d">
        <v>08:35:00.00000000000053475</v>
      </c>
      <c r="I353" s="53" t="d">
        <v>09:29:59.9999999999984025</v>
      </c>
      <c r="J353" s="53" t="d">
        <v>09:57:59.99999999999722875</v>
      </c>
      <c r="K353" s="53" t="d">
        <v>09:59:59.9999999999968050</v>
      </c>
      <c r="L353" s="74"/>
      <c r="M353" s="54"/>
      <c r="O353" s="4"/>
    </row>
    <row r="354" spans="1:15" x14ac:dyDescent="0.2">
      <c r="A354" s="73">
        <f t="shared" si="11"/>
        <v>353</v>
      </c>
      <c r="B354" t="s">
        <v>239</v>
      </c>
      <c r="C354" s="55" t="s">
        <v>72</v>
      </c>
      <c r="D354" s="9">
        <v>427</v>
      </c>
      <c r="E354" s="56"/>
      <c r="F354" s="4" t="d">
        <f ca="1">Table9[[#This Row],[Surgery Start Date]]+1</f>
        <v>2020-03-24</v>
      </c>
      <c r="G354" s="53" t="d">
        <v>09:59:59.9999999999968050</v>
      </c>
      <c r="H354" s="53" t="d">
        <v>10:20:00.00000000000213225</v>
      </c>
      <c r="I354" s="53" t="d">
        <v>10:30:00.000</v>
      </c>
      <c r="J354" s="53" t="d">
        <v>10:39:59.99999999999786775</v>
      </c>
      <c r="K354" s="53" t="d">
        <v>11:04:59.99999999999733300</v>
      </c>
      <c r="L354" s="74"/>
      <c r="M354" s="54"/>
      <c r="O354" s="4"/>
    </row>
    <row r="355" spans="1:15" x14ac:dyDescent="0.2">
      <c r="A355" s="73">
        <f t="shared" si="11"/>
        <v>354</v>
      </c>
      <c r="B355" t="s">
        <v>239</v>
      </c>
      <c r="C355" s="55" t="s">
        <v>72</v>
      </c>
      <c r="D355" s="9">
        <v>427</v>
      </c>
      <c r="E355" s="56"/>
      <c r="F355" s="4" t="d">
        <f ca="1">Table9[[#This Row],[Surgery Start Date]]+1</f>
        <v>2020-03-24</v>
      </c>
      <c r="G355" s="53" t="d">
        <v>13:06:00.00000000000511875</v>
      </c>
      <c r="H355" s="53" t="d">
        <v>13:41:59.999999999997441975</v>
      </c>
      <c r="I355" s="53" t="d">
        <v>15:30:00.0000000000031950</v>
      </c>
      <c r="J355" s="53" t="d">
        <v>15:49:59.99999999999893725</v>
      </c>
      <c r="K355" s="53" t="d">
        <v>15:51:00.00000000000831375</v>
      </c>
      <c r="L355" s="74"/>
      <c r="M355" s="54"/>
      <c r="O355" s="4"/>
    </row>
    <row r="356" spans="1:15" x14ac:dyDescent="0.2">
      <c r="A356" s="73">
        <f t="shared" si="11"/>
        <v>355</v>
      </c>
      <c r="B356" t="s">
        <v>237</v>
      </c>
      <c r="C356" s="55" t="s">
        <v>72</v>
      </c>
      <c r="D356" s="9">
        <v>223</v>
      </c>
      <c r="E356" s="56"/>
      <c r="F356" s="4" t="d">
        <f ca="1">Table9[[#This Row],[Surgery Start Date]]+1</f>
        <v>2020-03-25</v>
      </c>
      <c r="G356" s="53" t="d">
        <v>07:54:59.99999999999467275</v>
      </c>
      <c r="H356" s="53" t="d">
        <v>08:15:59.999999999999786775</v>
      </c>
      <c r="I356" s="53" t="d">
        <v>08:31:00.00000000000138225</v>
      </c>
      <c r="J356" s="53" t="d">
        <v>08:31:59.99999999999637450</v>
      </c>
      <c r="K356" s="53" t="d">
        <v>08:33:00.00000000000095850</v>
      </c>
      <c r="L356" s="74"/>
      <c r="M356" s="54"/>
      <c r="O356" s="4"/>
    </row>
    <row r="357" spans="1:15" x14ac:dyDescent="0.2">
      <c r="A357" s="73">
        <f t="shared" si="11"/>
        <v>356</v>
      </c>
      <c r="B357" t="s">
        <v>237</v>
      </c>
      <c r="C357" s="55" t="s">
        <v>72</v>
      </c>
      <c r="D357" s="9">
        <v>223</v>
      </c>
      <c r="E357" s="56"/>
      <c r="F357" s="4" t="d">
        <f ca="1">Table9[[#This Row],[Surgery Start Date]]+1</f>
        <v>2020-03-25</v>
      </c>
      <c r="G357" s="53" t="d">
        <v>08:27:59.99999999999722875</v>
      </c>
      <c r="H357" s="53" t="d">
        <v>08:46:59.99999999999797200</v>
      </c>
      <c r="I357" s="53" t="d">
        <v>08:56:00.00000000000085425</v>
      </c>
      <c r="J357" s="53" t="d">
        <v>08:58:00.00000000000042375</v>
      </c>
      <c r="K357" s="53" t="d">
        <v>08:58:59.99999999999541600</v>
      </c>
      <c r="L357" s="74"/>
      <c r="M357" s="54"/>
      <c r="O357" s="4"/>
    </row>
    <row r="358" spans="1:15" x14ac:dyDescent="0.2">
      <c r="A358" s="73">
        <f t="shared" si="11"/>
        <v>357</v>
      </c>
      <c r="B358" t="s">
        <v>237</v>
      </c>
      <c r="C358" s="55" t="s">
        <v>72</v>
      </c>
      <c r="D358" s="9">
        <v>223</v>
      </c>
      <c r="E358" s="56"/>
      <c r="F358" s="4" t="d">
        <f ca="1">Table9[[#This Row],[Surgery Start Date]]+1</f>
        <v>2020-03-25</v>
      </c>
      <c r="G358" s="53" t="d">
        <v>09:18:00.00000000000095850</v>
      </c>
      <c r="H358" s="53" t="d">
        <v>09:26:59.99999999999424225</v>
      </c>
      <c r="I358" s="53" t="d">
        <v>09:37:00.00000000000170850</v>
      </c>
      <c r="J358" s="53" t="d">
        <v>09:37:59.99999999999669400</v>
      </c>
      <c r="K358" s="53" t="d">
        <v>09:39:00.00000000000127800</v>
      </c>
      <c r="L358" s="74"/>
      <c r="M358" s="54"/>
      <c r="O358" s="4"/>
    </row>
    <row r="359" spans="1:15" x14ac:dyDescent="0.2">
      <c r="A359">
        <f t="shared" si="11"/>
        <v>358</v>
      </c>
      <c r="B359" t="s">
        <v>237</v>
      </c>
      <c r="C359" s="55" t="s">
        <v>72</v>
      </c>
      <c r="D359" s="9">
        <v>223</v>
      </c>
      <c r="E359" s="56"/>
      <c r="F359" s="4" t="d">
        <f ca="1">Table9[[#This Row],[Surgery Start Date]]+1</f>
        <v>2020-03-25</v>
      </c>
      <c r="G359" s="53" t="d">
        <v>09:46:59.99999999999957625</v>
      </c>
      <c r="H359" s="53" t="d">
        <v>10:14:59.9999999999984025</v>
      </c>
      <c r="I359" s="53" t="d">
        <v>10:39:59.99999999999786775</v>
      </c>
      <c r="J359" s="53" t="d">
        <v>10:44:59.9999999999968050</v>
      </c>
      <c r="K359" s="53" t="d">
        <v>10:46:00.00000000000138225</v>
      </c>
      <c r="M359" s="54"/>
      <c r="O359" s="4"/>
    </row>
    <row r="360" spans="1:15" x14ac:dyDescent="0.2">
      <c r="A360">
        <f t="shared" si="11"/>
        <v>359</v>
      </c>
      <c r="B360" t="s">
        <v>237</v>
      </c>
      <c r="C360" s="55" t="s">
        <v>71</v>
      </c>
      <c r="D360" s="9">
        <v>351</v>
      </c>
      <c r="E360" s="56"/>
      <c r="F360" s="4" t="d">
        <f ca="1">Table9[[#This Row],[Surgery Start Date]]+1</f>
        <v>2020-03-25</v>
      </c>
      <c r="G360" s="53" t="d">
        <v>11:18:59.99999999999435325</v>
      </c>
      <c r="H360" s="53" t="d">
        <v>12:01:59.99999999999957625</v>
      </c>
      <c r="I360" s="53" t="d">
        <v>12:46:59.99999999999957625</v>
      </c>
      <c r="J360" s="53" t="d">
        <v>13:43:59.99999999999701350</v>
      </c>
      <c r="K360" s="53" t="d">
        <v>13:45:00.00000000000639675</v>
      </c>
      <c r="M360" s="54"/>
      <c r="O360" s="4"/>
    </row>
    <row r="361" spans="1:15" x14ac:dyDescent="0.2">
      <c r="A361">
        <f t="shared" si="11"/>
        <v>360</v>
      </c>
      <c r="B361" t="s">
        <v>240</v>
      </c>
      <c r="C361" s="55" t="s">
        <v>71</v>
      </c>
      <c r="D361" s="9">
        <v>351</v>
      </c>
      <c r="E361" s="56"/>
      <c r="F361" s="4" t="d">
        <f ca="1">Table9[[#This Row],[Surgery Start Date]]+1</f>
        <v>2020-03-25</v>
      </c>
      <c r="G361" s="53" t="d">
        <v>08:05:59.99999999999712450</v>
      </c>
      <c r="H361" s="53" t="d">
        <v>08:19:59.99999999999893725</v>
      </c>
      <c r="I361" s="53" t="d">
        <v>08:52:59.99999999999669400</v>
      </c>
      <c r="J361" s="53" t="d">
        <v>08:54:59.99999999999627025</v>
      </c>
      <c r="K361" s="53" t="d">
        <v>09:00:00.000</v>
      </c>
      <c r="M361" s="54"/>
      <c r="O361" s="4"/>
    </row>
    <row r="362" spans="1:15" x14ac:dyDescent="0.2">
      <c r="A362">
        <f t="shared" si="11"/>
        <v>361</v>
      </c>
      <c r="B362" t="s">
        <v>240</v>
      </c>
      <c r="C362" s="55" t="s">
        <v>71</v>
      </c>
      <c r="D362" s="9">
        <v>351</v>
      </c>
      <c r="E362" s="56"/>
      <c r="F362" s="4" t="d">
        <f ca="1">Table9[[#This Row],[Surgery Start Date]]+1</f>
        <v>2020-03-25</v>
      </c>
      <c r="G362" s="53" t="d">
        <v>09:09:59.99999999999786775</v>
      </c>
      <c r="H362" s="53" t="d">
        <v>09:18:00.00000000000095850</v>
      </c>
      <c r="I362" s="53" t="d">
        <v>09:47:59.99999999999936100</v>
      </c>
      <c r="J362" s="53" t="d">
        <v>09:48:59.99999999999914575</v>
      </c>
      <c r="K362" s="53" t="d">
        <v>09:52:59.99999999999829150</v>
      </c>
      <c r="M362" s="54"/>
      <c r="O362" s="4"/>
    </row>
    <row r="363" spans="1:15" x14ac:dyDescent="0.2">
      <c r="A363">
        <f t="shared" si="11"/>
        <v>362</v>
      </c>
      <c r="B363" t="s">
        <v>240</v>
      </c>
      <c r="C363" s="55" t="s">
        <v>71</v>
      </c>
      <c r="D363" s="9">
        <v>351</v>
      </c>
      <c r="E363" s="56"/>
      <c r="F363" s="4" t="d">
        <f ca="1">Table9[[#This Row],[Surgery Start Date]]+1</f>
        <v>2020-03-25</v>
      </c>
      <c r="G363" s="53" t="d">
        <v>10:24:59.99999999999627025</v>
      </c>
      <c r="H363" s="53" t="d">
        <v>10:59:59.9999999999984025</v>
      </c>
      <c r="I363" s="53" t="d">
        <v>12:46:59.99999999999957625</v>
      </c>
      <c r="J363" s="53" t="d">
        <v>12:48:00.00000000000895275</v>
      </c>
      <c r="K363" s="53" t="d">
        <v>13:00:00.00000000000639675</v>
      </c>
      <c r="M363" s="54"/>
      <c r="O363" s="4"/>
    </row>
    <row r="364" spans="1:15" x14ac:dyDescent="0.2">
      <c r="A364">
        <f t="shared" si="11"/>
        <v>363</v>
      </c>
      <c r="B364" t="s">
        <v>240</v>
      </c>
      <c r="C364" s="55" t="s">
        <v>71</v>
      </c>
      <c r="D364" s="9">
        <v>351</v>
      </c>
      <c r="E364" s="56"/>
      <c r="F364" s="4" t="d">
        <f ca="1">Table9[[#This Row],[Surgery Start Date]]+1</f>
        <v>2020-03-25</v>
      </c>
      <c r="G364" s="53" t="d">
        <v>13:15:00.0000000000031950</v>
      </c>
      <c r="H364" s="53" t="d">
        <v>14:04:00.000000000002344800</v>
      </c>
      <c r="I364" s="53" t="d">
        <v>15:10:00.00000000000745950</v>
      </c>
      <c r="J364" s="53" t="d">
        <v>15:15:00.00000000000639675</v>
      </c>
      <c r="K364" s="53" t="d">
        <v>15:18:00.00000000000575775</v>
      </c>
      <c r="M364" s="54"/>
      <c r="O364" s="4"/>
    </row>
    <row r="365" spans="1:15" x14ac:dyDescent="0.2">
      <c r="A365">
        <f t="shared" si="11"/>
        <v>364</v>
      </c>
      <c r="B365" t="s">
        <v>241</v>
      </c>
      <c r="C365" s="55" t="s">
        <v>72</v>
      </c>
      <c r="D365" s="9">
        <v>388</v>
      </c>
      <c r="E365" s="56"/>
      <c r="F365" s="4" t="d">
        <f ca="1">Table9[[#This Row],[Surgery Start Date]]+1</f>
        <v>2020-03-25</v>
      </c>
      <c r="G365" s="53" t="d">
        <v>08:41:59.99999999999424225</v>
      </c>
      <c r="H365" s="53" t="d">
        <v>10:09:59.99999999999467275</v>
      </c>
      <c r="I365" s="53" t="d">
        <v>14:15:00.000</v>
      </c>
      <c r="J365" s="53" t="d">
        <v>14:24:59.99999999999786775</v>
      </c>
      <c r="K365" s="53" t="d">
        <v>14:30:00.00000000000639675</v>
      </c>
      <c r="M365" s="54"/>
      <c r="O365" s="4"/>
    </row>
    <row r="366" spans="1:15" x14ac:dyDescent="0.2">
      <c r="A366">
        <f t="shared" si="11"/>
        <v>365</v>
      </c>
      <c r="B366" t="s">
        <v>241</v>
      </c>
      <c r="C366" s="55" t="s">
        <v>72</v>
      </c>
      <c r="D366" s="9">
        <v>388</v>
      </c>
      <c r="E366" s="56"/>
      <c r="F366" s="4" t="d">
        <f ca="1">Table9[[#This Row],[Surgery Start Date]]+1</f>
        <v>2020-03-25</v>
      </c>
      <c r="G366" s="53" t="d">
        <v>15:00:00.000</v>
      </c>
      <c r="H366" s="53" t="d">
        <v>15:04:59.99999999999893725</v>
      </c>
      <c r="I366" s="53" t="d">
        <v>16:00:00.00000000000639675</v>
      </c>
      <c r="J366" s="53" t="d">
        <v>16:10:00.00000000000426450</v>
      </c>
      <c r="K366" s="53" t="d">
        <v>16:12:00.00000000000383400</v>
      </c>
      <c r="M366" s="54"/>
      <c r="O366" s="4"/>
    </row>
    <row r="367" spans="1:15" x14ac:dyDescent="0.2">
      <c r="A367">
        <f t="shared" si="11"/>
        <v>366</v>
      </c>
      <c r="B367" t="s">
        <v>236</v>
      </c>
      <c r="C367" s="55" t="s">
        <v>71</v>
      </c>
      <c r="D367" s="9">
        <v>76</v>
      </c>
      <c r="E367" s="56"/>
      <c r="F367" s="4" t="d">
        <f ca="1">Table9[[#This Row],[Surgery Start Date]]+1</f>
        <v>2020-03-20</v>
      </c>
      <c r="G367" s="53" t="d">
        <v>12:05:00.00000000000852900</v>
      </c>
      <c r="H367" s="53" t="d">
        <v>12:30:00.0000000000031950</v>
      </c>
      <c r="I367" s="53" t="d">
        <v>14:10:00.00000000000106275</v>
      </c>
      <c r="J367" s="53" t="d">
        <v>14:15:00.000</v>
      </c>
      <c r="K367" s="53" t="d">
        <v>14:20:00.00000000000852900</v>
      </c>
      <c r="M367" s="54"/>
      <c r="O367" s="4"/>
    </row>
    <row r="368" spans="1:15" x14ac:dyDescent="0.2">
      <c r="A368">
        <f t="shared" si="11"/>
        <v>367</v>
      </c>
      <c r="B368" t="s">
        <v>236</v>
      </c>
      <c r="C368" s="55" t="s">
        <v>71</v>
      </c>
      <c r="D368" s="9">
        <v>91</v>
      </c>
      <c r="E368" s="56"/>
      <c r="F368" s="4" t="d">
        <f ca="1">Table9[[#This Row],[Surgery Start Date]]+1</f>
        <v>2020-03-20</v>
      </c>
      <c r="G368" s="53" t="d">
        <v>14:30:00.00000000000639675</v>
      </c>
      <c r="H368" s="53" t="d">
        <v>15:04:59.99999999999893725</v>
      </c>
      <c r="I368" s="53" t="d">
        <v>17:15:00.000</v>
      </c>
      <c r="J368" s="53" t="d">
        <v>17:19:59.99999999999893725</v>
      </c>
      <c r="K368" s="53" t="d">
        <v>17:30:00.00000000000639675</v>
      </c>
      <c r="M368" s="54"/>
      <c r="O368" s="4"/>
    </row>
    <row r="369" spans="1:15" x14ac:dyDescent="0.2">
      <c r="A369">
        <f t="shared" si="11"/>
        <v>368</v>
      </c>
      <c r="B369" t="s">
        <v>236</v>
      </c>
      <c r="C369" s="55" t="s">
        <v>71</v>
      </c>
      <c r="D369" s="9">
        <v>427</v>
      </c>
      <c r="E369" s="56"/>
      <c r="F369" s="4" t="d">
        <f ca="1">Table9[[#This Row],[Surgery Start Date]]+1</f>
        <v>2020-03-23</v>
      </c>
      <c r="G369" s="53" t="d">
        <v>10:09:59.99999999999467275</v>
      </c>
      <c r="H369" s="53" t="d">
        <v>10:44:59.9999999999968050</v>
      </c>
      <c r="I369" s="53" t="d">
        <v>11:24:59.99999999999307525</v>
      </c>
      <c r="J369" s="53" t="d">
        <v>11:26:00.00000000000245175</v>
      </c>
      <c r="K369" s="53" t="d">
        <v>11:30:00.0000000000015975</v>
      </c>
      <c r="M369" s="54"/>
      <c r="O369" s="4"/>
    </row>
    <row r="370" spans="1:15" x14ac:dyDescent="0.2">
      <c r="A370">
        <f t="shared" si="11"/>
        <v>369</v>
      </c>
      <c r="B370" t="s">
        <v>236</v>
      </c>
      <c r="C370" s="55" t="s">
        <v>71</v>
      </c>
      <c r="D370" s="9">
        <v>388</v>
      </c>
      <c r="E370" s="56"/>
      <c r="F370" s="4" t="d">
        <f ca="1">Table9[[#This Row],[Surgery Start Date]]+1</f>
        <v>2020-03-23</v>
      </c>
      <c r="G370" s="53" t="d">
        <v>12:18:00.00000000000575775</v>
      </c>
      <c r="H370" s="53" t="d">
        <v>12:40:00.00000000000106275</v>
      </c>
      <c r="I370" s="53" t="d">
        <v>13:15:00.0000000000031950</v>
      </c>
      <c r="J370" s="53" t="d">
        <v>13:20:00.00000000000213225</v>
      </c>
      <c r="K370" s="53" t="d">
        <v>13:25:00.00000000000106275</v>
      </c>
      <c r="M370" s="54"/>
      <c r="O370" s="4"/>
    </row>
    <row r="371" spans="1:15" x14ac:dyDescent="0.2">
      <c r="A371">
        <f t="shared" si="11"/>
        <v>370</v>
      </c>
      <c r="B371" t="s">
        <v>236</v>
      </c>
      <c r="C371" s="55" t="s">
        <v>71</v>
      </c>
      <c r="D371" s="9">
        <v>27</v>
      </c>
      <c r="E371" s="56" t="s">
        <v>230</v>
      </c>
      <c r="F371" s="4" t="d">
        <f ca="1">Table9[[#This Row],[Surgery Start Date]]+1</f>
        <v>2020-03-24</v>
      </c>
      <c r="M371" s="54"/>
      <c r="O371" s="4"/>
    </row>
    <row r="372" spans="1:15" x14ac:dyDescent="0.2">
      <c r="A372">
        <f t="shared" si="11"/>
        <v>371</v>
      </c>
      <c r="B372" t="s">
        <v>236</v>
      </c>
      <c r="C372" s="55" t="s">
        <v>71</v>
      </c>
      <c r="D372" s="9">
        <v>76</v>
      </c>
      <c r="E372" s="56"/>
      <c r="F372" s="4" t="d">
        <f ca="1">Table9[[#This Row],[Surgery Start Date]]+1</f>
        <v>2020-03-25</v>
      </c>
      <c r="G372" s="53" t="d">
        <v>07:59:59.9999999999984025</v>
      </c>
      <c r="H372" s="53" t="d">
        <v>08:19:59.99999999999893725</v>
      </c>
      <c r="I372" s="53" t="d">
        <v>09:00:00.000</v>
      </c>
      <c r="J372" s="53" t="d">
        <v>09:04:59.99999999999893725</v>
      </c>
      <c r="K372" s="53" t="d">
        <v>09:54:59.99999999999786775</v>
      </c>
      <c r="M372" s="54"/>
      <c r="O372" s="4"/>
    </row>
    <row r="373" spans="1:15" x14ac:dyDescent="0.2">
      <c r="A373">
        <f t="shared" ref="A373:A389" si="12">ROW()-1</f>
        <v>372</v>
      </c>
      <c r="B373" t="s">
        <v>236</v>
      </c>
      <c r="C373" s="55" t="s">
        <v>71</v>
      </c>
      <c r="D373" s="9">
        <v>427</v>
      </c>
      <c r="E373" s="56"/>
      <c r="F373" s="4" t="d">
        <f ca="1">Table9[[#This Row],[Surgery Start Date]]+1</f>
        <v>2020-03-25</v>
      </c>
      <c r="G373" s="53" t="d">
        <v>10:50:59.99999999999552025</v>
      </c>
      <c r="H373" s="53" t="d">
        <v>11:44:59.9999999999984025</v>
      </c>
      <c r="I373" s="53" t="d">
        <v>12:20:00.00000000000532725</v>
      </c>
      <c r="J373" s="53" t="d">
        <v>12:25:00.00000000000426450</v>
      </c>
      <c r="K373" s="53" t="d">
        <v>12:30:00.0000000000031950</v>
      </c>
      <c r="M373" s="15"/>
      <c r="O373" s="4"/>
    </row>
    <row r="374" spans="1:15" x14ac:dyDescent="0.2">
      <c r="A374">
        <f t="shared" si="12"/>
        <v>373</v>
      </c>
      <c r="B374" t="s">
        <v>236</v>
      </c>
      <c r="C374" s="55" t="s">
        <v>71</v>
      </c>
      <c r="D374" s="9">
        <v>76</v>
      </c>
      <c r="E374" s="56"/>
      <c r="F374" s="4" t="d">
        <f ca="1">Table9[[#This Row],[Surgery Start Date]]+1</f>
        <v>2020-03-25</v>
      </c>
      <c r="G374" s="53" t="d">
        <v>12:31:00.00000000000298650</v>
      </c>
      <c r="H374" s="53" t="d">
        <v>12:54:59.99999999999786775</v>
      </c>
      <c r="I374" s="53" t="d">
        <v>14:00:00.0000000000031950</v>
      </c>
      <c r="J374" s="53" t="d">
        <v>14:05:00.00000000000213225</v>
      </c>
      <c r="K374" s="53" t="d">
        <v>14:10:00.00000000000106275</v>
      </c>
      <c r="M374" s="54"/>
      <c r="O374" s="4"/>
    </row>
    <row r="375" spans="1:15" x14ac:dyDescent="0.2">
      <c r="A375">
        <f t="shared" si="12"/>
        <v>374</v>
      </c>
      <c r="B375" t="s">
        <v>236</v>
      </c>
      <c r="C375" s="55" t="s">
        <v>71</v>
      </c>
      <c r="D375" s="9">
        <v>43</v>
      </c>
      <c r="E375" s="56"/>
      <c r="F375" s="4" t="d">
        <f ca="1">Table9[[#This Row],[Surgery Start Date]]+1</f>
        <v>2020-03-25</v>
      </c>
      <c r="G375" s="53" t="d">
        <v>14:49:00.000000000002344800</v>
      </c>
      <c r="H375" s="53" t="d">
        <v>15:30:00.0000000000031950</v>
      </c>
      <c r="I375" s="53" t="d">
        <v>17:05:00.00000000000213225</v>
      </c>
      <c r="J375" s="53" t="d">
        <v>17:10:00.00000000001066125</v>
      </c>
      <c r="K375" s="53" t="d">
        <v>17:19:59.99999999999893725</v>
      </c>
      <c r="M375" s="15"/>
      <c r="O375" s="4"/>
    </row>
    <row r="376" spans="1:15" x14ac:dyDescent="0.2">
      <c r="A376">
        <f t="shared" si="12"/>
        <v>375</v>
      </c>
      <c r="B376" t="s">
        <v>236</v>
      </c>
      <c r="C376" s="71" t="s">
        <v>71</v>
      </c>
      <c r="D376" s="9">
        <v>43</v>
      </c>
      <c r="E376" s="72"/>
      <c r="F376" s="4" t="d">
        <f ca="1">Table9[[#This Row],[Surgery Start Date]]+1</f>
        <v>2020-03-25</v>
      </c>
      <c r="G376" s="53" t="d">
        <v>19:25:00.00000000001066125</v>
      </c>
      <c r="H376" s="53" t="d">
        <v>19:49:59.99999999999573550</v>
      </c>
      <c r="I376" s="53" t="d">
        <v>22:20:00.00000000000213225</v>
      </c>
      <c r="J376" s="53" t="d">
        <v>22:24:00.00000000000127800</v>
      </c>
      <c r="K376" s="53" t="d">
        <v>22:25:00.00000000001066125</v>
      </c>
      <c r="M376" s="15"/>
      <c r="O376" s="4"/>
    </row>
    <row r="377" spans="1:15" x14ac:dyDescent="0.2">
      <c r="A377">
        <f t="shared" si="12"/>
        <v>376</v>
      </c>
      <c r="B377" t="s">
        <v>236</v>
      </c>
      <c r="C377" s="71" t="s">
        <v>71</v>
      </c>
      <c r="D377" s="9">
        <v>388</v>
      </c>
      <c r="E377" s="72"/>
      <c r="F377" s="4" t="d">
        <f ca="1">Table9[[#This Row],[Surgery Start Date]]+1</f>
        <v>2020-03-26</v>
      </c>
      <c r="G377" s="53" t="d">
        <v>14:15:00.000</v>
      </c>
      <c r="H377" s="53" t="d">
        <v>14:30:00.00000000000639675</v>
      </c>
      <c r="I377" s="53" t="d">
        <v>16:04:59.99999999999573550</v>
      </c>
      <c r="J377" s="53" t="d">
        <v>16:10:00.00000000000426450</v>
      </c>
      <c r="K377" s="53" t="d">
        <v>16:15:00.0000000000031950</v>
      </c>
      <c r="M377" s="15"/>
      <c r="O377" s="4"/>
    </row>
    <row r="378" spans="1:15" x14ac:dyDescent="0.2">
      <c r="A378">
        <f t="shared" si="12"/>
        <v>377</v>
      </c>
      <c r="B378" t="s">
        <v>236</v>
      </c>
      <c r="C378" s="71" t="s">
        <v>71</v>
      </c>
      <c r="D378" s="9">
        <v>43</v>
      </c>
      <c r="E378" s="72"/>
      <c r="F378" s="4" t="d">
        <f ca="1">Table9[[#This Row],[Surgery Start Date]]+1</f>
        <v>2020-03-27</v>
      </c>
      <c r="G378" s="53" t="d">
        <v>08:35:59.99999999999552025</v>
      </c>
      <c r="H378" s="53" t="d">
        <v>10:09:59.99999999999467275</v>
      </c>
      <c r="I378" s="53" t="d">
        <v>11:49:59.99999999999733300</v>
      </c>
      <c r="J378" s="53" t="d">
        <v>12:20:00.00000000000532725</v>
      </c>
      <c r="K378" s="53" t="d">
        <v>12:30:00.0000000000031950</v>
      </c>
      <c r="M378" s="15"/>
      <c r="O378" s="4"/>
    </row>
    <row r="379" spans="1:15" x14ac:dyDescent="0.2">
      <c r="A379" s="73">
        <f t="shared" si="12"/>
        <v>378</v>
      </c>
      <c r="B379" t="s">
        <v>236</v>
      </c>
      <c r="C379" s="71" t="s">
        <v>71</v>
      </c>
      <c r="D379" s="9">
        <v>76</v>
      </c>
      <c r="E379" s="72"/>
      <c r="F379" s="4" t="d">
        <f ca="1">Table9[[#This Row],[Surgery Start Date]]+1</f>
        <v>2020-03-27</v>
      </c>
      <c r="G379" s="53" t="d">
        <v>12:45:00.000</v>
      </c>
      <c r="H379" s="53" t="d">
        <v>13:00:00.00000000000639675</v>
      </c>
      <c r="I379" s="53" t="d">
        <v>14:30:00.00000000000639675</v>
      </c>
      <c r="J379" s="53" t="d">
        <v>14:55:00.00000000000106275</v>
      </c>
      <c r="K379" s="53" t="d">
        <v>14:56:00.00000000000085425</v>
      </c>
      <c r="L379" s="74"/>
      <c r="M379" s="15"/>
      <c r="O379" s="4"/>
    </row>
    <row r="380" spans="1:15" x14ac:dyDescent="0.2">
      <c r="A380" s="73">
        <f t="shared" si="12"/>
        <v>379</v>
      </c>
      <c r="B380" t="s">
        <v>236</v>
      </c>
      <c r="C380" s="71" t="s">
        <v>71</v>
      </c>
      <c r="D380" s="9">
        <v>76</v>
      </c>
      <c r="E380" s="72"/>
      <c r="F380" s="4" t="d">
        <f ca="1">Table9[[#This Row],[Surgery Start Date]]+1</f>
        <v>2020-03-27</v>
      </c>
      <c r="G380" s="53" t="d">
        <v>14:56:00.00000000000085425</v>
      </c>
      <c r="H380" s="53" t="d">
        <v>15:00:00.000</v>
      </c>
      <c r="I380" s="53" t="d">
        <v>15:45:00.000</v>
      </c>
      <c r="J380" s="53" t="d">
        <v>15:45:59.999999999999786775</v>
      </c>
      <c r="K380" s="53" t="d">
        <v>15:47:00.00000000000916800</v>
      </c>
      <c r="L380" s="74"/>
      <c r="M380" s="15"/>
      <c r="O380" s="4"/>
    </row>
    <row r="381" spans="1:15" x14ac:dyDescent="0.2">
      <c r="A381" s="73">
        <f t="shared" si="12"/>
        <v>380</v>
      </c>
      <c r="B381" t="s">
        <v>238</v>
      </c>
      <c r="C381" s="71" t="s">
        <v>72</v>
      </c>
      <c r="D381" s="9">
        <v>252</v>
      </c>
      <c r="E381" s="72"/>
      <c r="F381" s="4" t="d">
        <f ca="1">Table9[[#This Row],[Surgery Start Date]]+1</f>
        <v>2020-03-27</v>
      </c>
      <c r="G381" s="53" t="d">
        <v>07:59:59.9999999999984025</v>
      </c>
      <c r="H381" s="53" t="d">
        <v>08:15:00.000</v>
      </c>
      <c r="I381" s="53" t="d">
        <v>08:50:00.00000000000213225</v>
      </c>
      <c r="J381" s="53" t="d">
        <v>09:00:00.000</v>
      </c>
      <c r="K381" s="53" t="d">
        <v>09:02:59.99999999999936100</v>
      </c>
      <c r="L381" s="74"/>
      <c r="M381" s="15"/>
      <c r="O381" s="4"/>
    </row>
    <row r="382" spans="1:15" x14ac:dyDescent="0.2">
      <c r="A382" s="73">
        <f t="shared" si="12"/>
        <v>381</v>
      </c>
      <c r="B382" t="s">
        <v>238</v>
      </c>
      <c r="C382" s="71" t="s">
        <v>71</v>
      </c>
      <c r="D382" s="9">
        <v>252</v>
      </c>
      <c r="E382" s="72"/>
      <c r="F382" s="4" t="d">
        <f ca="1">Table9[[#This Row],[Surgery Start Date]]+1</f>
        <v>2020-03-27</v>
      </c>
      <c r="G382" s="53" t="d">
        <v>09:22:00.00000000000010425</v>
      </c>
      <c r="H382" s="53" t="d">
        <v>09:29:59.9999999999984025</v>
      </c>
      <c r="I382" s="53" t="d">
        <v>10:39:59.99999999999786775</v>
      </c>
      <c r="J382" s="53" t="d">
        <v>10:50:00.00000000000053475</v>
      </c>
      <c r="K382" s="53" t="d">
        <v>10:59:59.9999999999984025</v>
      </c>
      <c r="L382" s="74"/>
      <c r="M382" s="15"/>
      <c r="O382" s="4"/>
    </row>
    <row r="383" spans="1:15" x14ac:dyDescent="0.2">
      <c r="A383" s="73">
        <f t="shared" si="12"/>
        <v>382</v>
      </c>
      <c r="B383" t="s">
        <v>236</v>
      </c>
      <c r="C383" s="55" t="s">
        <v>71</v>
      </c>
      <c r="D383" s="9">
        <v>427</v>
      </c>
      <c r="E383" s="56"/>
      <c r="F383" s="4" t="d">
        <f ca="1">Table9[[#This Row],[Surgery Start Date]]+1</f>
        <v>2020-03-20</v>
      </c>
      <c r="G383" s="53" t="d">
        <v>08:29:59.9999999999968050</v>
      </c>
      <c r="H383" s="53" t="d">
        <v>09:00:00.000</v>
      </c>
      <c r="I383" s="53" t="d">
        <v>10:07:59.999999999995097175</v>
      </c>
      <c r="J383" s="53" t="d">
        <v>10:09:59.99999999999467275</v>
      </c>
      <c r="K383" s="53" t="d">
        <v>10:11:59.99999999999424225</v>
      </c>
      <c r="L383" s="74"/>
      <c r="M383" s="54"/>
      <c r="O383" s="4"/>
    </row>
    <row r="384" spans="1:15" x14ac:dyDescent="0.2">
      <c r="A384" s="73">
        <f t="shared" si="12"/>
        <v>383</v>
      </c>
      <c r="B384" t="s">
        <v>237</v>
      </c>
      <c r="C384" s="55" t="s">
        <v>71</v>
      </c>
      <c r="D384" s="9">
        <v>223</v>
      </c>
      <c r="E384" s="56"/>
      <c r="F384" s="4" t="d">
        <f ca="1">Table9[[#This Row],[Surgery Start Date]]+1</f>
        <v>2020-03-26</v>
      </c>
      <c r="G384" s="53" t="d">
        <v>08:11:59.99999999999584650</v>
      </c>
      <c r="H384" s="53" t="d">
        <v>08:35:00.00000000000053475</v>
      </c>
      <c r="I384" s="53" t="d">
        <v>09:14:59.9999999999968050</v>
      </c>
      <c r="J384" s="53" t="d">
        <v>09:20:00.00000000000053475</v>
      </c>
      <c r="K384" s="53" t="d">
        <v>09:24:59.99999999999467275</v>
      </c>
      <c r="L384" s="74"/>
      <c r="M384" s="54"/>
      <c r="O384" s="4"/>
    </row>
    <row r="385" spans="1:15" x14ac:dyDescent="0.2">
      <c r="A385" s="73">
        <f t="shared" si="12"/>
        <v>384</v>
      </c>
      <c r="B385" t="s">
        <v>237</v>
      </c>
      <c r="C385" s="55" t="s">
        <v>71</v>
      </c>
      <c r="D385" s="9">
        <v>223</v>
      </c>
      <c r="E385" s="56"/>
      <c r="F385" s="4" t="d">
        <f ca="1">Table9[[#This Row],[Surgery Start Date]]+1</f>
        <v>2020-03-26</v>
      </c>
      <c r="G385" s="53" t="d">
        <v>09:43:00.00000000000042375</v>
      </c>
      <c r="H385" s="53" t="d">
        <v>09:54:59.99999999999786775</v>
      </c>
      <c r="I385" s="53" t="d">
        <v>10:42:59.99999999999722875</v>
      </c>
      <c r="J385" s="53" t="d">
        <v>10:43:59.99999999999701350</v>
      </c>
      <c r="K385" s="53" t="d">
        <v>10:50:00.00000000000053475</v>
      </c>
      <c r="L385" s="74"/>
      <c r="M385" s="54"/>
      <c r="O385" s="4"/>
    </row>
    <row r="386" spans="1:15" x14ac:dyDescent="0.2">
      <c r="A386" s="73">
        <f t="shared" si="12"/>
        <v>385</v>
      </c>
      <c r="B386" t="s">
        <v>237</v>
      </c>
      <c r="C386" s="55" t="s">
        <v>71</v>
      </c>
      <c r="D386" s="9">
        <v>223</v>
      </c>
      <c r="E386" s="56"/>
      <c r="F386" s="4" t="d">
        <f ca="1">Table9[[#This Row],[Surgery Start Date]]+1</f>
        <v>2020-03-26</v>
      </c>
      <c r="G386" s="53" t="d">
        <v>10:31:59.99999999999957625</v>
      </c>
      <c r="H386" s="53" t="d">
        <v>10:54:59.99999999999467275</v>
      </c>
      <c r="I386" s="53" t="d">
        <v>12:35:00.00000000000213225</v>
      </c>
      <c r="J386" s="53" t="d">
        <v>12:44:00.00000000000021525</v>
      </c>
      <c r="K386" s="53" t="d">
        <v>12:46:59.99999999999957625</v>
      </c>
      <c r="L386" s="74"/>
      <c r="M386" s="54"/>
      <c r="O386" s="4"/>
    </row>
    <row r="387" spans="1:15" x14ac:dyDescent="0.2">
      <c r="A387" s="73">
        <f t="shared" si="12"/>
        <v>386</v>
      </c>
      <c r="B387" t="s">
        <v>237</v>
      </c>
      <c r="C387" s="55" t="s">
        <v>71</v>
      </c>
      <c r="D387" s="9">
        <v>223</v>
      </c>
      <c r="E387" s="56"/>
      <c r="F387" s="4" t="d">
        <f ca="1">Table9[[#This Row],[Surgery Start Date]]+1</f>
        <v>2020-03-26</v>
      </c>
      <c r="G387" s="53" t="d">
        <v>12:25:00.00000000000426450</v>
      </c>
      <c r="H387" s="53" t="d">
        <v>13:10:00.00000000000426450</v>
      </c>
      <c r="I387" s="53" t="d">
        <v>14:05:00.00000000000213225</v>
      </c>
      <c r="J387" s="53" t="d">
        <v>14:16:59.99999999999957625</v>
      </c>
      <c r="K387" s="53" t="d">
        <v>14:18:59.99999999999914575</v>
      </c>
      <c r="L387" s="74"/>
      <c r="M387" s="54"/>
      <c r="O387" s="4"/>
    </row>
    <row r="388" spans="1:15" x14ac:dyDescent="0.2">
      <c r="A388" s="73">
        <f t="shared" si="12"/>
        <v>387</v>
      </c>
      <c r="B388" t="s">
        <v>237</v>
      </c>
      <c r="C388" s="55" t="s">
        <v>71</v>
      </c>
      <c r="D388" s="9">
        <v>223</v>
      </c>
      <c r="E388" s="56"/>
      <c r="F388" s="4" t="d">
        <f ca="1">Table9[[#This Row],[Surgery Start Date]]+1</f>
        <v>2020-03-26</v>
      </c>
      <c r="G388" s="53" t="d">
        <v>14:15:00.000</v>
      </c>
      <c r="H388" s="53" t="d">
        <v>15:04:59.99999999999893725</v>
      </c>
      <c r="I388" s="53" t="d">
        <v>16:49:59.99999999999573550</v>
      </c>
      <c r="J388" s="53" t="d">
        <v>16:51:00.00000000000511875</v>
      </c>
      <c r="K388" s="53" t="d">
        <v>16:55:00.00000000000426450</v>
      </c>
      <c r="L388" s="74"/>
      <c r="M388" s="54"/>
      <c r="O388" s="4"/>
    </row>
    <row r="389" spans="1:15" x14ac:dyDescent="0.2">
      <c r="A389">
        <f t="shared" si="12"/>
        <v>388</v>
      </c>
      <c r="B389" t="s">
        <v>237</v>
      </c>
      <c r="C389" s="55" t="s">
        <v>72</v>
      </c>
      <c r="D389" s="9">
        <v>223</v>
      </c>
      <c r="E389" s="56"/>
      <c r="F389" s="4" t="d">
        <f ca="1">Table9[[#This Row],[Surgery Start Date]]+1</f>
        <v>2020-03-27</v>
      </c>
      <c r="G389" s="53" t="d">
        <v>08:07:00.00000000000170850</v>
      </c>
      <c r="H389" s="53" t="d">
        <v>08:52:59.99999999999669400</v>
      </c>
      <c r="I389" s="53" t="d">
        <v>10:30:00.000</v>
      </c>
      <c r="J389" s="53" t="d">
        <v>10:37:59.99999999999829150</v>
      </c>
      <c r="K389" s="53" t="d">
        <v>10:38:59.99999999999808300</v>
      </c>
      <c r="M389" s="54"/>
      <c r="O389" s="4"/>
    </row>
    <row r="390" spans="1:15" ht="16" x14ac:dyDescent="0.2">
      <c r="A390" s="73">
        <f>ROW()-1</f>
        <v>389</v>
      </c>
      <c r="B390" t="s">
        <v>237</v>
      </c>
      <c r="C390" s="55" t="s">
        <v>72</v>
      </c>
      <c r="D390" s="9">
        <v>223</v>
      </c>
      <c r="E390" s="56"/>
      <c r="F390" s="4" t="d">
        <f ca="1">Table9[[#This Row],[Surgery Start Date]]+1</f>
        <v>2020-03-27</v>
      </c>
      <c r="G390" s="53" t="d">
        <v>12:50:00.00000000000852900</v>
      </c>
      <c r="H390" s="53" t="d">
        <v>13:52:00.00000000000490350</v>
      </c>
      <c r="I390" s="53" t="d">
        <v>15:57:59.99999999999722875</v>
      </c>
      <c r="J390" s="53" t="d">
        <v>16:20:00.00000000000213225</v>
      </c>
      <c r="K390" s="53" t="d">
        <v>16:21:00.00000000001150875</v>
      </c>
      <c r="L390" s="77"/>
      <c r="M390" s="54"/>
      <c r="O390" s="4"/>
    </row>
    <row r="391" spans="1:15" ht="16" x14ac:dyDescent="0.2">
      <c r="A391" s="73">
        <f>ROW()-1</f>
        <v>390</v>
      </c>
      <c r="B391" t="s">
        <v>240</v>
      </c>
      <c r="C391" s="55" t="s">
        <v>71</v>
      </c>
      <c r="D391" s="9">
        <v>351</v>
      </c>
      <c r="E391" s="56"/>
      <c r="F391" s="4" t="d">
        <f ca="1">Table9[[#This Row],[Surgery Start Date]]+1</f>
        <v>2020-03-27</v>
      </c>
      <c r="G391" s="53" t="d">
        <v>07:50:00.00000000000053475</v>
      </c>
      <c r="H391" s="53" t="d">
        <v>08:11:59.99999999999584650</v>
      </c>
      <c r="I391" s="53" t="d">
        <v>10:52:00.00000000000010425</v>
      </c>
      <c r="J391" s="53" t="d">
        <v>10:54:59.99999999999467275</v>
      </c>
      <c r="K391" s="53" t="d">
        <v>10:55:59.99999999999925675</v>
      </c>
      <c r="L391" s="77"/>
      <c r="M391" s="15"/>
      <c r="O391" s="4"/>
    </row>
    <row r="392" spans="1:15" ht="16" x14ac:dyDescent="0.2">
      <c r="A392" s="73">
        <f>ROW()-1</f>
        <v>391</v>
      </c>
      <c r="B392" t="s">
        <v>240</v>
      </c>
      <c r="C392" s="55" t="s">
        <v>71</v>
      </c>
      <c r="D392" s="9">
        <v>351</v>
      </c>
      <c r="E392" s="56"/>
      <c r="F392" s="4" t="d">
        <f ca="1">Table9[[#This Row],[Surgery Start Date]]+1</f>
        <v>2020-03-27</v>
      </c>
      <c r="G392" s="53" t="d">
        <v>10:41:59.999999999997441975</v>
      </c>
      <c r="H392" s="53" t="d">
        <v>11:12:59.99999999999563125</v>
      </c>
      <c r="I392" s="53" t="d">
        <v>11:24:00.00000000000287550</v>
      </c>
      <c r="J392" s="53" t="d">
        <v>11:24:59.99999999999307525</v>
      </c>
      <c r="K392" s="53" t="d">
        <v>11:26:59.999999999992646100</v>
      </c>
      <c r="L392" s="77"/>
      <c r="M392" s="15"/>
      <c r="O392" s="4"/>
    </row>
    <row r="393" spans="1:15" ht="16" x14ac:dyDescent="0.2">
      <c r="A393" s="73">
        <f>ROW()-1</f>
        <v>392</v>
      </c>
      <c r="B393" t="s">
        <v>240</v>
      </c>
      <c r="C393" s="71" t="s">
        <v>71</v>
      </c>
      <c r="D393" s="9">
        <v>351</v>
      </c>
      <c r="E393" s="72"/>
      <c r="F393" s="4" t="d">
        <f ca="1">Table9[[#This Row],[Surgery Start Date]]+1</f>
        <v>2020-03-27</v>
      </c>
      <c r="G393" s="53" t="d">
        <v>12:01:00.000000000009379200</v>
      </c>
      <c r="H393" s="53" t="d">
        <v>12:11:59.999999999997441975</v>
      </c>
      <c r="I393" s="53" t="d">
        <v>13:21:00.00000000000191700</v>
      </c>
      <c r="J393" s="53" t="d">
        <v>13:25:00.00000000000106275</v>
      </c>
      <c r="K393" s="53" t="d">
        <v>13:27:00.00000000000063900</v>
      </c>
      <c r="L393" s="77"/>
      <c r="M393" s="15"/>
      <c r="O393" s="4"/>
    </row>
    <row r="394" spans="1:15" x14ac:dyDescent="0.2">
      <c r="A394" s="82">
        <f t="shared" ref="A394:A420" si="13">ROW()-1</f>
        <v>393</v>
      </c>
      <c r="B394" t="s">
        <v>240</v>
      </c>
      <c r="C394" s="71" t="s">
        <v>71</v>
      </c>
      <c r="D394" s="9">
        <v>351</v>
      </c>
      <c r="E394" s="72"/>
      <c r="F394" s="4" t="d">
        <f ca="1">Table9[[#This Row],[Surgery Start Date]]+1</f>
        <v>2020-03-27</v>
      </c>
      <c r="G394" s="53" t="d">
        <v>12:52:00.00000000000809850</v>
      </c>
      <c r="H394" s="53" t="d">
        <v>13:30:00.000</v>
      </c>
      <c r="I394" s="53" t="d">
        <v>14:40:00.00000000000426450</v>
      </c>
      <c r="J394" s="53" t="d">
        <v>14:45:00.0000000000031950</v>
      </c>
      <c r="K394" s="53" t="d">
        <v>14:47:00.00000000000277125</v>
      </c>
      <c r="L394" s="83"/>
      <c r="M394" s="15"/>
      <c r="O394" s="4"/>
    </row>
    <row r="395" spans="1:15" x14ac:dyDescent="0.2">
      <c r="A395" s="82">
        <f t="shared" si="13"/>
        <v>394</v>
      </c>
      <c r="B395" t="s">
        <v>240</v>
      </c>
      <c r="C395" s="71" t="s">
        <v>71</v>
      </c>
      <c r="D395" s="9">
        <v>351</v>
      </c>
      <c r="E395" s="72"/>
      <c r="F395" s="4" t="d">
        <f ca="1">Table9[[#This Row],[Surgery Start Date]]+1</f>
        <v>2020-03-27</v>
      </c>
      <c r="G395" s="53" t="d">
        <v>14:20:00.00000000000852900</v>
      </c>
      <c r="H395" s="53" t="d">
        <v>15:07:59.99999999999829150</v>
      </c>
      <c r="I395" s="53" t="d">
        <v>17:00:00.0000000000031950</v>
      </c>
      <c r="J395" s="53" t="d">
        <v>17:04:00.000000000002344800</v>
      </c>
      <c r="K395" s="53" t="d">
        <v>17:05:00.00000000000213225</v>
      </c>
      <c r="L395" s="83"/>
      <c r="M395" s="15"/>
      <c r="O395" s="4"/>
    </row>
    <row r="396" spans="1:15" x14ac:dyDescent="0.2">
      <c r="A396" s="82">
        <f t="shared" si="13"/>
        <v>395</v>
      </c>
      <c r="B396" t="s">
        <v>238</v>
      </c>
      <c r="C396" s="71" t="s">
        <v>72</v>
      </c>
      <c r="D396" s="9">
        <v>252</v>
      </c>
      <c r="E396" s="72"/>
      <c r="F396" s="4" t="d">
        <f ca="1">Table9[[#This Row],[Surgery Start Date]]+1</f>
        <v>2020-03-24</v>
      </c>
      <c r="G396" s="53" t="d">
        <v>09:39:59.99999999999627025</v>
      </c>
      <c r="H396" s="53" t="d">
        <v>10:24:59.99999999999627025</v>
      </c>
      <c r="I396" s="53" t="d">
        <v>16:20:00.00000000000213225</v>
      </c>
      <c r="J396" s="53" t="d">
        <v>16:34:59.99999999999893725</v>
      </c>
      <c r="K396" s="53" t="d">
        <v>16:36:00.00000000000831375</v>
      </c>
      <c r="L396" s="83"/>
      <c r="M396" s="15"/>
      <c r="O396" s="4"/>
    </row>
    <row r="397" spans="1:15" x14ac:dyDescent="0.2">
      <c r="A397" s="82">
        <f t="shared" si="13"/>
        <v>396</v>
      </c>
      <c r="B397" t="s">
        <v>238</v>
      </c>
      <c r="C397" s="71" t="s">
        <v>72</v>
      </c>
      <c r="D397" s="9">
        <v>252</v>
      </c>
      <c r="E397" s="72"/>
      <c r="F397" s="4" t="d">
        <f ca="1">Table9[[#This Row],[Surgery Start Date]]+1</f>
        <v>2020-03-25</v>
      </c>
      <c r="G397" s="53" t="d">
        <v>08:05:59.99999999999712450</v>
      </c>
      <c r="H397" s="53" t="d">
        <v>08:35:00.00000000000053475</v>
      </c>
      <c r="I397" s="53" t="d">
        <v>09:00:00.000</v>
      </c>
      <c r="J397" s="53" t="d">
        <v>09:14:59.9999999999968050</v>
      </c>
      <c r="K397" s="53" t="d">
        <v>09:20:00.00000000000053475</v>
      </c>
      <c r="L397" s="83"/>
      <c r="M397" s="15"/>
      <c r="O397" s="4"/>
    </row>
    <row r="398" spans="1:15" x14ac:dyDescent="0.2">
      <c r="A398" s="82">
        <f t="shared" si="13"/>
        <v>397</v>
      </c>
      <c r="B398" t="s">
        <v>238</v>
      </c>
      <c r="C398" s="71" t="s">
        <v>72</v>
      </c>
      <c r="D398" s="9">
        <v>252</v>
      </c>
      <c r="E398" s="72"/>
      <c r="F398" s="4" t="d">
        <f ca="1">Table9[[#This Row],[Surgery Start Date]]+1</f>
        <v>2020-03-25</v>
      </c>
      <c r="G398" s="53" t="d">
        <v>09:20:00.00000000000053475</v>
      </c>
      <c r="H398" s="53" t="d">
        <v>09:45:00.000</v>
      </c>
      <c r="I398" s="53" t="d">
        <v>10:30:00.000</v>
      </c>
      <c r="J398" s="53" t="d">
        <v>10:34:59.99999999999893725</v>
      </c>
      <c r="K398" s="53" t="d">
        <v>10:39:59.99999999999786775</v>
      </c>
      <c r="L398" s="83"/>
      <c r="M398" s="15"/>
      <c r="O398" s="4"/>
    </row>
    <row r="399" spans="1:15" x14ac:dyDescent="0.2">
      <c r="A399" s="82">
        <f t="shared" si="13"/>
        <v>398</v>
      </c>
      <c r="B399" t="s">
        <v>238</v>
      </c>
      <c r="C399" s="71" t="s">
        <v>72</v>
      </c>
      <c r="D399" s="9">
        <v>252</v>
      </c>
      <c r="E399" s="72"/>
      <c r="F399" s="4" t="d">
        <f ca="1">Table9[[#This Row],[Surgery Start Date]]+1</f>
        <v>2020-03-25</v>
      </c>
      <c r="G399" s="53" t="d">
        <v>11:20:00.00000000000372975</v>
      </c>
      <c r="H399" s="53" t="d">
        <v>11:30:00.0000000000015975</v>
      </c>
      <c r="I399" s="53" t="d">
        <v>11:44:59.9999999999984025</v>
      </c>
      <c r="J399" s="53" t="d">
        <v>11:49:59.99999999999733300</v>
      </c>
      <c r="K399" s="53" t="d">
        <v>11:50:59.99999999999712450</v>
      </c>
      <c r="L399" s="83"/>
      <c r="M399" s="15"/>
      <c r="O399" s="4"/>
    </row>
    <row r="400" spans="1:15" x14ac:dyDescent="0.2">
      <c r="A400" s="82">
        <f t="shared" si="13"/>
        <v>399</v>
      </c>
      <c r="B400" t="s">
        <v>238</v>
      </c>
      <c r="C400" s="71" t="s">
        <v>72</v>
      </c>
      <c r="D400" s="9">
        <v>252</v>
      </c>
      <c r="E400" s="72"/>
      <c r="F400" s="4" t="d">
        <f ca="1">Table9[[#This Row],[Surgery Start Date]]+1</f>
        <v>2020-03-25</v>
      </c>
      <c r="G400" s="53" t="d">
        <v>12:05:00.00000000000852900</v>
      </c>
      <c r="H400" s="53" t="d">
        <v>12:40:00.00000000000106275</v>
      </c>
      <c r="I400" s="53" t="d">
        <v>16:30:00.000</v>
      </c>
      <c r="J400" s="53" t="d">
        <v>16:34:59.99999999999893725</v>
      </c>
      <c r="K400" s="53" t="d">
        <v>16:45:00.00000000000639675</v>
      </c>
      <c r="L400" s="83"/>
      <c r="M400" s="15"/>
      <c r="O400" s="4"/>
    </row>
    <row r="401" spans="1:15" x14ac:dyDescent="0.2">
      <c r="A401" s="82">
        <f t="shared" si="13"/>
        <v>400</v>
      </c>
      <c r="B401" t="s">
        <v>238</v>
      </c>
      <c r="C401" s="71" t="s">
        <v>72</v>
      </c>
      <c r="D401" s="9">
        <v>252</v>
      </c>
      <c r="E401" s="72"/>
      <c r="F401" s="4" t="d">
        <f ca="1">Table9[[#This Row],[Surgery Start Date]]+1</f>
        <v>2020-03-26</v>
      </c>
      <c r="G401" s="53" t="d">
        <v>08:35:00.00000000000053475</v>
      </c>
      <c r="H401" s="53" t="d">
        <v>08:52:00.00000000000170850</v>
      </c>
      <c r="I401" s="53" t="d">
        <v>09:14:59.9999999999968050</v>
      </c>
      <c r="J401" s="53" t="d">
        <v>09:24:59.99999999999467275</v>
      </c>
      <c r="K401" s="53" t="d">
        <v>09:25:59.99999999999925675</v>
      </c>
      <c r="L401" s="83"/>
      <c r="M401" s="15"/>
      <c r="O401" s="4"/>
    </row>
    <row r="402" spans="1:15" x14ac:dyDescent="0.2">
      <c r="A402" s="82">
        <f t="shared" si="13"/>
        <v>401</v>
      </c>
      <c r="B402" t="s">
        <v>238</v>
      </c>
      <c r="C402" s="71" t="s">
        <v>72</v>
      </c>
      <c r="D402" s="9">
        <v>252</v>
      </c>
      <c r="E402" s="72"/>
      <c r="F402" s="4" t="d">
        <f ca="1">Table9[[#This Row],[Surgery Start Date]]+1</f>
        <v>2020-03-26</v>
      </c>
      <c r="G402" s="53" t="d">
        <v>09:29:59.9999999999984025</v>
      </c>
      <c r="H402" s="53" t="d">
        <v>09:39:59.99999999999627025</v>
      </c>
      <c r="I402" s="53" t="d">
        <v>09:59:59.9999999999968050</v>
      </c>
      <c r="J402" s="53" t="d">
        <v>10:14:59.9999999999984025</v>
      </c>
      <c r="K402" s="53" t="d">
        <v>10:20:00.00000000000213225</v>
      </c>
      <c r="L402" s="83"/>
      <c r="M402" s="15"/>
      <c r="O402" s="4"/>
    </row>
    <row r="403" spans="1:15" x14ac:dyDescent="0.2">
      <c r="A403" s="82">
        <f t="shared" si="13"/>
        <v>402</v>
      </c>
      <c r="B403" t="s">
        <v>238</v>
      </c>
      <c r="C403" s="71" t="s">
        <v>72</v>
      </c>
      <c r="D403" s="9">
        <v>252</v>
      </c>
      <c r="E403" s="72"/>
      <c r="F403" s="4" t="d">
        <f ca="1">Table9[[#This Row],[Surgery Start Date]]+1</f>
        <v>2020-03-26</v>
      </c>
      <c r="G403" s="53" t="d">
        <v>10:24:59.99999999999627025</v>
      </c>
      <c r="H403" s="53" t="d">
        <v>10:54:59.99999999999467275</v>
      </c>
      <c r="I403" s="53" t="d">
        <v>11:15:01</v>
      </c>
      <c r="J403" s="53" t="d">
        <v>11:30:00.0000000000015975</v>
      </c>
      <c r="K403" s="53" t="d">
        <v>11:49:59.99999999999733300</v>
      </c>
      <c r="L403" s="83"/>
      <c r="M403" s="15"/>
      <c r="O403" s="4"/>
    </row>
    <row r="404" spans="1:15" x14ac:dyDescent="0.2">
      <c r="A404" s="82">
        <f t="shared" si="13"/>
        <v>403</v>
      </c>
      <c r="B404" t="s">
        <v>238</v>
      </c>
      <c r="C404" s="71" t="s">
        <v>72</v>
      </c>
      <c r="D404" s="9">
        <v>252</v>
      </c>
      <c r="E404" s="72"/>
      <c r="F404" s="4" t="d">
        <f ca="1">Table9[[#This Row],[Surgery Start Date]]+1</f>
        <v>2020-03-26</v>
      </c>
      <c r="G404" s="53" t="d">
        <v>11:24:59.99999999999307525</v>
      </c>
      <c r="H404" s="53" t="d">
        <v>12:09:59.99999999999786775</v>
      </c>
      <c r="I404" s="53" t="d">
        <v>13:45:00.00000000000639675</v>
      </c>
      <c r="J404" s="53" t="d">
        <v>14:00:00.0000000000031950</v>
      </c>
      <c r="K404" s="53" t="d">
        <v>14:01:00.00000000000298650</v>
      </c>
      <c r="L404" s="83"/>
      <c r="M404" s="15"/>
      <c r="O404" s="4"/>
    </row>
    <row r="405" spans="1:15" x14ac:dyDescent="0.2">
      <c r="A405" s="82">
        <f t="shared" si="13"/>
        <v>404</v>
      </c>
      <c r="B405" t="s">
        <v>238</v>
      </c>
      <c r="C405" s="71" t="s">
        <v>72</v>
      </c>
      <c r="D405" s="9">
        <v>252</v>
      </c>
      <c r="E405" s="72"/>
      <c r="F405" s="4" t="d">
        <f ca="1">Table9[[#This Row],[Surgery Start Date]]+1</f>
        <v>2020-03-27</v>
      </c>
      <c r="G405" s="53" t="d">
        <v>12:46:00.000000000009379200</v>
      </c>
      <c r="H405" s="53" t="d">
        <v>12:54:59.99999999999786775</v>
      </c>
      <c r="I405" s="53" t="d">
        <v>13:20:00.00000000000213225</v>
      </c>
      <c r="J405" s="53" t="d">
        <v>13:25:00.00000000000106275</v>
      </c>
      <c r="K405" s="53" t="d">
        <v>13:30:00.000</v>
      </c>
      <c r="L405" s="83"/>
      <c r="M405" s="15"/>
      <c r="O405" s="4"/>
    </row>
    <row r="406" spans="1:15" x14ac:dyDescent="0.2">
      <c r="A406" s="82">
        <f t="shared" si="13"/>
        <v>405</v>
      </c>
      <c r="B406" t="s">
        <v>238</v>
      </c>
      <c r="C406" s="71" t="s">
        <v>72</v>
      </c>
      <c r="D406" s="9">
        <v>252</v>
      </c>
      <c r="E406" s="72"/>
      <c r="F406" s="4" t="d">
        <f ca="1">Table9[[#This Row],[Surgery Start Date]]+1</f>
        <v>2020-03-27</v>
      </c>
      <c r="G406" s="53" t="d">
        <v>14:40:00.00000000000426450</v>
      </c>
      <c r="H406" s="53" t="d">
        <v>15:00:00.000</v>
      </c>
      <c r="I406" s="53" t="d">
        <v>15:55:00.00000000000745950</v>
      </c>
      <c r="J406" s="53" t="d">
        <v>16:00:00.00000000000639675</v>
      </c>
      <c r="K406" s="53" t="d">
        <v>16:15:00.0000000000031950</v>
      </c>
      <c r="L406" s="83"/>
      <c r="M406" s="15"/>
      <c r="O406" s="4"/>
    </row>
    <row r="407" spans="1:15" x14ac:dyDescent="0.2">
      <c r="A407" s="82">
        <f t="shared" si="13"/>
        <v>406</v>
      </c>
      <c r="B407" t="s">
        <v>238</v>
      </c>
      <c r="C407" s="71" t="s">
        <v>72</v>
      </c>
      <c r="D407" s="9">
        <v>252</v>
      </c>
      <c r="E407" s="72"/>
      <c r="F407" s="4" t="d">
        <f ca="1">Table9[[#This Row],[Surgery Start Date]]+1</f>
        <v>2020-03-27</v>
      </c>
      <c r="G407" s="53" t="d">
        <v>13:39:59.99999999999786775</v>
      </c>
      <c r="H407" s="53" t="d">
        <v>13:55:00.00000000000426450</v>
      </c>
      <c r="I407" s="53" t="d">
        <v>14:24:59.99999999999786775</v>
      </c>
      <c r="J407" s="53" t="d">
        <v>14:30:00.00000000000639675</v>
      </c>
      <c r="K407" s="53" t="d">
        <v>14:35:00.00000000000532725</v>
      </c>
      <c r="L407" s="83"/>
      <c r="M407" s="15"/>
      <c r="O407" s="4"/>
    </row>
    <row r="408" spans="1:15" x14ac:dyDescent="0.2">
      <c r="A408" s="82">
        <f t="shared" si="13"/>
        <v>407</v>
      </c>
      <c r="B408" t="s">
        <v>239</v>
      </c>
      <c r="C408" s="71" t="s">
        <v>72</v>
      </c>
      <c r="D408" s="9">
        <v>28</v>
      </c>
      <c r="E408" s="72"/>
      <c r="F408" s="4" t="d">
        <f ca="1">Table9[[#This Row],[Surgery Start Date]]+1</f>
        <v>2020-03-26</v>
      </c>
      <c r="G408" s="53" t="d">
        <v>08:05:00.00000000000213225</v>
      </c>
      <c r="H408" s="53" t="d">
        <v>08:15:00.000</v>
      </c>
      <c r="I408" s="53" t="d">
        <v>09:00:00.000</v>
      </c>
      <c r="J408" s="53" t="d">
        <v>09:01:59.99999999999957625</v>
      </c>
      <c r="K408" s="53" t="d">
        <v>09:02:59.99999999999936100</v>
      </c>
      <c r="L408" s="83"/>
      <c r="M408" s="15"/>
      <c r="O408" s="4"/>
    </row>
    <row r="409" spans="1:15" x14ac:dyDescent="0.2">
      <c r="A409" s="82">
        <f t="shared" si="13"/>
        <v>408</v>
      </c>
      <c r="B409" t="s">
        <v>239</v>
      </c>
      <c r="C409" s="71" t="s">
        <v>72</v>
      </c>
      <c r="D409" s="9">
        <v>28</v>
      </c>
      <c r="E409" s="72"/>
      <c r="F409" s="4" t="d">
        <f ca="1">Table9[[#This Row],[Surgery Start Date]]+1</f>
        <v>2020-03-26</v>
      </c>
      <c r="G409" s="53" t="d">
        <v>09:13:59.99999999999701350</v>
      </c>
      <c r="H409" s="53" t="d">
        <v>09:24:59.99999999999467275</v>
      </c>
      <c r="I409" s="53" t="d">
        <v>10:59:59.9999999999984025</v>
      </c>
      <c r="J409" s="53" t="d">
        <v>11:08:59.99999999999648550</v>
      </c>
      <c r="K409" s="53" t="d">
        <v>11:09:59.99999999999627025</v>
      </c>
      <c r="L409" s="83"/>
      <c r="M409" s="15"/>
      <c r="O409" s="4"/>
    </row>
    <row r="410" spans="1:15" x14ac:dyDescent="0.2">
      <c r="A410" s="82">
        <f t="shared" si="13"/>
        <v>409</v>
      </c>
      <c r="B410" t="s">
        <v>239</v>
      </c>
      <c r="C410" s="71" t="s">
        <v>72</v>
      </c>
      <c r="D410" s="9">
        <v>28</v>
      </c>
      <c r="E410" s="72"/>
      <c r="F410" s="4" t="d">
        <f ca="1">Table9[[#This Row],[Surgery Start Date]]+1</f>
        <v>2020-03-26</v>
      </c>
      <c r="G410" s="53" t="d">
        <v>11:33:00.00000000000095850</v>
      </c>
      <c r="H410" s="53" t="d">
        <v>11:49:59.99999999999733300</v>
      </c>
      <c r="I410" s="53" t="d">
        <v>14:22:59.99999999999829150</v>
      </c>
      <c r="J410" s="53" t="d">
        <v>14:24:59.99999999999786775</v>
      </c>
      <c r="K410" s="53" t="d">
        <v>14:30:00.00000000000639675</v>
      </c>
      <c r="L410" s="83"/>
      <c r="M410" s="15"/>
      <c r="O410" s="4"/>
    </row>
    <row r="411" spans="1:15" x14ac:dyDescent="0.2">
      <c r="A411" s="82">
        <f t="shared" si="13"/>
        <v>410</v>
      </c>
      <c r="B411" t="s">
        <v>239</v>
      </c>
      <c r="C411" s="71" t="s">
        <v>72</v>
      </c>
      <c r="D411" s="9">
        <v>28</v>
      </c>
      <c r="E411" s="72"/>
      <c r="F411" s="4" t="d">
        <f ca="1">Table9[[#This Row],[Surgery Start Date]]+1</f>
        <v>2020-03-26</v>
      </c>
      <c r="G411" s="53" t="d">
        <v>14:35:00.00000000000532725</v>
      </c>
      <c r="H411" s="53" t="d">
        <v>14:40:00.00000000000426450</v>
      </c>
      <c r="I411" s="53" t="d">
        <v>15:10:00.00000000000745950</v>
      </c>
      <c r="J411" s="53" t="d">
        <v>15:15:00.00000000000639675</v>
      </c>
      <c r="K411" s="53" t="d">
        <v>15:15:59.99999999999658975</v>
      </c>
      <c r="L411" s="83"/>
      <c r="M411" s="15"/>
      <c r="O411" s="4"/>
    </row>
    <row r="412" spans="1:15" x14ac:dyDescent="0.2">
      <c r="A412" s="82">
        <f t="shared" si="13"/>
        <v>411</v>
      </c>
      <c r="B412" t="s">
        <v>239</v>
      </c>
      <c r="C412" s="55" t="s">
        <v>72</v>
      </c>
      <c r="D412" s="9">
        <v>28</v>
      </c>
      <c r="E412" s="56"/>
      <c r="F412" s="4" t="d">
        <f ca="1">Table9[[#This Row],[Surgery Start Date]]+1</f>
        <v>2020-03-26</v>
      </c>
      <c r="G412" s="53" t="d">
        <v>15:33:00.00000000000255600</v>
      </c>
      <c r="H412" s="53" t="d">
        <v>15:45:00.000</v>
      </c>
      <c r="I412" s="53" t="d">
        <v>16:30:00.000</v>
      </c>
      <c r="J412" s="53" t="d">
        <v>16:36:00.00000000000831375</v>
      </c>
      <c r="K412" s="53" t="d">
        <v>16:37:59.99999999999829150</v>
      </c>
      <c r="L412" s="83"/>
      <c r="M412" s="54"/>
      <c r="O412" s="4"/>
    </row>
    <row r="413" spans="1:15" x14ac:dyDescent="0.2">
      <c r="A413" s="82">
        <f t="shared" si="13"/>
        <v>412</v>
      </c>
      <c r="B413" t="s">
        <v>239</v>
      </c>
      <c r="C413" s="55" t="s">
        <v>72</v>
      </c>
      <c r="D413" s="9">
        <v>43</v>
      </c>
      <c r="E413" s="56"/>
      <c r="F413" s="4" t="d">
        <f ca="1">Table9[[#This Row],[Surgery Start Date]]+1</f>
        <v>2020-03-27</v>
      </c>
      <c r="G413" s="53" t="d">
        <v>07:55:59.99999999999925675</v>
      </c>
      <c r="H413" s="53" t="d">
        <v>08:27:59.99999999999722875</v>
      </c>
      <c r="I413" s="53" t="d">
        <v>10:09:59.99999999999467275</v>
      </c>
      <c r="J413" s="53" t="d">
        <v>10:28:59.99999999999541600</v>
      </c>
      <c r="K413" s="53" t="d">
        <v>10:30:00.000</v>
      </c>
      <c r="L413" s="83"/>
      <c r="M413" s="54"/>
      <c r="O413" s="4"/>
    </row>
    <row r="414" spans="1:15" x14ac:dyDescent="0.2">
      <c r="A414" s="82">
        <f t="shared" si="13"/>
        <v>413</v>
      </c>
      <c r="B414" t="s">
        <v>239</v>
      </c>
      <c r="C414" s="55" t="s">
        <v>72</v>
      </c>
      <c r="D414" s="9">
        <v>43</v>
      </c>
      <c r="E414" s="56"/>
      <c r="F414" s="4" t="d">
        <f ca="1">Table9[[#This Row],[Surgery Start Date]]+1</f>
        <v>2020-03-27</v>
      </c>
      <c r="G414" s="53" t="d">
        <v>09:18:00.00000000000095850</v>
      </c>
      <c r="H414" s="53" t="d">
        <v>11:30:00.0000000000015975</v>
      </c>
      <c r="I414" s="53" t="d">
        <v>20:34:59.99999999999573550</v>
      </c>
      <c r="J414" s="53" t="d">
        <v>20:55:00.00000000001066125</v>
      </c>
      <c r="K414" s="53" t="d">
        <v>21:49:59.99999999999893725</v>
      </c>
      <c r="L414" s="83"/>
      <c r="M414" s="54"/>
      <c r="O414" s="4"/>
    </row>
    <row r="415" spans="1:15" x14ac:dyDescent="0.2">
      <c r="A415" s="82">
        <f t="shared" si="13"/>
        <v>414</v>
      </c>
      <c r="B415" t="s">
        <v>241</v>
      </c>
      <c r="C415" s="55" t="s">
        <v>72</v>
      </c>
      <c r="D415" s="9">
        <v>43</v>
      </c>
      <c r="E415" s="56"/>
      <c r="F415" s="4" t="d">
        <f ca="1">Table9[[#This Row],[Surgery Start Date]]+1</f>
        <v>2020-03-19</v>
      </c>
      <c r="G415" s="53" t="d">
        <v>09:49:59.99999999999893725</v>
      </c>
      <c r="H415" s="53" t="d">
        <v>10:24:59.99999999999627025</v>
      </c>
      <c r="I415" s="53" t="d">
        <v>11:30:00.0000000000015975</v>
      </c>
      <c r="J415" s="53" t="d">
        <v>11:35:00.00000000000053475</v>
      </c>
      <c r="K415" s="53" t="d">
        <v>11:47:59.99999999999776350</v>
      </c>
      <c r="L415" s="83"/>
      <c r="M415" s="54"/>
      <c r="O415" s="4"/>
    </row>
    <row r="416" spans="1:15" x14ac:dyDescent="0.2">
      <c r="A416" s="82">
        <f t="shared" si="13"/>
        <v>415</v>
      </c>
      <c r="B416" t="s">
        <v>241</v>
      </c>
      <c r="C416" s="55" t="s">
        <v>71</v>
      </c>
      <c r="D416" s="9">
        <v>76</v>
      </c>
      <c r="E416" s="56"/>
      <c r="F416" s="4" t="d">
        <f ca="1">Table9[[#This Row],[Surgery Start Date]]+1</f>
        <v>2020-03-19</v>
      </c>
      <c r="G416" s="53" t="d">
        <v>13:00:00.00000000000639675</v>
      </c>
      <c r="H416" s="53" t="d">
        <v>13:30:00.000</v>
      </c>
      <c r="I416" s="53" t="d">
        <v>14:00:00.0000000000031950</v>
      </c>
      <c r="J416" s="53" t="d">
        <v>14:28:59.99999999999701350</v>
      </c>
      <c r="K416" s="53" t="d">
        <v>14:30:00.00000000000639675</v>
      </c>
      <c r="L416" s="83"/>
      <c r="M416" s="54"/>
      <c r="O416" s="4"/>
    </row>
    <row r="417" spans="1:15" x14ac:dyDescent="0.2">
      <c r="A417" s="82">
        <f t="shared" si="13"/>
        <v>416</v>
      </c>
      <c r="B417" t="s">
        <v>241</v>
      </c>
      <c r="C417" s="55" t="s">
        <v>72</v>
      </c>
      <c r="D417" s="9">
        <v>43</v>
      </c>
      <c r="E417" s="56"/>
      <c r="F417" s="4" t="d">
        <f ca="1">Table9[[#This Row],[Surgery Start Date]]+1</f>
        <v>2020-03-20</v>
      </c>
      <c r="G417" s="53" t="d">
        <v>07:50:00.00000000000053475</v>
      </c>
      <c r="H417" s="53" t="d">
        <v>08:50:00.00000000000213225</v>
      </c>
      <c r="I417" s="53" t="d">
        <v>09:00:00.000</v>
      </c>
      <c r="J417" s="53" t="d">
        <v>09:03:59.99999999999914575</v>
      </c>
      <c r="K417" s="53" t="d">
        <v>09:04:59.99999999999893725</v>
      </c>
      <c r="L417" s="83"/>
      <c r="M417" s="54"/>
      <c r="O417" s="4"/>
    </row>
    <row r="418" spans="1:15" x14ac:dyDescent="0.2">
      <c r="A418" s="82">
        <f t="shared" si="13"/>
        <v>417</v>
      </c>
      <c r="B418" t="s">
        <v>241</v>
      </c>
      <c r="C418" s="55" t="s">
        <v>72</v>
      </c>
      <c r="D418" s="9">
        <v>43</v>
      </c>
      <c r="E418" s="56"/>
      <c r="F418" s="4" t="d">
        <f ca="1">Table9[[#This Row],[Surgery Start Date]]+1</f>
        <v>2020-03-20</v>
      </c>
      <c r="G418" s="53" t="d">
        <v>09:04:59.99999999999893725</v>
      </c>
      <c r="H418" s="53" t="d">
        <v>09:20:00.00000000000053475</v>
      </c>
      <c r="I418" s="53" t="d">
        <v>09:39:59.99999999999627025</v>
      </c>
      <c r="J418" s="53" t="d">
        <v>09:41:59.99999999999584650</v>
      </c>
      <c r="K418" s="53" t="d">
        <v>09:55:59.9999999999976525</v>
      </c>
      <c r="L418" s="83"/>
      <c r="M418" s="54"/>
      <c r="O418" s="4"/>
    </row>
    <row r="419" spans="1:15" x14ac:dyDescent="0.2">
      <c r="A419" s="82">
        <f t="shared" si="13"/>
        <v>418</v>
      </c>
      <c r="B419" t="s">
        <v>241</v>
      </c>
      <c r="C419" s="55" t="s">
        <v>72</v>
      </c>
      <c r="D419" s="9">
        <v>43</v>
      </c>
      <c r="E419" s="56"/>
      <c r="F419" s="4" t="d">
        <f ca="1">Table9[[#This Row],[Surgery Start Date]]+1</f>
        <v>2020-03-26</v>
      </c>
      <c r="G419" s="53" t="d">
        <v>08:24:59.99999999999786775</v>
      </c>
      <c r="H419" s="53" t="d">
        <v>09:00:00.000</v>
      </c>
      <c r="I419" s="53" t="d">
        <v>11:20:00.00000000000372975</v>
      </c>
      <c r="J419" s="53" t="d">
        <v>11:35:00.00000000000053475</v>
      </c>
      <c r="K419" s="53" t="d">
        <v>11:39:59.99999999999946525</v>
      </c>
      <c r="L419" s="83"/>
      <c r="M419" s="54"/>
      <c r="O419" s="4"/>
    </row>
    <row r="420" spans="1:15" x14ac:dyDescent="0.2">
      <c r="A420" s="82">
        <f t="shared" si="13"/>
        <v>419</v>
      </c>
      <c r="B420" t="s">
        <v>241</v>
      </c>
      <c r="C420" s="55" t="s">
        <v>72</v>
      </c>
      <c r="D420" s="9">
        <v>43</v>
      </c>
      <c r="E420" s="56"/>
      <c r="F420" s="4" t="d">
        <f ca="1">Table9[[#This Row],[Surgery Start Date]]+1</f>
        <v>2020-03-26</v>
      </c>
      <c r="G420" s="53" t="d">
        <v>12:42:00.00000000000063900</v>
      </c>
      <c r="H420" s="53" t="d">
        <v>13:06:00.00000000000511875</v>
      </c>
      <c r="I420" s="53" t="d">
        <v>15:10:00.00000000000745950</v>
      </c>
      <c r="J420" s="53" t="d">
        <v>15:15:00.00000000000639675</v>
      </c>
      <c r="K420" s="53" t="d">
        <v>15:17:00.00000000000596625</v>
      </c>
      <c r="L420" s="83"/>
      <c r="M420" s="54"/>
      <c r="O420" s="4"/>
    </row>
    <row r="421" spans="1:15" x14ac:dyDescent="0.2">
      <c r="A421" s="82">
        <f t="shared" ref="A421:A443" si="14">ROW()-1</f>
        <v>420</v>
      </c>
      <c r="B421" t="s">
        <v>241</v>
      </c>
      <c r="C421" s="55" t="s">
        <v>72</v>
      </c>
      <c r="D421" s="9">
        <v>43</v>
      </c>
      <c r="E421" s="56"/>
      <c r="F421" s="4" t="d">
        <f ca="1">Table9[[#This Row],[Surgery Start Date]]+1</f>
        <v>2020-03-27</v>
      </c>
      <c r="G421" s="53" t="d">
        <v>09:20:00.00000000000053475</v>
      </c>
      <c r="H421" s="53" t="d">
        <v>10:54:59.99999999999467275</v>
      </c>
      <c r="I421" s="53" t="d">
        <v>16:15:00.0000000000031950</v>
      </c>
      <c r="J421" s="53" t="d">
        <v>16:25:00.00000000001066125</v>
      </c>
      <c r="K421" s="53" t="d">
        <v>16:30:00.000</v>
      </c>
      <c r="L421" s="83"/>
      <c r="M421" s="54"/>
      <c r="O421" s="4"/>
    </row>
    <row r="422" spans="1:15" x14ac:dyDescent="0.2">
      <c r="A422" s="82">
        <f t="shared" si="14"/>
        <v>421</v>
      </c>
      <c r="B422" t="s">
        <v>241</v>
      </c>
      <c r="C422" s="71" t="s">
        <v>71</v>
      </c>
      <c r="D422" s="9">
        <v>76</v>
      </c>
      <c r="E422" s="72"/>
      <c r="F422" s="4" t="d">
        <f ca="1">Table9[[#This Row],[Surgery Start Date]]+1</f>
        <v>2020-03-27</v>
      </c>
      <c r="G422" s="53" t="d">
        <v>22:00:00.00000000000639675</v>
      </c>
      <c r="H422" s="53" t="d">
        <v>22:15:00.0000000000031950</v>
      </c>
      <c r="I422" s="53" t="d">
        <v>00:50:00.00000000000073275</v>
      </c>
      <c r="J422" s="53" t="d">
        <v>00:54:59.9999999999996700</v>
      </c>
      <c r="K422" s="53" t="d">
        <v>01:05:00.00000000000113550</v>
      </c>
      <c r="L422" s="83" t="d">
        <v>2020-03-28</v>
      </c>
      <c r="M422" s="15"/>
      <c r="O422" s="4"/>
    </row>
    <row r="423" spans="1:15" ht="16" x14ac:dyDescent="0.2">
      <c r="A423" s="82">
        <f t="shared" si="14"/>
        <v>422</v>
      </c>
      <c r="B423" t="s">
        <v>240</v>
      </c>
      <c r="C423" s="75" t="s">
        <v>71</v>
      </c>
      <c r="D423" s="9">
        <v>351</v>
      </c>
      <c r="E423" s="76"/>
      <c r="F423" s="4" t="d">
        <f ca="1">Table9[[#This Row],[Surgery Start Date]]+1</f>
        <v>2020-03-26</v>
      </c>
      <c r="G423" s="53" t="d">
        <v>07:50:59.99999999999552025</v>
      </c>
      <c r="H423" s="53" t="d">
        <v>08:09:59.99999999999627025</v>
      </c>
      <c r="I423" s="53" t="d">
        <v>09:04:59.99999999999893725</v>
      </c>
      <c r="J423" s="53" t="d">
        <v>09:09:59.99999999999786775</v>
      </c>
      <c r="K423" s="53" t="d">
        <v>09:14:59.9999999999968050</v>
      </c>
      <c r="L423" s="83"/>
      <c r="M423" s="78"/>
      <c r="O423" s="4"/>
    </row>
    <row r="424" spans="1:15" ht="16" x14ac:dyDescent="0.2">
      <c r="A424" s="82">
        <f t="shared" si="14"/>
        <v>423</v>
      </c>
      <c r="B424" t="s">
        <v>240</v>
      </c>
      <c r="C424" s="75" t="s">
        <v>71</v>
      </c>
      <c r="D424" s="9">
        <v>351</v>
      </c>
      <c r="E424" s="76"/>
      <c r="F424" s="4" t="d">
        <f ca="1">Table9[[#This Row],[Surgery Start Date]]+1</f>
        <v>2020-03-26</v>
      </c>
      <c r="G424" s="53" t="d">
        <v>08:54:59.99999999999627025</v>
      </c>
      <c r="H424" s="53" t="d">
        <v>09:24:59.99999999999467275</v>
      </c>
      <c r="I424" s="53" t="d">
        <v>10:20:00.00000000000213225</v>
      </c>
      <c r="J424" s="53" t="d">
        <v>10:24:59.99999999999627025</v>
      </c>
      <c r="K424" s="53" t="d">
        <v>10:30:00.000</v>
      </c>
      <c r="L424" s="83"/>
      <c r="M424" s="78"/>
      <c r="O424" s="4"/>
    </row>
    <row r="425" spans="1:15" ht="16" x14ac:dyDescent="0.2">
      <c r="A425" s="82">
        <f t="shared" si="14"/>
        <v>424</v>
      </c>
      <c r="B425" t="s">
        <v>240</v>
      </c>
      <c r="C425" s="75" t="s">
        <v>71</v>
      </c>
      <c r="D425" s="9">
        <v>351</v>
      </c>
      <c r="E425" s="76"/>
      <c r="F425" s="4" t="d">
        <f ca="1">Table9[[#This Row],[Surgery Start Date]]+1</f>
        <v>2020-03-26</v>
      </c>
      <c r="G425" s="53" t="d">
        <v>10:59:59.9999999999984025</v>
      </c>
      <c r="H425" s="53" t="d">
        <v>11:39:59.99999999999946525</v>
      </c>
      <c r="I425" s="53" t="d">
        <v>13:05:00.00000000000532725</v>
      </c>
      <c r="J425" s="53" t="d">
        <v>13:10:00.00000000000426450</v>
      </c>
      <c r="K425" s="53" t="d">
        <v>13:15:00.0000000000031950</v>
      </c>
      <c r="L425" s="83"/>
      <c r="M425" s="78"/>
      <c r="O425" s="4"/>
    </row>
    <row r="426" spans="1:15" ht="16" x14ac:dyDescent="0.2">
      <c r="A426" s="82">
        <f t="shared" si="14"/>
        <v>425</v>
      </c>
      <c r="B426" t="s">
        <v>240</v>
      </c>
      <c r="C426" s="75" t="s">
        <v>71</v>
      </c>
      <c r="D426" s="9">
        <v>351</v>
      </c>
      <c r="E426" s="76"/>
      <c r="F426" s="4" t="d">
        <f ca="1">Table9[[#This Row],[Surgery Start Date]]+1</f>
        <v>2020-03-26</v>
      </c>
      <c r="G426" s="53" t="d">
        <v>13:23:00.00000000000149325</v>
      </c>
      <c r="H426" s="53" t="d">
        <v>14:00:00.0000000000031950</v>
      </c>
      <c r="I426" s="53" t="d">
        <v>15:00:00.000</v>
      </c>
      <c r="J426" s="53" t="d">
        <v>16:04:59.99999999999573550</v>
      </c>
      <c r="K426" s="53" t="d">
        <v>16:10:00.00000000000426450</v>
      </c>
      <c r="L426" s="83"/>
      <c r="M426" s="78"/>
      <c r="O426" s="4"/>
    </row>
    <row r="427" spans="1:15" x14ac:dyDescent="0.2">
      <c r="A427" s="82">
        <f t="shared" si="14"/>
        <v>426</v>
      </c>
      <c r="B427" t="s">
        <v>239</v>
      </c>
      <c r="C427" s="80" t="s">
        <v>72</v>
      </c>
      <c r="D427" s="9">
        <v>427</v>
      </c>
      <c r="E427" s="81"/>
      <c r="F427" s="4" t="d">
        <f ca="1">Table9[[#This Row],[Surgery Start Date]]+1</f>
        <v>2020-03-23</v>
      </c>
      <c r="G427" s="53" t="d">
        <v>08:35:00.00000000000053475</v>
      </c>
      <c r="H427" s="53" t="d">
        <v>09:09:59.99999999999786775</v>
      </c>
      <c r="I427" s="53" t="d">
        <v>10:30:00.000</v>
      </c>
      <c r="J427" s="53" t="d">
        <v>10:30:59.999999999999786775</v>
      </c>
      <c r="K427" s="53" t="d">
        <v>10:36:59.99999999999850675</v>
      </c>
      <c r="L427" s="83"/>
      <c r="M427" s="54"/>
      <c r="O427" s="4"/>
    </row>
    <row r="428" spans="1:15" x14ac:dyDescent="0.2">
      <c r="A428" s="82">
        <f t="shared" si="14"/>
        <v>427</v>
      </c>
      <c r="B428" t="s">
        <v>239</v>
      </c>
      <c r="C428" s="80" t="s">
        <v>72</v>
      </c>
      <c r="D428" s="9">
        <v>43</v>
      </c>
      <c r="E428" s="81"/>
      <c r="F428" s="4" t="d">
        <f ca="1">Table9[[#This Row],[Surgery Start Date]]+1</f>
        <v>2020-03-13</v>
      </c>
      <c r="G428" s="53" t="d">
        <v>07:59:59.9999999999984025</v>
      </c>
      <c r="H428" s="53" t="d">
        <v>08:29:59.9999999999968050</v>
      </c>
      <c r="I428" s="53" t="d">
        <v>09:29:59.9999999999984025</v>
      </c>
      <c r="J428" s="53" t="d">
        <v>09:35:00.00000000000213225</v>
      </c>
      <c r="K428" s="53" t="d">
        <v>09:39:59.99999999999627025</v>
      </c>
      <c r="L428" s="83"/>
      <c r="M428" s="79"/>
      <c r="O428" s="4"/>
    </row>
    <row r="429" spans="1:15" x14ac:dyDescent="0.2">
      <c r="A429" s="82">
        <f t="shared" si="14"/>
        <v>428</v>
      </c>
      <c r="B429" t="s">
        <v>239</v>
      </c>
      <c r="C429" s="80" t="s">
        <v>72</v>
      </c>
      <c r="D429" s="9">
        <v>43</v>
      </c>
      <c r="E429" s="81"/>
      <c r="F429" s="4" t="d">
        <f ca="1">Table9[[#This Row],[Surgery Start Date]]+1</f>
        <v>2020-03-13</v>
      </c>
      <c r="G429" s="53" t="d">
        <v>09:29:59.9999999999984025</v>
      </c>
      <c r="H429" s="53" t="d">
        <v>10:39:59.99999999999786775</v>
      </c>
      <c r="I429" s="53" t="d">
        <v>12:40:00.00000000000106275</v>
      </c>
      <c r="J429" s="53" t="d">
        <v>15:49:59.99999999999893725</v>
      </c>
      <c r="K429" s="53" t="d">
        <v>16:04:59.99999999999573550</v>
      </c>
      <c r="L429" s="83"/>
      <c r="M429" s="79"/>
      <c r="O429" s="4"/>
    </row>
    <row r="430" spans="1:15" x14ac:dyDescent="0.2">
      <c r="A430" s="82">
        <f t="shared" si="14"/>
        <v>429</v>
      </c>
      <c r="B430" t="s">
        <v>239</v>
      </c>
      <c r="C430" s="80" t="s">
        <v>72</v>
      </c>
      <c r="D430" s="9">
        <v>427</v>
      </c>
      <c r="E430" s="81"/>
      <c r="F430" s="4" t="d">
        <f ca="1">Table9[[#This Row],[Surgery Start Date]]+1</f>
        <v>2020-03-17</v>
      </c>
      <c r="G430" s="53" t="d">
        <v>07:59:59.9999999999984025</v>
      </c>
      <c r="H430" s="53" t="d">
        <v>08:01:00.00000000000298650</v>
      </c>
      <c r="I430" s="53" t="d">
        <v>08:29:59.9999999999968050</v>
      </c>
      <c r="J430" s="53" t="d">
        <v>08:33:59.99999999999595075</v>
      </c>
      <c r="K430" s="53" t="d">
        <v>08:35:00.00000000000053475</v>
      </c>
      <c r="L430" s="83"/>
      <c r="M430" s="79"/>
      <c r="O430" s="4"/>
    </row>
    <row r="431" spans="1:15" x14ac:dyDescent="0.2">
      <c r="A431" s="82">
        <f t="shared" si="14"/>
        <v>430</v>
      </c>
      <c r="B431" t="s">
        <v>239</v>
      </c>
      <c r="C431" s="80" t="s">
        <v>72</v>
      </c>
      <c r="D431" s="9">
        <v>427</v>
      </c>
      <c r="E431" s="81"/>
      <c r="F431" s="4" t="d">
        <f ca="1">Table9[[#This Row],[Surgery Start Date]]+1</f>
        <v>2020-03-17</v>
      </c>
      <c r="G431" s="53" t="d">
        <v>10:05:00.00000000000053475</v>
      </c>
      <c r="H431" s="53" t="d">
        <v>10:39:59.99999999999786775</v>
      </c>
      <c r="I431" s="53" t="d">
        <v>12:30:00.0000000000031950</v>
      </c>
      <c r="J431" s="53" t="d">
        <v>12:45:00.000</v>
      </c>
      <c r="K431" s="53" t="d">
        <v>12:50:00.00000000000852900</v>
      </c>
      <c r="L431" s="83"/>
      <c r="M431" s="79"/>
      <c r="O431" s="4"/>
    </row>
    <row r="432" spans="1:15" x14ac:dyDescent="0.2">
      <c r="A432" s="82">
        <f t="shared" si="14"/>
        <v>431</v>
      </c>
      <c r="B432" t="s">
        <v>239</v>
      </c>
      <c r="C432" s="80" t="s">
        <v>72</v>
      </c>
      <c r="D432" s="9">
        <v>427</v>
      </c>
      <c r="E432" s="81"/>
      <c r="F432" s="4" t="d">
        <f ca="1">Table9[[#This Row],[Surgery Start Date]]+1</f>
        <v>2020-03-17</v>
      </c>
      <c r="G432" s="53" t="d">
        <v>12:54:59.99999999999786775</v>
      </c>
      <c r="H432" s="53" t="d">
        <v>14:00:00.0000000000031950</v>
      </c>
      <c r="I432" s="53" t="d">
        <v>15:00:00.000</v>
      </c>
      <c r="J432" s="53" t="d">
        <v>15:10:00.00000000000745950</v>
      </c>
      <c r="K432" s="53" t="d">
        <v>15:15:00.00000000000639675</v>
      </c>
      <c r="L432" s="83"/>
      <c r="M432" s="79"/>
      <c r="O432" s="4"/>
    </row>
    <row r="433" spans="1:15" x14ac:dyDescent="0.2">
      <c r="A433" s="82">
        <f t="shared" si="14"/>
        <v>432</v>
      </c>
      <c r="B433" t="s">
        <v>239</v>
      </c>
      <c r="C433" s="80" t="s">
        <v>72</v>
      </c>
      <c r="D433" s="9">
        <v>427</v>
      </c>
      <c r="E433" s="81"/>
      <c r="F433" s="4" t="d">
        <f ca="1">Table9[[#This Row],[Surgery Start Date]]+1</f>
        <v>2020-03-17</v>
      </c>
      <c r="G433" s="53" t="d">
        <v>15:00:00.000</v>
      </c>
      <c r="H433" s="53" t="d">
        <v>15:40:00.00000000001066125</v>
      </c>
      <c r="I433" s="53" t="d">
        <v>17:05:00.00000000000213225</v>
      </c>
      <c r="J433" s="53" t="d">
        <v>17:10:00.00000000001066125</v>
      </c>
      <c r="K433" s="53" t="d">
        <v>17:13:00.00000000000042375</v>
      </c>
      <c r="L433" s="83"/>
      <c r="M433" s="79"/>
      <c r="O433" s="4"/>
    </row>
    <row r="434" spans="1:15" x14ac:dyDescent="0.2">
      <c r="A434" s="82">
        <f t="shared" si="14"/>
        <v>433</v>
      </c>
      <c r="B434" t="s">
        <v>239</v>
      </c>
      <c r="C434" s="80" t="s">
        <v>72</v>
      </c>
      <c r="D434" s="9">
        <v>76</v>
      </c>
      <c r="E434" s="81"/>
      <c r="F434" s="4" t="d">
        <f ca="1">Table9[[#This Row],[Surgery Start Date]]+1</f>
        <v>2020-03-11</v>
      </c>
      <c r="G434" s="53" t="d">
        <v>14:30:00.00000000000639675</v>
      </c>
      <c r="H434" s="53" t="d">
        <v>15:45:00.000</v>
      </c>
      <c r="I434" s="53" t="d">
        <v>16:00:00.00000000000639675</v>
      </c>
      <c r="J434" s="53" t="d">
        <v>16:02:00.00000000000596625</v>
      </c>
      <c r="K434" s="53" t="d">
        <v>16:04:59.99999999999573550</v>
      </c>
      <c r="L434" s="83"/>
      <c r="M434" s="79"/>
      <c r="O434" s="4"/>
    </row>
    <row r="435" spans="1:15" x14ac:dyDescent="0.2">
      <c r="A435" s="82">
        <f t="shared" si="14"/>
        <v>434</v>
      </c>
      <c r="B435" t="s">
        <v>239</v>
      </c>
      <c r="C435" s="80" t="s">
        <v>71</v>
      </c>
      <c r="D435" s="9">
        <v>388</v>
      </c>
      <c r="E435" s="81"/>
      <c r="F435" s="4" t="d">
        <f ca="1">Table9[[#This Row],[Surgery Start Date]]+1</f>
        <v>2020-03-11</v>
      </c>
      <c r="G435" s="53" t="d">
        <v>18:45:00.000</v>
      </c>
      <c r="H435" s="53" t="d">
        <v>19:04:59.99999999999573550</v>
      </c>
      <c r="I435" s="53" t="d">
        <v>19:18:00.00000000000255600</v>
      </c>
      <c r="J435" s="53" t="d">
        <v>19:19:00.000000000002344800</v>
      </c>
      <c r="K435" s="53" t="d">
        <v>19:20:00.00000000000213225</v>
      </c>
      <c r="L435" s="83"/>
      <c r="M435" s="79"/>
      <c r="O435" s="4"/>
    </row>
    <row r="436" spans="1:15" x14ac:dyDescent="0.2">
      <c r="A436" s="82">
        <f t="shared" si="14"/>
        <v>435</v>
      </c>
      <c r="B436" t="s">
        <v>239</v>
      </c>
      <c r="C436" s="80" t="s">
        <v>72</v>
      </c>
      <c r="D436" s="9">
        <v>427</v>
      </c>
      <c r="E436" s="81"/>
      <c r="F436" s="4" t="d">
        <f ca="1">Table9[[#This Row],[Surgery Start Date]]+1</f>
        <v>2020-03-24</v>
      </c>
      <c r="G436" s="53" t="d">
        <v>11:13:59.99999999999541600</v>
      </c>
      <c r="H436" s="53" t="d">
        <v>11:44:59.9999999999984025</v>
      </c>
      <c r="I436" s="53" t="d">
        <v>12:45:00.000</v>
      </c>
      <c r="J436" s="53" t="d">
        <v>12:50:00.00000000000852900</v>
      </c>
      <c r="K436" s="53" t="d">
        <v>12:54:59.99999999999786775</v>
      </c>
      <c r="L436" s="83"/>
      <c r="M436" s="79"/>
      <c r="O436" s="4"/>
    </row>
    <row r="437" spans="1:15" x14ac:dyDescent="0.2">
      <c r="A437" s="82">
        <f t="shared" si="14"/>
        <v>436</v>
      </c>
      <c r="B437" t="s">
        <v>239</v>
      </c>
      <c r="C437" s="80" t="s">
        <v>72</v>
      </c>
      <c r="D437" s="9">
        <v>427</v>
      </c>
      <c r="E437" s="81"/>
      <c r="F437" s="4" t="d">
        <f ca="1">Table9[[#This Row],[Surgery Start Date]]+1</f>
        <v>2020-03-25</v>
      </c>
      <c r="G437" s="53" t="d">
        <v>08:15:00.000</v>
      </c>
      <c r="H437" s="53" t="d">
        <v>09:20:00.00000000000053475</v>
      </c>
      <c r="I437" s="53" t="d">
        <v>12:00:01</v>
      </c>
      <c r="J437" s="53" t="d">
        <v>12:01:59.99999999999957625</v>
      </c>
      <c r="K437" s="53" t="d">
        <v>12:05:59.99999999999872200</v>
      </c>
      <c r="L437" s="83"/>
      <c r="M437" s="79"/>
      <c r="O437" s="4"/>
    </row>
    <row r="438" spans="1:15" x14ac:dyDescent="0.2">
      <c r="A438" s="82">
        <f t="shared" si="14"/>
        <v>437</v>
      </c>
      <c r="B438" t="s">
        <v>239</v>
      </c>
      <c r="C438" s="80" t="s">
        <v>72</v>
      </c>
      <c r="D438" s="9">
        <v>427</v>
      </c>
      <c r="E438" s="81"/>
      <c r="F438" s="4" t="d">
        <f ca="1">Table9[[#This Row],[Surgery Start Date]]+1</f>
        <v>2020-03-25</v>
      </c>
      <c r="G438" s="53" t="d">
        <v>11:20:00.00000000000372975</v>
      </c>
      <c r="H438" s="53" t="d">
        <v>13:30:00.000</v>
      </c>
      <c r="I438" s="53" t="d">
        <v>22:15:00.0000000000031950</v>
      </c>
      <c r="J438" s="53" t="d">
        <v>22:30:00.000</v>
      </c>
      <c r="K438" s="53" t="d">
        <v>22:49:59.99999999999573550</v>
      </c>
      <c r="L438" s="83"/>
      <c r="M438" s="79"/>
      <c r="O438" s="4"/>
    </row>
    <row r="439" spans="1:15" x14ac:dyDescent="0.2">
      <c r="A439" s="82">
        <f t="shared" si="14"/>
        <v>438</v>
      </c>
      <c r="B439" t="s">
        <v>239</v>
      </c>
      <c r="C439" s="80" t="s">
        <v>71</v>
      </c>
      <c r="D439" s="9">
        <v>27</v>
      </c>
      <c r="E439" s="81"/>
      <c r="F439" s="4" t="d">
        <f ca="1">Table9[[#This Row],[Surgery Start Date]]+1</f>
        <v>2020-03-26</v>
      </c>
      <c r="G439" s="53" t="d">
        <v>18:45:59.999999999999786775</v>
      </c>
      <c r="H439" s="53" t="d">
        <v>19:00:00.00000000000639675</v>
      </c>
      <c r="I439" s="53" t="d">
        <v>20:05:00.00000000000213225</v>
      </c>
      <c r="J439" s="53" t="d">
        <v>20:10:00.00000000001066125</v>
      </c>
      <c r="K439" s="53" t="d">
        <v>20:15:00.000</v>
      </c>
      <c r="L439" s="83"/>
      <c r="M439" s="79"/>
      <c r="O439" s="4"/>
    </row>
    <row r="440" spans="1:15" x14ac:dyDescent="0.2">
      <c r="A440" s="82">
        <f t="shared" si="14"/>
        <v>439</v>
      </c>
      <c r="B440" t="s">
        <v>241</v>
      </c>
      <c r="C440" s="80" t="s">
        <v>71</v>
      </c>
      <c r="D440" s="9">
        <v>223</v>
      </c>
      <c r="E440" s="81"/>
      <c r="F440" s="4" t="d">
        <f ca="1">Table9[[#This Row],[Surgery Start Date]]+1</f>
        <v>2020-03-04</v>
      </c>
      <c r="G440" s="53" t="d">
        <v>15:00:00.000</v>
      </c>
      <c r="H440" s="53" t="d">
        <v>15:15:59.99999999999658975</v>
      </c>
      <c r="I440" s="53" t="d">
        <v>16:04:59.99999999999573550</v>
      </c>
      <c r="J440" s="53" t="d">
        <v>16:10:00.00000000000426450</v>
      </c>
      <c r="K440" s="53" t="d">
        <v>16:12:59.99999999999403375</v>
      </c>
      <c r="L440" s="83"/>
      <c r="M440" s="79"/>
      <c r="O440" s="4"/>
    </row>
    <row r="441" spans="1:15" x14ac:dyDescent="0.2">
      <c r="A441" s="82">
        <f t="shared" si="14"/>
        <v>440</v>
      </c>
      <c r="B441" t="s">
        <v>241</v>
      </c>
      <c r="C441" s="80" t="s">
        <v>72</v>
      </c>
      <c r="D441" s="9">
        <v>43</v>
      </c>
      <c r="E441" s="81"/>
      <c r="F441" s="4" t="d">
        <f ca="1">Table9[[#This Row],[Surgery Start Date]]+1</f>
        <v>2020-03-05</v>
      </c>
      <c r="G441" s="53" t="d">
        <v>09:59:59.9999999999968050</v>
      </c>
      <c r="H441" s="53" t="d">
        <v>10:39:59.99999999999786775</v>
      </c>
      <c r="I441" s="53" t="d">
        <v>10:54:59.99999999999467275</v>
      </c>
      <c r="J441" s="53" t="d">
        <v>10:59:59.9999999999984025</v>
      </c>
      <c r="K441" s="53" t="d">
        <v>11:04:59.99999999999733300</v>
      </c>
      <c r="L441" s="83"/>
      <c r="M441" s="79"/>
      <c r="O441" s="4"/>
    </row>
    <row r="442" spans="1:15" x14ac:dyDescent="0.2">
      <c r="A442" s="82">
        <f t="shared" si="14"/>
        <v>441</v>
      </c>
      <c r="B442" t="s">
        <v>241</v>
      </c>
      <c r="C442" s="80" t="s">
        <v>71</v>
      </c>
      <c r="D442" s="9">
        <v>76</v>
      </c>
      <c r="E442" s="81"/>
      <c r="F442" s="4" t="d">
        <f ca="1">Table9[[#This Row],[Surgery Start Date]]+1</f>
        <v>2020-03-18</v>
      </c>
      <c r="G442" s="53" t="d">
        <v>18:49:59.99999999999893725</v>
      </c>
      <c r="H442" s="53" t="d">
        <v>19:10:00.00000000000426450</v>
      </c>
      <c r="I442" s="53" t="d">
        <v>20:00:00.0000000000031950</v>
      </c>
      <c r="J442" s="53" t="d">
        <v>20:55:00.00000000001066125</v>
      </c>
      <c r="K442" s="53" t="d">
        <v>21:00:00.000</v>
      </c>
      <c r="L442" s="83"/>
      <c r="M442" s="79"/>
      <c r="O442" s="4"/>
    </row>
    <row r="443" spans="1:15" x14ac:dyDescent="0.2">
      <c r="A443" s="82">
        <f t="shared" si="14"/>
        <v>442</v>
      </c>
      <c r="B443" t="s">
        <v>241</v>
      </c>
      <c r="C443" s="80" t="s">
        <v>71</v>
      </c>
      <c r="D443" s="9">
        <v>388</v>
      </c>
      <c r="E443" s="81"/>
      <c r="F443" s="4" t="d">
        <f ca="1">Table9[[#This Row],[Surgery Start Date]]+1</f>
        <v>2020-03-19</v>
      </c>
      <c r="G443" s="53" t="d">
        <v>18:49:59.99999999999893725</v>
      </c>
      <c r="H443" s="53" t="d">
        <v>19:20:00.00000000000213225</v>
      </c>
      <c r="I443" s="53" t="d">
        <v>20:40:00.00000000000426450</v>
      </c>
      <c r="J443" s="53" t="d">
        <v>20:55:00.00000000001066125</v>
      </c>
      <c r="K443" s="53" t="d">
        <v>21:00:00.000</v>
      </c>
      <c r="L443" s="83"/>
      <c r="M443" s="79"/>
      <c r="O443" s="4"/>
    </row>
  </sheetData>
  <sheetCalcPr fullCalcOnLoad="1"/>
  <dataValidations count="2">
    <dataValidation type="list" allowBlank="1" showInputMessage="1" showErrorMessage="1" sqref="C2:C443" xr:uid="{00000000-0002-0000-0A00-000002000000}">
      <formula1>"Sch,Unsch"</formula1>
    </dataValidation>
    <dataValidation type="list" allowBlank="1" showInputMessage="1" showErrorMessage="1" sqref="E2:E443" xr:uid="{00000000-0002-0000-0A00-000008000000}">
      <formula1>"Case Cancelled, No Cases"</formula1>
    </dataValidation>
  </dataValidations>
  <pageMargins left="0.25" right="0.25" top="0.75" bottom="0.75" header="0.3" footer="0.3"/>
  <pageSetup paperSize="9" scale="58" fitToHeight="0" orientation="landscape" r:id="rId1"/>
  <tableParts count="2">
    <tablePart r:id="rId2"/>
    <tablePart r:id="rId3"/>
  </tableParts>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
    <tabColor theme="4"/>
  </sheetPr>
  <dimension ref="A1:AF33"/>
  <sheetViews>
    <sheetView showGridLines="0" zoomScaleNormal="100" workbookViewId="0">
      <selection activeCell="I7" sqref="I7"/>
    </sheetView>
  </sheetViews>
  <sheetFormatPr baseColWidth="10" defaultColWidth="8.83203125" defaultRowHeight="15" x14ac:dyDescent="0.2"/>
  <cols>
    <col min="1" max="1" width="8.6640625"/>
    <col min="2" max="2" width="5" customWidth="1"/>
    <col min="4" max="4" width="16.6640625" customWidth="1"/>
    <col min="5" max="5" width="5" hidden="1" customWidth="1"/>
    <col min="6" max="6" width="7" hidden="1" customWidth="1"/>
    <col min="7" max="7" width="5.6640625" customWidth="1"/>
    <col min="8" max="8" width="13.6640625" bestFit="1" customWidth="1"/>
    <col min="9" max="9" width="8.5" bestFit="1" customWidth="1"/>
    <col min="10" max="10" width="8" bestFit="1" customWidth="1"/>
    <col min="11" max="11" width="8.33203125" hidden="1" customWidth="1"/>
    <col min="12" max="12" width="8.33203125" customWidth="1"/>
    <col min="13" max="13" width="14.5" customWidth="1"/>
    <col min="14" max="14" width="13.6640625" customWidth="1"/>
    <col min="15" max="18" width="11.6640625" bestFit="1" customWidth="1"/>
    <col min="19" max="19" width="14.1640625" bestFit="1" customWidth="1"/>
    <col min="20" max="20" width="9.33203125" hidden="1" customWidth="1"/>
    <col min="21" max="21" width="11.6640625" hidden="1" customWidth="1"/>
    <col min="22" max="22" width="13.33203125" hidden="1" customWidth="1"/>
    <col min="23" max="23" width="16.83203125" hidden="1" customWidth="1"/>
    <col min="24" max="24" width="12.5" hidden="1" customWidth="1"/>
    <col min="25" max="25" width="11.5" hidden="1" customWidth="1"/>
    <col min="26" max="27" width="10.6640625" hidden="1" customWidth="1"/>
    <col min="28" max="28" width="19" hidden="1" customWidth="1"/>
    <col min="29" max="29" width="13.5" hidden="1" customWidth="1"/>
  </cols>
  <sheetData>
    <row r="1" spans="1:29" ht="30" customHeight="1" x14ac:dyDescent="0.2">
      <c r="A1" s="2"/>
      <c r="B1" s="22" t="s">
        <v>148</v>
      </c>
      <c r="C1" s="2"/>
      <c r="D1" s="2"/>
      <c r="E1" s="2"/>
      <c r="F1" s="2"/>
      <c r="G1" s="2"/>
      <c r="H1" s="2" t="s">
        <v>149</v>
      </c>
      <c r="I1" s="2"/>
      <c r="J1" s="2"/>
      <c r="K1" s="2"/>
      <c r="L1" s="2"/>
      <c r="M1" s="2"/>
      <c r="N1" s="2"/>
      <c r="O1" s="2"/>
      <c r="P1" s="2"/>
      <c r="Q1" s="2"/>
      <c r="R1" s="2"/>
      <c r="S1" s="2"/>
      <c r="T1" s="2"/>
      <c r="U1" s="2"/>
      <c r="V1" s="2"/>
      <c r="W1" s="2"/>
      <c r="X1" s="2"/>
      <c r="Y1" s="2"/>
      <c r="Z1" s="2"/>
      <c r="AA1" s="2"/>
      <c r="AB1" s="2"/>
      <c r="AC1" s="2"/>
    </row>
    <row r="2" spans="1:29" ht="19" x14ac:dyDescent="0.2">
      <c r="B2" s="25"/>
      <c r="C2" s="70" t="s">
        <v>232</v>
      </c>
      <c r="D2" s="6"/>
      <c r="E2" s="6"/>
      <c r="F2" s="6"/>
      <c r="G2" s="6"/>
      <c r="H2" s="6"/>
      <c r="I2" s="6"/>
      <c r="J2" s="6"/>
      <c r="K2" s="6"/>
      <c r="L2" s="6"/>
      <c r="M2" s="6"/>
      <c r="N2" s="6"/>
      <c r="O2" s="6"/>
      <c r="P2" s="6"/>
      <c r="Q2" s="6"/>
      <c r="R2" s="6"/>
      <c r="S2" s="6"/>
      <c r="T2" s="6"/>
      <c r="U2" s="6"/>
      <c r="V2" s="6"/>
      <c r="W2" s="6"/>
      <c r="X2" s="6"/>
      <c r="Y2" s="6"/>
      <c r="Z2" s="6"/>
      <c r="AA2" s="6"/>
      <c r="AB2" s="6"/>
      <c r="AC2" s="6"/>
    </row>
    <row r="3" spans="1:29" ht="19" x14ac:dyDescent="0.2">
      <c r="B3" s="25"/>
      <c r="C3" s="7"/>
      <c r="D3" s="7"/>
      <c r="E3" s="6"/>
      <c r="F3" s="6"/>
      <c r="G3" s="6"/>
      <c r="H3" s="6"/>
      <c r="I3" s="6"/>
      <c r="J3" s="6"/>
      <c r="K3" s="6"/>
      <c r="L3" s="6"/>
      <c r="M3" s="6"/>
      <c r="N3" s="6"/>
      <c r="O3" s="6"/>
      <c r="P3" s="6"/>
      <c r="Q3" s="6"/>
      <c r="R3" s="6"/>
      <c r="S3" s="6"/>
      <c r="T3" s="6"/>
      <c r="U3" s="6"/>
      <c r="V3" s="6"/>
      <c r="W3" s="6"/>
      <c r="X3" s="6"/>
      <c r="Y3" s="6"/>
      <c r="Z3" s="6"/>
      <c r="AA3" s="6"/>
      <c r="AB3" s="6"/>
      <c r="AC3" s="6"/>
    </row>
    <row r="4" spans="1:29" x14ac:dyDescent="0.2">
      <c r="C4" s="7"/>
      <c r="D4" s="7"/>
      <c r="E4" s="7"/>
      <c r="F4" s="7"/>
      <c r="G4" s="7"/>
      <c r="H4" s="7"/>
      <c r="I4" s="7"/>
      <c r="J4" s="7"/>
      <c r="K4" s="7"/>
      <c r="L4" s="7"/>
      <c r="M4" s="7"/>
      <c r="N4" s="7"/>
      <c r="O4" s="7"/>
      <c r="P4" s="7"/>
    </row>
    <row r="5" spans="1:29" x14ac:dyDescent="0.2">
      <c r="C5" s="7" t="s">
        <v>150</v>
      </c>
      <c r="D5" s="7"/>
      <c r="E5" s="7"/>
      <c r="F5" s="7"/>
      <c r="H5" s="7" t="s">
        <v>151</v>
      </c>
      <c r="I5" s="7"/>
      <c r="J5" s="7"/>
      <c r="K5" s="7"/>
      <c r="L5" s="7"/>
      <c r="M5" s="7"/>
      <c r="N5" s="7"/>
      <c r="O5" s="7"/>
      <c r="P5" s="7"/>
    </row>
    <row r="6" spans="1:29" x14ac:dyDescent="0.2">
      <c r="C6" s="97" t="s">
        <v>6</v>
      </c>
      <c r="D6" s="98" t="s">
        <v>152</v>
      </c>
      <c r="E6" s="98" t="s">
        <v>67</v>
      </c>
      <c r="F6" s="98" t="s">
        <v>153</v>
      </c>
      <c r="H6" s="4" t="s">
        <v>55</v>
      </c>
      <c r="I6" t="s">
        <v>154</v>
      </c>
      <c r="J6" t="s">
        <v>155</v>
      </c>
      <c r="K6" t="s">
        <v>109</v>
      </c>
      <c r="M6" s="84" t="s">
        <v>6</v>
      </c>
      <c r="N6" t="s">
        <v>4</v>
      </c>
      <c r="O6" t="s">
        <v>156</v>
      </c>
      <c r="P6" t="s">
        <v>157</v>
      </c>
      <c r="Q6" t="s">
        <v>158</v>
      </c>
      <c r="R6" t="s">
        <v>159</v>
      </c>
      <c r="S6" t="s">
        <v>160</v>
      </c>
      <c r="T6" t="s">
        <v>161</v>
      </c>
      <c r="U6" t="s">
        <v>162</v>
      </c>
      <c r="V6" t="s">
        <v>163</v>
      </c>
      <c r="W6" t="s">
        <v>20</v>
      </c>
      <c r="X6" t="s">
        <v>164</v>
      </c>
      <c r="Y6" t="s">
        <v>22</v>
      </c>
      <c r="Z6" t="s">
        <v>165</v>
      </c>
      <c r="AA6" t="s">
        <v>166</v>
      </c>
      <c r="AB6" t="s">
        <v>167</v>
      </c>
      <c r="AC6" t="s">
        <v>168</v>
      </c>
    </row>
    <row r="7" spans="1:29" x14ac:dyDescent="0.2">
      <c r="C7" s="99" t="s">
        <v>236</v>
      </c>
      <c r="D7" s="100" t="s">
        <v>234</v>
      </c>
      <c r="E7" s="100"/>
      <c r="F7" s="100"/>
      <c r="H7" s="4" t="s">
        <v>169</v>
      </c>
      <c r="I7" s="5" t="d">
        <v>07:59:59.9999999999984025</v>
      </c>
      <c r="J7" s="5" t="d">
        <v>15:59:59.9999999999968050</v>
      </c>
      <c r="K7">
        <f>IF(((tbl_ThDefaults[[#This Row],[Th Close]]-tbl_ThDefaults[[#This Row],[Th Open]])*1440)&gt;0,((tbl_ThDefaults[[#This Row],[Th Close]]-tbl_ThDefaults[[#This Row],[Th Open]])*1440),0)</f>
        <v>480</v>
      </c>
      <c r="M7" s="104" t="s">
        <v>236</v>
      </c>
      <c r="N7" s="4" t="d">
        <v>2020-03-25</v>
      </c>
      <c r="O7" s="53"/>
      <c r="P7" s="53"/>
      <c r="Q7" s="53" t="d">
        <v>14:00:00.0000000000031950</v>
      </c>
      <c r="R7" s="53" t="d">
        <v>15:59:59.9999999999968050</v>
      </c>
      <c r="S7" t="s">
        <v>21</v>
      </c>
      <c r="T7" s="21">
        <f>tbl_TheatreMatrix[[#This Row],[AM Time]]+tbl_TheatreMatrix[[#This Row],[PM Time]]+tbl_TheatreMatrix[[#This Row],[All Day Time]]</f>
        <v>119.99999999999989</v>
      </c>
      <c r="U7">
        <f>IF(tbl_TheatreMatrix[[#This Row],[Reason]]="UnStaffed",IF(tbl_TheatreMatrix[[#This Row],[Staffed]]&lt;=INDEX(tbl_ThDefaults[[#All],[Poss_Time]],MATCH(TEXT(tbl_TheatreMatrix[[#This Row],[Date]],"ddd"),tbl_ThDefaults[[#All],[Day]],0)),INDEX(tbl_ThDefaults[[#All],[Poss_Time]],MATCH(TEXT(tbl_TheatreMatrix[[#This Row],[Date]],"ddd"),tbl_ThDefaults[[#All],[Day]],0))-tbl_TheatreMatrix[[#This Row],[Staffed]],tbl_TheatreMatrix[[#This Row],[Staffed]]-INDEX(tbl_ThDefaults[[#All],[Poss_Time]],MATCH(TEXT(tbl_TheatreMatrix[[#This Row],[Date]],"ddd"),tbl_ThDefaults[[#All],[Day]],0))),0)</f>
        <v>0</v>
      </c>
      <c r="V7">
        <f>IF(tbl_TheatreMatrix[[#This Row],[Reason]]="Ring-fenced",INDEX(tbl_ThDefaults[[#All],[Poss_Time]],MATCH(TEXT(tbl_TheatreMatrix[[#This Row],[Date]],"ddd"),tbl_ThDefaults[[#All],[Day]],0))-tbl_TheatreMatrix[[#This Row],[Staffed]],0)</f>
        <v>0</v>
      </c>
      <c r="W7">
        <f>IF(tbl_TheatreMatrix[[#This Row],[Reason]]="Planned Closure",INDEX(tbl_ThDefaults[[#All],[Poss_Time]],MATCH(TEXT(tbl_TheatreMatrix[[#This Row],[Date]],"ddd"),tbl_ThDefaults[[#All],[Day]],0))-tbl_TheatreMatrix[[#This Row],[Staffed]],0)</f>
        <v>0</v>
      </c>
      <c r="X7">
        <f>IF(tbl_TheatreMatrix[[#This Row],[Reason]]="Cancelled List",INDEX(tbl_ThDefaults[[#All],[Poss_Time]],MATCH(TEXT(tbl_TheatreMatrix[[#This Row],[Date]],"ddd"),tbl_ThDefaults[[#All],[Day]],0))-tbl_TheatreMatrix[[#This Row],[Staffed]],0)</f>
        <v>360.00000000000011</v>
      </c>
      <c r="Y7">
        <f>IF(tbl_TheatreMatrix[[#This Row],[Reason]]="Other Use",INDEX(tbl_ThDefaults[[#All],[Poss_Time]],MATCH(TEXT(tbl_TheatreMatrix[[#This Row],[Date]],"ddd"),tbl_ThDefaults[[#All],[Day]],0))-tbl_TheatreMatrix[[#This Row],[Staffed]],0)</f>
        <v>0</v>
      </c>
      <c r="Z7" s="21">
        <f>IF(AND(tbl_TheatreMatrix[[#This Row],[Am Open]]&lt;&gt;0,tbl_TheatreMatrix[[#This Row],[Am Close]]&lt;&gt;0),(tbl_TheatreMatrix[[#This Row],[Am Close]]-tbl_TheatreMatrix[[#This Row],[Am Open]])*1440,0)</f>
        <v>0</v>
      </c>
      <c r="AA7">
        <f>IF(AND(tbl_TheatreMatrix[[#This Row],[PM Open]]&lt;&gt;0,tbl_TheatreMatrix[[#This Row],[PM Close]]&lt;&gt;0),(tbl_TheatreMatrix[[#This Row],[PM Close]]-tbl_TheatreMatrix[[#This Row],[PM Open]])*1440,0)</f>
        <v>119.99999999999989</v>
      </c>
      <c r="AB7">
        <f>IF(tbl_TheatreMatrix[[#This Row],[Staffed]]&gt;INDEX(tbl_ThDefaults[[#All],[Poss_Time]],MATCH(TEXT(tbl_TheatreMatrix[[#This Row],[Date]],"ddd"),tbl_ThDefaults[[#All],[Day]],0)),tbl_TheatreMatrix[[#This Row],[Staffed]]-INDEX(tbl_ThDefaults[[#All],[Poss_Time]],MATCH(TEXT(tbl_TheatreMatrix[[#This Row],[Date]],"ddd"),tbl_ThDefaults[[#All],[Day]],0)),0)</f>
        <v>0</v>
      </c>
      <c r="AC7">
        <f>IF(AND(tbl_TheatreMatrix[[#This Row],[Am Open]]&lt;&gt;0,tbl_TheatreMatrix[[#This Row],[Am Close]]=0,tbl_TheatreMatrix[[#This Row],[PM Open]]=0,tbl_TheatreMatrix[[#This Row],[PM Close]]&lt;&gt;0),(tbl_TheatreMatrix[[#This Row],[PM Close]]-tbl_TheatreMatrix[[#This Row],[Am Open]])*1440,0)</f>
        <v>0</v>
      </c>
    </row>
    <row r="8" spans="1:29" x14ac:dyDescent="0.2">
      <c r="C8" s="101" t="s">
        <v>237</v>
      </c>
      <c r="D8" s="102" t="s">
        <v>235</v>
      </c>
      <c r="E8" s="102"/>
      <c r="F8" s="102"/>
      <c r="H8" s="4" t="s">
        <v>170</v>
      </c>
      <c r="I8" s="5" t="d">
        <v>07:59:59.9999999999984025</v>
      </c>
      <c r="J8" s="5" t="d">
        <v>15:59:59.9999999999968050</v>
      </c>
      <c r="K8">
        <f>IF(((tbl_ThDefaults[[#This Row],[Th Close]]-tbl_ThDefaults[[#This Row],[Th Open]])*1440)&gt;0,((tbl_ThDefaults[[#This Row],[Th Close]]-tbl_ThDefaults[[#This Row],[Th Open]])*1440),0)</f>
        <v>480</v>
      </c>
      <c r="M8" s="105" t="s">
        <v>241</v>
      </c>
      <c r="N8" s="4" t="d">
        <v>2020-03-12</v>
      </c>
      <c r="O8" s="53"/>
      <c r="P8" s="53"/>
      <c r="Q8" s="53"/>
      <c r="R8" s="53"/>
      <c r="S8" t="s">
        <v>20</v>
      </c>
      <c r="T8" s="21">
        <f>tbl_TheatreMatrix[[#This Row],[AM Time]]+tbl_TheatreMatrix[[#This Row],[PM Time]]+tbl_TheatreMatrix[[#This Row],[All Day Time]]</f>
        <v>0</v>
      </c>
      <c r="U8">
        <f>IF(tbl_TheatreMatrix[[#This Row],[Reason]]="UnStaffed",IF(tbl_TheatreMatrix[[#This Row],[Staffed]]&lt;=INDEX(tbl_ThDefaults[[#All],[Poss_Time]],MATCH(TEXT(tbl_TheatreMatrix[[#This Row],[Date]],"ddd"),tbl_ThDefaults[[#All],[Day]],0)),INDEX(tbl_ThDefaults[[#All],[Poss_Time]],MATCH(TEXT(tbl_TheatreMatrix[[#This Row],[Date]],"ddd"),tbl_ThDefaults[[#All],[Day]],0))-tbl_TheatreMatrix[[#This Row],[Staffed]],tbl_TheatreMatrix[[#This Row],[Staffed]]-INDEX(tbl_ThDefaults[[#All],[Poss_Time]],MATCH(TEXT(tbl_TheatreMatrix[[#This Row],[Date]],"ddd"),tbl_ThDefaults[[#All],[Day]],0))),0)</f>
        <v>0</v>
      </c>
      <c r="V8">
        <f>IF(tbl_TheatreMatrix[[#This Row],[Reason]]="Ring-fenced",INDEX(tbl_ThDefaults[[#All],[Poss_Time]],MATCH(TEXT(tbl_TheatreMatrix[[#This Row],[Date]],"ddd"),tbl_ThDefaults[[#All],[Day]],0))-tbl_TheatreMatrix[[#This Row],[Staffed]],0)</f>
        <v>0</v>
      </c>
      <c r="W8">
        <f>IF(tbl_TheatreMatrix[[#This Row],[Reason]]="Planned Closure",INDEX(tbl_ThDefaults[[#All],[Poss_Time]],MATCH(TEXT(tbl_TheatreMatrix[[#This Row],[Date]],"ddd"),tbl_ThDefaults[[#All],[Day]],0))-tbl_TheatreMatrix[[#This Row],[Staffed]],0)</f>
        <v>480</v>
      </c>
      <c r="X8">
        <f>IF(tbl_TheatreMatrix[[#This Row],[Reason]]="Cancelled List",INDEX(tbl_ThDefaults[[#All],[Poss_Time]],MATCH(TEXT(tbl_TheatreMatrix[[#This Row],[Date]],"ddd"),tbl_ThDefaults[[#All],[Day]],0))-tbl_TheatreMatrix[[#This Row],[Staffed]],0)</f>
        <v>0</v>
      </c>
      <c r="Y8">
        <f>IF(tbl_TheatreMatrix[[#This Row],[Reason]]="Other Use",INDEX(tbl_ThDefaults[[#All],[Poss_Time]],MATCH(TEXT(tbl_TheatreMatrix[[#This Row],[Date]],"ddd"),tbl_ThDefaults[[#All],[Day]],0))-tbl_TheatreMatrix[[#This Row],[Staffed]],0)</f>
        <v>0</v>
      </c>
      <c r="Z8" s="21">
        <f>IF(AND(tbl_TheatreMatrix[[#This Row],[Am Open]]&lt;&gt;0,tbl_TheatreMatrix[[#This Row],[Am Close]]&lt;&gt;0),(tbl_TheatreMatrix[[#This Row],[Am Close]]-tbl_TheatreMatrix[[#This Row],[Am Open]])*1440,0)</f>
        <v>0</v>
      </c>
      <c r="AA8">
        <f>IF(AND(tbl_TheatreMatrix[[#This Row],[PM Open]]&lt;&gt;0,tbl_TheatreMatrix[[#This Row],[PM Close]]&lt;&gt;0),(tbl_TheatreMatrix[[#This Row],[PM Close]]-tbl_TheatreMatrix[[#This Row],[PM Open]])*1440,0)</f>
        <v>0</v>
      </c>
      <c r="AB8">
        <f>IF(tbl_TheatreMatrix[[#This Row],[Staffed]]&gt;INDEX(tbl_ThDefaults[[#All],[Poss_Time]],MATCH(TEXT(tbl_TheatreMatrix[[#This Row],[Date]],"ddd"),tbl_ThDefaults[[#All],[Day]],0)),tbl_TheatreMatrix[[#This Row],[Staffed]]-INDEX(tbl_ThDefaults[[#All],[Poss_Time]],MATCH(TEXT(tbl_TheatreMatrix[[#This Row],[Date]],"ddd"),tbl_ThDefaults[[#All],[Day]],0)),0)</f>
        <v>0</v>
      </c>
      <c r="AC8">
        <f>IF(AND(tbl_TheatreMatrix[[#This Row],[Am Open]]&lt;&gt;0,tbl_TheatreMatrix[[#This Row],[Am Close]]=0,tbl_TheatreMatrix[[#This Row],[PM Open]]=0,tbl_TheatreMatrix[[#This Row],[PM Close]]&lt;&gt;0),(tbl_TheatreMatrix[[#This Row],[PM Close]]-tbl_TheatreMatrix[[#This Row],[Am Open]])*1440,0)</f>
        <v>0</v>
      </c>
    </row>
    <row r="9" spans="1:29" x14ac:dyDescent="0.2">
      <c r="C9" s="99" t="s">
        <v>238</v>
      </c>
      <c r="D9" s="100" t="s">
        <v>242</v>
      </c>
      <c r="E9" s="100"/>
      <c r="F9" s="100"/>
      <c r="H9" s="4" t="s">
        <v>171</v>
      </c>
      <c r="I9" s="5" t="d">
        <v>07:59:59.9999999999984025</v>
      </c>
      <c r="J9" s="5" t="d">
        <v>15:59:59.9999999999968050</v>
      </c>
      <c r="K9">
        <f>IF(((tbl_ThDefaults[[#This Row],[Th Close]]-tbl_ThDefaults[[#This Row],[Th Open]])*1440)&gt;0,((tbl_ThDefaults[[#This Row],[Th Close]]-tbl_ThDefaults[[#This Row],[Th Open]])*1440),0)</f>
        <v>480</v>
      </c>
      <c r="M9" s="104" t="s">
        <v>236</v>
      </c>
      <c r="N9" s="4" t="d">
        <v>2020-03-23</v>
      </c>
      <c r="O9" s="53"/>
      <c r="P9" s="53"/>
      <c r="Q9" s="53"/>
      <c r="R9" s="53"/>
      <c r="S9" t="s">
        <v>21</v>
      </c>
      <c r="T9" s="21">
        <f>tbl_TheatreMatrix[[#This Row],[AM Time]]+tbl_TheatreMatrix[[#This Row],[PM Time]]+tbl_TheatreMatrix[[#This Row],[All Day Time]]</f>
        <v>0</v>
      </c>
      <c r="U9">
        <f>IF(tbl_TheatreMatrix[[#This Row],[Reason]]="UnStaffed",IF(tbl_TheatreMatrix[[#This Row],[Staffed]]&lt;=INDEX(tbl_ThDefaults[[#All],[Poss_Time]],MATCH(TEXT(tbl_TheatreMatrix[[#This Row],[Date]],"ddd"),tbl_ThDefaults[[#All],[Day]],0)),INDEX(tbl_ThDefaults[[#All],[Poss_Time]],MATCH(TEXT(tbl_TheatreMatrix[[#This Row],[Date]],"ddd"),tbl_ThDefaults[[#All],[Day]],0))-tbl_TheatreMatrix[[#This Row],[Staffed]],tbl_TheatreMatrix[[#This Row],[Staffed]]-INDEX(tbl_ThDefaults[[#All],[Poss_Time]],MATCH(TEXT(tbl_TheatreMatrix[[#This Row],[Date]],"ddd"),tbl_ThDefaults[[#All],[Day]],0))),0)</f>
        <v>0</v>
      </c>
      <c r="V9">
        <f>IF(tbl_TheatreMatrix[[#This Row],[Reason]]="Ring-fenced",INDEX(tbl_ThDefaults[[#All],[Poss_Time]],MATCH(TEXT(tbl_TheatreMatrix[[#This Row],[Date]],"ddd"),tbl_ThDefaults[[#All],[Day]],0))-tbl_TheatreMatrix[[#This Row],[Staffed]],0)</f>
        <v>0</v>
      </c>
      <c r="W9">
        <f>IF(tbl_TheatreMatrix[[#This Row],[Reason]]="Planned Closure",INDEX(tbl_ThDefaults[[#All],[Poss_Time]],MATCH(TEXT(tbl_TheatreMatrix[[#This Row],[Date]],"ddd"),tbl_ThDefaults[[#All],[Day]],0))-tbl_TheatreMatrix[[#This Row],[Staffed]],0)</f>
        <v>0</v>
      </c>
      <c r="X9">
        <f>IF(tbl_TheatreMatrix[[#This Row],[Reason]]="Cancelled List",INDEX(tbl_ThDefaults[[#All],[Poss_Time]],MATCH(TEXT(tbl_TheatreMatrix[[#This Row],[Date]],"ddd"),tbl_ThDefaults[[#All],[Day]],0))-tbl_TheatreMatrix[[#This Row],[Staffed]],0)</f>
        <v>480</v>
      </c>
      <c r="Y9">
        <f>IF(tbl_TheatreMatrix[[#This Row],[Reason]]="Other Use",INDEX(tbl_ThDefaults[[#All],[Poss_Time]],MATCH(TEXT(tbl_TheatreMatrix[[#This Row],[Date]],"ddd"),tbl_ThDefaults[[#All],[Day]],0))-tbl_TheatreMatrix[[#This Row],[Staffed]],0)</f>
        <v>0</v>
      </c>
      <c r="Z9" s="21">
        <f>IF(AND(tbl_TheatreMatrix[[#This Row],[Am Open]]&lt;&gt;0,tbl_TheatreMatrix[[#This Row],[Am Close]]&lt;&gt;0),(tbl_TheatreMatrix[[#This Row],[Am Close]]-tbl_TheatreMatrix[[#This Row],[Am Open]])*1440,0)</f>
        <v>0</v>
      </c>
      <c r="AA9">
        <f>IF(AND(tbl_TheatreMatrix[[#This Row],[PM Open]]&lt;&gt;0,tbl_TheatreMatrix[[#This Row],[PM Close]]&lt;&gt;0),(tbl_TheatreMatrix[[#This Row],[PM Close]]-tbl_TheatreMatrix[[#This Row],[PM Open]])*1440,0)</f>
        <v>0</v>
      </c>
      <c r="AB9">
        <f>IF(tbl_TheatreMatrix[[#This Row],[Staffed]]&gt;INDEX(tbl_ThDefaults[[#All],[Poss_Time]],MATCH(TEXT(tbl_TheatreMatrix[[#This Row],[Date]],"ddd"),tbl_ThDefaults[[#All],[Day]],0)),tbl_TheatreMatrix[[#This Row],[Staffed]]-INDEX(tbl_ThDefaults[[#All],[Poss_Time]],MATCH(TEXT(tbl_TheatreMatrix[[#This Row],[Date]],"ddd"),tbl_ThDefaults[[#All],[Day]],0)),0)</f>
        <v>0</v>
      </c>
      <c r="AC9">
        <f>IF(AND(tbl_TheatreMatrix[[#This Row],[Am Open]]&lt;&gt;0,tbl_TheatreMatrix[[#This Row],[Am Close]]=0,tbl_TheatreMatrix[[#This Row],[PM Open]]=0,tbl_TheatreMatrix[[#This Row],[PM Close]]&lt;&gt;0),(tbl_TheatreMatrix[[#This Row],[PM Close]]-tbl_TheatreMatrix[[#This Row],[Am Open]])*1440,0)</f>
        <v>0</v>
      </c>
    </row>
    <row r="10" spans="1:29" x14ac:dyDescent="0.2">
      <c r="C10" s="101" t="s">
        <v>240</v>
      </c>
      <c r="D10" s="102" t="s">
        <v>243</v>
      </c>
      <c r="E10" s="102"/>
      <c r="F10" s="102"/>
      <c r="H10" s="4" t="s">
        <v>172</v>
      </c>
      <c r="I10" s="5" t="d">
        <v>07:59:59.9999999999984025</v>
      </c>
      <c r="J10" s="5" t="d">
        <v>15:59:59.9999999999968050</v>
      </c>
      <c r="K10">
        <f>IF(((tbl_ThDefaults[[#This Row],[Th Close]]-tbl_ThDefaults[[#This Row],[Th Open]])*1440)&gt;0,((tbl_ThDefaults[[#This Row],[Th Close]]-tbl_ThDefaults[[#This Row],[Th Open]])*1440),0)</f>
        <v>480</v>
      </c>
      <c r="M10" s="6"/>
    </row>
    <row r="11" spans="1:29" ht="15" customHeight="1" x14ac:dyDescent="0.2">
      <c r="C11" s="99" t="s">
        <v>239</v>
      </c>
      <c r="D11" s="100" t="s">
        <v>244</v>
      </c>
      <c r="E11" s="100"/>
      <c r="F11" s="100"/>
      <c r="H11" s="4" t="s">
        <v>173</v>
      </c>
      <c r="I11" s="5" t="d">
        <v>07:59:59.9999999999984025</v>
      </c>
      <c r="J11" s="5" t="d">
        <v>15:59:59.9999999999968050</v>
      </c>
      <c r="K11">
        <f>IF(((tbl_ThDefaults[[#This Row],[Th Close]]-tbl_ThDefaults[[#This Row],[Th Open]])*1440)&gt;0,((tbl_ThDefaults[[#This Row],[Th Close]]-tbl_ThDefaults[[#This Row],[Th Open]])*1440),0)</f>
        <v>480</v>
      </c>
    </row>
    <row r="12" spans="1:29" x14ac:dyDescent="0.2">
      <c r="C12" s="103" t="s">
        <v>241</v>
      </c>
      <c r="D12" s="90" t="s">
        <v>245</v>
      </c>
      <c r="E12" s="90"/>
      <c r="F12" s="90"/>
      <c r="H12" s="4" t="s">
        <v>174</v>
      </c>
      <c r="I12" s="5" t="d">
        <v>1899-12-30</v>
      </c>
      <c r="J12" s="5" t="d">
        <v>1899-12-30</v>
      </c>
      <c r="K12">
        <f>IF(((tbl_ThDefaults[[#This Row],[Th Close]]-tbl_ThDefaults[[#This Row],[Th Open]])*1440)&gt;0,((tbl_ThDefaults[[#This Row],[Th Close]]-tbl_ThDefaults[[#This Row],[Th Open]])*1440),0)</f>
        <v>0</v>
      </c>
    </row>
    <row r="13" spans="1:29" x14ac:dyDescent="0.2">
      <c r="H13" s="4" t="s">
        <v>175</v>
      </c>
      <c r="I13" s="5" t="d">
        <v>1899-12-30</v>
      </c>
      <c r="J13" s="5" t="d">
        <v>1899-12-30</v>
      </c>
      <c r="K13">
        <f>IF(((tbl_ThDefaults[[#This Row],[Th Close]]-tbl_ThDefaults[[#This Row],[Th Open]])*1440)&gt;0,((tbl_ThDefaults[[#This Row],[Th Close]]-tbl_ThDefaults[[#This Row],[Th Open]])*1440),0)</f>
        <v>0</v>
      </c>
      <c r="M13" s="5"/>
    </row>
    <row r="14" spans="1:29" ht="14.75" customHeight="1" x14ac:dyDescent="0.2">
      <c r="K14" s="13"/>
      <c r="L14" s="13"/>
      <c r="M14" s="5"/>
    </row>
    <row r="15" spans="1:29" x14ac:dyDescent="0.2">
      <c r="K15" s="13"/>
      <c r="L15" s="13"/>
    </row>
    <row r="16" spans="1:29" x14ac:dyDescent="0.2">
      <c r="K16" s="13"/>
      <c r="L16" s="13"/>
    </row>
    <row r="17" spans="11:32" x14ac:dyDescent="0.2">
      <c r="K17" s="13"/>
      <c r="L17" s="13"/>
    </row>
    <row r="18" spans="11:32" x14ac:dyDescent="0.2">
      <c r="K18" s="13"/>
      <c r="L18" s="13"/>
    </row>
    <row r="23" spans="11:32" x14ac:dyDescent="0.2">
      <c r="K23" s="12"/>
      <c r="L23" s="12"/>
    </row>
    <row r="24" spans="11:32" x14ac:dyDescent="0.2">
      <c r="AF24" t="s">
        <v>231</v>
      </c>
    </row>
    <row r="33" spans="8:8" x14ac:dyDescent="0.2">
      <c r="H33" s="53"/>
    </row>
  </sheetData>
  <phoneticPr fontId="11" type="noConversion"/>
  <dataValidations count="3">
    <dataValidation type="list" allowBlank="1" showDropDown="1" showInputMessage="1" showErrorMessage="1" errorTitle="Days of the Week Error" error="Please enter the days of the week in order from Mon-Sun and as maximum 3 letters for each day: Mon, Tue, Wed, Thu, Fri, Sat, Sun" sqref="H7:H13" xr:uid="{00000000-0002-0000-0B00-000000000000}">
      <formula1>"Mon, Tue, Wed, Thu, Fri, Sat, Sun"</formula1>
    </dataValidation>
    <dataValidation type="list" allowBlank="1" showInputMessage="1" showErrorMessage="1" sqref="E7:E12" xr:uid="{00000000-0002-0000-0B00-000001000000}">
      <formula1>"Yes,No"</formula1>
    </dataValidation>
    <dataValidation type="list" allowBlank="1" showInputMessage="1" showErrorMessage="1" sqref="S7:S9" xr:uid="{00000000-0002-0000-0B00-000002000000}">
      <formula1>Th_Status_FullDay</formula1>
    </dataValidation>
  </dataValidations>
  <pageMargins left="0.7" right="0.7" top="0.75" bottom="0.75" header="0.3" footer="0.3"/>
  <pageSetup paperSize="9" orientation="portrait" horizontalDpi="0" verticalDpi="0" r:id="rId1"/>
  <tableParts count="2">
    <tablePart r:id="rId2"/>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4"/>
  </sheetPr>
  <dimension ref="A1:AF24"/>
  <sheetViews>
    <sheetView showGridLines="0" workbookViewId="0">
      <selection activeCell="H27" sqref="H27"/>
    </sheetView>
  </sheetViews>
  <sheetFormatPr baseColWidth="10" defaultColWidth="8.83203125" defaultRowHeight="15" x14ac:dyDescent="0.2"/>
  <cols>
    <col min="1" max="1" width="8.6640625"/>
    <col min="2" max="2" width="5.33203125" customWidth="1"/>
    <col min="3" max="3" width="13.5" customWidth="1"/>
    <col min="4" max="4" width="17.33203125" bestFit="1" customWidth="1"/>
    <col min="5" max="5" width="10.6640625" customWidth="1"/>
    <col min="6" max="6" width="12.6640625" bestFit="1" customWidth="1"/>
    <col min="7" max="7" width="10.6640625" bestFit="1" customWidth="1"/>
    <col min="8" max="8" width="4.33203125" customWidth="1"/>
    <col min="9" max="9" width="19.5" bestFit="1" customWidth="1"/>
    <col min="10" max="10" width="3.6640625" customWidth="1"/>
    <col min="11" max="11" width="13.33203125" bestFit="1" customWidth="1"/>
    <col min="12" max="12" width="4.33203125" customWidth="1"/>
    <col min="13" max="13" width="18.33203125" customWidth="1"/>
    <col min="14" max="14" width="5.33203125" customWidth="1"/>
    <col min="15" max="15" width="5.5" customWidth="1"/>
    <col min="16" max="16" width="13.33203125" customWidth="1"/>
  </cols>
  <sheetData>
    <row r="1" spans="1:32" ht="30" customHeight="1" x14ac:dyDescent="0.2">
      <c r="A1" s="20"/>
      <c r="B1" s="23" t="s">
        <v>176</v>
      </c>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row>
    <row r="3" spans="1:32" x14ac:dyDescent="0.2">
      <c r="C3" s="3" t="s">
        <v>177</v>
      </c>
      <c r="F3" s="3" t="s">
        <v>178</v>
      </c>
      <c r="I3" s="3" t="s">
        <v>179</v>
      </c>
      <c r="K3" s="3" t="s">
        <v>21</v>
      </c>
      <c r="M3" s="3" t="s">
        <v>180</v>
      </c>
      <c r="P3" s="3" t="s">
        <v>49</v>
      </c>
    </row>
    <row r="4" spans="1:32" x14ac:dyDescent="0.2">
      <c r="C4" t="s">
        <v>181</v>
      </c>
      <c r="D4" t="s">
        <v>182</v>
      </c>
      <c r="E4" t="s">
        <v>231</v>
      </c>
      <c r="F4" t="s">
        <v>183</v>
      </c>
      <c r="G4" t="s">
        <v>48</v>
      </c>
      <c r="I4" t="s">
        <v>50</v>
      </c>
      <c r="K4" t="s">
        <v>184</v>
      </c>
      <c r="M4" t="s">
        <v>185</v>
      </c>
      <c r="P4" t="s">
        <v>186</v>
      </c>
    </row>
    <row r="5" spans="1:32" x14ac:dyDescent="0.2">
      <c r="C5" s="50">
        <v>1</v>
      </c>
      <c r="D5" s="50" t="s">
        <v>233</v>
      </c>
      <c r="E5">
        <v>1</v>
      </c>
      <c r="F5" t="s">
        <v>189</v>
      </c>
      <c r="I5" t="s">
        <v>190</v>
      </c>
      <c r="K5" t="s">
        <v>191</v>
      </c>
      <c r="M5" t="s">
        <v>20</v>
      </c>
      <c r="P5" t="s">
        <v>192</v>
      </c>
    </row>
    <row r="6" spans="1:32" x14ac:dyDescent="0.2">
      <c r="C6" s="50" t="s">
        <v>193</v>
      </c>
      <c r="D6" t="s">
        <v>194</v>
      </c>
      <c r="E6">
        <v>2</v>
      </c>
      <c r="F6" t="s">
        <v>195</v>
      </c>
      <c r="I6" t="s">
        <v>196</v>
      </c>
      <c r="K6" t="s">
        <v>197</v>
      </c>
      <c r="M6" t="s">
        <v>198</v>
      </c>
      <c r="P6" t="s">
        <v>199</v>
      </c>
    </row>
    <row r="7" spans="1:32" x14ac:dyDescent="0.2">
      <c r="C7" s="50" t="s">
        <v>187</v>
      </c>
      <c r="D7" t="s">
        <v>188</v>
      </c>
      <c r="E7">
        <v>3</v>
      </c>
      <c r="F7" t="s">
        <v>202</v>
      </c>
      <c r="I7" t="s">
        <v>203</v>
      </c>
      <c r="K7" t="s">
        <v>204</v>
      </c>
      <c r="M7" t="s">
        <v>205</v>
      </c>
      <c r="P7" t="s">
        <v>206</v>
      </c>
    </row>
    <row r="8" spans="1:32" x14ac:dyDescent="0.2">
      <c r="C8" s="50">
        <v>4</v>
      </c>
      <c r="D8" s="50" t="s">
        <v>233</v>
      </c>
      <c r="E8">
        <v>4</v>
      </c>
      <c r="F8" t="s">
        <v>209</v>
      </c>
      <c r="M8" t="s">
        <v>21</v>
      </c>
      <c r="P8" t="s">
        <v>210</v>
      </c>
    </row>
    <row r="9" spans="1:32" ht="14.75" customHeight="1" x14ac:dyDescent="0.2">
      <c r="C9" s="50" t="s">
        <v>207</v>
      </c>
      <c r="D9" t="s">
        <v>208</v>
      </c>
      <c r="E9">
        <v>5</v>
      </c>
      <c r="F9" t="s">
        <v>211</v>
      </c>
      <c r="M9" t="s">
        <v>22</v>
      </c>
    </row>
    <row r="10" spans="1:32" x14ac:dyDescent="0.2">
      <c r="C10" s="50" t="s">
        <v>200</v>
      </c>
      <c r="D10" t="s">
        <v>201</v>
      </c>
      <c r="E10">
        <v>6</v>
      </c>
      <c r="F10" t="s">
        <v>212</v>
      </c>
    </row>
    <row r="11" spans="1:32" x14ac:dyDescent="0.2">
      <c r="C11" s="50">
        <v>7</v>
      </c>
      <c r="D11" s="50" t="s">
        <v>233</v>
      </c>
      <c r="E11">
        <v>7</v>
      </c>
      <c r="F11" t="s">
        <v>213</v>
      </c>
    </row>
    <row r="12" spans="1:32" ht="15" customHeight="1" x14ac:dyDescent="0.2">
      <c r="C12" s="50">
        <v>8</v>
      </c>
      <c r="D12" s="50" t="s">
        <v>233</v>
      </c>
      <c r="E12">
        <v>8</v>
      </c>
      <c r="F12" t="s">
        <v>216</v>
      </c>
    </row>
    <row r="13" spans="1:32" x14ac:dyDescent="0.2">
      <c r="C13" s="50" t="s">
        <v>214</v>
      </c>
      <c r="D13" t="s">
        <v>215</v>
      </c>
      <c r="E13">
        <v>9</v>
      </c>
    </row>
    <row r="14" spans="1:32" x14ac:dyDescent="0.2">
      <c r="C14" s="50" t="s">
        <v>217</v>
      </c>
      <c r="D14" t="s">
        <v>218</v>
      </c>
      <c r="E14">
        <v>10</v>
      </c>
    </row>
    <row r="15" spans="1:32" x14ac:dyDescent="0.2">
      <c r="C15" s="50" t="s">
        <v>219</v>
      </c>
      <c r="D15" t="s">
        <v>220</v>
      </c>
      <c r="E15">
        <v>11</v>
      </c>
    </row>
    <row r="16" spans="1:32" x14ac:dyDescent="0.2">
      <c r="C16" s="50" t="s">
        <v>223</v>
      </c>
      <c r="D16" t="s">
        <v>224</v>
      </c>
      <c r="E16">
        <v>12</v>
      </c>
    </row>
    <row r="17" spans="3:5" x14ac:dyDescent="0.2">
      <c r="C17" s="50" t="s">
        <v>221</v>
      </c>
      <c r="D17" t="s">
        <v>222</v>
      </c>
      <c r="E17">
        <v>13</v>
      </c>
    </row>
    <row r="18" spans="3:5" x14ac:dyDescent="0.2">
      <c r="C18" s="50">
        <v>14</v>
      </c>
      <c r="D18" s="50" t="s">
        <v>233</v>
      </c>
      <c r="E18">
        <v>14</v>
      </c>
    </row>
    <row r="19" spans="3:5" x14ac:dyDescent="0.2">
      <c r="C19" s="50">
        <v>15</v>
      </c>
      <c r="D19" s="50" t="s">
        <v>233</v>
      </c>
      <c r="E19">
        <v>15</v>
      </c>
    </row>
    <row r="20" spans="3:5" x14ac:dyDescent="0.2">
      <c r="C20" s="50" t="s">
        <v>227</v>
      </c>
      <c r="D20" t="s">
        <v>228</v>
      </c>
      <c r="E20">
        <v>16</v>
      </c>
    </row>
    <row r="21" spans="3:5" x14ac:dyDescent="0.2">
      <c r="C21" s="50" t="s">
        <v>225</v>
      </c>
      <c r="D21" t="s">
        <v>226</v>
      </c>
      <c r="E21">
        <v>17</v>
      </c>
    </row>
    <row r="22" spans="3:5" x14ac:dyDescent="0.2">
      <c r="C22" s="50">
        <v>18</v>
      </c>
      <c r="D22" s="50" t="s">
        <v>233</v>
      </c>
      <c r="E22">
        <v>18</v>
      </c>
    </row>
    <row r="23" spans="3:5" x14ac:dyDescent="0.2">
      <c r="C23" s="50">
        <v>19</v>
      </c>
      <c r="D23" s="50" t="s">
        <v>233</v>
      </c>
      <c r="E23">
        <v>19</v>
      </c>
    </row>
    <row r="24" spans="3:5" x14ac:dyDescent="0.2">
      <c r="C24" s="50">
        <v>20</v>
      </c>
      <c r="D24" s="50" t="s">
        <v>233</v>
      </c>
      <c r="E24">
        <v>20</v>
      </c>
    </row>
  </sheetData>
  <pageMargins left="0.7" right="0.7" top="0.75" bottom="0.75" header="0.3" footer="0.3"/>
  <pageSetup paperSize="9" orientation="portrait" horizontalDpi="4294967293" verticalDpi="0" r:id="rId1"/>
  <tableParts count="6">
    <tablePart r:id="rId2"/>
    <tablePart r:id="rId3"/>
    <tablePart r:id="rId4"/>
    <tablePart r:id="rId5"/>
    <tablePart r:id="rId6"/>
    <tablePart r:id="rId7"/>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9F3965D5AD7DD49A0C35F5B324FC46E" ma:contentTypeVersion="11" ma:contentTypeDescription="Create a new document." ma:contentTypeScope="" ma:versionID="a3959b594f065a6b5e190cd4a52b3cdb">
  <xsd:schema xmlns:xsd="http://www.w3.org/2001/XMLSchema" xmlns:xs="http://www.w3.org/2001/XMLSchema" xmlns:p="http://schemas.microsoft.com/office/2006/metadata/properties" xmlns:ns3="379f8862-948c-4e01-be11-1aca69ed7a0f" xmlns:ns4="8fe30163-535a-4721-80e9-db90e94566f3" targetNamespace="http://schemas.microsoft.com/office/2006/metadata/properties" ma:root="true" ma:fieldsID="0fb3ee4a6ee4cb42c7015dd74fcfd26f" ns3:_="" ns4:_="">
    <xsd:import namespace="379f8862-948c-4e01-be11-1aca69ed7a0f"/>
    <xsd:import namespace="8fe30163-535a-4721-80e9-db90e94566f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9f8862-948c-4e01-be11-1aca69ed7a0f"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fe30163-535a-4721-80e9-db90e94566f3"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element name="SharingHintHash" ma:index="12" nillable="true" ma:displayName="Sharing Hint Hash" ma:descriptio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C7708-2E56-4A06-98BC-595B3BE458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9f8862-948c-4e01-be11-1aca69ed7a0f"/>
    <ds:schemaRef ds:uri="8fe30163-535a-4721-80e9-db90e94566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AEA52389-093B-4954-8B86-E3B38521A788}">
  <ds:schemaRefs>
    <ds:schemaRef ds:uri="http://schemas.microsoft.com/DataMashup"/>
  </ds:schemaRefs>
</ds:datastoreItem>
</file>

<file path=customXml/itemProps3.xml><?xml version="1.0" encoding="utf-8"?>
<ds:datastoreItem xmlns:ds="http://purl.oclc.org/ooxml/officeDocument/customXml" ds:itemID="{046A35FE-E4B3-4784-B74F-643DE192C333}">
  <ds:schemaRefs>
    <ds:schemaRef ds:uri="http://purl.org/dc/terms/"/>
    <ds:schemaRef ds:uri="http://purl.org/dc/elements/1.1/"/>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purl.org/dc/dcmitype/"/>
    <ds:schemaRef ds:uri="8fe30163-535a-4721-80e9-db90e94566f3"/>
    <ds:schemaRef ds:uri="379f8862-948c-4e01-be11-1aca69ed7a0f"/>
    <ds:schemaRef ds:uri="http://schemas.microsoft.com/office/2006/metadata/properties"/>
  </ds:schemaRefs>
</ds:datastoreItem>
</file>

<file path=customXml/itemProps4.xml><?xml version="1.0" encoding="utf-8"?>
<ds:datastoreItem xmlns:ds="http://purl.oclc.org/ooxml/officeDocument/customXml" ds:itemID="{556DE34E-193D-405A-BBA7-17F8A5ED8AD4}">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31</vt:i4>
      </vt:variant>
    </vt:vector>
  </HeadingPairs>
  <TitlesOfParts>
    <vt:vector size="40" baseType="lpstr">
      <vt:lpstr>Tier 1 Pvts</vt:lpstr>
      <vt:lpstr>Tier 2 Pvts</vt:lpstr>
      <vt:lpstr>Tier 3 Pvts</vt:lpstr>
      <vt:lpstr>Core_Non Core Activity</vt:lpstr>
      <vt:lpstr>% Util # Cases</vt:lpstr>
      <vt:lpstr>Case_mins</vt:lpstr>
      <vt:lpstr>Data Entry</vt:lpstr>
      <vt:lpstr>Mng Theatres</vt:lpstr>
      <vt:lpstr>Ctrl Lists</vt:lpstr>
      <vt:lpstr>Am_Close</vt:lpstr>
      <vt:lpstr>Am_Open</vt:lpstr>
      <vt:lpstr>AR</vt:lpstr>
      <vt:lpstr>Bed_Status</vt:lpstr>
      <vt:lpstr>Cancelled</vt:lpstr>
      <vt:lpstr>Clean</vt:lpstr>
      <vt:lpstr>Closed</vt:lpstr>
      <vt:lpstr>Date</vt:lpstr>
      <vt:lpstr>Day</vt:lpstr>
      <vt:lpstr>EndDate</vt:lpstr>
      <vt:lpstr>EndWeek</vt:lpstr>
      <vt:lpstr>Hosp_Name</vt:lpstr>
      <vt:lpstr>InCoreDays</vt:lpstr>
      <vt:lpstr>NoOfDates</vt:lpstr>
      <vt:lpstr>NoOfWeeks</vt:lpstr>
      <vt:lpstr>PM_Close</vt:lpstr>
      <vt:lpstr>PM_Open</vt:lpstr>
      <vt:lpstr>Poss_Time</vt:lpstr>
      <vt:lpstr>Scheduled</vt:lpstr>
      <vt:lpstr>SpecDesc</vt:lpstr>
      <vt:lpstr>Specialty_ID</vt:lpstr>
      <vt:lpstr>StartDate</vt:lpstr>
      <vt:lpstr>StartWeek</vt:lpstr>
      <vt:lpstr>Sur_Grade</vt:lpstr>
      <vt:lpstr>Surgeon</vt:lpstr>
      <vt:lpstr>Surgeon_ID</vt:lpstr>
      <vt:lpstr>Th_Close</vt:lpstr>
      <vt:lpstr>Th_Name</vt:lpstr>
      <vt:lpstr>Th_Open</vt:lpstr>
      <vt:lpstr>Th_Status_FullDay</vt:lpstr>
      <vt:lpstr>theatre_time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tmm_v2_7</dc:title>
  <dc:subject/>
  <dc:creator>Noel</dc:creator>
  <cp:keywords/>
  <dc:description/>
  <cp:lastModifiedBy>Oleksii Dovhaniuk (Umail)</cp:lastModifiedBy>
  <cp:revision/>
  <cp:lastPrinted>2022-05-10T08:10:43Z</cp:lastPrinted>
  <dcterms:created xsi:type="dcterms:W3CDTF">2019-02-05T08:36:30Z</dcterms:created>
  <dcterms:modified xsi:type="dcterms:W3CDTF">2024-01-10T10:53:19Z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0x010100E9F3965D5AD7DD49A0C35F5B324FC46E</vt:lpwstr>
  </property>
</Properties>
</file>