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F71210D7-C8AE-934E-8557-046661174874}" xr6:coauthVersionLast="47" xr6:coauthVersionMax="47" xr10:uidLastSave="{00000000-0000-0000-0000-000000000000}"/>
  <bookViews>
    <workbookView xWindow="260" yWindow="10080" windowWidth="21500" windowHeight="14360" xr2:uid="{00000000-000D-0000-FFFF-FFFF00000000}"/>
  </bookViews>
  <sheets>
    <sheet name="model" sheetId="1" r:id="rId1"/>
    <sheet name="main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H7" i="1"/>
  <c r="D12" i="1"/>
  <c r="E12" i="1"/>
  <c r="F12" i="1"/>
  <c r="C12" i="1"/>
  <c r="B21" i="1"/>
  <c r="C21" i="1" s="1"/>
  <c r="D21" i="1" s="1"/>
  <c r="G7" i="1" s="1"/>
  <c r="G12" i="1" s="1"/>
  <c r="B18" i="1"/>
  <c r="C18" i="1"/>
  <c r="C7" i="2"/>
  <c r="C5" i="2"/>
  <c r="C9" i="2" s="1"/>
  <c r="J2" i="1" s="1"/>
  <c r="C6" i="2"/>
  <c r="C4" i="2"/>
  <c r="G6" i="1"/>
  <c r="H6" i="1" s="1"/>
  <c r="I6" i="1" s="1"/>
  <c r="J6" i="1" s="1"/>
  <c r="K6" i="1" s="1"/>
  <c r="L6" i="1" s="1"/>
  <c r="M6" i="1" s="1"/>
  <c r="N6" i="1" s="1"/>
  <c r="O6" i="1" s="1"/>
  <c r="P6" i="1" s="1"/>
  <c r="H5" i="1"/>
  <c r="I5" i="1" s="1"/>
  <c r="J5" i="1" s="1"/>
  <c r="K5" i="1" s="1"/>
  <c r="L5" i="1" s="1"/>
  <c r="M5" i="1" s="1"/>
  <c r="N5" i="1" s="1"/>
  <c r="O5" i="1" s="1"/>
  <c r="P5" i="1" s="1"/>
  <c r="N2" i="1"/>
  <c r="L2" i="1"/>
  <c r="J7" i="1" l="1" a="1"/>
  <c r="J7" i="1" s="1"/>
  <c r="K7" i="1" s="1" a="1"/>
  <c r="K7" i="1" s="1"/>
  <c r="L7" i="1" s="1" a="1"/>
  <c r="L7" i="1" s="1"/>
  <c r="M7" i="1" s="1" a="1"/>
  <c r="M7" i="1" s="1"/>
  <c r="N7" i="1" s="1" a="1"/>
  <c r="N7" i="1" s="1"/>
  <c r="O7" i="1" s="1" a="1"/>
  <c r="O7" i="1" s="1"/>
  <c r="P7" i="1" s="1" a="1"/>
  <c r="P7" i="1" s="1"/>
  <c r="G2" i="1" s="1"/>
  <c r="H2" i="1" s="1"/>
  <c r="F2" i="1" l="1"/>
  <c r="I2" i="1" s="1"/>
  <c r="K2" i="1" s="1"/>
  <c r="M2" i="1" s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<sst xmlns="http://schemas.openxmlformats.org/spreadsheetml/2006/main" count="52" uniqueCount="48">
  <si>
    <t>fgr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</si>
  <si>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</si>
  <si>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</si>
  <si>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</si>
  <si>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</si>
  <si>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</si>
  <si>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</si>
  <si>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</si>
  <si>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</si>
  <si>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</si>
  <si>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</si>
  <si>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</si>
  <si>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</si>
  <si>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15%</t>
  </si>
  <si>
    <t>2%</t>
  </si>
  <si>
    <t>date</t>
  </si>
  <si>
    <t>2019-12-28</t>
  </si>
  <si>
    <t>2020-12-26</t>
  </si>
  <si>
    <t>2021-12-25</t>
  </si>
  <si>
    <t>2022-12-31</t>
  </si>
  <si>
    <t>2023-12-30</t>
  </si>
  <si>
    <t>1</t>
  </si>
  <si>
    <t>calendarYear</t>
  </si>
  <si>
    <t>2019</t>
  </si>
  <si>
    <t>2020</t>
  </si>
  <si>
    <t>2021</t>
  </si>
  <si>
    <t>2022</t>
  </si>
  <si>
    <t>2023</t>
  </si>
  <si>
    <t>netIncome</t>
  </si>
  <si>
    <t>operatingCashFlow</t>
  </si>
  <si>
    <t>capitalExpenditure</t>
  </si>
  <si>
    <t>freeCashFlow</t>
  </si>
  <si>
    <t>price</t>
  </si>
  <si>
    <t>mc</t>
  </si>
  <si>
    <t>cash</t>
  </si>
  <si>
    <t>debt</t>
  </si>
  <si>
    <t>q1 2024</t>
  </si>
  <si>
    <t>q2 2024</t>
  </si>
  <si>
    <t>q3 2024</t>
  </si>
  <si>
    <t>q4 2024</t>
  </si>
  <si>
    <t>net income</t>
  </si>
  <si>
    <t>eps</t>
  </si>
  <si>
    <t xml:space="preserve">FY 2024 projection </t>
  </si>
  <si>
    <t xml:space="preserve">quarterly </t>
  </si>
  <si>
    <t>sum of Q NI</t>
  </si>
  <si>
    <t xml:space="preserve">avg q ni </t>
  </si>
  <si>
    <t>proj ni 2024</t>
  </si>
  <si>
    <t>inc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</si>
</sst>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0" xfId="0" applyNumberFormat="1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  <xf numFmtId="9" fontId="0" fillId="0" borderId="0" xfId="1" applyFont="1"/>
    <xf numFmtId="3" fontId="0" fillId="0" borderId="7" xfId="0" applyNumberFormat="1" applyBorder="1"/>
    <xf numFmtId="0" fontId="0" fillId="2" borderId="0" xfId="0" applyFill="1"/>
    <xf numFmtId="0" fontId="0" fillId="2" borderId="8" xfId="0" applyFill="1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0" customWidth="1"/>
    <col min="2" max="6" width="10" customWidth="1"/>
  </cols>
  <sheetData>
    <row r="1" spans="1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2">
      <c r="C2" s="16">
        <v>0.1</v>
      </c>
      <c r="D2" t="s">
        <v>13</v>
      </c>
      <c r="E2" t="s">
        <v>14</v>
      </c>
      <c r="F2" s="1">
        <f>NPV(wacc,G7:P7)</f>
        <v>5968.4847072842849</v>
      </c>
      <c r="G2" s="1">
        <f>P7*(1+tgr)/(wacc-tgr)</f>
        <v>28171.703706807712</v>
      </c>
      <c r="H2" s="1">
        <f>tv/(1+wacc)^10</f>
        <v>6963.6143017195436</v>
      </c>
      <c r="I2" s="1">
        <f>F2+H2</f>
        <v>12932.099009003829</v>
      </c>
      <c r="J2" s="1">
        <f>main!C9</f>
        <v>-23756</v>
      </c>
      <c r="K2" s="1">
        <f>I2+J2</f>
        <v>-10823.900990996171</v>
      </c>
      <c r="L2">
        <f>main!C3</f>
        <v>4276</v>
      </c>
      <c r="M2">
        <f>K2/L2</f>
        <v>-2.5313145441992919</v>
      </c>
      <c r="N2">
        <f>main!C2</f>
        <v>22.44</v>
      </c>
      <c r="O2" s="12">
        <f>M2/N2-1</f>
        <v>-1.1128036784402537</v>
      </c>
    </row>
    <row r="5" spans="1:1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f>G5+1</f>
        <v>2</v>
      </c>
      <c r="I5">
        <f t="shared" ref="I5:P5" si="0">H5+1</f>
        <v>3</v>
      </c>
      <c r="J5">
        <f t="shared" si="0"/>
        <v>4</v>
      </c>
      <c r="K5">
        <f t="shared" si="0"/>
        <v>5</v>
      </c>
      <c r="L5">
        <f t="shared" si="0"/>
        <v>6</v>
      </c>
      <c r="M5">
        <f t="shared" si="0"/>
        <v>7</v>
      </c>
      <c r="N5">
        <f t="shared" si="0"/>
        <v>8</v>
      </c>
      <c r="O5">
        <f t="shared" si="0"/>
        <v>9</v>
      </c>
      <c r="P5">
        <f t="shared" si="0"/>
        <v>10</v>
      </c>
    </row>
    <row r="6" spans="1:16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f>F6+1</f>
        <v>2024</v>
      </c>
      <c r="H6">
        <f t="shared" ref="H6:P6" si="1">G6+1</f>
        <v>2025</v>
      </c>
      <c r="I6">
        <f t="shared" si="1"/>
        <v>2026</v>
      </c>
      <c r="J6">
        <f t="shared" si="1"/>
        <v>2027</v>
      </c>
      <c r="K6">
        <f t="shared" si="1"/>
        <v>2028</v>
      </c>
      <c r="L6">
        <f t="shared" si="1"/>
        <v>2029</v>
      </c>
      <c r="M6">
        <f t="shared" si="1"/>
        <v>2030</v>
      </c>
      <c r="N6">
        <f t="shared" si="1"/>
        <v>2031</v>
      </c>
      <c r="O6">
        <f t="shared" si="1"/>
        <v>2032</v>
      </c>
      <c r="P6">
        <f t="shared" si="1"/>
        <v>2033</v>
      </c>
    </row>
    <row r="7" spans="1:16" x14ac:dyDescent="0.2">
      <c r="A7" t="s">
        <v>28</v>
      </c>
      <c r="B7" s="1">
        <v>21048</v>
      </c>
      <c r="C7" s="1">
        <v>20899</v>
      </c>
      <c r="D7" s="1">
        <v>19868</v>
      </c>
      <c r="E7" s="1">
        <v>8017</v>
      </c>
      <c r="F7" s="1">
        <v>1675</v>
      </c>
      <c r="G7" s="14">
        <f>D21</f>
        <v>-4182</v>
      </c>
      <c r="H7" s="1">
        <f>F7</f>
        <v>1675</v>
      </c>
      <c r="I7" cm="1">
        <f t="array" ref="I7">H7*(1+fgr)</f>
        <v>1842.5000000000002</v>
      </c>
      <c r="J7" cm="1">
        <f t="array" ref="J7">I7*(1+fgr)</f>
        <v>2026.7500000000005</v>
      </c>
      <c r="K7" cm="1">
        <f t="array" ref="K7">J7*(1+fgr)</f>
        <v>2229.4250000000006</v>
      </c>
      <c r="L7" cm="1">
        <f t="array" ref="L7">K7*(1+fgr)</f>
        <v>2452.3675000000007</v>
      </c>
      <c r="M7" cm="1">
        <f t="array" ref="M7">L7*(1+fgr)</f>
        <v>2697.6042500000012</v>
      </c>
      <c r="N7" cm="1">
        <f t="array" ref="N7">M7*(1+fgr)</f>
        <v>2967.3646750000016</v>
      </c>
      <c r="O7" cm="1">
        <f t="array" ref="O7">N7*(1+fgr)</f>
        <v>3264.101142500002</v>
      </c>
      <c r="P7" cm="1">
        <f t="array" ref="P7">O7*(1+fgr)</f>
        <v>3590.5112567500023</v>
      </c>
    </row>
    <row r="8" spans="1:16" x14ac:dyDescent="0.2">
      <c r="A8" t="s">
        <v>29</v>
      </c>
      <c r="B8" s="1">
        <v>33145</v>
      </c>
      <c r="C8" s="1">
        <v>35384</v>
      </c>
      <c r="D8" s="1">
        <v>29456</v>
      </c>
      <c r="E8" s="1">
        <v>15433</v>
      </c>
      <c r="F8" s="1">
        <v>11471</v>
      </c>
    </row>
    <row r="9" spans="1:16" x14ac:dyDescent="0.2">
      <c r="A9" t="s">
        <v>30</v>
      </c>
      <c r="B9" s="1">
        <v>-16213</v>
      </c>
      <c r="C9" s="1">
        <v>-14453</v>
      </c>
      <c r="D9" s="1">
        <v>-20329</v>
      </c>
      <c r="E9" s="1">
        <v>-25050</v>
      </c>
      <c r="F9" s="1">
        <v>-25750</v>
      </c>
    </row>
    <row r="10" spans="1:16" x14ac:dyDescent="0.2">
      <c r="A10" t="s">
        <v>31</v>
      </c>
      <c r="B10" s="1">
        <v>16932</v>
      </c>
      <c r="C10" s="1">
        <v>20931</v>
      </c>
      <c r="D10" s="1">
        <v>9127</v>
      </c>
      <c r="E10" s="1">
        <v>-9617</v>
      </c>
      <c r="F10" s="1">
        <v>-14279</v>
      </c>
    </row>
    <row r="12" spans="1:16" x14ac:dyDescent="0.2">
      <c r="A12" t="s">
        <v>47</v>
      </c>
      <c r="C12" s="12">
        <f>C7/B7-1</f>
        <v>-7.0790573926263756E-3</v>
      </c>
      <c r="D12" s="12">
        <f t="shared" ref="D12:G12" si="2">D7/C7-1</f>
        <v>-4.9332503947557282E-2</v>
      </c>
      <c r="E12" s="12">
        <f t="shared" si="2"/>
        <v>-0.59648681296557271</v>
      </c>
      <c r="F12" s="12">
        <f t="shared" si="2"/>
        <v>-0.79106897842085566</v>
      </c>
      <c r="G12" s="12">
        <f t="shared" si="2"/>
        <v>-3.4967164179104477</v>
      </c>
    </row>
    <row r="14" spans="1:16" ht="16" thickBot="1" x14ac:dyDescent="0.25"/>
    <row r="15" spans="1:16" ht="16" thickTop="1" x14ac:dyDescent="0.2">
      <c r="A15" s="2" t="s">
        <v>43</v>
      </c>
      <c r="B15" s="3" t="s">
        <v>36</v>
      </c>
      <c r="C15" s="3" t="s">
        <v>37</v>
      </c>
      <c r="D15" s="3" t="s">
        <v>38</v>
      </c>
      <c r="E15" s="4" t="s">
        <v>39</v>
      </c>
    </row>
    <row r="16" spans="1:16" x14ac:dyDescent="0.2">
      <c r="A16" s="5" t="s">
        <v>40</v>
      </c>
      <c r="B16" s="6">
        <v>-437</v>
      </c>
      <c r="C16" s="6">
        <v>-1654</v>
      </c>
      <c r="D16" s="6"/>
      <c r="E16" s="7"/>
    </row>
    <row r="17" spans="1:5" x14ac:dyDescent="0.2">
      <c r="A17" s="5" t="s">
        <v>9</v>
      </c>
      <c r="B17" s="6">
        <v>4242</v>
      </c>
      <c r="C17" s="6">
        <v>4267</v>
      </c>
      <c r="D17" s="6"/>
      <c r="E17" s="7"/>
    </row>
    <row r="18" spans="1:5" ht="16" thickBot="1" x14ac:dyDescent="0.25">
      <c r="A18" s="8" t="s">
        <v>41</v>
      </c>
      <c r="B18" s="9">
        <f>B16/B17</f>
        <v>-0.10301744460160302</v>
      </c>
      <c r="C18" s="9">
        <f>C16/C17</f>
        <v>-0.38762596672134991</v>
      </c>
      <c r="D18" s="10"/>
      <c r="E18" s="11"/>
    </row>
    <row r="19" spans="1:5" ht="17" thickTop="1" thickBot="1" x14ac:dyDescent="0.25"/>
    <row r="20" spans="1:5" ht="16" thickTop="1" x14ac:dyDescent="0.2">
      <c r="A20" s="2" t="s">
        <v>42</v>
      </c>
      <c r="B20" s="3" t="s">
        <v>44</v>
      </c>
      <c r="C20" s="3" t="s">
        <v>45</v>
      </c>
      <c r="D20" s="4" t="s">
        <v>46</v>
      </c>
    </row>
    <row r="21" spans="1:5" ht="16" thickBot="1" x14ac:dyDescent="0.25">
      <c r="A21" s="8"/>
      <c r="B21" s="13">
        <f>SUM(B16:C16)</f>
        <v>-2091</v>
      </c>
      <c r="C21" s="10">
        <f>B21/2</f>
        <v>-1045.5</v>
      </c>
      <c r="D21" s="15">
        <f>C21*4</f>
        <v>-4182</v>
      </c>
    </row>
    <row r="22" spans="1:5" ht="16" thickTop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B12" sqref="B12"/>
    </sheetView>
  </sheetViews>
  <sheetFormatPr baseColWidth="10" defaultColWidth="8.83203125" defaultRowHeight="15" x14ac:dyDescent="0.2"/>
  <sheetData>
    <row r="2" spans="2:3" x14ac:dyDescent="0.2">
      <c r="B2" t="s">
        <v>32</v>
      </c>
      <c r="C2">
        <v>22.44</v>
      </c>
    </row>
    <row r="3" spans="2:3" x14ac:dyDescent="0.2">
      <c r="B3" t="s">
        <v>9</v>
      </c>
      <c r="C3" s="1">
        <v>4276</v>
      </c>
    </row>
    <row r="4" spans="2:3" x14ac:dyDescent="0.2">
      <c r="B4" t="s">
        <v>33</v>
      </c>
      <c r="C4" s="1">
        <f>C2*C3</f>
        <v>95953.44</v>
      </c>
    </row>
    <row r="5" spans="2:3" x14ac:dyDescent="0.2">
      <c r="B5" t="s">
        <v>34</v>
      </c>
      <c r="C5" s="1">
        <f>11287+17986</f>
        <v>29273</v>
      </c>
    </row>
    <row r="6" spans="2:3" x14ac:dyDescent="0.2">
      <c r="B6" t="s">
        <v>35</v>
      </c>
      <c r="C6" s="1">
        <f>4695+48334</f>
        <v>53029</v>
      </c>
    </row>
    <row r="7" spans="2:3" x14ac:dyDescent="0.2">
      <c r="B7" t="s">
        <v>6</v>
      </c>
      <c r="C7" s="1">
        <f>C4-C5+C6</f>
        <v>119709.44</v>
      </c>
    </row>
    <row r="8" spans="2:3" x14ac:dyDescent="0.2">
      <c r="C8" s="1"/>
    </row>
    <row r="9" spans="2:3" x14ac:dyDescent="0.2">
      <c r="B9" t="s">
        <v>7</v>
      </c>
      <c r="C9" s="1">
        <f>C5-C6</f>
        <v>-23756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model</vt:lpstr>
      <vt:lpstr>main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2024-10-22T18:06:00Z</dcterms:created>
  <dcterms:modified xsi:type="dcterms:W3CDTF">2024-10-22T21:14:13Z</dcterms:modified>
</cp:coreProperties>
</file>