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r/fa/"/>
    </mc:Choice>
  </mc:AlternateContent>
  <xr:revisionPtr revIDLastSave="0" documentId="13_ncr:1_{3786871D-CB3C-EC46-81E3-CB0CF68E3776}" xr6:coauthVersionLast="47" xr6:coauthVersionMax="47" xr10:uidLastSave="{00000000-0000-0000-0000-000000000000}"/>
  <bookViews>
    <workbookView xWindow="320" yWindow="6460" windowWidth="27040" windowHeight="20980" activeTab="1" xr2:uid="{00000000-000D-0000-FFFF-FFFF00000000}"/>
  </bookViews>
  <sheets>
    <sheet name="main" sheetId="1" r:id="rId1"/>
    <sheet name="model" sheetId="2" r:id="rId2"/>
  </sheets>
  <definedNames>
    <definedName name="fgr">model!$C$2</definedName>
    <definedName name="tgr">model!$E$2</definedName>
    <definedName name="tv">model!$G$2</definedName>
    <definedName name="wacc">model!$D$2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" l="1"/>
  <c r="N24" i="2"/>
  <c r="O24" i="2" s="1"/>
  <c r="N5" i="2"/>
  <c r="O5" i="2" s="1"/>
  <c r="P5" i="2" s="1"/>
  <c r="Q5" i="2" s="1"/>
  <c r="R5" i="2" s="1"/>
  <c r="S5" i="2" s="1"/>
  <c r="T5" i="2" s="1"/>
  <c r="U5" i="2" s="1"/>
  <c r="V5" i="2" s="1"/>
  <c r="V4" i="2"/>
  <c r="O4" i="2"/>
  <c r="P4" i="2" s="1"/>
  <c r="Q4" i="2" s="1"/>
  <c r="R4" i="2" s="1"/>
  <c r="S4" i="2" s="1"/>
  <c r="T4" i="2" s="1"/>
  <c r="U4" i="2" s="1"/>
  <c r="N4" i="2"/>
  <c r="B27" i="2"/>
  <c r="M26" i="2"/>
  <c r="I26" i="2"/>
  <c r="J26" i="2"/>
  <c r="K26" i="2"/>
  <c r="L26" i="2"/>
  <c r="C26" i="2"/>
  <c r="K13" i="2"/>
  <c r="L24" i="2"/>
  <c r="K24" i="2"/>
  <c r="J24" i="2"/>
  <c r="I24" i="2"/>
  <c r="H24" i="2"/>
  <c r="L12" i="2"/>
  <c r="K12" i="2"/>
  <c r="J12" i="2"/>
  <c r="I12" i="2"/>
  <c r="H12" i="2"/>
  <c r="L8" i="2"/>
  <c r="K8" i="2"/>
  <c r="J8" i="2"/>
  <c r="I8" i="2"/>
  <c r="H8" i="2"/>
  <c r="I5" i="2"/>
  <c r="J5" i="2" s="1"/>
  <c r="K5" i="2" s="1"/>
  <c r="L5" i="2" s="1"/>
  <c r="M5" i="2" s="1"/>
  <c r="B24" i="2"/>
  <c r="C24" i="2"/>
  <c r="B12" i="2"/>
  <c r="B8" i="2"/>
  <c r="C20" i="2"/>
  <c r="C18" i="2"/>
  <c r="C16" i="2"/>
  <c r="C13" i="2"/>
  <c r="C12" i="2"/>
  <c r="C8" i="2"/>
  <c r="C11" i="1"/>
  <c r="C10" i="1"/>
  <c r="C9" i="1"/>
  <c r="C7" i="1"/>
  <c r="P24" i="2" l="1"/>
  <c r="Q24" i="2" s="1"/>
  <c r="R24" i="2" s="1"/>
  <c r="S24" i="2" s="1"/>
  <c r="T24" i="2" s="1"/>
  <c r="U24" i="2" s="1"/>
  <c r="V24" i="2" s="1"/>
  <c r="G2" i="2" s="1"/>
  <c r="H2" i="2" s="1" a="1"/>
  <c r="H2" i="2" s="1"/>
  <c r="H13" i="2"/>
  <c r="H16" i="2" s="1"/>
  <c r="H18" i="2" s="1"/>
  <c r="H20" i="2" s="1"/>
  <c r="I13" i="2"/>
  <c r="I16" i="2" s="1"/>
  <c r="I18" i="2" s="1"/>
  <c r="I20" i="2" s="1"/>
  <c r="J13" i="2"/>
  <c r="J16" i="2" s="1"/>
  <c r="J18" i="2" s="1"/>
  <c r="J20" i="2" s="1"/>
  <c r="K16" i="2"/>
  <c r="K18" i="2" s="1"/>
  <c r="K20" i="2" s="1"/>
  <c r="L13" i="2"/>
  <c r="L16" i="2" s="1"/>
  <c r="L18" i="2" s="1"/>
  <c r="L20" i="2" s="1"/>
  <c r="B13" i="2"/>
  <c r="B16" i="2" s="1"/>
  <c r="B18" i="2" s="1"/>
  <c r="B20" i="2" s="1"/>
  <c r="C5" i="1"/>
  <c r="C4" i="1"/>
  <c r="F2" i="2" l="1"/>
  <c r="I2" i="2" s="1"/>
  <c r="K2" i="2" s="1"/>
  <c r="M2" i="2" s="1"/>
  <c r="O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<sst xmlns="http://schemas.openxmlformats.org/spreadsheetml/2006/main" count="45" uniqueCount="41">
  <si>
    <t>price</t>
  </si>
  <si>
    <t>shares</t>
  </si>
  <si>
    <t>mc</t>
  </si>
  <si>
    <t>cash</t>
  </si>
  <si>
    <t>debt</t>
  </si>
  <si>
    <t>ev</t>
  </si>
  <si>
    <t>fgr</t>
  </si>
  <si>
    <t>wacc</t>
  </si>
  <si>
    <t>tgr</t>
  </si>
  <si>
    <t>npv of fcf</t>
  </si>
  <si>
    <t>tv</t>
  </si>
  <si>
    <t>pv of tv</t>
  </si>
  <si>
    <t>net cash</t>
  </si>
  <si>
    <t>eq val</t>
  </si>
  <si>
    <t>implied $</t>
  </si>
  <si>
    <t>current $</t>
  </si>
  <si>
    <t>upside</t>
  </si>
  <si>
    <t>book value</t>
  </si>
  <si>
    <t>p/b</t>
  </si>
  <si>
    <t>p/netcash</t>
  </si>
  <si>
    <t>q2 2025</t>
  </si>
  <si>
    <t>q1 2025</t>
  </si>
  <si>
    <t>rev</t>
  </si>
  <si>
    <t>cogs</t>
  </si>
  <si>
    <t>r+d</t>
  </si>
  <si>
    <t>s+m</t>
  </si>
  <si>
    <t>g+a</t>
  </si>
  <si>
    <t>opex</t>
  </si>
  <si>
    <t>opinc</t>
  </si>
  <si>
    <t>gain on inv</t>
  </si>
  <si>
    <t>other inc</t>
  </si>
  <si>
    <t>pretax inc</t>
  </si>
  <si>
    <t>tax</t>
  </si>
  <si>
    <t>net inc</t>
  </si>
  <si>
    <t>eps</t>
  </si>
  <si>
    <t>gross prof</t>
  </si>
  <si>
    <t>cffo</t>
  </si>
  <si>
    <t>capex</t>
  </si>
  <si>
    <t>fcf</t>
  </si>
  <si>
    <t>fcf yoy</t>
  </si>
  <si>
    <t>fcf avg gr 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</si>
</sst>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2" fillId="0" borderId="0" xfId="0" applyNumberFormat="1" applyFont="1"/>
    <xf numFmtId="9" fontId="0" fillId="0" borderId="0" xfId="1" applyFont="1"/>
    <xf numFmtId="9" fontId="0" fillId="0" borderId="0" xfId="0" applyNumberFormat="1"/>
    <xf numFmtId="38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2"/>
  <sheetViews>
    <sheetView workbookViewId="0">
      <selection activeCell="C13" sqref="C13"/>
    </sheetView>
  </sheetViews>
  <sheetFormatPr baseColWidth="10" defaultColWidth="8.83203125" defaultRowHeight="15" x14ac:dyDescent="0.2"/>
  <sheetData>
    <row r="2" spans="2:3" x14ac:dyDescent="0.2">
      <c r="B2" t="s">
        <v>0</v>
      </c>
      <c r="C2">
        <v>72.17</v>
      </c>
    </row>
    <row r="3" spans="2:3" x14ac:dyDescent="0.2">
      <c r="B3" t="s">
        <v>1</v>
      </c>
      <c r="C3">
        <v>314.02699999999999</v>
      </c>
    </row>
    <row r="4" spans="2:3" x14ac:dyDescent="0.2">
      <c r="B4" t="s">
        <v>2</v>
      </c>
      <c r="C4">
        <f>C3*C2</f>
        <v>22663.328590000001</v>
      </c>
    </row>
    <row r="5" spans="2:3" x14ac:dyDescent="0.2">
      <c r="B5" t="s">
        <v>3</v>
      </c>
      <c r="C5">
        <f>1539.457+5980.575+438.529</f>
        <v>7958.5609999999997</v>
      </c>
    </row>
    <row r="6" spans="2:3" x14ac:dyDescent="0.2">
      <c r="B6" t="s">
        <v>4</v>
      </c>
      <c r="C6">
        <v>0</v>
      </c>
    </row>
    <row r="7" spans="2:3" x14ac:dyDescent="0.2">
      <c r="B7" t="s">
        <v>5</v>
      </c>
      <c r="C7">
        <f>C4-C5+C6</f>
        <v>14704.767590000001</v>
      </c>
    </row>
    <row r="9" spans="2:3" x14ac:dyDescent="0.2">
      <c r="B9" t="s">
        <v>17</v>
      </c>
      <c r="C9">
        <f>10507.192-1981.945</f>
        <v>8525.2469999999994</v>
      </c>
    </row>
    <row r="10" spans="2:3" x14ac:dyDescent="0.2">
      <c r="B10" t="s">
        <v>18</v>
      </c>
      <c r="C10">
        <f>C4/C9</f>
        <v>2.6583779437710136</v>
      </c>
    </row>
    <row r="11" spans="2:3" x14ac:dyDescent="0.2">
      <c r="B11" t="s">
        <v>19</v>
      </c>
      <c r="C11">
        <f>C4/C5</f>
        <v>2.8476666309399401</v>
      </c>
    </row>
    <row r="12" spans="2:3" x14ac:dyDescent="0.2">
      <c r="B12" t="s">
        <v>12</v>
      </c>
      <c r="C12">
        <f>C5-C6</f>
        <v>7958.5609999999997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7"/>
  <sheetViews>
    <sheetView tabSelected="1" workbookViewId="0">
      <pane xSplit="1" topLeftCell="B1" activePane="topRight" state="frozen"/>
      <selection pane="topRight" activeCell="C3" sqref="C3"/>
    </sheetView>
  </sheetViews>
  <sheetFormatPr baseColWidth="10" defaultColWidth="8.83203125" defaultRowHeight="15" x14ac:dyDescent="0.2"/>
  <cols>
    <col min="1" max="1" width="10.6640625" customWidth="1"/>
    <col min="6" max="6" width="10.6640625" bestFit="1" customWidth="1"/>
  </cols>
  <sheetData>
    <row r="1" spans="1:22" x14ac:dyDescent="0.2"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5</v>
      </c>
      <c r="J1" t="s">
        <v>12</v>
      </c>
      <c r="K1" t="s">
        <v>13</v>
      </c>
      <c r="L1" t="s">
        <v>1</v>
      </c>
      <c r="M1" t="s">
        <v>14</v>
      </c>
      <c r="N1" t="s">
        <v>15</v>
      </c>
      <c r="O1" t="s">
        <v>16</v>
      </c>
    </row>
    <row r="2" spans="1:22" x14ac:dyDescent="0.2">
      <c r="C2" s="7">
        <v>0.09</v>
      </c>
      <c r="D2" s="7">
        <v>0.15</v>
      </c>
      <c r="E2" s="7">
        <v>0.02</v>
      </c>
      <c r="F2" s="8">
        <f>NPV(wacc,M24:V24)</f>
        <v>12928.678397818794</v>
      </c>
      <c r="G2" s="3">
        <f>V24*(1+tgr)/(wacc-tgr)</f>
        <v>31866.686470832799</v>
      </c>
      <c r="H2" s="3" cm="1">
        <f t="array" ref="H2">tv/(1+wacc)^10</f>
        <v>7876.9575303704441</v>
      </c>
      <c r="I2" s="8">
        <f>F2+H2</f>
        <v>20805.635928189236</v>
      </c>
      <c r="J2" s="3">
        <v>7958.5609999999997</v>
      </c>
      <c r="K2" s="8">
        <f>I2+J2</f>
        <v>28764.196928189238</v>
      </c>
      <c r="L2">
        <v>314</v>
      </c>
      <c r="M2" s="2">
        <f>K2/L2</f>
        <v>91.605722701239614</v>
      </c>
      <c r="N2">
        <v>72.17</v>
      </c>
      <c r="O2" s="6">
        <f>M2/N2-1</f>
        <v>0.26930473467146476</v>
      </c>
    </row>
    <row r="4" spans="1:22" x14ac:dyDescent="0.2">
      <c r="M4">
        <v>1</v>
      </c>
      <c r="N4">
        <f>M4+1</f>
        <v>2</v>
      </c>
      <c r="O4">
        <f t="shared" ref="O4:V4" si="0">N4+1</f>
        <v>3</v>
      </c>
      <c r="P4">
        <f t="shared" si="0"/>
        <v>4</v>
      </c>
      <c r="Q4">
        <f t="shared" si="0"/>
        <v>5</v>
      </c>
      <c r="R4">
        <f t="shared" si="0"/>
        <v>6</v>
      </c>
      <c r="S4">
        <f t="shared" si="0"/>
        <v>7</v>
      </c>
      <c r="T4">
        <f t="shared" si="0"/>
        <v>8</v>
      </c>
      <c r="U4">
        <f t="shared" si="0"/>
        <v>9</v>
      </c>
      <c r="V4">
        <f t="shared" si="0"/>
        <v>10</v>
      </c>
    </row>
    <row r="5" spans="1:22" x14ac:dyDescent="0.2">
      <c r="B5" s="1" t="s">
        <v>21</v>
      </c>
      <c r="C5" s="1" t="s">
        <v>20</v>
      </c>
      <c r="H5">
        <v>2020</v>
      </c>
      <c r="I5">
        <f t="shared" ref="I5:V5" si="1">H5+1</f>
        <v>2021</v>
      </c>
      <c r="J5">
        <f t="shared" si="1"/>
        <v>2022</v>
      </c>
      <c r="K5">
        <f t="shared" si="1"/>
        <v>2023</v>
      </c>
      <c r="L5">
        <f t="shared" si="1"/>
        <v>2024</v>
      </c>
      <c r="M5">
        <f t="shared" si="1"/>
        <v>2025</v>
      </c>
      <c r="N5">
        <f t="shared" si="1"/>
        <v>2026</v>
      </c>
      <c r="O5">
        <f t="shared" si="1"/>
        <v>2027</v>
      </c>
      <c r="P5">
        <f t="shared" si="1"/>
        <v>2028</v>
      </c>
      <c r="Q5">
        <f t="shared" si="1"/>
        <v>2029</v>
      </c>
      <c r="R5">
        <f t="shared" si="1"/>
        <v>2030</v>
      </c>
      <c r="S5">
        <f t="shared" si="1"/>
        <v>2031</v>
      </c>
      <c r="T5">
        <f t="shared" si="1"/>
        <v>2032</v>
      </c>
      <c r="U5">
        <f t="shared" si="1"/>
        <v>2033</v>
      </c>
      <c r="V5">
        <f t="shared" si="1"/>
        <v>2034</v>
      </c>
    </row>
    <row r="6" spans="1:22" x14ac:dyDescent="0.2">
      <c r="A6" t="s">
        <v>22</v>
      </c>
      <c r="B6" s="4">
        <v>1141.2339999999999</v>
      </c>
      <c r="C6" s="4">
        <v>1162.52</v>
      </c>
      <c r="D6" s="4"/>
      <c r="E6" s="4"/>
      <c r="F6" s="4"/>
      <c r="G6" s="4"/>
      <c r="H6" s="4">
        <v>622.65800000000002</v>
      </c>
      <c r="I6" s="4">
        <v>2651.3679999999999</v>
      </c>
      <c r="J6" s="4">
        <v>4099.8639999999996</v>
      </c>
      <c r="K6" s="4">
        <v>4392.96</v>
      </c>
      <c r="L6" s="4">
        <v>4527.2240000000002</v>
      </c>
    </row>
    <row r="7" spans="1:22" x14ac:dyDescent="0.2">
      <c r="A7" t="s">
        <v>23</v>
      </c>
      <c r="B7" s="4">
        <v>273.30200000000002</v>
      </c>
      <c r="C7" s="4">
        <v>285.089</v>
      </c>
      <c r="D7" s="4"/>
      <c r="E7" s="4"/>
      <c r="F7" s="4"/>
      <c r="G7" s="4"/>
      <c r="H7" s="4">
        <v>115.396</v>
      </c>
      <c r="I7" s="4">
        <v>821.98900000000003</v>
      </c>
      <c r="J7" s="4">
        <v>1054.5540000000001</v>
      </c>
      <c r="K7" s="4">
        <v>1100.451</v>
      </c>
      <c r="L7" s="4">
        <v>1077.8009999999999</v>
      </c>
    </row>
    <row r="8" spans="1:22" x14ac:dyDescent="0.2">
      <c r="A8" s="1" t="s">
        <v>35</v>
      </c>
      <c r="B8" s="5">
        <f>B6-B7</f>
        <v>867.9319999999999</v>
      </c>
      <c r="C8" s="5">
        <f>C6-C7</f>
        <v>877.43100000000004</v>
      </c>
      <c r="D8" s="4"/>
      <c r="E8" s="4"/>
      <c r="F8" s="5"/>
      <c r="G8" s="5"/>
      <c r="H8" s="5">
        <f t="shared" ref="H8:L8" si="2">H6-H7</f>
        <v>507.262</v>
      </c>
      <c r="I8" s="5">
        <f t="shared" si="2"/>
        <v>1829.3789999999999</v>
      </c>
      <c r="J8" s="5">
        <f t="shared" si="2"/>
        <v>3045.3099999999995</v>
      </c>
      <c r="K8" s="5">
        <f t="shared" si="2"/>
        <v>3292.509</v>
      </c>
      <c r="L8" s="5">
        <f t="shared" si="2"/>
        <v>3449.4230000000002</v>
      </c>
    </row>
    <row r="9" spans="1:22" x14ac:dyDescent="0.2">
      <c r="A9" t="s">
        <v>24</v>
      </c>
      <c r="B9" s="4">
        <v>205.55799999999999</v>
      </c>
      <c r="C9" s="4">
        <v>206.756</v>
      </c>
      <c r="D9" s="4"/>
      <c r="E9" s="4"/>
      <c r="F9" s="4"/>
      <c r="G9" s="4"/>
      <c r="H9" s="4">
        <v>67.078999999999994</v>
      </c>
      <c r="I9" s="4">
        <v>164.08</v>
      </c>
      <c r="J9" s="4">
        <v>362.99</v>
      </c>
      <c r="K9" s="4">
        <v>774.05899999999997</v>
      </c>
      <c r="L9" s="4">
        <v>803.18700000000001</v>
      </c>
    </row>
    <row r="10" spans="1:22" x14ac:dyDescent="0.2">
      <c r="A10" t="s">
        <v>25</v>
      </c>
      <c r="B10" s="4">
        <v>348.00799999999998</v>
      </c>
      <c r="C10" s="4">
        <v>358.77</v>
      </c>
      <c r="D10" s="4"/>
      <c r="E10" s="4"/>
      <c r="F10" s="4"/>
      <c r="G10" s="4"/>
      <c r="H10" s="4">
        <v>340.64600000000002</v>
      </c>
      <c r="I10" s="4">
        <v>684.904</v>
      </c>
      <c r="J10" s="4">
        <v>1135.9590000000001</v>
      </c>
      <c r="K10" s="4">
        <v>1696.59</v>
      </c>
      <c r="L10" s="4">
        <v>1541.307</v>
      </c>
    </row>
    <row r="11" spans="1:22" x14ac:dyDescent="0.2">
      <c r="A11" t="s">
        <v>26</v>
      </c>
      <c r="B11" s="4">
        <v>111.34399999999999</v>
      </c>
      <c r="C11" s="4">
        <v>109.535</v>
      </c>
      <c r="D11" s="4"/>
      <c r="E11" s="4"/>
      <c r="F11" s="4"/>
      <c r="G11" s="4"/>
      <c r="H11" s="4">
        <v>86.840999999999994</v>
      </c>
      <c r="I11" s="4">
        <v>320.54700000000003</v>
      </c>
      <c r="J11" s="4">
        <v>482.77</v>
      </c>
      <c r="K11" s="4">
        <v>576.43100000000004</v>
      </c>
      <c r="L11" s="4">
        <v>579.65</v>
      </c>
    </row>
    <row r="12" spans="1:22" x14ac:dyDescent="0.2">
      <c r="A12" s="1" t="s">
        <v>27</v>
      </c>
      <c r="B12" s="5">
        <f>SUM(B9:B11)</f>
        <v>664.91000000000008</v>
      </c>
      <c r="C12" s="5">
        <f>SUM(C9:C11)</f>
        <v>675.06099999999992</v>
      </c>
      <c r="D12" s="4"/>
      <c r="E12" s="4"/>
      <c r="F12" s="5"/>
      <c r="G12" s="5"/>
      <c r="H12" s="5">
        <f t="shared" ref="H12:L12" si="3">SUM(H9:H11)</f>
        <v>494.56600000000003</v>
      </c>
      <c r="I12" s="5">
        <f t="shared" si="3"/>
        <v>1169.5309999999999</v>
      </c>
      <c r="J12" s="5">
        <f t="shared" si="3"/>
        <v>1981.7190000000001</v>
      </c>
      <c r="K12" s="5">
        <f t="shared" si="3"/>
        <v>3047.08</v>
      </c>
      <c r="L12" s="5">
        <f t="shared" si="3"/>
        <v>2924.1440000000002</v>
      </c>
    </row>
    <row r="13" spans="1:22" x14ac:dyDescent="0.2">
      <c r="A13" s="1" t="s">
        <v>28</v>
      </c>
      <c r="B13" s="5">
        <f>B8-B12</f>
        <v>203.02199999999982</v>
      </c>
      <c r="C13" s="5">
        <f>C8-C12</f>
        <v>202.37000000000012</v>
      </c>
      <c r="D13" s="4"/>
      <c r="E13" s="4"/>
      <c r="F13" s="5"/>
      <c r="G13" s="5"/>
      <c r="H13" s="5">
        <f t="shared" ref="H13:L13" si="4">H8-H12</f>
        <v>12.69599999999997</v>
      </c>
      <c r="I13" s="5">
        <f t="shared" si="4"/>
        <v>659.84799999999996</v>
      </c>
      <c r="J13" s="5">
        <f t="shared" si="4"/>
        <v>1063.5909999999994</v>
      </c>
      <c r="K13" s="5">
        <f t="shared" si="4"/>
        <v>245.42900000000009</v>
      </c>
      <c r="L13" s="5">
        <f t="shared" si="4"/>
        <v>525.279</v>
      </c>
    </row>
    <row r="14" spans="1:22" x14ac:dyDescent="0.2">
      <c r="A14" t="s">
        <v>29</v>
      </c>
      <c r="B14" s="4">
        <v>17.353999999999999</v>
      </c>
      <c r="C14" s="4">
        <v>3.1070000000000002</v>
      </c>
      <c r="D14" s="4"/>
      <c r="E14" s="4"/>
      <c r="F14" s="4"/>
      <c r="G14" s="4"/>
      <c r="H14" s="4">
        <v>0</v>
      </c>
      <c r="I14" s="4">
        <v>0</v>
      </c>
      <c r="J14" s="4">
        <v>43.761000000000003</v>
      </c>
      <c r="K14" s="4">
        <v>-37.570999999999998</v>
      </c>
      <c r="L14" s="4">
        <v>109.77</v>
      </c>
    </row>
    <row r="15" spans="1:22" x14ac:dyDescent="0.2">
      <c r="A15" t="s">
        <v>30</v>
      </c>
      <c r="B15" s="4">
        <v>71.587999999999994</v>
      </c>
      <c r="C15" s="4">
        <v>87.412000000000006</v>
      </c>
      <c r="D15" s="4"/>
      <c r="E15" s="4"/>
      <c r="F15" s="4"/>
      <c r="G15" s="4"/>
      <c r="H15" s="4">
        <v>13.666</v>
      </c>
      <c r="I15" s="4">
        <v>18.186</v>
      </c>
      <c r="J15" s="4">
        <v>-5.72</v>
      </c>
      <c r="K15" s="4">
        <v>41.417999999999999</v>
      </c>
      <c r="L15" s="4">
        <v>197.26300000000001</v>
      </c>
    </row>
    <row r="16" spans="1:22" x14ac:dyDescent="0.2">
      <c r="A16" s="1" t="s">
        <v>31</v>
      </c>
      <c r="B16" s="5">
        <f>SUM(B13:B15)</f>
        <v>291.96399999999983</v>
      </c>
      <c r="C16" s="5">
        <f>SUM(C13:C15)</f>
        <v>292.88900000000012</v>
      </c>
      <c r="D16" s="4"/>
      <c r="E16" s="4"/>
      <c r="F16" s="5"/>
      <c r="G16" s="5"/>
      <c r="H16" s="5">
        <f t="shared" ref="H16:L16" si="5">SUM(H13:H15)</f>
        <v>26.36199999999997</v>
      </c>
      <c r="I16" s="5">
        <f t="shared" si="5"/>
        <v>678.03399999999999</v>
      </c>
      <c r="J16" s="5">
        <f t="shared" si="5"/>
        <v>1101.6319999999994</v>
      </c>
      <c r="K16" s="5">
        <f t="shared" si="5"/>
        <v>249.2760000000001</v>
      </c>
      <c r="L16" s="5">
        <f t="shared" si="5"/>
        <v>832.31200000000001</v>
      </c>
    </row>
    <row r="17" spans="1:22" x14ac:dyDescent="0.2">
      <c r="A17" t="s">
        <v>32</v>
      </c>
      <c r="B17" s="4">
        <v>75.656000000000006</v>
      </c>
      <c r="C17" s="4">
        <v>73.873999999999995</v>
      </c>
      <c r="D17" s="4"/>
      <c r="E17" s="4"/>
      <c r="F17" s="4"/>
      <c r="G17" s="4"/>
      <c r="H17" s="4">
        <v>1.0569999999999999</v>
      </c>
      <c r="I17" s="4">
        <v>5.718</v>
      </c>
      <c r="J17" s="4">
        <v>-274.00700000000001</v>
      </c>
      <c r="K17" s="4">
        <v>145.565</v>
      </c>
      <c r="L17" s="4">
        <v>194.85</v>
      </c>
    </row>
    <row r="18" spans="1:22" x14ac:dyDescent="0.2">
      <c r="A18" s="1" t="s">
        <v>33</v>
      </c>
      <c r="B18" s="5">
        <f>B16-B17</f>
        <v>216.30799999999982</v>
      </c>
      <c r="C18" s="5">
        <f>C16-C17</f>
        <v>219.01500000000013</v>
      </c>
      <c r="D18" s="4"/>
      <c r="E18" s="4"/>
      <c r="F18" s="5"/>
      <c r="G18" s="5"/>
      <c r="H18" s="5">
        <f t="shared" ref="H18:L18" si="6">H16-H17</f>
        <v>25.304999999999971</v>
      </c>
      <c r="I18" s="5">
        <f t="shared" si="6"/>
        <v>672.31600000000003</v>
      </c>
      <c r="J18" s="5">
        <f t="shared" si="6"/>
        <v>1375.6389999999994</v>
      </c>
      <c r="K18" s="5">
        <f t="shared" si="6"/>
        <v>103.7110000000001</v>
      </c>
      <c r="L18" s="5">
        <f t="shared" si="6"/>
        <v>637.46199999999999</v>
      </c>
    </row>
    <row r="19" spans="1:22" x14ac:dyDescent="0.2">
      <c r="A19" t="s">
        <v>1</v>
      </c>
      <c r="B19" s="4">
        <v>315.36067800000001</v>
      </c>
      <c r="C19" s="4">
        <v>314.02719200000001</v>
      </c>
      <c r="D19" s="4"/>
      <c r="E19" s="4"/>
      <c r="F19" s="4"/>
      <c r="G19" s="4"/>
      <c r="H19" s="4">
        <v>254.29801399999999</v>
      </c>
      <c r="I19" s="4">
        <v>298.12766900000003</v>
      </c>
      <c r="J19" s="4">
        <v>305.826505</v>
      </c>
      <c r="K19" s="4">
        <v>304.23099999999999</v>
      </c>
      <c r="L19" s="4">
        <v>308.51989700000001</v>
      </c>
    </row>
    <row r="20" spans="1:22" x14ac:dyDescent="0.2">
      <c r="A20" s="1" t="s">
        <v>34</v>
      </c>
      <c r="B20" s="5">
        <f>B18/B19</f>
        <v>0.68590669379522273</v>
      </c>
      <c r="C20" s="5">
        <f>C18/C19</f>
        <v>0.69743960261887172</v>
      </c>
      <c r="D20" s="4"/>
      <c r="E20" s="4"/>
      <c r="F20" s="5"/>
      <c r="G20" s="5"/>
      <c r="H20" s="5">
        <f t="shared" ref="H20:L20" si="7">H18/H19</f>
        <v>9.9509231715824459E-2</v>
      </c>
      <c r="I20" s="5">
        <f t="shared" si="7"/>
        <v>2.2551278190820994</v>
      </c>
      <c r="J20" s="5">
        <f t="shared" si="7"/>
        <v>4.4981026088631513</v>
      </c>
      <c r="K20" s="5">
        <f t="shared" si="7"/>
        <v>0.3408955694850298</v>
      </c>
      <c r="L20" s="5">
        <f t="shared" si="7"/>
        <v>2.0661941294502637</v>
      </c>
    </row>
    <row r="21" spans="1:22" x14ac:dyDescent="0.2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22" x14ac:dyDescent="0.2">
      <c r="A22" t="s">
        <v>36</v>
      </c>
      <c r="B22" s="4">
        <v>588.19100000000003</v>
      </c>
      <c r="C22" s="4">
        <v>449.334</v>
      </c>
      <c r="D22" s="4"/>
      <c r="E22" s="4"/>
      <c r="F22" s="4"/>
      <c r="G22" s="4"/>
      <c r="H22" s="4">
        <v>151.892</v>
      </c>
      <c r="I22" s="4">
        <v>1471.1769999999999</v>
      </c>
      <c r="J22" s="4">
        <v>1605.2660000000001</v>
      </c>
      <c r="K22" s="4">
        <v>1290.2619999999999</v>
      </c>
      <c r="L22" s="4">
        <v>1598.836</v>
      </c>
    </row>
    <row r="23" spans="1:22" x14ac:dyDescent="0.2">
      <c r="A23" t="s">
        <v>37</v>
      </c>
      <c r="B23" s="4">
        <v>18.507999999999999</v>
      </c>
      <c r="C23" s="4">
        <v>84.233999999999995</v>
      </c>
      <c r="D23" s="4"/>
      <c r="E23" s="4"/>
      <c r="F23" s="4"/>
      <c r="G23" s="4"/>
      <c r="H23" s="4">
        <v>38.084000000000003</v>
      </c>
      <c r="I23" s="4">
        <v>79.971999999999994</v>
      </c>
      <c r="J23" s="4">
        <v>132.59</v>
      </c>
      <c r="K23" s="4">
        <v>103.82599999999999</v>
      </c>
      <c r="L23" s="4">
        <v>126.953</v>
      </c>
    </row>
    <row r="24" spans="1:22" x14ac:dyDescent="0.2">
      <c r="A24" s="1" t="s">
        <v>38</v>
      </c>
      <c r="B24" s="5">
        <f>B22-B23</f>
        <v>569.68299999999999</v>
      </c>
      <c r="C24" s="5">
        <f>C22-C23</f>
        <v>365.1</v>
      </c>
      <c r="D24" s="4"/>
      <c r="E24" s="4"/>
      <c r="F24" s="5"/>
      <c r="G24" s="5"/>
      <c r="H24" s="5">
        <f t="shared" ref="H24:L24" si="8">H22-H23</f>
        <v>113.80799999999999</v>
      </c>
      <c r="I24" s="5">
        <f t="shared" si="8"/>
        <v>1391.2049999999999</v>
      </c>
      <c r="J24" s="5">
        <f t="shared" si="8"/>
        <v>1472.6760000000002</v>
      </c>
      <c r="K24" s="5">
        <f t="shared" si="8"/>
        <v>1186.4359999999999</v>
      </c>
      <c r="L24" s="5">
        <f t="shared" si="8"/>
        <v>1471.883</v>
      </c>
      <c r="M24">
        <v>1870</v>
      </c>
      <c r="N24" s="4">
        <f t="shared" ref="N24:V24" si="9">M24*(1+fgr)</f>
        <v>2038.3000000000002</v>
      </c>
      <c r="O24" s="4">
        <f t="shared" si="9"/>
        <v>2221.7470000000003</v>
      </c>
      <c r="P24" s="4">
        <f t="shared" si="9"/>
        <v>2421.7042300000003</v>
      </c>
      <c r="Q24" s="4">
        <f t="shared" si="9"/>
        <v>2639.6576107000005</v>
      </c>
      <c r="R24" s="4">
        <f t="shared" si="9"/>
        <v>2877.2267956630008</v>
      </c>
      <c r="S24" s="4">
        <f t="shared" si="9"/>
        <v>3136.1772072726712</v>
      </c>
      <c r="T24" s="4">
        <f t="shared" si="9"/>
        <v>3418.4331559272118</v>
      </c>
      <c r="U24" s="4">
        <f t="shared" si="9"/>
        <v>3726.0921399606614</v>
      </c>
      <c r="V24" s="4">
        <f t="shared" si="9"/>
        <v>4061.4404325571213</v>
      </c>
    </row>
    <row r="26" spans="1:22" x14ac:dyDescent="0.2">
      <c r="A26" t="s">
        <v>39</v>
      </c>
      <c r="C26" s="6">
        <f>C24/B24-1</f>
        <v>-0.35911726346055606</v>
      </c>
      <c r="D26" s="6"/>
      <c r="E26" s="6"/>
      <c r="F26" s="6"/>
      <c r="G26" s="6"/>
      <c r="H26" s="6"/>
      <c r="I26" s="6">
        <f t="shared" ref="I26:M26" si="10">I24/H24-1</f>
        <v>11.224140657950231</v>
      </c>
      <c r="J26" s="6">
        <f t="shared" si="10"/>
        <v>5.8561462904460626E-2</v>
      </c>
      <c r="K26" s="6">
        <f t="shared" si="10"/>
        <v>-0.19436726068734755</v>
      </c>
      <c r="L26" s="6">
        <f t="shared" si="10"/>
        <v>0.24059199147699517</v>
      </c>
      <c r="M26" s="6">
        <f t="shared" si="10"/>
        <v>0.27048141734091624</v>
      </c>
    </row>
    <row r="27" spans="1:22" x14ac:dyDescent="0.2">
      <c r="A27" t="s">
        <v>40</v>
      </c>
      <c r="B27" s="7">
        <f>AVERAGE(J26:M26)</f>
        <v>9.3816902758756121E-2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main</vt:lpstr>
      <vt:lpstr>model</vt:lpstr>
      <vt:lpstr>fgr</vt:lpstr>
      <vt:lpstr>tgr</vt:lpstr>
      <vt:lpstr>tv</vt:lpstr>
      <vt:lpstr>wacc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Rishi Raja</cp:lastModifiedBy>
  <dcterms:created xsi:type="dcterms:W3CDTF">2024-10-21T22:06:43Z</dcterms:created>
  <dcterms:modified xsi:type="dcterms:W3CDTF">2024-10-22T16:33:52Z</dcterms:modified>
</cp:coreProperties>
</file>