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FBF87143-D036-464E-95CB-1586C9B5CABA}" xr6:coauthVersionLast="47" xr6:coauthVersionMax="47" xr10:uidLastSave="{00000000-0000-0000-0000-000000000000}"/>
  <bookViews>
    <workbookView xWindow="240" yWindow="10740" windowWidth="18160" windowHeight="16280" activeTab="1" xr2:uid="{00000000-000D-0000-FFFF-FFFF00000000}"/>
  </bookViews>
  <sheets>
    <sheet name="main" sheetId="1" r:id="rId1"/>
    <sheet name="model" sheetId="2" r:id="rId2"/>
  </sheets>
  <definedNames>
    <definedName name="fgr">model!$C$2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B33" i="2"/>
  <c r="C33" i="2" s="1"/>
  <c r="D33" i="2" s="1"/>
  <c r="I26" i="2" s="1"/>
  <c r="J26" i="2" s="1"/>
  <c r="J5" i="2"/>
  <c r="K5" i="2" s="1"/>
  <c r="L5" i="2" s="1"/>
  <c r="M5" i="2" s="1"/>
  <c r="N5" i="2" s="1"/>
  <c r="O5" i="2" s="1"/>
  <c r="P5" i="2" s="1"/>
  <c r="D29" i="2"/>
  <c r="C29" i="2"/>
  <c r="G6" i="2"/>
  <c r="H6" i="2" s="1"/>
  <c r="I6" i="2" s="1"/>
  <c r="J6" i="2" s="1"/>
  <c r="K6" i="2" s="1"/>
  <c r="L6" i="2" s="1"/>
  <c r="M6" i="2" s="1"/>
  <c r="N6" i="2" s="1"/>
  <c r="O6" i="2" s="1"/>
  <c r="P6" i="2" s="1"/>
  <c r="F9" i="2"/>
  <c r="G9" i="2"/>
  <c r="H9" i="2"/>
  <c r="F14" i="2"/>
  <c r="G14" i="2"/>
  <c r="H14" i="2"/>
  <c r="F26" i="2"/>
  <c r="G26" i="2"/>
  <c r="H26" i="2"/>
  <c r="H28" i="2" s="1"/>
  <c r="C26" i="2"/>
  <c r="B26" i="2"/>
  <c r="B16" i="2"/>
  <c r="B14" i="2"/>
  <c r="B9" i="2"/>
  <c r="C16" i="2"/>
  <c r="C14" i="2"/>
  <c r="C9" i="2"/>
  <c r="C11" i="1"/>
  <c r="C10" i="1"/>
  <c r="C6" i="1"/>
  <c r="C5" i="1"/>
  <c r="K26" i="2" l="1"/>
  <c r="L26" i="2" s="1"/>
  <c r="M26" i="2" s="1"/>
  <c r="N26" i="2" s="1"/>
  <c r="O26" i="2" s="1"/>
  <c r="P26" i="2" s="1"/>
  <c r="G2" i="2" s="1"/>
  <c r="H2" i="2" s="1"/>
  <c r="G28" i="2"/>
  <c r="G15" i="2"/>
  <c r="G17" i="2" s="1"/>
  <c r="G19" i="2" s="1"/>
  <c r="G21" i="2" s="1"/>
  <c r="F15" i="2"/>
  <c r="F17" i="2" s="1"/>
  <c r="F19" i="2" s="1"/>
  <c r="F21" i="2" s="1"/>
  <c r="I28" i="2"/>
  <c r="B31" i="2" s="1"/>
  <c r="H15" i="2"/>
  <c r="H17" i="2" s="1"/>
  <c r="H19" i="2" s="1"/>
  <c r="H21" i="2" s="1"/>
  <c r="C15" i="2"/>
  <c r="C17" i="2" s="1"/>
  <c r="C19" i="2" s="1"/>
  <c r="C21" i="2" s="1"/>
  <c r="B15" i="2"/>
  <c r="B17" i="2" s="1"/>
  <c r="B19" i="2" s="1"/>
  <c r="B21" i="2" s="1"/>
  <c r="F2" i="2" l="1"/>
  <c r="I2" i="2" s="1"/>
  <c r="K2" i="2" s="1"/>
  <c r="M2" i="2" s="1"/>
  <c r="O2" i="2" s="1"/>
  <c r="C9" i="1"/>
  <c r="C7" i="1"/>
  <c r="C4" i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<sst xmlns="http://schemas.openxmlformats.org/spreadsheetml/2006/main" count="48" uniqueCount="44">
  <si>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</si>
  <si>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</si>
  <si>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</si>
  <si>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</si>
  <si>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</si>
  <si>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</si>
  <si>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fgr</t>
  </si>
  <si>
    <t>wacc</t>
  </si>
  <si>
    <t>tgr</t>
  </si>
  <si>
    <t>npv of fcf</t>
  </si>
  <si>
    <t>tv</t>
  </si>
  <si>
    <t>pv of tv</t>
  </si>
  <si>
    <t>net cash</t>
  </si>
  <si>
    <t>eq val</t>
  </si>
  <si>
    <t>implied $</t>
  </si>
  <si>
    <t>current $</t>
  </si>
  <si>
    <t>upside</t>
  </si>
  <si>
    <t>book value</t>
  </si>
  <si>
    <t>pb</t>
  </si>
  <si>
    <t xml:space="preserve">q2 2024 </t>
  </si>
  <si>
    <t xml:space="preserve">q1 2024 </t>
  </si>
  <si>
    <t>rev</t>
  </si>
  <si>
    <t>cogs</t>
  </si>
  <si>
    <t>gross profit</t>
  </si>
  <si>
    <t>r+d</t>
  </si>
  <si>
    <t>s+m</t>
  </si>
  <si>
    <t>g+a</t>
  </si>
  <si>
    <t>other exp</t>
  </si>
  <si>
    <t xml:space="preserve">opex </t>
  </si>
  <si>
    <t>op inc</t>
  </si>
  <si>
    <t>interest exp</t>
  </si>
  <si>
    <t>pretax income</t>
  </si>
  <si>
    <t>taxes</t>
  </si>
  <si>
    <t>eps</t>
  </si>
  <si>
    <t>net income</t>
  </si>
  <si>
    <t>fcf</t>
  </si>
  <si>
    <t>q3 2024</t>
  </si>
  <si>
    <t>ebtida</t>
  </si>
  <si>
    <t>capex</t>
  </si>
  <si>
    <t>cffo</t>
  </si>
  <si>
    <t>ebtida yoy</t>
  </si>
  <si>
    <t>fcf yoy</t>
  </si>
  <si>
    <t xml:space="preserve">fcf 3y avg gr </t>
  </si>
  <si>
    <t>calc q3 2024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</si>
</sst>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40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2" borderId="3" xfId="0" applyFill="1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workbookViewId="0">
      <selection activeCell="B12" sqref="B12"/>
    </sheetView>
  </sheetViews>
  <sheetFormatPr baseColWidth="10" defaultColWidth="8.83203125" defaultRowHeight="15" x14ac:dyDescent="0.2"/>
  <sheetData>
    <row r="2" spans="2:3" x14ac:dyDescent="0.2">
      <c r="B2" t="s">
        <v>0</v>
      </c>
      <c r="C2" s="1">
        <v>1.5149999999999999</v>
      </c>
    </row>
    <row r="3" spans="2:3" x14ac:dyDescent="0.2">
      <c r="B3" t="s">
        <v>1</v>
      </c>
      <c r="C3" s="1">
        <v>103.66987899999999</v>
      </c>
    </row>
    <row r="4" spans="2:3" x14ac:dyDescent="0.2">
      <c r="B4" t="s">
        <v>2</v>
      </c>
      <c r="C4" s="1">
        <f>C2*C3</f>
        <v>157.05986668499997</v>
      </c>
    </row>
    <row r="5" spans="2:3" x14ac:dyDescent="0.2">
      <c r="B5" t="s">
        <v>3</v>
      </c>
      <c r="C5" s="1">
        <f>133.068+212.396+259.925</f>
        <v>605.38900000000001</v>
      </c>
    </row>
    <row r="6" spans="2:3" x14ac:dyDescent="0.2">
      <c r="B6" t="s">
        <v>4</v>
      </c>
      <c r="C6" s="1">
        <f>357.838+243.079</f>
        <v>600.91700000000003</v>
      </c>
    </row>
    <row r="7" spans="2:3" x14ac:dyDescent="0.2">
      <c r="B7" t="s">
        <v>5</v>
      </c>
      <c r="C7" s="1">
        <f>+C4-C5+C6</f>
        <v>152.58786668499999</v>
      </c>
    </row>
    <row r="8" spans="2:3" x14ac:dyDescent="0.2">
      <c r="C8" s="1"/>
    </row>
    <row r="9" spans="2:3" x14ac:dyDescent="0.2">
      <c r="B9" t="s">
        <v>12</v>
      </c>
      <c r="C9" s="1">
        <f>+C5-C6</f>
        <v>4.47199999999998</v>
      </c>
    </row>
    <row r="10" spans="2:3" x14ac:dyDescent="0.2">
      <c r="B10" t="s">
        <v>17</v>
      </c>
      <c r="C10">
        <f>1114.33-748.83</f>
        <v>365.49999999999989</v>
      </c>
    </row>
    <row r="11" spans="2:3" x14ac:dyDescent="0.2">
      <c r="B11" t="s">
        <v>18</v>
      </c>
      <c r="C11" s="1">
        <f>C4/C10</f>
        <v>0.42971235755129966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workbookViewId="0">
      <pane xSplit="1" topLeftCell="B1" activePane="topRight" state="frozen"/>
      <selection pane="topRight" activeCell="B3" sqref="B3"/>
    </sheetView>
  </sheetViews>
  <sheetFormatPr baseColWidth="10" defaultColWidth="8.83203125" defaultRowHeight="15" x14ac:dyDescent="0.2"/>
  <cols>
    <col min="1" max="1" width="13.83203125" customWidth="1"/>
  </cols>
  <sheetData>
    <row r="1" spans="1:16" x14ac:dyDescent="0.2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12</v>
      </c>
      <c r="K1" t="s">
        <v>13</v>
      </c>
      <c r="L1" t="s">
        <v>1</v>
      </c>
      <c r="M1" t="s">
        <v>14</v>
      </c>
      <c r="N1" t="s">
        <v>15</v>
      </c>
      <c r="O1" t="s">
        <v>16</v>
      </c>
    </row>
    <row r="2" spans="1:16" x14ac:dyDescent="0.2">
      <c r="C2" s="5">
        <v>0.01</v>
      </c>
      <c r="D2" s="5">
        <v>0.15</v>
      </c>
      <c r="E2" s="5">
        <v>0.02</v>
      </c>
      <c r="F2" s="6">
        <f>NPV(wacc,I26:P26)</f>
        <v>99.451120594733624</v>
      </c>
      <c r="G2">
        <f>P26*(1+tgr)/(wacc-tgr)</f>
        <v>181.30234359392381</v>
      </c>
      <c r="H2">
        <f>tv/(1+wacc)^8</f>
        <v>59.268057723321043</v>
      </c>
      <c r="I2" s="6">
        <f>F2+H2</f>
        <v>158.71917831805467</v>
      </c>
      <c r="J2">
        <v>4.47</v>
      </c>
      <c r="K2" s="6">
        <f>I2+J2</f>
        <v>163.18917831805467</v>
      </c>
      <c r="L2">
        <v>103.67</v>
      </c>
      <c r="M2">
        <f>K2/L2</f>
        <v>1.5741215232763062</v>
      </c>
      <c r="N2">
        <v>1.52</v>
      </c>
      <c r="O2" s="4">
        <f>M2/N2-1</f>
        <v>3.5606265313359309E-2</v>
      </c>
    </row>
    <row r="5" spans="1:16" x14ac:dyDescent="0.2">
      <c r="I5">
        <v>1</v>
      </c>
      <c r="J5">
        <f>I5+1</f>
        <v>2</v>
      </c>
      <c r="K5">
        <f t="shared" ref="K5:P5" si="0">J5+1</f>
        <v>3</v>
      </c>
      <c r="L5">
        <f t="shared" si="0"/>
        <v>4</v>
      </c>
      <c r="M5">
        <f t="shared" si="0"/>
        <v>5</v>
      </c>
      <c r="N5">
        <f t="shared" si="0"/>
        <v>6</v>
      </c>
      <c r="O5">
        <f t="shared" si="0"/>
        <v>7</v>
      </c>
      <c r="P5">
        <f t="shared" si="0"/>
        <v>8</v>
      </c>
    </row>
    <row r="6" spans="1:16" s="2" customFormat="1" x14ac:dyDescent="0.2">
      <c r="B6" s="2" t="s">
        <v>20</v>
      </c>
      <c r="C6" s="2" t="s">
        <v>19</v>
      </c>
      <c r="D6" s="2" t="s">
        <v>36</v>
      </c>
      <c r="F6" s="2">
        <v>2021</v>
      </c>
      <c r="G6" s="2">
        <f>F6+1</f>
        <v>2022</v>
      </c>
      <c r="H6" s="2">
        <f>G6+1</f>
        <v>2023</v>
      </c>
      <c r="I6" s="2">
        <f t="shared" ref="I6:P6" si="1">H6+1</f>
        <v>2024</v>
      </c>
      <c r="J6" s="2">
        <f t="shared" si="1"/>
        <v>2025</v>
      </c>
      <c r="K6" s="2">
        <f t="shared" si="1"/>
        <v>2026</v>
      </c>
      <c r="L6" s="2">
        <f t="shared" si="1"/>
        <v>2027</v>
      </c>
      <c r="M6" s="2">
        <f t="shared" si="1"/>
        <v>2028</v>
      </c>
      <c r="N6" s="2">
        <f t="shared" si="1"/>
        <v>2029</v>
      </c>
      <c r="O6" s="2">
        <f t="shared" si="1"/>
        <v>2030</v>
      </c>
      <c r="P6" s="2">
        <f t="shared" si="1"/>
        <v>2031</v>
      </c>
    </row>
    <row r="7" spans="1:16" x14ac:dyDescent="0.2">
      <c r="A7" t="s">
        <v>21</v>
      </c>
      <c r="B7" s="1">
        <v>174.35</v>
      </c>
      <c r="C7" s="1">
        <v>163.14699999999999</v>
      </c>
      <c r="E7" s="1"/>
      <c r="F7" s="1">
        <v>776.26499999999999</v>
      </c>
      <c r="G7" s="1">
        <v>766.89700000000005</v>
      </c>
      <c r="H7" s="1">
        <v>716.29499999999996</v>
      </c>
    </row>
    <row r="8" spans="1:16" x14ac:dyDescent="0.2">
      <c r="A8" t="s">
        <v>22</v>
      </c>
      <c r="B8" s="1">
        <v>46.497</v>
      </c>
      <c r="C8" s="1">
        <v>45.411000000000001</v>
      </c>
      <c r="E8" s="1"/>
      <c r="F8" s="1">
        <v>254.904</v>
      </c>
      <c r="G8" s="1">
        <v>197.39599999999999</v>
      </c>
      <c r="H8" s="1">
        <v>225.941</v>
      </c>
    </row>
    <row r="9" spans="1:16" x14ac:dyDescent="0.2">
      <c r="A9" s="2" t="s">
        <v>23</v>
      </c>
      <c r="B9" s="3">
        <f>B7-B8</f>
        <v>127.85299999999999</v>
      </c>
      <c r="C9" s="3">
        <f>C7-C8</f>
        <v>117.73599999999999</v>
      </c>
      <c r="E9" s="3"/>
      <c r="F9" s="3">
        <f t="shared" ref="F9" si="2">F7-F8</f>
        <v>521.36099999999999</v>
      </c>
      <c r="G9" s="3">
        <f t="shared" ref="G9" si="3">G7-G8</f>
        <v>569.50100000000009</v>
      </c>
      <c r="H9" s="3">
        <f t="shared" ref="H9" si="4">H7-H8</f>
        <v>490.35399999999993</v>
      </c>
    </row>
    <row r="10" spans="1:16" x14ac:dyDescent="0.2">
      <c r="A10" t="s">
        <v>24</v>
      </c>
      <c r="B10" s="1">
        <v>44.435000000000002</v>
      </c>
      <c r="C10" s="1">
        <v>43.651000000000003</v>
      </c>
      <c r="E10" s="1"/>
      <c r="F10" s="1">
        <v>178.821</v>
      </c>
      <c r="G10" s="1">
        <v>196.637</v>
      </c>
      <c r="H10" s="1">
        <v>191.70500000000001</v>
      </c>
    </row>
    <row r="11" spans="1:16" x14ac:dyDescent="0.2">
      <c r="A11" t="s">
        <v>25</v>
      </c>
      <c r="B11" s="1">
        <v>30.375</v>
      </c>
      <c r="C11" s="1">
        <v>23.545000000000002</v>
      </c>
      <c r="E11" s="1"/>
      <c r="F11" s="1">
        <v>105.414</v>
      </c>
      <c r="G11" s="1">
        <v>147.66</v>
      </c>
      <c r="H11" s="1">
        <v>126.59099999999999</v>
      </c>
    </row>
    <row r="12" spans="1:16" x14ac:dyDescent="0.2">
      <c r="A12" t="s">
        <v>26</v>
      </c>
      <c r="B12" s="1">
        <v>55.533999999999999</v>
      </c>
      <c r="C12" s="1">
        <v>54.015999999999998</v>
      </c>
      <c r="E12" s="1"/>
      <c r="F12" s="1">
        <v>159.01900000000001</v>
      </c>
      <c r="G12" s="1">
        <v>216.24700000000001</v>
      </c>
      <c r="H12" s="1">
        <v>239.78299999999999</v>
      </c>
    </row>
    <row r="13" spans="1:16" x14ac:dyDescent="0.2">
      <c r="A13" t="s">
        <v>27</v>
      </c>
      <c r="B13" s="1">
        <v>0</v>
      </c>
      <c r="C13" s="1">
        <v>481.53100000000001</v>
      </c>
      <c r="E13" s="1"/>
      <c r="F13" s="1">
        <v>0</v>
      </c>
      <c r="G13" s="1">
        <v>0</v>
      </c>
      <c r="H13" s="1">
        <v>0</v>
      </c>
    </row>
    <row r="14" spans="1:16" x14ac:dyDescent="0.2">
      <c r="A14" s="2" t="s">
        <v>28</v>
      </c>
      <c r="B14" s="3">
        <f>+SUM(B10:B13)</f>
        <v>130.34399999999999</v>
      </c>
      <c r="C14" s="3">
        <f>+SUM(C10:C13)</f>
        <v>602.74299999999994</v>
      </c>
      <c r="E14" s="3"/>
      <c r="F14" s="3">
        <f t="shared" ref="F14" si="5">+SUM(F10:F13)</f>
        <v>443.25400000000002</v>
      </c>
      <c r="G14" s="3">
        <f t="shared" ref="G14" si="6">+SUM(G10:G13)</f>
        <v>560.5440000000001</v>
      </c>
      <c r="H14" s="3">
        <f t="shared" ref="H14" si="7">+SUM(H10:H13)</f>
        <v>558.07899999999995</v>
      </c>
    </row>
    <row r="15" spans="1:16" x14ac:dyDescent="0.2">
      <c r="A15" s="2" t="s">
        <v>29</v>
      </c>
      <c r="B15" s="3">
        <f>B9-B14</f>
        <v>-2.4909999999999997</v>
      </c>
      <c r="C15" s="3">
        <f>C9-C14</f>
        <v>-485.00699999999995</v>
      </c>
      <c r="E15" s="3"/>
      <c r="F15" s="3">
        <f t="shared" ref="F15" si="8">F9-F14</f>
        <v>78.106999999999971</v>
      </c>
      <c r="G15" s="3">
        <f t="shared" ref="G15" si="9">G9-G14</f>
        <v>8.9569999999999936</v>
      </c>
      <c r="H15" s="3">
        <f t="shared" ref="H15" si="10">H9-H14</f>
        <v>-67.725000000000023</v>
      </c>
    </row>
    <row r="16" spans="1:16" x14ac:dyDescent="0.2">
      <c r="A16" t="s">
        <v>30</v>
      </c>
      <c r="B16" s="1">
        <f>+-0.65+10.78</f>
        <v>10.129999999999999</v>
      </c>
      <c r="C16" s="1">
        <f>+-0.651+7.119</f>
        <v>6.468</v>
      </c>
      <c r="E16" s="1"/>
      <c r="F16" s="1">
        <v>-72.367999999999995</v>
      </c>
      <c r="G16" s="1">
        <v>94.989000000000004</v>
      </c>
      <c r="H16" s="1">
        <v>118.03700000000001</v>
      </c>
    </row>
    <row r="17" spans="1:16" x14ac:dyDescent="0.2">
      <c r="A17" s="2" t="s">
        <v>31</v>
      </c>
      <c r="B17" s="3">
        <f>B15+B16</f>
        <v>7.6389999999999993</v>
      </c>
      <c r="C17" s="3">
        <f>C15+C16</f>
        <v>-478.53899999999993</v>
      </c>
      <c r="E17" s="3"/>
      <c r="F17" s="3">
        <f t="shared" ref="F17" si="11">F15+F16</f>
        <v>5.7389999999999759</v>
      </c>
      <c r="G17" s="3">
        <f t="shared" ref="G17" si="12">G15+G16</f>
        <v>103.946</v>
      </c>
      <c r="H17" s="3">
        <f t="shared" ref="H17" si="13">H15+H16</f>
        <v>50.311999999999983</v>
      </c>
    </row>
    <row r="18" spans="1:16" x14ac:dyDescent="0.2">
      <c r="A18" t="s">
        <v>32</v>
      </c>
      <c r="B18" s="1">
        <v>-9.0589999999999993</v>
      </c>
      <c r="C18" s="1">
        <v>-138.345</v>
      </c>
      <c r="E18" s="1"/>
      <c r="F18" s="1">
        <v>-7.1970000000000001</v>
      </c>
      <c r="G18" s="1">
        <v>162.69200000000001</v>
      </c>
      <c r="H18" s="1">
        <v>-32.131999999999998</v>
      </c>
    </row>
    <row r="19" spans="1:16" x14ac:dyDescent="0.2">
      <c r="A19" s="2" t="s">
        <v>34</v>
      </c>
      <c r="B19" s="3">
        <f>B17+B18</f>
        <v>-1.42</v>
      </c>
      <c r="C19" s="3">
        <f>C17+C18</f>
        <v>-616.8839999999999</v>
      </c>
      <c r="E19" s="3"/>
      <c r="F19" s="3">
        <f t="shared" ref="F19" si="14">F17+F18</f>
        <v>-1.4580000000000242</v>
      </c>
      <c r="G19" s="3">
        <f t="shared" ref="G19" si="15">G17+G18</f>
        <v>266.63800000000003</v>
      </c>
      <c r="H19" s="3">
        <f t="shared" ref="H19" si="16">H17+H18</f>
        <v>18.179999999999986</v>
      </c>
    </row>
    <row r="20" spans="1:16" x14ac:dyDescent="0.2">
      <c r="A20" t="s">
        <v>1</v>
      </c>
      <c r="B20" s="1">
        <v>102.604</v>
      </c>
      <c r="C20" s="1">
        <v>102.604</v>
      </c>
      <c r="E20" s="1"/>
      <c r="F20" s="1">
        <v>141.262</v>
      </c>
      <c r="G20" s="1">
        <v>149.85900000000001</v>
      </c>
      <c r="H20" s="1">
        <v>128.56899999999999</v>
      </c>
    </row>
    <row r="21" spans="1:16" x14ac:dyDescent="0.2">
      <c r="A21" s="2" t="s">
        <v>33</v>
      </c>
      <c r="B21" s="3">
        <f>B19/B20</f>
        <v>-1.3839616389224591E-2</v>
      </c>
      <c r="C21" s="3">
        <f>C19/C20</f>
        <v>-6.0122802229932546</v>
      </c>
      <c r="E21" s="3"/>
      <c r="F21" s="3">
        <f t="shared" ref="F21" si="17">F19/F20</f>
        <v>-1.0321247044499045E-2</v>
      </c>
      <c r="G21" s="3">
        <f t="shared" ref="G21" si="18">G19/G20</f>
        <v>1.7792591702867364</v>
      </c>
      <c r="H21" s="3">
        <f t="shared" ref="H21" si="19">H19/H20</f>
        <v>0.14140267093933986</v>
      </c>
    </row>
    <row r="23" spans="1:16" x14ac:dyDescent="0.2">
      <c r="A23" s="2" t="s">
        <v>37</v>
      </c>
      <c r="B23">
        <v>47</v>
      </c>
      <c r="C23">
        <v>44</v>
      </c>
      <c r="D23">
        <v>20</v>
      </c>
    </row>
    <row r="24" spans="1:16" x14ac:dyDescent="0.2">
      <c r="A24" t="s">
        <v>39</v>
      </c>
      <c r="B24">
        <v>53.317999999999998</v>
      </c>
      <c r="C24">
        <v>14.227</v>
      </c>
      <c r="F24">
        <v>273.22399999999999</v>
      </c>
      <c r="G24">
        <v>255.73599999999999</v>
      </c>
      <c r="H24">
        <v>246.19800000000001</v>
      </c>
    </row>
    <row r="25" spans="1:16" x14ac:dyDescent="0.2">
      <c r="A25" t="s">
        <v>38</v>
      </c>
      <c r="B25">
        <v>-28.016999999999999</v>
      </c>
      <c r="C25">
        <v>-17.809999999999999</v>
      </c>
      <c r="F25">
        <v>-94.18</v>
      </c>
      <c r="G25">
        <v>-103.092</v>
      </c>
      <c r="H25">
        <v>-83.052000000000007</v>
      </c>
    </row>
    <row r="26" spans="1:16" x14ac:dyDescent="0.2">
      <c r="A26" s="2" t="s">
        <v>35</v>
      </c>
      <c r="B26">
        <f>B24+B25</f>
        <v>25.300999999999998</v>
      </c>
      <c r="C26">
        <f>C24+C25</f>
        <v>-3.5829999999999984</v>
      </c>
      <c r="D26">
        <f>C26*1.55</f>
        <v>-5.5536499999999975</v>
      </c>
      <c r="F26">
        <f>F24+F25</f>
        <v>179.04399999999998</v>
      </c>
      <c r="G26">
        <f t="shared" ref="G26" si="20">G24+G25</f>
        <v>152.64400000000001</v>
      </c>
      <c r="H26">
        <f t="shared" ref="H26" si="21">H24+H25</f>
        <v>163.14600000000002</v>
      </c>
      <c r="I26" s="10">
        <f>D33</f>
        <v>21.552466666666671</v>
      </c>
      <c r="J26">
        <f t="shared" ref="J26:P26" si="22">I26*(1+fgr)</f>
        <v>21.767991333333338</v>
      </c>
      <c r="K26">
        <f t="shared" si="22"/>
        <v>21.985671246666673</v>
      </c>
      <c r="L26">
        <f t="shared" si="22"/>
        <v>22.205527959133338</v>
      </c>
      <c r="M26">
        <f t="shared" si="22"/>
        <v>22.427583238724672</v>
      </c>
      <c r="N26">
        <f t="shared" si="22"/>
        <v>22.651859071111918</v>
      </c>
      <c r="O26">
        <f t="shared" si="22"/>
        <v>22.878377661823038</v>
      </c>
      <c r="P26">
        <f t="shared" si="22"/>
        <v>23.107161438441267</v>
      </c>
    </row>
    <row r="27" spans="1:16" x14ac:dyDescent="0.2">
      <c r="A27" s="2"/>
    </row>
    <row r="28" spans="1:16" x14ac:dyDescent="0.2">
      <c r="A28" s="2" t="s">
        <v>41</v>
      </c>
      <c r="G28" s="4">
        <f>G26/F26-1</f>
        <v>-0.1474497888787113</v>
      </c>
      <c r="H28" s="4">
        <f t="shared" ref="H28:I28" si="23">H26/G26-1</f>
        <v>6.880060795052545E-2</v>
      </c>
      <c r="I28" s="4">
        <f t="shared" si="23"/>
        <v>-0.86789460564974519</v>
      </c>
    </row>
    <row r="29" spans="1:16" x14ac:dyDescent="0.2">
      <c r="A29" s="2" t="s">
        <v>40</v>
      </c>
      <c r="C29" s="4">
        <f>C23/B23-1</f>
        <v>-6.3829787234042534E-2</v>
      </c>
      <c r="D29" s="4">
        <f>D23/C23-1</f>
        <v>-0.54545454545454541</v>
      </c>
    </row>
    <row r="31" spans="1:16" x14ac:dyDescent="0.2">
      <c r="A31" s="2" t="s">
        <v>42</v>
      </c>
      <c r="B31" s="5">
        <f>AVERAGE(G28:I28)</f>
        <v>-0.31551459552597699</v>
      </c>
    </row>
    <row r="33" spans="1:4" x14ac:dyDescent="0.2">
      <c r="A33" s="7" t="s">
        <v>43</v>
      </c>
      <c r="B33" s="8">
        <f>SUM(B26:D26)</f>
        <v>16.164350000000002</v>
      </c>
      <c r="C33" s="8">
        <f>B33/3</f>
        <v>5.3881166666666678</v>
      </c>
      <c r="D33" s="9">
        <f>C33*4</f>
        <v>21.552466666666671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main</vt:lpstr>
      <vt:lpstr>model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2024-10-21T14:47:59Z</dcterms:created>
  <dcterms:modified xsi:type="dcterms:W3CDTF">2024-10-21T22:00:42Z</dcterms:modified>
</cp:coreProperties>
</file>