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8DE63003-4B2E-2242-AC22-F248EC700D53}" xr6:coauthVersionLast="47" xr6:coauthVersionMax="47" xr10:uidLastSave="{00000000-0000-0000-0000-000000000000}"/>
  <bookViews>
    <workbookView xWindow="420" yWindow="500" windowWidth="21240" windowHeight="16860" activeTab="1" xr2:uid="{00000000-000D-0000-FFFF-FFFF00000000}"/>
  </bookViews>
  <sheets>
    <sheet name="main" sheetId="1" r:id="rId1"/>
    <sheet name="model" sheetId="2" r:id="rId2"/>
  </sheets>
  <definedNames>
    <definedName name="fgr">model!$C$2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L2" i="2"/>
  <c r="J2" i="2"/>
  <c r="K5" i="2"/>
  <c r="L5" i="2" s="1"/>
  <c r="M5" i="2" s="1"/>
  <c r="N5" i="2" s="1"/>
  <c r="O5" i="2" s="1"/>
  <c r="P5" i="2" s="1"/>
  <c r="Q5" i="2" s="1"/>
  <c r="C25" i="2"/>
  <c r="B25" i="2"/>
  <c r="E25" i="2"/>
  <c r="F25" i="2"/>
  <c r="G25" i="2"/>
  <c r="H25" i="2"/>
  <c r="I25" i="2"/>
  <c r="E16" i="2"/>
  <c r="E13" i="2"/>
  <c r="E14" i="2" s="1"/>
  <c r="F16" i="2"/>
  <c r="F13" i="2"/>
  <c r="F14" i="2" s="1"/>
  <c r="G16" i="2"/>
  <c r="G13" i="2"/>
  <c r="G14" i="2" s="1"/>
  <c r="H16" i="2"/>
  <c r="H13" i="2"/>
  <c r="H14" i="2" s="1"/>
  <c r="H9" i="2"/>
  <c r="G9" i="2"/>
  <c r="F9" i="2"/>
  <c r="E9" i="2"/>
  <c r="I9" i="2"/>
  <c r="I13" i="2"/>
  <c r="I14" i="2" s="1"/>
  <c r="I1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B16" i="2"/>
  <c r="B13" i="2"/>
  <c r="B14" i="2" s="1"/>
  <c r="B9" i="2"/>
  <c r="C16" i="2"/>
  <c r="C13" i="2"/>
  <c r="C14" i="2" s="1"/>
  <c r="C9" i="2"/>
  <c r="C9" i="1"/>
  <c r="C7" i="1"/>
  <c r="C6" i="1"/>
  <c r="C5" i="1"/>
  <c r="C4" i="1"/>
  <c r="H27" i="2" l="1"/>
  <c r="F27" i="2"/>
  <c r="I27" i="2"/>
  <c r="J25" i="2"/>
  <c r="B32" i="2" s="1"/>
  <c r="G27" i="2"/>
  <c r="J27" i="2"/>
  <c r="I15" i="2"/>
  <c r="I17" i="2" s="1"/>
  <c r="I19" i="2" s="1"/>
  <c r="I21" i="2" s="1"/>
  <c r="E15" i="2"/>
  <c r="E17" i="2" s="1"/>
  <c r="E19" i="2" s="1"/>
  <c r="E21" i="2" s="1"/>
  <c r="F15" i="2"/>
  <c r="F17" i="2" s="1"/>
  <c r="F19" i="2" s="1"/>
  <c r="F21" i="2" s="1"/>
  <c r="G15" i="2"/>
  <c r="G17" i="2" s="1"/>
  <c r="G19" i="2" s="1"/>
  <c r="G21" i="2" s="1"/>
  <c r="H15" i="2"/>
  <c r="H17" i="2" s="1"/>
  <c r="H19" i="2" s="1"/>
  <c r="H21" i="2" s="1"/>
  <c r="C15" i="2"/>
  <c r="C17" i="2" s="1"/>
  <c r="C19" i="2" s="1"/>
  <c r="C21" i="2" s="1"/>
  <c r="B15" i="2"/>
  <c r="B17" i="2" s="1"/>
  <c r="B19" i="2" s="1"/>
  <c r="B21" i="2" s="1"/>
  <c r="K25" i="2" l="1"/>
  <c r="L25" i="2" s="1"/>
  <c r="M25" i="2" s="1"/>
  <c r="N25" i="2" s="1"/>
  <c r="O25" i="2" s="1"/>
  <c r="P25" i="2" s="1"/>
  <c r="Q25" i="2" s="1"/>
  <c r="G2" i="2" s="1"/>
  <c r="H2" i="2" s="1"/>
  <c r="B29" i="2"/>
  <c r="B31" i="2"/>
  <c r="B33" i="2"/>
  <c r="B30" i="2"/>
  <c r="F2" i="2" l="1"/>
  <c r="I2" i="2" s="1"/>
  <c r="K2" i="2" s="1"/>
  <c r="M2" i="2" s="1"/>
  <c r="O2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<sst xmlns="http://schemas.openxmlformats.org/spreadsheetml/2006/main" count="46" uniqueCount="42">
  <si>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</si>
  <si>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</si>
  <si>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</si>
  <si>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</si>
  <si>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</si>
  <si>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</si>
  <si>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fgr</t>
  </si>
  <si>
    <t>wacc</t>
  </si>
  <si>
    <t>tgr</t>
  </si>
  <si>
    <t>npv of fcf</t>
  </si>
  <si>
    <t>tv</t>
  </si>
  <si>
    <t>pv of tv</t>
  </si>
  <si>
    <t>net cash</t>
  </si>
  <si>
    <t>eq val</t>
  </si>
  <si>
    <t>implied $</t>
  </si>
  <si>
    <t>current $</t>
  </si>
  <si>
    <t>upside</t>
  </si>
  <si>
    <t>q2 2024</t>
  </si>
  <si>
    <t xml:space="preserve">q1 2024 </t>
  </si>
  <si>
    <t>rev</t>
  </si>
  <si>
    <t>cogs</t>
  </si>
  <si>
    <t xml:space="preserve">gross profit </t>
  </si>
  <si>
    <t>s+m</t>
  </si>
  <si>
    <t>product dev</t>
  </si>
  <si>
    <t>g+a</t>
  </si>
  <si>
    <t>other</t>
  </si>
  <si>
    <t>op ex</t>
  </si>
  <si>
    <t>op inc</t>
  </si>
  <si>
    <t>pretax income</t>
  </si>
  <si>
    <t>tax</t>
  </si>
  <si>
    <t>net income</t>
  </si>
  <si>
    <t xml:space="preserve">int + other inc </t>
  </si>
  <si>
    <t>eps</t>
  </si>
  <si>
    <t>cffo</t>
  </si>
  <si>
    <t xml:space="preserve">capex </t>
  </si>
  <si>
    <t>fcf</t>
  </si>
  <si>
    <t xml:space="preserve">fcf yoy </t>
  </si>
  <si>
    <t xml:space="preserve">fcf avg gr </t>
  </si>
  <si>
    <t xml:space="preserve">fcf avg gr 3y </t>
  </si>
  <si>
    <t>stdev fcf</t>
  </si>
  <si>
    <t>average fcf</t>
  </si>
  <si>
    <t>fcf avg 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</si>
</sst>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10" sqref="C10"/>
    </sheetView>
  </sheetViews>
  <sheetFormatPr baseColWidth="10" defaultColWidth="8.83203125" defaultRowHeight="15" x14ac:dyDescent="0.2"/>
  <sheetData>
    <row r="2" spans="2:3" x14ac:dyDescent="0.2">
      <c r="B2" t="s">
        <v>0</v>
      </c>
      <c r="C2">
        <v>64.95</v>
      </c>
    </row>
    <row r="3" spans="2:3" x14ac:dyDescent="0.2">
      <c r="B3" t="s">
        <v>1</v>
      </c>
      <c r="C3" s="1">
        <v>507</v>
      </c>
    </row>
    <row r="4" spans="2:3" x14ac:dyDescent="0.2">
      <c r="B4" t="s">
        <v>2</v>
      </c>
      <c r="C4" s="1">
        <f>C2*C3</f>
        <v>32929.65</v>
      </c>
    </row>
    <row r="5" spans="2:3" x14ac:dyDescent="0.2">
      <c r="B5" t="s">
        <v>3</v>
      </c>
      <c r="C5" s="1">
        <f>1963+3203+1722+1910</f>
        <v>8798</v>
      </c>
    </row>
    <row r="6" spans="2:3" x14ac:dyDescent="0.2">
      <c r="B6" t="s">
        <v>4</v>
      </c>
      <c r="C6" s="1">
        <f>1551+6174</f>
        <v>7725</v>
      </c>
    </row>
    <row r="7" spans="2:3" x14ac:dyDescent="0.2">
      <c r="B7" t="s">
        <v>5</v>
      </c>
      <c r="C7" s="1">
        <f>C4-C5+C6</f>
        <v>31856.65</v>
      </c>
    </row>
    <row r="8" spans="2:3" x14ac:dyDescent="0.2">
      <c r="C8" s="1"/>
    </row>
    <row r="9" spans="2:3" x14ac:dyDescent="0.2">
      <c r="B9" t="s">
        <v>12</v>
      </c>
      <c r="C9" s="1">
        <f>C5-C6</f>
        <v>1073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Normal="100" workbookViewId="0">
      <pane xSplit="1" topLeftCell="B1" activePane="topRight" state="frozen"/>
      <selection pane="topRight" activeCell="C3" sqref="C3"/>
    </sheetView>
  </sheetViews>
  <sheetFormatPr baseColWidth="10" defaultColWidth="8.83203125" defaultRowHeight="15" x14ac:dyDescent="0.2"/>
  <cols>
    <col min="1" max="1" width="13.33203125" customWidth="1"/>
    <col min="6" max="6" width="10.6640625" bestFit="1" customWidth="1"/>
  </cols>
  <sheetData>
    <row r="1" spans="1:17" x14ac:dyDescent="0.2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12</v>
      </c>
      <c r="K1" t="s">
        <v>13</v>
      </c>
      <c r="L1" t="s">
        <v>1</v>
      </c>
      <c r="M1" t="s">
        <v>14</v>
      </c>
      <c r="N1" t="s">
        <v>15</v>
      </c>
      <c r="O1" t="s">
        <v>16</v>
      </c>
    </row>
    <row r="2" spans="1:17" x14ac:dyDescent="0.2">
      <c r="C2" s="6">
        <v>0.01</v>
      </c>
      <c r="D2" s="6">
        <v>0.15</v>
      </c>
      <c r="E2" s="6">
        <v>0.02</v>
      </c>
      <c r="F2" s="1">
        <f>NPV(wacc,J25:Q25)</f>
        <v>11277.527648816482</v>
      </c>
      <c r="G2" s="1">
        <f>Q25*(1+tgr)/(wacc-tgr)</f>
        <v>20559.267512004029</v>
      </c>
      <c r="H2" s="1">
        <f>tv/(1+wacc)^8</f>
        <v>6720.8610186520009</v>
      </c>
      <c r="I2" s="1">
        <f>F2+H2</f>
        <v>17998.388667468484</v>
      </c>
      <c r="J2">
        <f>main!C9</f>
        <v>1073</v>
      </c>
      <c r="K2" s="1">
        <f>I2+J2</f>
        <v>19071.388667468484</v>
      </c>
      <c r="L2">
        <f>main!C3</f>
        <v>507</v>
      </c>
      <c r="M2">
        <f>K2/L2</f>
        <v>37.616151217886554</v>
      </c>
      <c r="N2">
        <f>main!C2</f>
        <v>64.95</v>
      </c>
      <c r="O2" s="3">
        <f>M2/N2-1</f>
        <v>-0.42084447701483374</v>
      </c>
    </row>
    <row r="3" spans="1:17" x14ac:dyDescent="0.2">
      <c r="C3" s="3"/>
      <c r="D3" s="3"/>
      <c r="E3" s="3"/>
      <c r="F3" s="1"/>
      <c r="G3" s="1"/>
      <c r="H3" s="1"/>
      <c r="I3" s="1"/>
      <c r="K3" s="1"/>
      <c r="O3" s="3"/>
    </row>
    <row r="4" spans="1:17" x14ac:dyDescent="0.2">
      <c r="C4" s="3"/>
      <c r="D4" s="3"/>
      <c r="E4" s="3"/>
      <c r="F4" s="1"/>
      <c r="G4" s="1"/>
      <c r="H4" s="1"/>
      <c r="I4" s="1"/>
      <c r="K4" s="1"/>
      <c r="O4" s="3"/>
    </row>
    <row r="5" spans="1:17" x14ac:dyDescent="0.2">
      <c r="J5">
        <v>1</v>
      </c>
      <c r="K5">
        <f>J5+1</f>
        <v>2</v>
      </c>
      <c r="L5">
        <f t="shared" ref="L5:Q5" si="0">K5+1</f>
        <v>3</v>
      </c>
      <c r="M5">
        <f t="shared" si="0"/>
        <v>4</v>
      </c>
      <c r="N5">
        <f t="shared" si="0"/>
        <v>5</v>
      </c>
      <c r="O5">
        <f t="shared" si="0"/>
        <v>6</v>
      </c>
      <c r="P5">
        <f t="shared" si="0"/>
        <v>7</v>
      </c>
      <c r="Q5">
        <f t="shared" si="0"/>
        <v>8</v>
      </c>
    </row>
    <row r="6" spans="1:17" x14ac:dyDescent="0.2">
      <c r="B6" t="s">
        <v>18</v>
      </c>
      <c r="C6" t="s">
        <v>17</v>
      </c>
      <c r="E6">
        <v>2019</v>
      </c>
      <c r="F6">
        <f>E6+1</f>
        <v>2020</v>
      </c>
      <c r="G6">
        <f t="shared" ref="G6:Q6" si="1">F6+1</f>
        <v>2021</v>
      </c>
      <c r="H6">
        <f t="shared" si="1"/>
        <v>2022</v>
      </c>
      <c r="I6">
        <f t="shared" si="1"/>
        <v>2023</v>
      </c>
      <c r="J6">
        <f t="shared" si="1"/>
        <v>2024</v>
      </c>
      <c r="K6">
        <f t="shared" si="1"/>
        <v>2025</v>
      </c>
      <c r="L6">
        <f t="shared" si="1"/>
        <v>2026</v>
      </c>
      <c r="M6">
        <f t="shared" si="1"/>
        <v>2027</v>
      </c>
      <c r="N6">
        <f t="shared" si="1"/>
        <v>2028</v>
      </c>
      <c r="O6">
        <f t="shared" si="1"/>
        <v>2029</v>
      </c>
      <c r="P6">
        <f t="shared" si="1"/>
        <v>2030</v>
      </c>
      <c r="Q6">
        <f t="shared" si="1"/>
        <v>2031</v>
      </c>
    </row>
    <row r="7" spans="1:17" x14ac:dyDescent="0.2">
      <c r="A7" t="s">
        <v>19</v>
      </c>
      <c r="B7" s="1">
        <v>2556</v>
      </c>
      <c r="C7" s="1">
        <v>2572</v>
      </c>
      <c r="D7" s="1"/>
      <c r="E7" s="1">
        <v>7429</v>
      </c>
      <c r="F7" s="1">
        <v>8894</v>
      </c>
      <c r="G7" s="1">
        <v>10420</v>
      </c>
      <c r="H7" s="1">
        <v>9795</v>
      </c>
      <c r="I7" s="1">
        <v>10112</v>
      </c>
      <c r="J7" s="1"/>
      <c r="K7" s="1"/>
      <c r="L7" s="1"/>
      <c r="M7" s="1"/>
      <c r="N7" s="1"/>
      <c r="O7" s="1"/>
      <c r="P7" s="1"/>
      <c r="Q7" s="1"/>
    </row>
    <row r="8" spans="1:17" x14ac:dyDescent="0.2">
      <c r="A8" t="s">
        <v>20</v>
      </c>
      <c r="B8" s="1">
        <v>700</v>
      </c>
      <c r="C8" s="1">
        <v>735</v>
      </c>
      <c r="D8" s="1"/>
      <c r="E8" s="1">
        <v>1585</v>
      </c>
      <c r="F8" s="1">
        <v>1797</v>
      </c>
      <c r="G8" s="1">
        <v>2650</v>
      </c>
      <c r="H8" s="1">
        <v>2680</v>
      </c>
      <c r="I8" s="1">
        <v>2833</v>
      </c>
      <c r="J8" s="1"/>
      <c r="K8" s="1"/>
      <c r="L8" s="1"/>
      <c r="M8" s="1"/>
      <c r="N8" s="1"/>
      <c r="O8" s="1"/>
      <c r="P8" s="1"/>
      <c r="Q8" s="1"/>
    </row>
    <row r="9" spans="1:17" x14ac:dyDescent="0.2">
      <c r="A9" s="2" t="s">
        <v>21</v>
      </c>
      <c r="B9" s="5">
        <f>B7-B8</f>
        <v>1856</v>
      </c>
      <c r="C9" s="5">
        <f>C7-C8</f>
        <v>1837</v>
      </c>
      <c r="D9" s="1"/>
      <c r="E9" s="5">
        <f t="shared" ref="E9:H9" si="2">E7-E8</f>
        <v>5844</v>
      </c>
      <c r="F9" s="5">
        <f t="shared" si="2"/>
        <v>7097</v>
      </c>
      <c r="G9" s="5">
        <f t="shared" si="2"/>
        <v>7770</v>
      </c>
      <c r="H9" s="5">
        <f t="shared" si="2"/>
        <v>7115</v>
      </c>
      <c r="I9" s="5">
        <f>I7-I8</f>
        <v>7279</v>
      </c>
      <c r="J9" s="1"/>
      <c r="K9" s="1"/>
      <c r="L9" s="1"/>
      <c r="M9" s="1"/>
      <c r="N9" s="1"/>
      <c r="O9" s="1"/>
      <c r="P9" s="1"/>
      <c r="Q9" s="1"/>
    </row>
    <row r="10" spans="1:17" x14ac:dyDescent="0.2">
      <c r="A10" t="s">
        <v>22</v>
      </c>
      <c r="B10" s="1">
        <v>541</v>
      </c>
      <c r="C10" s="1">
        <v>577</v>
      </c>
      <c r="D10" s="1"/>
      <c r="E10" s="1">
        <v>1866</v>
      </c>
      <c r="F10" s="1">
        <v>2091</v>
      </c>
      <c r="G10" s="1">
        <v>2170</v>
      </c>
      <c r="H10" s="1">
        <v>2136</v>
      </c>
      <c r="I10" s="1">
        <v>2217</v>
      </c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t="s">
        <v>23</v>
      </c>
      <c r="B11" s="1">
        <v>351</v>
      </c>
      <c r="C11" s="1">
        <v>379</v>
      </c>
      <c r="D11" s="1"/>
      <c r="E11" s="1">
        <v>930</v>
      </c>
      <c r="F11" s="1">
        <v>1028</v>
      </c>
      <c r="G11" s="1">
        <v>1325</v>
      </c>
      <c r="H11" s="1">
        <v>1330</v>
      </c>
      <c r="I11" s="1">
        <v>1544</v>
      </c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t="s">
        <v>24</v>
      </c>
      <c r="B12" s="1">
        <v>238</v>
      </c>
      <c r="C12" s="1">
        <v>241</v>
      </c>
      <c r="D12" s="1"/>
      <c r="E12" s="1">
        <v>988</v>
      </c>
      <c r="F12" s="1">
        <v>985</v>
      </c>
      <c r="G12" s="1">
        <v>921</v>
      </c>
      <c r="H12" s="1">
        <v>963</v>
      </c>
      <c r="I12" s="1">
        <v>1196</v>
      </c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t="s">
        <v>25</v>
      </c>
      <c r="B13" s="1">
        <f>91+4</f>
        <v>95</v>
      </c>
      <c r="C13" s="1">
        <f>86+5</f>
        <v>91</v>
      </c>
      <c r="D13" s="1"/>
      <c r="E13" s="1">
        <f>262+28</f>
        <v>290</v>
      </c>
      <c r="F13" s="1">
        <f>330+27</f>
        <v>357</v>
      </c>
      <c r="G13" s="1">
        <f>422+9</f>
        <v>431</v>
      </c>
      <c r="H13" s="1">
        <f>332+4</f>
        <v>336</v>
      </c>
      <c r="I13" s="1">
        <f>360+21</f>
        <v>381</v>
      </c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2" t="s">
        <v>26</v>
      </c>
      <c r="B14" s="5">
        <f>SUM(B10:B13)</f>
        <v>1225</v>
      </c>
      <c r="C14" s="5">
        <f>SUM(C10:C13)</f>
        <v>1288</v>
      </c>
      <c r="D14" s="1"/>
      <c r="E14" s="5">
        <f t="shared" ref="E14:G14" si="3">SUM(E10:E13)</f>
        <v>4074</v>
      </c>
      <c r="F14" s="5">
        <f t="shared" si="3"/>
        <v>4461</v>
      </c>
      <c r="G14" s="5">
        <f t="shared" si="3"/>
        <v>4847</v>
      </c>
      <c r="H14" s="5">
        <f>SUM(H10:H13)</f>
        <v>4765</v>
      </c>
      <c r="I14" s="5">
        <f>SUM(I10:I13)</f>
        <v>5338</v>
      </c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2" t="s">
        <v>27</v>
      </c>
      <c r="B15" s="5">
        <f>B9-B14</f>
        <v>631</v>
      </c>
      <c r="C15" s="5">
        <f>C9-C14</f>
        <v>549</v>
      </c>
      <c r="D15" s="1"/>
      <c r="E15" s="5">
        <f t="shared" ref="E15:H15" si="4">E9-E14</f>
        <v>1770</v>
      </c>
      <c r="F15" s="5">
        <f t="shared" si="4"/>
        <v>2636</v>
      </c>
      <c r="G15" s="5">
        <f t="shared" si="4"/>
        <v>2923</v>
      </c>
      <c r="H15" s="5">
        <f t="shared" si="4"/>
        <v>2350</v>
      </c>
      <c r="I15" s="5">
        <f>I9-I14</f>
        <v>1941</v>
      </c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t="s">
        <v>31</v>
      </c>
      <c r="B16" s="1">
        <f>-97+-66+68</f>
        <v>-95</v>
      </c>
      <c r="C16" s="1">
        <f>-222+-65+66</f>
        <v>-221</v>
      </c>
      <c r="D16" s="1"/>
      <c r="E16" s="1">
        <f>133+-251</f>
        <v>-118</v>
      </c>
      <c r="F16" s="1">
        <f>1007+-298</f>
        <v>709</v>
      </c>
      <c r="G16" s="1">
        <f>-2365+-269+109</f>
        <v>-2525</v>
      </c>
      <c r="H16" s="1">
        <f>-3786+-235+70</f>
        <v>-3951</v>
      </c>
      <c r="I16" s="1">
        <f>1832+-263+197</f>
        <v>1766</v>
      </c>
      <c r="J16" s="1"/>
      <c r="K16" s="1"/>
      <c r="L16" s="1"/>
      <c r="M16" s="1"/>
      <c r="N16" s="1"/>
      <c r="O16" s="1"/>
      <c r="P16" s="1"/>
      <c r="Q16" s="1"/>
    </row>
    <row r="17" spans="1:18" x14ac:dyDescent="0.2">
      <c r="A17" s="2" t="s">
        <v>28</v>
      </c>
      <c r="B17" s="5">
        <f>B15+B16</f>
        <v>536</v>
      </c>
      <c r="C17" s="5">
        <f>C15+C16</f>
        <v>328</v>
      </c>
      <c r="D17" s="1"/>
      <c r="E17" s="5">
        <f t="shared" ref="E17:H17" si="5">E15+E16</f>
        <v>1652</v>
      </c>
      <c r="F17" s="5">
        <f t="shared" si="5"/>
        <v>3345</v>
      </c>
      <c r="G17" s="5">
        <f t="shared" si="5"/>
        <v>398</v>
      </c>
      <c r="H17" s="5">
        <f t="shared" si="5"/>
        <v>-1601</v>
      </c>
      <c r="I17" s="5">
        <f>I15+I16</f>
        <v>3707</v>
      </c>
      <c r="J17" s="1"/>
      <c r="K17" s="1"/>
      <c r="L17" s="1"/>
      <c r="M17" s="1"/>
      <c r="N17" s="1"/>
      <c r="O17" s="1"/>
      <c r="P17" s="1"/>
      <c r="Q17" s="1"/>
    </row>
    <row r="18" spans="1:18" x14ac:dyDescent="0.2">
      <c r="A18" t="s">
        <v>29</v>
      </c>
      <c r="B18" s="1">
        <v>-97</v>
      </c>
      <c r="C18" s="1">
        <v>-102</v>
      </c>
      <c r="D18" s="1"/>
      <c r="E18" s="1">
        <v>-219</v>
      </c>
      <c r="F18" s="1">
        <v>-858</v>
      </c>
      <c r="G18" s="1">
        <v>-146</v>
      </c>
      <c r="H18" s="1">
        <v>327</v>
      </c>
      <c r="I18" s="1">
        <v>-932</v>
      </c>
      <c r="J18" s="1"/>
      <c r="K18" s="1"/>
      <c r="L18" s="1"/>
      <c r="M18" s="1"/>
      <c r="N18" s="1"/>
      <c r="O18" s="1"/>
      <c r="P18" s="1"/>
      <c r="Q18" s="1"/>
    </row>
    <row r="19" spans="1:18" x14ac:dyDescent="0.2">
      <c r="A19" s="2" t="s">
        <v>30</v>
      </c>
      <c r="B19" s="5">
        <f>B17+B18</f>
        <v>439</v>
      </c>
      <c r="C19" s="5">
        <f>C17+C18</f>
        <v>226</v>
      </c>
      <c r="D19" s="1"/>
      <c r="E19" s="5">
        <f>E17+E18</f>
        <v>1433</v>
      </c>
      <c r="F19" s="5">
        <f>F17+F18</f>
        <v>2487</v>
      </c>
      <c r="G19" s="5">
        <f>G17+G18</f>
        <v>252</v>
      </c>
      <c r="H19" s="5">
        <f>H17+H18</f>
        <v>-1274</v>
      </c>
      <c r="I19" s="5">
        <f>I17+I18</f>
        <v>2775</v>
      </c>
      <c r="J19" s="1"/>
      <c r="K19" s="1"/>
      <c r="L19" s="1"/>
      <c r="M19" s="1"/>
      <c r="N19" s="1"/>
      <c r="O19" s="1"/>
      <c r="P19" s="1"/>
      <c r="Q19" s="1"/>
    </row>
    <row r="20" spans="1:18" x14ac:dyDescent="0.2">
      <c r="A20" t="s">
        <v>1</v>
      </c>
      <c r="B20" s="1">
        <v>519</v>
      </c>
      <c r="C20" s="1">
        <v>507</v>
      </c>
      <c r="D20" s="1"/>
      <c r="E20" s="1">
        <v>856</v>
      </c>
      <c r="F20" s="1">
        <v>718</v>
      </c>
      <c r="G20" s="1">
        <v>663</v>
      </c>
      <c r="H20" s="1">
        <v>558</v>
      </c>
      <c r="I20" s="1">
        <v>533</v>
      </c>
      <c r="J20" s="1"/>
      <c r="K20" s="1"/>
      <c r="L20" s="1"/>
      <c r="M20" s="1"/>
      <c r="N20" s="1"/>
      <c r="O20" s="1"/>
      <c r="P20" s="1"/>
      <c r="Q20" s="1"/>
    </row>
    <row r="21" spans="1:18" x14ac:dyDescent="0.2">
      <c r="A21" s="2" t="s">
        <v>32</v>
      </c>
      <c r="B21" s="5">
        <f>B19/B20</f>
        <v>0.84585741811175341</v>
      </c>
      <c r="C21" s="5">
        <f>C19/C20</f>
        <v>0.44575936883629191</v>
      </c>
      <c r="D21" s="5"/>
      <c r="E21" s="5">
        <f t="shared" ref="E21:H21" si="6">E19/E20</f>
        <v>1.6740654205607477</v>
      </c>
      <c r="F21" s="5">
        <f t="shared" si="6"/>
        <v>3.4637883008356547</v>
      </c>
      <c r="G21" s="5">
        <f t="shared" si="6"/>
        <v>0.38009049773755654</v>
      </c>
      <c r="H21" s="5">
        <f t="shared" si="6"/>
        <v>-2.2831541218637992</v>
      </c>
      <c r="I21" s="5">
        <f>I19/I20</f>
        <v>5.2063789868667918</v>
      </c>
      <c r="J21" s="1"/>
      <c r="K21" s="1"/>
      <c r="L21" s="1"/>
      <c r="M21" s="1"/>
      <c r="N21" s="1"/>
      <c r="O21" s="1"/>
      <c r="P21" s="1"/>
      <c r="Q21" s="1"/>
    </row>
    <row r="22" spans="1:18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 x14ac:dyDescent="0.2">
      <c r="A23" s="2" t="s">
        <v>33</v>
      </c>
      <c r="B23" s="1">
        <v>615</v>
      </c>
      <c r="C23" s="1">
        <v>982</v>
      </c>
      <c r="D23" s="1"/>
      <c r="E23" s="1">
        <v>3114</v>
      </c>
      <c r="F23" s="1">
        <v>2419</v>
      </c>
      <c r="G23" s="1">
        <v>2657</v>
      </c>
      <c r="H23" s="1">
        <v>2254</v>
      </c>
      <c r="I23" s="1">
        <v>2426</v>
      </c>
      <c r="J23" s="1"/>
      <c r="K23" s="1"/>
      <c r="L23" s="1"/>
      <c r="M23" s="1"/>
      <c r="N23" s="1"/>
      <c r="O23" s="1"/>
      <c r="P23" s="1"/>
      <c r="Q23" s="1"/>
    </row>
    <row r="24" spans="1:18" x14ac:dyDescent="0.2">
      <c r="A24" t="s">
        <v>34</v>
      </c>
      <c r="B24" s="1">
        <v>-143</v>
      </c>
      <c r="C24" s="1">
        <v>-232</v>
      </c>
      <c r="D24" s="1"/>
      <c r="E24" s="1">
        <v>-508</v>
      </c>
      <c r="F24" s="1">
        <v>-463</v>
      </c>
      <c r="G24" s="1">
        <v>-444</v>
      </c>
      <c r="H24" s="1">
        <v>-449</v>
      </c>
      <c r="I24" s="1">
        <v>-456</v>
      </c>
      <c r="J24" s="1"/>
      <c r="K24" s="1"/>
      <c r="L24" s="1"/>
      <c r="M24" s="1"/>
      <c r="N24" s="1"/>
      <c r="O24" s="1"/>
      <c r="P24" s="1"/>
      <c r="Q24" s="1"/>
    </row>
    <row r="25" spans="1:18" x14ac:dyDescent="0.2">
      <c r="A25" s="2" t="s">
        <v>35</v>
      </c>
      <c r="B25" s="1">
        <f t="shared" ref="B25:C25" si="7">B23+B24</f>
        <v>472</v>
      </c>
      <c r="C25" s="1">
        <f t="shared" si="7"/>
        <v>750</v>
      </c>
      <c r="D25" s="1"/>
      <c r="E25" s="1">
        <f>E23+E24</f>
        <v>2606</v>
      </c>
      <c r="F25" s="1">
        <f t="shared" ref="F25:I25" si="8">F23+F24</f>
        <v>1956</v>
      </c>
      <c r="G25" s="1">
        <f t="shared" si="8"/>
        <v>2213</v>
      </c>
      <c r="H25" s="1">
        <f t="shared" si="8"/>
        <v>1805</v>
      </c>
      <c r="I25" s="1">
        <f t="shared" si="8"/>
        <v>1970</v>
      </c>
      <c r="J25" s="1">
        <f>((B25+C25)/2)*4</f>
        <v>2444</v>
      </c>
      <c r="K25" s="1">
        <f t="shared" ref="K25:Q25" si="9">J25*(1+fgr)</f>
        <v>2468.44</v>
      </c>
      <c r="L25" s="1">
        <f t="shared" si="9"/>
        <v>2493.1244000000002</v>
      </c>
      <c r="M25" s="1">
        <f t="shared" si="9"/>
        <v>2518.055644</v>
      </c>
      <c r="N25" s="1">
        <f t="shared" si="9"/>
        <v>2543.2362004400002</v>
      </c>
      <c r="O25" s="1">
        <f t="shared" si="9"/>
        <v>2568.6685624444003</v>
      </c>
      <c r="P25" s="1">
        <f t="shared" si="9"/>
        <v>2594.3552480688445</v>
      </c>
      <c r="Q25" s="1">
        <f t="shared" si="9"/>
        <v>2620.2988005495331</v>
      </c>
      <c r="R25" s="1"/>
    </row>
    <row r="27" spans="1:18" x14ac:dyDescent="0.2">
      <c r="A27" s="2" t="s">
        <v>36</v>
      </c>
      <c r="F27" s="3">
        <f>(F25-E25)/ABS(E25)</f>
        <v>-0.24942440521872603</v>
      </c>
      <c r="G27" s="3">
        <f t="shared" ref="G27:J27" si="10">(G25-F25)/ABS(F25)</f>
        <v>0.13139059304703476</v>
      </c>
      <c r="H27" s="3">
        <f t="shared" si="10"/>
        <v>-0.18436511522819701</v>
      </c>
      <c r="I27" s="3">
        <f t="shared" si="10"/>
        <v>9.141274238227147E-2</v>
      </c>
      <c r="J27" s="3">
        <f t="shared" si="10"/>
        <v>0.24060913705583756</v>
      </c>
    </row>
    <row r="29" spans="1:18" x14ac:dyDescent="0.2">
      <c r="A29" s="2" t="s">
        <v>37</v>
      </c>
      <c r="B29" s="4">
        <f>AVERAGE(F27:J27)</f>
        <v>5.9245904076441532E-3</v>
      </c>
    </row>
    <row r="30" spans="1:18" x14ac:dyDescent="0.2">
      <c r="A30" t="s">
        <v>38</v>
      </c>
      <c r="B30" s="4">
        <f>AVERAGE(H27:J27)</f>
        <v>4.9218921403304007E-2</v>
      </c>
    </row>
    <row r="31" spans="1:18" x14ac:dyDescent="0.2">
      <c r="A31" s="2" t="s">
        <v>41</v>
      </c>
      <c r="B31" s="4">
        <f>AVERAGE(I27:J27)</f>
        <v>0.16601093971905451</v>
      </c>
    </row>
    <row r="32" spans="1:18" x14ac:dyDescent="0.2">
      <c r="A32" t="s">
        <v>39</v>
      </c>
      <c r="B32">
        <f>STDEV(E25:J25)</f>
        <v>311.74647819448808</v>
      </c>
    </row>
    <row r="33" spans="1:2" x14ac:dyDescent="0.2">
      <c r="A33" t="s">
        <v>40</v>
      </c>
      <c r="B33" s="1">
        <f>AVERAGE(E25:J25)</f>
        <v>2165.6666666666665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main</vt:lpstr>
      <vt:lpstr>model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2024-10-20T01:35:46Z</dcterms:created>
  <dcterms:modified xsi:type="dcterms:W3CDTF">2024-10-21T18:14:43Z</dcterms:modified>
</cp:coreProperties>
</file>