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CA68F4A8-A889-3E4D-851A-787328657412}" xr6:coauthVersionLast="47" xr6:coauthVersionMax="47" xr10:uidLastSave="{00000000-0000-0000-0000-000000000000}"/>
  <bookViews>
    <workbookView xWindow="140" yWindow="500" windowWidth="17820" windowHeight="12760" xr2:uid="{00000000-000D-0000-FFFF-FFFF00000000}"/>
  </bookViews>
  <sheets>
    <sheet name="model" sheetId="1" r:id="rId1"/>
    <sheet name="main" sheetId="2" r:id="rId2"/>
  </sheets>
  <definedNames>
    <definedName name="fgr">model!$B$46</definedName>
    <definedName name="tgr">model!$E$2</definedName>
    <definedName name="tv">model!$G$2</definedName>
    <definedName name="wacc">model!$D$2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2" i="1"/>
  <c r="J2" i="1"/>
  <c r="C2" i="1"/>
  <c r="H38" i="1"/>
  <c r="I38" i="1" s="1"/>
  <c r="J38" i="1" s="1"/>
  <c r="K38" i="1" s="1"/>
  <c r="L38" i="1" s="1"/>
  <c r="M38" i="1" s="1"/>
  <c r="N38" i="1" s="1"/>
  <c r="O38" i="1" s="1"/>
  <c r="P38" i="1" s="1"/>
  <c r="G2" i="1" s="1"/>
  <c r="H2" i="1" s="1"/>
  <c r="B44" i="1"/>
  <c r="B43" i="1"/>
  <c r="B42" i="1"/>
  <c r="D25" i="1"/>
  <c r="E25" i="1"/>
  <c r="F25" i="1"/>
  <c r="C25" i="1"/>
  <c r="D24" i="1"/>
  <c r="E24" i="1"/>
  <c r="F24" i="1"/>
  <c r="C24" i="1"/>
  <c r="G40" i="1"/>
  <c r="G38" i="1"/>
  <c r="D40" i="1"/>
  <c r="E40" i="1"/>
  <c r="F40" i="1"/>
  <c r="C40" i="1"/>
  <c r="B13" i="1"/>
  <c r="C13" i="1"/>
  <c r="N5" i="1"/>
  <c r="O5" i="1" s="1"/>
  <c r="P5" i="1" s="1"/>
  <c r="N6" i="1"/>
  <c r="O6" i="1" s="1"/>
  <c r="P6" i="1" s="1"/>
  <c r="I28" i="1"/>
  <c r="J28" i="1" s="1"/>
  <c r="K28" i="1" s="1"/>
  <c r="L28" i="1" s="1"/>
  <c r="M28" i="1" s="1"/>
  <c r="N28" i="1" s="1"/>
  <c r="O28" i="1" s="1"/>
  <c r="P28" i="1" s="1"/>
  <c r="I29" i="1"/>
  <c r="J29" i="1" s="1"/>
  <c r="K29" i="1" s="1"/>
  <c r="L29" i="1" s="1"/>
  <c r="M29" i="1" s="1"/>
  <c r="N29" i="1" s="1"/>
  <c r="O29" i="1" s="1"/>
  <c r="P29" i="1" s="1"/>
  <c r="G29" i="1"/>
  <c r="H29" i="1" s="1"/>
  <c r="H28" i="1"/>
  <c r="H6" i="1"/>
  <c r="I6" i="1" s="1"/>
  <c r="J6" i="1" s="1"/>
  <c r="K6" i="1" s="1"/>
  <c r="L6" i="1" s="1"/>
  <c r="M6" i="1" s="1"/>
  <c r="I5" i="1"/>
  <c r="J5" i="1"/>
  <c r="K5" i="1" s="1"/>
  <c r="L5" i="1" s="1"/>
  <c r="M5" i="1" s="1"/>
  <c r="E38" i="1"/>
  <c r="D38" i="1"/>
  <c r="C38" i="1"/>
  <c r="B38" i="1"/>
  <c r="F38" i="1"/>
  <c r="F20" i="1"/>
  <c r="F21" i="1" s="1"/>
  <c r="E14" i="1"/>
  <c r="E15" i="1" s="1"/>
  <c r="E17" i="1" s="1"/>
  <c r="E20" i="1" s="1"/>
  <c r="C14" i="1"/>
  <c r="C15" i="1" s="1"/>
  <c r="C17" i="1" s="1"/>
  <c r="C20" i="1" s="1"/>
  <c r="B14" i="1"/>
  <c r="B15" i="1" s="1"/>
  <c r="B17" i="1" s="1"/>
  <c r="B20" i="1" s="1"/>
  <c r="D13" i="1"/>
  <c r="D14" i="1" s="1"/>
  <c r="D15" i="1" s="1"/>
  <c r="D17" i="1" s="1"/>
  <c r="D20" i="1" s="1"/>
  <c r="E13" i="1"/>
  <c r="F13" i="1"/>
  <c r="F14" i="1" s="1"/>
  <c r="F15" i="1" s="1"/>
  <c r="F17" i="1" s="1"/>
  <c r="E9" i="1"/>
  <c r="D9" i="1"/>
  <c r="C9" i="1"/>
  <c r="B9" i="1"/>
  <c r="F9" i="1"/>
  <c r="C8" i="2"/>
  <c r="C11" i="2" s="1"/>
  <c r="C7" i="2"/>
  <c r="F2" i="1" l="1"/>
  <c r="I2" i="1" s="1"/>
  <c r="K2" i="1" s="1"/>
  <c r="M2" i="1" s="1"/>
  <c r="O2" i="1" s="1"/>
  <c r="B21" i="1"/>
  <c r="B30" i="1"/>
  <c r="D30" i="1"/>
  <c r="D21" i="1"/>
  <c r="C30" i="1"/>
  <c r="C21" i="1"/>
  <c r="E30" i="1"/>
  <c r="E21" i="1"/>
  <c r="F30" i="1"/>
  <c r="C6" i="2" l="1"/>
  <c r="C9" i="2" s="1"/>
  <c r="G6" i="1"/>
  <c r="H5" i="1"/>
</calcChain>
</file>

<file path=xl/sharedStrings.xml><?xml version="1.0" encoding="utf-8"?>
<sst xmlns="http://schemas.openxmlformats.org/spreadsheetml/2006/main" count="78" uniqueCount="60">
  <si>
    <t>fgr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</si>
  <si>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</si>
  <si>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</si>
  <si>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</si>
  <si>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</si>
  <si>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</si>
  <si>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</si>
  <si>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</si>
  <si>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</si>
  <si>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</si>
  <si>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$</t>
  </si>
  <si>
    <t>current $</t>
  </si>
  <si>
    <t>upside</t>
  </si>
  <si>
    <t>date</t>
  </si>
  <si>
    <t>2019-12-31</t>
  </si>
  <si>
    <t>2020-12-31</t>
  </si>
  <si>
    <t>2021-12-31</t>
  </si>
  <si>
    <t>2022-12-31</t>
  </si>
  <si>
    <t>2023-12-31</t>
  </si>
  <si>
    <t>1</t>
  </si>
  <si>
    <t>calendarYear</t>
  </si>
  <si>
    <t>2019</t>
  </si>
  <si>
    <t>2020</t>
  </si>
  <si>
    <t>2021</t>
  </si>
  <si>
    <t>2022</t>
  </si>
  <si>
    <t>2023</t>
  </si>
  <si>
    <t>revenue</t>
  </si>
  <si>
    <t>costOfRevenue</t>
  </si>
  <si>
    <t>grossProfit</t>
  </si>
  <si>
    <t>researchAndDevelopmentExpenses</t>
  </si>
  <si>
    <t>generalAndAdministrativeExpenses</t>
  </si>
  <si>
    <t>sellingAndMarketingExpenses</t>
  </si>
  <si>
    <t>operatingExpenses</t>
  </si>
  <si>
    <t>operatingIncome</t>
  </si>
  <si>
    <t>totalOtherIncomeExpensesNet</t>
  </si>
  <si>
    <t>incomeBeforeTax</t>
  </si>
  <si>
    <t>incomeTaxExpense</t>
  </si>
  <si>
    <t>netIncome</t>
  </si>
  <si>
    <t>eps</t>
  </si>
  <si>
    <t>weightedAverageShsOut</t>
  </si>
  <si>
    <t>netCashUsedForInvestingActivites</t>
  </si>
  <si>
    <t>netCashUsedProvidedByFinancingActivities</t>
  </si>
  <si>
    <t>netChangeInCash</t>
  </si>
  <si>
    <t>cashAtEndOfPeriod</t>
  </si>
  <si>
    <t>cashAtBeginningOfPeriod</t>
  </si>
  <si>
    <t>freeCashFlow</t>
  </si>
  <si>
    <t xml:space="preserve">price </t>
  </si>
  <si>
    <t>mc</t>
  </si>
  <si>
    <t>cash</t>
  </si>
  <si>
    <t xml:space="preserve">debt </t>
  </si>
  <si>
    <t xml:space="preserve">other expenses </t>
  </si>
  <si>
    <t>other investment activity</t>
  </si>
  <si>
    <t>cffo</t>
  </si>
  <si>
    <t>capex</t>
  </si>
  <si>
    <t>fcf yoy</t>
  </si>
  <si>
    <t>rev yoy</t>
  </si>
  <si>
    <t>ni yoy</t>
  </si>
  <si>
    <t>avg fcf 2y</t>
  </si>
  <si>
    <t xml:space="preserve">avg fcf all </t>
  </si>
  <si>
    <t>avg fcf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</si>
</sst>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,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9" fontId="0" fillId="0" borderId="0" xfId="1" applyFont="1" applyFill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topLeftCell="A22" zoomScale="110" zoomScaleNormal="110" workbookViewId="0">
      <selection activeCell="A43" sqref="A43"/>
    </sheetView>
  </sheetViews>
  <sheetFormatPr baseColWidth="10" defaultColWidth="8.83203125" defaultRowHeight="15" x14ac:dyDescent="0.2"/>
  <cols>
    <col min="1" max="1" width="30" customWidth="1"/>
    <col min="2" max="6" width="10" customWidth="1"/>
    <col min="7" max="8" width="11.83203125" bestFit="1" customWidth="1"/>
    <col min="9" max="9" width="9.1640625" bestFit="1" customWidth="1"/>
    <col min="10" max="10" width="12.1640625" bestFit="1" customWidth="1"/>
    <col min="11" max="11" width="9.1640625" bestFit="1" customWidth="1"/>
    <col min="12" max="12" width="12.1640625" bestFit="1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6" x14ac:dyDescent="0.2">
      <c r="C2" s="6">
        <f>fgr</f>
        <v>0.22</v>
      </c>
      <c r="D2" s="8">
        <v>0.08</v>
      </c>
      <c r="E2" s="8">
        <v>0.03</v>
      </c>
      <c r="F2" s="1">
        <f>NPV(D2,G38:P38)</f>
        <v>399229165501.24133</v>
      </c>
      <c r="G2" s="1">
        <f>(P38)*(1+tgr)/(wacc-tgr)</f>
        <v>2892334670369.4785</v>
      </c>
      <c r="H2" s="1">
        <f>tv/(1+wacc)^10</f>
        <v>1339710584676.7041</v>
      </c>
      <c r="I2" s="1">
        <f>F2+H2</f>
        <v>1738939750177.9453</v>
      </c>
      <c r="J2" s="1">
        <f>34203000000</f>
        <v>34203000000</v>
      </c>
      <c r="K2" s="1">
        <f>I2+J2</f>
        <v>1773142750177.9453</v>
      </c>
      <c r="L2" s="1">
        <f>10490000000</f>
        <v>10490000000</v>
      </c>
      <c r="M2">
        <f>K2/L2</f>
        <v>169.0317207033313</v>
      </c>
      <c r="N2">
        <f>main!C4</f>
        <v>188.99</v>
      </c>
      <c r="O2" s="8">
        <f>M2/N2-1</f>
        <v>-0.10560494892147043</v>
      </c>
    </row>
    <row r="5" spans="1:16" x14ac:dyDescent="0.2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>
        <f>G5+1</f>
        <v>2</v>
      </c>
      <c r="I5">
        <f t="shared" ref="I5:M5" si="0">H5+1</f>
        <v>3</v>
      </c>
      <c r="J5">
        <f t="shared" si="0"/>
        <v>4</v>
      </c>
      <c r="K5">
        <f t="shared" si="0"/>
        <v>5</v>
      </c>
      <c r="L5">
        <f t="shared" si="0"/>
        <v>6</v>
      </c>
      <c r="M5">
        <f t="shared" si="0"/>
        <v>7</v>
      </c>
      <c r="N5">
        <f t="shared" ref="N5:P5" si="1">M5+1</f>
        <v>8</v>
      </c>
      <c r="O5">
        <f t="shared" si="1"/>
        <v>9</v>
      </c>
      <c r="P5">
        <f t="shared" si="1"/>
        <v>10</v>
      </c>
    </row>
    <row r="6" spans="1:16" x14ac:dyDescent="0.2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>
        <f>F6+1</f>
        <v>2024</v>
      </c>
      <c r="H6">
        <f t="shared" ref="H6:M6" si="2">G6+1</f>
        <v>2025</v>
      </c>
      <c r="I6">
        <f t="shared" si="2"/>
        <v>2026</v>
      </c>
      <c r="J6">
        <f t="shared" si="2"/>
        <v>2027</v>
      </c>
      <c r="K6">
        <f t="shared" si="2"/>
        <v>2028</v>
      </c>
      <c r="L6">
        <f t="shared" si="2"/>
        <v>2029</v>
      </c>
      <c r="M6">
        <f t="shared" si="2"/>
        <v>2030</v>
      </c>
      <c r="N6">
        <f t="shared" ref="N6:P6" si="3">M6+1</f>
        <v>2031</v>
      </c>
      <c r="O6">
        <f t="shared" si="3"/>
        <v>2032</v>
      </c>
      <c r="P6">
        <f t="shared" si="3"/>
        <v>2033</v>
      </c>
    </row>
    <row r="7" spans="1:16" x14ac:dyDescent="0.2">
      <c r="A7" t="s">
        <v>26</v>
      </c>
      <c r="B7" s="1">
        <v>280522000000</v>
      </c>
      <c r="C7" s="1">
        <v>386064000000</v>
      </c>
      <c r="D7" s="1">
        <v>469822000000</v>
      </c>
      <c r="E7" s="1">
        <v>513983000000</v>
      </c>
      <c r="F7" s="1">
        <v>574785000000</v>
      </c>
    </row>
    <row r="8" spans="1:16" x14ac:dyDescent="0.2">
      <c r="A8" t="s">
        <v>27</v>
      </c>
      <c r="B8" s="1">
        <v>165536000000</v>
      </c>
      <c r="C8" s="1">
        <v>233307000000</v>
      </c>
      <c r="D8" s="1">
        <v>272344000000</v>
      </c>
      <c r="E8" s="1">
        <v>288831000000</v>
      </c>
      <c r="F8" s="1">
        <v>304739000000</v>
      </c>
    </row>
    <row r="9" spans="1:16" x14ac:dyDescent="0.2">
      <c r="A9" s="3" t="s">
        <v>28</v>
      </c>
      <c r="B9" s="4">
        <f t="shared" ref="B9:E9" si="4">B7-B8</f>
        <v>114986000000</v>
      </c>
      <c r="C9" s="4">
        <f t="shared" si="4"/>
        <v>152757000000</v>
      </c>
      <c r="D9" s="4">
        <f t="shared" si="4"/>
        <v>197478000000</v>
      </c>
      <c r="E9" s="4">
        <f t="shared" si="4"/>
        <v>225152000000</v>
      </c>
      <c r="F9" s="4">
        <f>F7-F8</f>
        <v>270046000000</v>
      </c>
    </row>
    <row r="10" spans="1:16" x14ac:dyDescent="0.2">
      <c r="A10" t="s">
        <v>29</v>
      </c>
      <c r="B10" s="1">
        <v>35931000000</v>
      </c>
      <c r="C10" s="1">
        <v>42740000000</v>
      </c>
      <c r="D10" s="1">
        <v>56052000000</v>
      </c>
      <c r="E10" s="1">
        <v>73213000000</v>
      </c>
      <c r="F10" s="1">
        <v>85622000000</v>
      </c>
    </row>
    <row r="11" spans="1:16" x14ac:dyDescent="0.2">
      <c r="A11" t="s">
        <v>30</v>
      </c>
      <c r="B11" s="1">
        <v>5203000000</v>
      </c>
      <c r="C11" s="1">
        <v>6668000000</v>
      </c>
      <c r="D11" s="1">
        <v>8823000000</v>
      </c>
      <c r="E11" s="1">
        <v>11891000000</v>
      </c>
      <c r="F11" s="1">
        <v>11816000000</v>
      </c>
    </row>
    <row r="12" spans="1:16" x14ac:dyDescent="0.2">
      <c r="A12" t="s">
        <v>31</v>
      </c>
      <c r="B12" s="1">
        <v>18878000000</v>
      </c>
      <c r="C12" s="1">
        <v>22008000000</v>
      </c>
      <c r="D12" s="1">
        <v>32551000000</v>
      </c>
      <c r="E12" s="1">
        <v>42238000000</v>
      </c>
      <c r="F12" s="1">
        <v>44370000000</v>
      </c>
    </row>
    <row r="13" spans="1:16" x14ac:dyDescent="0.2">
      <c r="A13" t="s">
        <v>50</v>
      </c>
      <c r="B13" s="1">
        <f>40232000000+201000000</f>
        <v>40433000000</v>
      </c>
      <c r="C13" s="1">
        <f>58517000000+-75000000</f>
        <v>58442000000</v>
      </c>
      <c r="D13" s="1">
        <f>75111000000+62000000</f>
        <v>75173000000</v>
      </c>
      <c r="E13" s="1">
        <f>84299000000+1263000000</f>
        <v>85562000000</v>
      </c>
      <c r="F13" s="1">
        <f>90619000000+767000000</f>
        <v>91386000000</v>
      </c>
    </row>
    <row r="14" spans="1:16" x14ac:dyDescent="0.2">
      <c r="A14" s="3" t="s">
        <v>32</v>
      </c>
      <c r="B14" s="4">
        <f t="shared" ref="B14:E14" si="5">SUM(B8,B10:B13)</f>
        <v>265981000000</v>
      </c>
      <c r="C14" s="4">
        <f t="shared" si="5"/>
        <v>363165000000</v>
      </c>
      <c r="D14" s="4">
        <f t="shared" si="5"/>
        <v>444943000000</v>
      </c>
      <c r="E14" s="4">
        <f t="shared" si="5"/>
        <v>501735000000</v>
      </c>
      <c r="F14" s="4">
        <f>SUM(F8,F10:F13)</f>
        <v>537933000000</v>
      </c>
    </row>
    <row r="15" spans="1:16" x14ac:dyDescent="0.2">
      <c r="A15" s="3" t="s">
        <v>33</v>
      </c>
      <c r="B15" s="4">
        <f t="shared" ref="B15:E15" si="6">B7-B14</f>
        <v>14541000000</v>
      </c>
      <c r="C15" s="4">
        <f t="shared" si="6"/>
        <v>22899000000</v>
      </c>
      <c r="D15" s="4">
        <f t="shared" si="6"/>
        <v>24879000000</v>
      </c>
      <c r="E15" s="4">
        <f t="shared" si="6"/>
        <v>12248000000</v>
      </c>
      <c r="F15" s="4">
        <f>F7-F14</f>
        <v>36852000000</v>
      </c>
    </row>
    <row r="16" spans="1:16" x14ac:dyDescent="0.2">
      <c r="A16" t="s">
        <v>34</v>
      </c>
      <c r="B16" s="1">
        <v>-579000000</v>
      </c>
      <c r="C16" s="1">
        <v>1295000000</v>
      </c>
      <c r="D16" s="1">
        <v>13272000000</v>
      </c>
      <c r="E16" s="1">
        <v>-18184000000</v>
      </c>
      <c r="F16" s="1">
        <v>705000000</v>
      </c>
    </row>
    <row r="17" spans="1:16" x14ac:dyDescent="0.2">
      <c r="A17" s="3" t="s">
        <v>35</v>
      </c>
      <c r="B17" s="4">
        <f t="shared" ref="B17:E17" si="7">SUM(B15:B16)</f>
        <v>13962000000</v>
      </c>
      <c r="C17" s="4">
        <f t="shared" si="7"/>
        <v>24194000000</v>
      </c>
      <c r="D17" s="4">
        <f t="shared" si="7"/>
        <v>38151000000</v>
      </c>
      <c r="E17" s="4">
        <f t="shared" si="7"/>
        <v>-5936000000</v>
      </c>
      <c r="F17" s="4">
        <f>SUM(F15:F16)</f>
        <v>37557000000</v>
      </c>
    </row>
    <row r="18" spans="1:16" x14ac:dyDescent="0.2">
      <c r="A18" t="s">
        <v>36</v>
      </c>
      <c r="B18" s="1">
        <v>2374000000</v>
      </c>
      <c r="C18" s="1">
        <v>2863000000</v>
      </c>
      <c r="D18" s="1">
        <v>4791000000</v>
      </c>
      <c r="E18" s="1">
        <v>-3217000000</v>
      </c>
      <c r="F18" s="1">
        <v>7120000000</v>
      </c>
    </row>
    <row r="19" spans="1:16" x14ac:dyDescent="0.2">
      <c r="A19" t="s">
        <v>51</v>
      </c>
      <c r="B19" s="1">
        <v>14000000</v>
      </c>
      <c r="C19" s="1">
        <v>-16000000</v>
      </c>
      <c r="D19" s="1">
        <v>-4000000</v>
      </c>
      <c r="E19" s="1">
        <v>3000000</v>
      </c>
      <c r="F19" s="1">
        <v>12000000</v>
      </c>
    </row>
    <row r="20" spans="1:16" x14ac:dyDescent="0.2">
      <c r="A20" s="3" t="s">
        <v>37</v>
      </c>
      <c r="B20" s="4">
        <f t="shared" ref="B20:E20" si="8">B17-B18-B19</f>
        <v>11574000000</v>
      </c>
      <c r="C20" s="4">
        <f t="shared" si="8"/>
        <v>21347000000</v>
      </c>
      <c r="D20" s="4">
        <f t="shared" si="8"/>
        <v>33364000000</v>
      </c>
      <c r="E20" s="4">
        <f t="shared" si="8"/>
        <v>-2722000000</v>
      </c>
      <c r="F20" s="4">
        <f>F17-F18-F19</f>
        <v>30425000000</v>
      </c>
    </row>
    <row r="21" spans="1:16" x14ac:dyDescent="0.2">
      <c r="A21" s="3" t="s">
        <v>38</v>
      </c>
      <c r="B21" s="5">
        <f t="shared" ref="B21:E21" si="9">B20/B22</f>
        <v>1.1714574898785426</v>
      </c>
      <c r="C21" s="5">
        <f t="shared" si="9"/>
        <v>2.1347</v>
      </c>
      <c r="D21" s="5">
        <f t="shared" si="9"/>
        <v>3.2978155579717305</v>
      </c>
      <c r="E21" s="5">
        <f t="shared" si="9"/>
        <v>-0.2671508489547551</v>
      </c>
      <c r="F21" s="5">
        <f>F20/F22</f>
        <v>2.9527368012422359</v>
      </c>
    </row>
    <row r="22" spans="1:16" x14ac:dyDescent="0.2">
      <c r="A22" t="s">
        <v>39</v>
      </c>
      <c r="B22" s="1">
        <v>9880000000</v>
      </c>
      <c r="C22" s="1">
        <v>10000000000</v>
      </c>
      <c r="D22" s="1">
        <v>10117000000</v>
      </c>
      <c r="E22" s="1">
        <v>10189000000</v>
      </c>
      <c r="F22" s="1">
        <v>10304000000</v>
      </c>
    </row>
    <row r="24" spans="1:16" x14ac:dyDescent="0.2">
      <c r="A24" t="s">
        <v>55</v>
      </c>
      <c r="C24" s="6">
        <f>C7/B7-1</f>
        <v>0.37623430604373276</v>
      </c>
      <c r="D24" s="6">
        <f t="shared" ref="D24:F24" si="10">D7/C7-1</f>
        <v>0.21695366571345676</v>
      </c>
      <c r="E24" s="6">
        <f t="shared" si="10"/>
        <v>9.399517263985091E-2</v>
      </c>
      <c r="F24" s="6">
        <f t="shared" si="10"/>
        <v>0.1182957412988368</v>
      </c>
    </row>
    <row r="25" spans="1:16" x14ac:dyDescent="0.2">
      <c r="A25" t="s">
        <v>56</v>
      </c>
      <c r="C25" s="6">
        <f>(C20-B20)/ABS(B20)</f>
        <v>0.84439260411266637</v>
      </c>
      <c r="D25" s="6">
        <f t="shared" ref="D25:F25" si="11">(D20-C20)/ABS(C20)</f>
        <v>0.56293624396870756</v>
      </c>
      <c r="E25" s="6">
        <f t="shared" si="11"/>
        <v>-1.0815849418534949</v>
      </c>
      <c r="F25" s="6">
        <f t="shared" si="11"/>
        <v>12.177443056576047</v>
      </c>
    </row>
    <row r="26" spans="1:16" x14ac:dyDescent="0.2">
      <c r="C26" s="6"/>
      <c r="D26" s="6"/>
      <c r="E26" s="6"/>
      <c r="F26" s="6"/>
    </row>
    <row r="28" spans="1:16" x14ac:dyDescent="0.2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t="s">
        <v>18</v>
      </c>
      <c r="G28" t="s">
        <v>19</v>
      </c>
      <c r="H28">
        <f>G28+1</f>
        <v>2</v>
      </c>
      <c r="I28">
        <f t="shared" ref="I28:P28" si="12">H28+1</f>
        <v>3</v>
      </c>
      <c r="J28">
        <f t="shared" si="12"/>
        <v>4</v>
      </c>
      <c r="K28">
        <f t="shared" si="12"/>
        <v>5</v>
      </c>
      <c r="L28">
        <f t="shared" si="12"/>
        <v>6</v>
      </c>
      <c r="M28">
        <f t="shared" si="12"/>
        <v>7</v>
      </c>
      <c r="N28">
        <f t="shared" si="12"/>
        <v>8</v>
      </c>
      <c r="O28">
        <f t="shared" si="12"/>
        <v>9</v>
      </c>
      <c r="P28">
        <f t="shared" si="12"/>
        <v>10</v>
      </c>
    </row>
    <row r="29" spans="1:16" x14ac:dyDescent="0.2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25</v>
      </c>
      <c r="G29">
        <f>F29+1</f>
        <v>2024</v>
      </c>
      <c r="H29">
        <f t="shared" ref="H29:P29" si="13">G29+1</f>
        <v>2025</v>
      </c>
      <c r="I29">
        <f t="shared" si="13"/>
        <v>2026</v>
      </c>
      <c r="J29">
        <f t="shared" si="13"/>
        <v>2027</v>
      </c>
      <c r="K29">
        <f t="shared" si="13"/>
        <v>2028</v>
      </c>
      <c r="L29">
        <f t="shared" si="13"/>
        <v>2029</v>
      </c>
      <c r="M29">
        <f t="shared" si="13"/>
        <v>2030</v>
      </c>
      <c r="N29">
        <f t="shared" si="13"/>
        <v>2031</v>
      </c>
      <c r="O29">
        <f t="shared" si="13"/>
        <v>2032</v>
      </c>
      <c r="P29">
        <f t="shared" si="13"/>
        <v>2033</v>
      </c>
    </row>
    <row r="30" spans="1:16" x14ac:dyDescent="0.2">
      <c r="A30" s="3" t="s">
        <v>37</v>
      </c>
      <c r="B30" s="4">
        <f t="shared" ref="B30:E30" si="14">B20</f>
        <v>11574000000</v>
      </c>
      <c r="C30" s="4">
        <f t="shared" si="14"/>
        <v>21347000000</v>
      </c>
      <c r="D30" s="4">
        <f t="shared" si="14"/>
        <v>33364000000</v>
      </c>
      <c r="E30" s="4">
        <f t="shared" si="14"/>
        <v>-2722000000</v>
      </c>
      <c r="F30" s="4">
        <f>F20</f>
        <v>30425000000</v>
      </c>
    </row>
    <row r="31" spans="1:16" x14ac:dyDescent="0.2">
      <c r="A31" t="s">
        <v>52</v>
      </c>
      <c r="B31" s="1">
        <v>38514000000</v>
      </c>
      <c r="C31" s="1">
        <v>66064000000</v>
      </c>
      <c r="D31" s="1">
        <v>46327000000</v>
      </c>
      <c r="E31" s="1">
        <v>46752000000</v>
      </c>
      <c r="F31" s="1">
        <v>84946000000</v>
      </c>
    </row>
    <row r="32" spans="1:16" x14ac:dyDescent="0.2">
      <c r="A32" t="s">
        <v>53</v>
      </c>
      <c r="B32" s="1">
        <v>-16861000000</v>
      </c>
      <c r="C32" s="1">
        <v>-40140000000</v>
      </c>
      <c r="D32" s="1">
        <v>-61053000000</v>
      </c>
      <c r="E32" s="1">
        <v>-63645000000</v>
      </c>
      <c r="F32" s="1">
        <v>-52729000000</v>
      </c>
    </row>
    <row r="33" spans="1:16" x14ac:dyDescent="0.2">
      <c r="A33" t="s">
        <v>40</v>
      </c>
      <c r="B33" s="1">
        <v>-24281000000</v>
      </c>
      <c r="C33" s="1">
        <v>-59611000000</v>
      </c>
      <c r="D33" s="1">
        <v>-58154000000</v>
      </c>
      <c r="E33" s="1">
        <v>-37601000000</v>
      </c>
      <c r="F33" s="1">
        <v>-49833000000</v>
      </c>
    </row>
    <row r="34" spans="1:16" x14ac:dyDescent="0.2">
      <c r="A34" t="s">
        <v>41</v>
      </c>
      <c r="B34" s="1">
        <v>-10066000000</v>
      </c>
      <c r="C34" s="1">
        <v>-1104000000</v>
      </c>
      <c r="D34" s="1">
        <v>6291000000</v>
      </c>
      <c r="E34" s="1">
        <v>9718000000</v>
      </c>
      <c r="F34" s="1">
        <v>-15879000000</v>
      </c>
    </row>
    <row r="35" spans="1:16" x14ac:dyDescent="0.2">
      <c r="A35" t="s">
        <v>42</v>
      </c>
      <c r="B35" s="1">
        <v>4237000000</v>
      </c>
      <c r="C35" s="1">
        <v>5967000000</v>
      </c>
      <c r="D35" s="1">
        <v>-5900000000</v>
      </c>
      <c r="E35" s="1">
        <v>17776000000</v>
      </c>
      <c r="F35" s="1">
        <v>19637000000</v>
      </c>
    </row>
    <row r="36" spans="1:16" x14ac:dyDescent="0.2">
      <c r="A36" t="s">
        <v>43</v>
      </c>
      <c r="B36" s="1">
        <v>36410000000</v>
      </c>
      <c r="C36" s="1">
        <v>42377000000</v>
      </c>
      <c r="D36" s="1">
        <v>36477000000</v>
      </c>
      <c r="E36" s="1">
        <v>54253000000</v>
      </c>
      <c r="F36" s="1">
        <v>73890000000</v>
      </c>
    </row>
    <row r="37" spans="1:16" x14ac:dyDescent="0.2">
      <c r="A37" t="s">
        <v>44</v>
      </c>
      <c r="B37" s="1">
        <v>32173000000</v>
      </c>
      <c r="C37" s="1">
        <v>36410000000</v>
      </c>
      <c r="D37" s="1">
        <v>42377000000</v>
      </c>
      <c r="E37" s="1">
        <v>36477000000</v>
      </c>
      <c r="F37" s="1">
        <v>54253000000</v>
      </c>
    </row>
    <row r="38" spans="1:16" x14ac:dyDescent="0.2">
      <c r="A38" s="3" t="s">
        <v>45</v>
      </c>
      <c r="B38" s="4">
        <f t="shared" ref="B38:E38" si="15">B31+B32</f>
        <v>21653000000</v>
      </c>
      <c r="C38" s="4">
        <f t="shared" si="15"/>
        <v>25924000000</v>
      </c>
      <c r="D38" s="4">
        <f t="shared" si="15"/>
        <v>-14726000000</v>
      </c>
      <c r="E38" s="4">
        <f t="shared" si="15"/>
        <v>-16893000000</v>
      </c>
      <c r="F38" s="4">
        <f>F31+F32</f>
        <v>32217000000</v>
      </c>
      <c r="G38" s="4">
        <f>((4064000000+7661000000)/2)*4</f>
        <v>23450000000</v>
      </c>
      <c r="H38" s="4">
        <f t="shared" ref="H38:P38" si="16">G38*(1+fgr)</f>
        <v>28609000000</v>
      </c>
      <c r="I38" s="4">
        <f t="shared" si="16"/>
        <v>34902980000</v>
      </c>
      <c r="J38" s="4">
        <f t="shared" si="16"/>
        <v>42581635600</v>
      </c>
      <c r="K38" s="4">
        <f t="shared" si="16"/>
        <v>51949595432</v>
      </c>
      <c r="L38" s="4">
        <f t="shared" si="16"/>
        <v>63378506427.040001</v>
      </c>
      <c r="M38" s="4">
        <f t="shared" si="16"/>
        <v>77321777840.9888</v>
      </c>
      <c r="N38" s="4">
        <f t="shared" si="16"/>
        <v>94332568966.006332</v>
      </c>
      <c r="O38" s="4">
        <f t="shared" si="16"/>
        <v>115085734138.52773</v>
      </c>
      <c r="P38" s="4">
        <f t="shared" si="16"/>
        <v>140404595649.00381</v>
      </c>
    </row>
    <row r="40" spans="1:16" x14ac:dyDescent="0.2">
      <c r="A40" t="s">
        <v>54</v>
      </c>
      <c r="C40" s="6">
        <f>(C38-B38)/ABS(B38)</f>
        <v>0.19724749457350021</v>
      </c>
      <c r="D40" s="6">
        <f t="shared" ref="D40:G40" si="17">(D38-C38)/ABS(C38)</f>
        <v>-1.5680450547754976</v>
      </c>
      <c r="E40" s="6">
        <f t="shared" si="17"/>
        <v>-0.14715469238082304</v>
      </c>
      <c r="F40" s="6">
        <f t="shared" si="17"/>
        <v>2.9071212928431893</v>
      </c>
      <c r="G40" s="6">
        <f t="shared" si="17"/>
        <v>-0.27212341310488253</v>
      </c>
    </row>
    <row r="42" spans="1:16" x14ac:dyDescent="0.2">
      <c r="A42" t="s">
        <v>57</v>
      </c>
      <c r="B42" s="1">
        <f>AVERAGE(F38:G38)</f>
        <v>27833500000</v>
      </c>
    </row>
    <row r="43" spans="1:16" x14ac:dyDescent="0.2">
      <c r="A43" t="s">
        <v>58</v>
      </c>
      <c r="B43" s="1">
        <f>AVERAGE(B38:G38)</f>
        <v>11937500000</v>
      </c>
    </row>
    <row r="44" spans="1:16" x14ac:dyDescent="0.2">
      <c r="A44" t="s">
        <v>59</v>
      </c>
      <c r="B44" s="7">
        <f>AVERAGE(C40:G40)</f>
        <v>0.22340912543109726</v>
      </c>
    </row>
    <row r="46" spans="1:16" x14ac:dyDescent="0.2">
      <c r="A46" t="s">
        <v>0</v>
      </c>
      <c r="B46" s="6">
        <v>0.22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1"/>
  <sheetViews>
    <sheetView topLeftCell="A3" zoomScale="130" zoomScaleNormal="130" workbookViewId="0">
      <selection activeCell="C11" sqref="C11"/>
    </sheetView>
  </sheetViews>
  <sheetFormatPr baseColWidth="10" defaultColWidth="8.83203125" defaultRowHeight="15" x14ac:dyDescent="0.2"/>
  <cols>
    <col min="3" max="3" width="9.1640625" bestFit="1" customWidth="1"/>
  </cols>
  <sheetData>
    <row r="4" spans="2:3" x14ac:dyDescent="0.2">
      <c r="B4" t="s">
        <v>46</v>
      </c>
      <c r="C4">
        <v>188.99</v>
      </c>
    </row>
    <row r="5" spans="2:3" x14ac:dyDescent="0.2">
      <c r="B5" t="s">
        <v>9</v>
      </c>
      <c r="C5" s="2">
        <v>10708</v>
      </c>
    </row>
    <row r="6" spans="2:3" x14ac:dyDescent="0.2">
      <c r="B6" t="s">
        <v>47</v>
      </c>
      <c r="C6" s="2">
        <f>C4*C5</f>
        <v>2023704.9200000002</v>
      </c>
    </row>
    <row r="7" spans="2:3" x14ac:dyDescent="0.2">
      <c r="B7" t="s">
        <v>48</v>
      </c>
      <c r="C7" s="2">
        <f>71178+17914</f>
        <v>89092</v>
      </c>
    </row>
    <row r="8" spans="2:3" x14ac:dyDescent="0.2">
      <c r="B8" t="s">
        <v>49</v>
      </c>
      <c r="C8" s="2">
        <f>54889</f>
        <v>54889</v>
      </c>
    </row>
    <row r="9" spans="2:3" x14ac:dyDescent="0.2">
      <c r="B9" t="s">
        <v>6</v>
      </c>
      <c r="C9" s="2">
        <f>C6-C7+C8</f>
        <v>1989501.9200000002</v>
      </c>
    </row>
    <row r="11" spans="2:3" x14ac:dyDescent="0.2">
      <c r="B11" t="s">
        <v>7</v>
      </c>
      <c r="C11" s="2">
        <f>C7-C8</f>
        <v>34203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model</vt:lpstr>
      <vt:lpstr>main</vt:lpstr>
      <vt:lpstr>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2024-10-19T02:16:11Z</dcterms:created>
  <dcterms:modified xsi:type="dcterms:W3CDTF">2024-10-19T04:15:59Z</dcterms:modified>
</cp:coreProperties>
</file>