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4197385-AE92-49C4-8187-6C37BB95B3AB}" xr6:coauthVersionLast="47" xr6:coauthVersionMax="47" xr10:uidLastSave="{00000000-0000-0000-0000-000000000000}"/>
  <bookViews>
    <workbookView xWindow="-51495" yWindow="1035" windowWidth="29715" windowHeight="15060" xr2:uid="{17641224-F2C3-441B-B85B-BB32567FE633}"/>
  </bookViews>
  <sheets>
    <sheet name="Main" sheetId="1" r:id="rId1"/>
    <sheet name="Industry Model" sheetId="9" r:id="rId2"/>
    <sheet name="Todo" sheetId="8" r:id="rId3"/>
    <sheet name="Recommendations" sheetId="7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" i="6" l="1"/>
  <c r="A25" i="6"/>
  <c r="CR9" i="6"/>
  <c r="CQ9" i="6"/>
  <c r="CP9" i="6"/>
  <c r="CO9" i="6"/>
  <c r="CN9" i="6"/>
  <c r="CM9" i="6"/>
  <c r="CL9" i="6"/>
  <c r="CK9" i="6"/>
  <c r="CJ9" i="6"/>
  <c r="CI9" i="6"/>
  <c r="CH9" i="6"/>
  <c r="CG9" i="6"/>
  <c r="CF9" i="6"/>
  <c r="CE9" i="6"/>
  <c r="CD9" i="6"/>
  <c r="CC9" i="6"/>
  <c r="CB9" i="6"/>
  <c r="CA9" i="6"/>
  <c r="BZ9" i="6"/>
  <c r="BY9" i="6"/>
  <c r="BX9" i="6"/>
  <c r="BW9" i="6"/>
  <c r="BV9" i="6"/>
  <c r="BU9" i="6"/>
  <c r="BT9" i="6"/>
  <c r="BS9" i="6"/>
  <c r="BR9" i="6"/>
  <c r="BQ9" i="6"/>
  <c r="BP9" i="6"/>
  <c r="BO9" i="6"/>
  <c r="BN9" i="6"/>
  <c r="BM9" i="6"/>
  <c r="BL9" i="6"/>
  <c r="BK9" i="6"/>
  <c r="BJ9" i="6"/>
  <c r="BI9" i="6"/>
  <c r="BH9" i="6"/>
  <c r="BG9" i="6"/>
  <c r="BF9" i="6"/>
  <c r="BE9" i="6"/>
  <c r="BD9" i="6"/>
  <c r="BC9" i="6"/>
  <c r="BB9" i="6"/>
  <c r="BA9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H9" i="6"/>
  <c r="AG9" i="6"/>
  <c r="AF9" i="6"/>
  <c r="AE9" i="6"/>
  <c r="AD9" i="6"/>
  <c r="AC9" i="6"/>
  <c r="V24" i="6" l="1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G24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5" i="6"/>
  <c r="G23" i="6"/>
  <c r="G22" i="6"/>
  <c r="G21" i="6"/>
  <c r="G19" i="6"/>
  <c r="G18" i="6"/>
  <c r="G17" i="6"/>
  <c r="G16" i="6"/>
  <c r="G15" i="6"/>
  <c r="G4" i="6"/>
  <c r="G3" i="6"/>
  <c r="G78" i="6"/>
  <c r="G12" i="6"/>
  <c r="G11" i="6"/>
  <c r="G10" i="6"/>
  <c r="G8" i="6"/>
  <c r="G7" i="6"/>
  <c r="G6" i="6"/>
  <c r="G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I51" i="6"/>
  <c r="J51" i="6"/>
  <c r="K51" i="6"/>
  <c r="L51" i="6"/>
  <c r="M51" i="6"/>
  <c r="N51" i="6"/>
  <c r="O51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V35" i="6" l="1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X3" i="6"/>
  <c r="W3" i="6"/>
  <c r="V3" i="6"/>
  <c r="U3" i="6"/>
  <c r="T3" i="6"/>
  <c r="S3" i="6"/>
  <c r="R3" i="6"/>
  <c r="Q3" i="6"/>
  <c r="P3" i="6"/>
  <c r="A6" i="6"/>
  <c r="A7" i="6" s="1"/>
  <c r="X17" i="6" l="1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G77" i="6"/>
  <c r="G76" i="6"/>
  <c r="G5" i="6" s="1"/>
  <c r="X4" i="6"/>
  <c r="W4" i="6"/>
  <c r="V4" i="6"/>
  <c r="V34" i="6"/>
  <c r="U34" i="6"/>
  <c r="V33" i="6"/>
  <c r="U33" i="6"/>
  <c r="V32" i="6"/>
  <c r="U32" i="6"/>
  <c r="V31" i="6"/>
  <c r="U31" i="6"/>
  <c r="V30" i="6"/>
  <c r="U30" i="6"/>
  <c r="V28" i="6"/>
  <c r="U28" i="6"/>
  <c r="V27" i="6"/>
  <c r="U27" i="6"/>
  <c r="V26" i="6"/>
  <c r="U26" i="6"/>
  <c r="V25" i="6"/>
  <c r="U25" i="6"/>
  <c r="V79" i="6"/>
  <c r="U79" i="6"/>
  <c r="V14" i="6"/>
  <c r="U14" i="6"/>
  <c r="V18" i="6"/>
  <c r="U18" i="6"/>
  <c r="V23" i="6"/>
  <c r="U23" i="6"/>
  <c r="V22" i="6"/>
  <c r="U22" i="6"/>
  <c r="V21" i="6"/>
  <c r="U21" i="6"/>
  <c r="V20" i="6"/>
  <c r="U20" i="6"/>
  <c r="V19" i="6"/>
  <c r="U19" i="6"/>
  <c r="V15" i="6"/>
  <c r="U15" i="6"/>
  <c r="V16" i="6"/>
  <c r="U16" i="6"/>
  <c r="V78" i="6"/>
  <c r="U78" i="6"/>
  <c r="V77" i="6"/>
  <c r="U77" i="6"/>
  <c r="V12" i="6"/>
  <c r="U12" i="6"/>
  <c r="V6" i="6"/>
  <c r="U6" i="6"/>
  <c r="V11" i="6"/>
  <c r="U11" i="6"/>
  <c r="V76" i="6"/>
  <c r="U76" i="6"/>
  <c r="V8" i="6"/>
  <c r="U8" i="6"/>
  <c r="V7" i="6"/>
  <c r="U7" i="6"/>
  <c r="U4" i="6"/>
  <c r="T4" i="6"/>
  <c r="S4" i="6"/>
  <c r="R4" i="6"/>
  <c r="Q4" i="6"/>
  <c r="P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30" i="6"/>
  <c r="S30" i="6"/>
  <c r="R30" i="6"/>
  <c r="Q30" i="6"/>
  <c r="P30" i="6"/>
  <c r="O30" i="6"/>
  <c r="N30" i="6"/>
  <c r="M30" i="6"/>
  <c r="L30" i="6"/>
  <c r="K30" i="6"/>
  <c r="J30" i="6"/>
  <c r="I30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I27" i="6"/>
  <c r="T26" i="6"/>
  <c r="S26" i="6"/>
  <c r="R26" i="6"/>
  <c r="Q26" i="6"/>
  <c r="P26" i="6"/>
  <c r="O26" i="6"/>
  <c r="N26" i="6"/>
  <c r="M26" i="6"/>
  <c r="L26" i="6"/>
  <c r="K26" i="6"/>
  <c r="J26" i="6"/>
  <c r="T25" i="6"/>
  <c r="S25" i="6"/>
  <c r="R25" i="6"/>
  <c r="Q25" i="6"/>
  <c r="P25" i="6"/>
  <c r="O25" i="6"/>
  <c r="N25" i="6"/>
  <c r="M25" i="6"/>
  <c r="L25" i="6"/>
  <c r="K25" i="6"/>
  <c r="J25" i="6"/>
  <c r="I25" i="6"/>
  <c r="T79" i="6"/>
  <c r="S79" i="6"/>
  <c r="R79" i="6"/>
  <c r="Q79" i="6"/>
  <c r="P79" i="6"/>
  <c r="O79" i="6"/>
  <c r="N79" i="6"/>
  <c r="M79" i="6"/>
  <c r="L79" i="6"/>
  <c r="K79" i="6"/>
  <c r="I79" i="6"/>
  <c r="T14" i="6"/>
  <c r="S14" i="6"/>
  <c r="R14" i="6"/>
  <c r="Q14" i="6"/>
  <c r="P14" i="6"/>
  <c r="O14" i="6"/>
  <c r="N14" i="6"/>
  <c r="M14" i="6"/>
  <c r="L14" i="6"/>
  <c r="K14" i="6"/>
  <c r="J14" i="6"/>
  <c r="T18" i="6"/>
  <c r="S18" i="6"/>
  <c r="R18" i="6"/>
  <c r="Q18" i="6"/>
  <c r="P18" i="6"/>
  <c r="O18" i="6"/>
  <c r="N18" i="6"/>
  <c r="M18" i="6"/>
  <c r="L18" i="6"/>
  <c r="K18" i="6"/>
  <c r="J18" i="6"/>
  <c r="I18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N21" i="6"/>
  <c r="M21" i="6"/>
  <c r="L21" i="6"/>
  <c r="K21" i="6"/>
  <c r="J21" i="6"/>
  <c r="I21" i="6"/>
  <c r="T20" i="6"/>
  <c r="S20" i="6"/>
  <c r="R20" i="6"/>
  <c r="Q20" i="6"/>
  <c r="P20" i="6"/>
  <c r="O20" i="6"/>
  <c r="T19" i="6"/>
  <c r="S19" i="6"/>
  <c r="R19" i="6"/>
  <c r="Q19" i="6"/>
  <c r="P19" i="6"/>
  <c r="O19" i="6"/>
  <c r="N19" i="6"/>
  <c r="M19" i="6"/>
  <c r="L19" i="6"/>
  <c r="K19" i="6"/>
  <c r="J19" i="6"/>
  <c r="I19" i="6"/>
  <c r="T15" i="6"/>
  <c r="S15" i="6"/>
  <c r="R15" i="6"/>
  <c r="Q15" i="6"/>
  <c r="P15" i="6"/>
  <c r="O15" i="6"/>
  <c r="N15" i="6"/>
  <c r="M15" i="6"/>
  <c r="L15" i="6"/>
  <c r="K15" i="6"/>
  <c r="J15" i="6"/>
  <c r="I15" i="6"/>
  <c r="T16" i="6"/>
  <c r="S16" i="6"/>
  <c r="R16" i="6"/>
  <c r="Q16" i="6"/>
  <c r="P16" i="6"/>
  <c r="O16" i="6"/>
  <c r="N16" i="6"/>
  <c r="M16" i="6"/>
  <c r="L16" i="6"/>
  <c r="K16" i="6"/>
  <c r="J16" i="6"/>
  <c r="I16" i="6"/>
  <c r="T78" i="6"/>
  <c r="S78" i="6"/>
  <c r="R78" i="6"/>
  <c r="Q78" i="6"/>
  <c r="P78" i="6"/>
  <c r="O78" i="6"/>
  <c r="N78" i="6"/>
  <c r="M78" i="6"/>
  <c r="L78" i="6"/>
  <c r="K78" i="6"/>
  <c r="J78" i="6"/>
  <c r="I78" i="6"/>
  <c r="U5" i="6" l="1"/>
  <c r="V5" i="6"/>
  <c r="T12" i="6"/>
  <c r="T6" i="6"/>
  <c r="T11" i="6"/>
  <c r="T76" i="6"/>
  <c r="T8" i="6"/>
  <c r="T7" i="6"/>
  <c r="T77" i="6"/>
  <c r="S77" i="6"/>
  <c r="S12" i="6"/>
  <c r="S6" i="6"/>
  <c r="S11" i="6"/>
  <c r="S76" i="6"/>
  <c r="S5" i="6" s="1"/>
  <c r="S8" i="6"/>
  <c r="S7" i="6"/>
  <c r="R77" i="6"/>
  <c r="I77" i="6"/>
  <c r="I5" i="6" s="1"/>
  <c r="O77" i="6"/>
  <c r="O5" i="6" s="1"/>
  <c r="O12" i="6"/>
  <c r="R12" i="6"/>
  <c r="R6" i="6"/>
  <c r="R11" i="6"/>
  <c r="R76" i="6"/>
  <c r="R8" i="6"/>
  <c r="R7" i="6"/>
  <c r="Q77" i="6"/>
  <c r="Q12" i="6"/>
  <c r="Q6" i="6"/>
  <c r="Q11" i="6"/>
  <c r="Q76" i="6"/>
  <c r="Q8" i="6"/>
  <c r="Q7" i="6"/>
  <c r="P77" i="6"/>
  <c r="N77" i="6"/>
  <c r="N5" i="6" s="1"/>
  <c r="P12" i="6"/>
  <c r="P6" i="6"/>
  <c r="P11" i="6"/>
  <c r="P76" i="6"/>
  <c r="P8" i="6"/>
  <c r="P7" i="6"/>
  <c r="A8" i="6"/>
  <c r="A9" i="6" s="1"/>
  <c r="A10" i="6" s="1"/>
  <c r="A11" i="6" s="1"/>
  <c r="A12" i="6" s="1"/>
  <c r="A13" i="6" s="1"/>
  <c r="A14" i="6" s="1"/>
  <c r="A15" i="6" s="1"/>
  <c r="A16" i="6" s="1"/>
  <c r="A17" i="6" s="1"/>
  <c r="M77" i="6"/>
  <c r="M5" i="6" s="1"/>
  <c r="L77" i="6"/>
  <c r="L5" i="6" s="1"/>
  <c r="K77" i="6"/>
  <c r="K5" i="6" s="1"/>
  <c r="J77" i="6"/>
  <c r="J5" i="6" s="1"/>
  <c r="O7" i="6"/>
  <c r="N7" i="6"/>
  <c r="M7" i="6"/>
  <c r="L7" i="6"/>
  <c r="K7" i="6"/>
  <c r="J7" i="6"/>
  <c r="I7" i="6"/>
  <c r="T5" i="6" l="1"/>
  <c r="Q5" i="6"/>
  <c r="R5" i="6"/>
  <c r="P5" i="6"/>
  <c r="AV20" i="6"/>
  <c r="AW20" i="6"/>
  <c r="AX20" i="6"/>
  <c r="A18" i="6" l="1"/>
  <c r="A19" i="6" s="1"/>
  <c r="A20" i="6" s="1"/>
  <c r="A21" i="6" s="1"/>
  <c r="A22" i="6" s="1"/>
  <c r="A23" i="6" s="1"/>
  <c r="A24" i="6" s="1"/>
  <c r="N20" i="6"/>
  <c r="N12" i="6"/>
  <c r="M12" i="6"/>
  <c r="L12" i="6"/>
  <c r="K12" i="6"/>
  <c r="I12" i="6"/>
  <c r="J12" i="6"/>
  <c r="H63" i="7"/>
  <c r="B157" i="1"/>
  <c r="B149" i="1"/>
  <c r="B150" i="1" s="1"/>
  <c r="B151" i="1" s="1"/>
  <c r="B152" i="1" s="1"/>
  <c r="B153" i="1" s="1"/>
  <c r="B154" i="1" s="1"/>
  <c r="B155" i="1" s="1"/>
  <c r="B156" i="1" s="1"/>
  <c r="B82" i="1"/>
  <c r="B83" i="1"/>
  <c r="B84" i="1" s="1"/>
  <c r="B85" i="1" s="1"/>
  <c r="B86" i="1" s="1"/>
  <c r="B87" i="1" s="1"/>
  <c r="B88" i="1" s="1"/>
  <c r="G82" i="1"/>
  <c r="J82" i="1"/>
  <c r="F82" i="1" s="1"/>
  <c r="H52" i="7"/>
  <c r="B158" i="1" l="1"/>
  <c r="H82" i="1"/>
  <c r="G57" i="1" l="1"/>
  <c r="J57" i="1"/>
  <c r="F57" i="1" s="1"/>
  <c r="H57" i="1" l="1"/>
  <c r="G80" i="1"/>
  <c r="J80" i="1"/>
  <c r="F80" i="1" s="1"/>
  <c r="H80" i="1" l="1"/>
  <c r="H62" i="7" l="1"/>
  <c r="H60" i="7" l="1"/>
  <c r="H59" i="7"/>
  <c r="H58" i="7"/>
  <c r="H61" i="7"/>
  <c r="H57" i="7"/>
  <c r="H56" i="7" l="1"/>
  <c r="G86" i="1" l="1"/>
  <c r="J86" i="1"/>
  <c r="F86" i="1" s="1"/>
  <c r="H55" i="7"/>
  <c r="G90" i="1"/>
  <c r="J90" i="1"/>
  <c r="F90" i="1" s="1"/>
  <c r="G78" i="1"/>
  <c r="J78" i="1"/>
  <c r="F78" i="1" s="1"/>
  <c r="O47" i="6"/>
  <c r="N47" i="6"/>
  <c r="M47" i="6"/>
  <c r="H86" i="1" l="1"/>
  <c r="H90" i="1"/>
  <c r="H78" i="1"/>
  <c r="G246" i="1"/>
  <c r="J246" i="1"/>
  <c r="F246" i="1" s="1"/>
  <c r="G105" i="1"/>
  <c r="F105" i="1"/>
  <c r="H105" i="1" l="1"/>
  <c r="H246" i="1"/>
  <c r="H54" i="7" l="1"/>
  <c r="H53" i="7" l="1"/>
  <c r="G98" i="1" l="1"/>
  <c r="J98" i="1"/>
  <c r="F98" i="1" s="1"/>
  <c r="H98" i="1" l="1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51" i="7"/>
  <c r="G240" i="1" l="1"/>
  <c r="J240" i="1"/>
  <c r="F240" i="1" s="1"/>
  <c r="H240" i="1" l="1"/>
  <c r="G97" i="1"/>
  <c r="J97" i="1"/>
  <c r="F97" i="1" s="1"/>
  <c r="H97" i="1" l="1"/>
  <c r="G94" i="1"/>
  <c r="J94" i="1"/>
  <c r="F94" i="1" s="1"/>
  <c r="H94" i="1" l="1"/>
  <c r="G107" i="1"/>
  <c r="J107" i="1"/>
  <c r="F107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H26" i="9"/>
  <c r="G26" i="9"/>
  <c r="G93" i="1" l="1"/>
  <c r="H93" i="1" s="1"/>
  <c r="J93" i="1"/>
  <c r="G75" i="1"/>
  <c r="J75" i="1"/>
  <c r="F75" i="1" s="1"/>
  <c r="H75" i="1" l="1"/>
  <c r="G213" i="1" l="1"/>
  <c r="J213" i="1"/>
  <c r="F213" i="1" s="1"/>
  <c r="H213" i="1" l="1"/>
  <c r="G214" i="1"/>
  <c r="J214" i="1"/>
  <c r="F214" i="1" s="1"/>
  <c r="G312" i="1"/>
  <c r="J312" i="1"/>
  <c r="F312" i="1" s="1"/>
  <c r="H214" i="1" l="1"/>
  <c r="H312" i="1"/>
  <c r="G210" i="1"/>
  <c r="J210" i="1"/>
  <c r="F210" i="1" s="1"/>
  <c r="H210" i="1" l="1"/>
  <c r="G422" i="1"/>
  <c r="J422" i="1"/>
  <c r="F422" i="1" s="1"/>
  <c r="H422" i="1" l="1"/>
  <c r="G423" i="1"/>
  <c r="J423" i="1"/>
  <c r="F423" i="1" s="1"/>
  <c r="G313" i="1"/>
  <c r="J313" i="1"/>
  <c r="F313" i="1" s="1"/>
  <c r="G108" i="1"/>
  <c r="J108" i="1"/>
  <c r="F108" i="1" s="1"/>
  <c r="H108" i="1" l="1"/>
  <c r="H313" i="1"/>
  <c r="H423" i="1"/>
  <c r="G72" i="1"/>
  <c r="J72" i="1"/>
  <c r="F72" i="1" s="1"/>
  <c r="H72" i="1" l="1"/>
  <c r="G81" i="1"/>
  <c r="J81" i="1"/>
  <c r="F81" i="1" s="1"/>
  <c r="G68" i="1"/>
  <c r="J68" i="1"/>
  <c r="G73" i="1"/>
  <c r="J73" i="1"/>
  <c r="F73" i="1" s="1"/>
  <c r="H81" i="1" l="1"/>
  <c r="H73" i="1"/>
  <c r="F68" i="1" l="1"/>
  <c r="H68" i="1" s="1"/>
  <c r="G116" i="1" l="1"/>
  <c r="F116" i="1"/>
  <c r="H116" i="1" l="1"/>
  <c r="G320" i="1" l="1"/>
  <c r="J320" i="1"/>
  <c r="F320" i="1" s="1"/>
  <c r="H320" i="1" l="1"/>
  <c r="G63" i="1"/>
  <c r="J63" i="1"/>
  <c r="F63" i="1" s="1"/>
  <c r="I113" i="1"/>
  <c r="K113" i="1"/>
  <c r="H63" i="1" l="1"/>
  <c r="G114" i="1"/>
  <c r="J114" i="1"/>
  <c r="F114" i="1" s="1"/>
  <c r="H107" i="1"/>
  <c r="H114" i="1" l="1"/>
  <c r="G117" i="1"/>
  <c r="J117" i="1"/>
  <c r="F117" i="1" s="1"/>
  <c r="G54" i="1"/>
  <c r="J54" i="1"/>
  <c r="F54" i="1" s="1"/>
  <c r="H117" i="1" l="1"/>
  <c r="H54" i="1"/>
  <c r="G222" i="1"/>
  <c r="J222" i="1"/>
  <c r="F222" i="1" s="1"/>
  <c r="H222" i="1" l="1"/>
  <c r="G318" i="1" l="1"/>
  <c r="J318" i="1"/>
  <c r="F318" i="1" s="1"/>
  <c r="G87" i="1"/>
  <c r="H318" i="1" l="1"/>
  <c r="J87" i="1"/>
  <c r="F87" i="1" s="1"/>
  <c r="H87" i="1" s="1"/>
  <c r="G207" i="1"/>
  <c r="J207" i="1"/>
  <c r="F207" i="1" s="1"/>
  <c r="H207" i="1" l="1"/>
  <c r="G315" i="1" l="1"/>
  <c r="J315" i="1"/>
  <c r="F315" i="1" s="1"/>
  <c r="G83" i="1"/>
  <c r="J83" i="1"/>
  <c r="F83" i="1" s="1"/>
  <c r="H315" i="1" l="1"/>
  <c r="H83" i="1"/>
  <c r="G209" i="1"/>
  <c r="J209" i="1"/>
  <c r="F209" i="1" s="1"/>
  <c r="H209" i="1" l="1"/>
  <c r="G317" i="1" l="1"/>
  <c r="J317" i="1"/>
  <c r="F317" i="1" s="1"/>
  <c r="H317" i="1" l="1"/>
  <c r="G99" i="1"/>
  <c r="J99" i="1"/>
  <c r="F99" i="1" s="1"/>
  <c r="H99" i="1" l="1"/>
  <c r="J118" i="1" l="1"/>
  <c r="F118" i="1" s="1"/>
  <c r="G118" i="1"/>
  <c r="H118" i="1" l="1"/>
  <c r="J101" i="1"/>
  <c r="F101" i="1" s="1"/>
  <c r="G101" i="1"/>
  <c r="G247" i="1"/>
  <c r="J247" i="1"/>
  <c r="F247" i="1" s="1"/>
  <c r="H101" i="1" l="1"/>
  <c r="H247" i="1"/>
  <c r="P5" i="1"/>
  <c r="O5" i="1"/>
  <c r="L5" i="1"/>
  <c r="M5" i="1" s="1"/>
  <c r="G79" i="1" l="1"/>
  <c r="J79" i="1"/>
  <c r="F79" i="1" s="1"/>
  <c r="H79" i="1" l="1"/>
  <c r="G218" i="1"/>
  <c r="J218" i="1"/>
  <c r="F218" i="1" s="1"/>
  <c r="G316" i="1"/>
  <c r="J316" i="1"/>
  <c r="F316" i="1" s="1"/>
  <c r="H218" i="1" l="1"/>
  <c r="H316" i="1"/>
  <c r="G106" i="1"/>
  <c r="J106" i="1"/>
  <c r="F106" i="1" s="1"/>
  <c r="G74" i="1"/>
  <c r="J74" i="1"/>
  <c r="F74" i="1" s="1"/>
  <c r="H106" i="1" l="1"/>
  <c r="H74" i="1"/>
  <c r="G62" i="1" l="1"/>
  <c r="J62" i="1"/>
  <c r="F62" i="1" s="1"/>
  <c r="G53" i="1"/>
  <c r="J53" i="1"/>
  <c r="F53" i="1" s="1"/>
  <c r="H62" i="1" l="1"/>
  <c r="H53" i="1"/>
  <c r="G112" i="1"/>
  <c r="J112" i="1" l="1"/>
  <c r="F112" i="1" s="1"/>
  <c r="H112" i="1" s="1"/>
  <c r="G104" i="1"/>
  <c r="J104" i="1"/>
  <c r="F104" i="1" s="1"/>
  <c r="G67" i="1"/>
  <c r="J67" i="1"/>
  <c r="F67" i="1" s="1"/>
  <c r="G35" i="1"/>
  <c r="J35" i="1"/>
  <c r="F35" i="1" s="1"/>
  <c r="G55" i="1"/>
  <c r="J55" i="1"/>
  <c r="F55" i="1" s="1"/>
  <c r="G56" i="1"/>
  <c r="J56" i="1"/>
  <c r="F56" i="1" s="1"/>
  <c r="G102" i="1"/>
  <c r="J102" i="1"/>
  <c r="F102" i="1" s="1"/>
  <c r="G76" i="1"/>
  <c r="J76" i="1"/>
  <c r="F76" i="1" s="1"/>
  <c r="H104" i="1" l="1"/>
  <c r="H67" i="1"/>
  <c r="H35" i="1"/>
  <c r="H76" i="1"/>
  <c r="H55" i="1"/>
  <c r="H56" i="1"/>
  <c r="H102" i="1"/>
  <c r="J89" i="1" l="1"/>
  <c r="F89" i="1" s="1"/>
  <c r="G50" i="1" l="1"/>
  <c r="J65" i="1" l="1"/>
  <c r="F65" i="1" s="1"/>
  <c r="G65" i="1"/>
  <c r="G44" i="1" l="1"/>
  <c r="G34" i="1" l="1"/>
  <c r="J34" i="1"/>
  <c r="F34" i="1" s="1"/>
  <c r="G49" i="1"/>
  <c r="G60" i="1"/>
  <c r="H34" i="1" l="1"/>
  <c r="G45" i="1"/>
  <c r="G96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205" i="1" l="1"/>
  <c r="J205" i="1"/>
  <c r="F205" i="1" s="1"/>
  <c r="H205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O61" i="6"/>
  <c r="N61" i="6"/>
  <c r="M61" i="6"/>
  <c r="L61" i="6"/>
  <c r="K61" i="6"/>
  <c r="J61" i="6"/>
  <c r="I61" i="6"/>
  <c r="O62" i="6"/>
  <c r="N62" i="6"/>
  <c r="M62" i="6"/>
  <c r="L62" i="6"/>
  <c r="K62" i="6"/>
  <c r="J62" i="6"/>
  <c r="I62" i="6"/>
  <c r="O60" i="6"/>
  <c r="N60" i="6"/>
  <c r="M60" i="6"/>
  <c r="L60" i="6"/>
  <c r="K60" i="6"/>
  <c r="J60" i="6"/>
  <c r="I60" i="6"/>
  <c r="O57" i="6"/>
  <c r="N57" i="6"/>
  <c r="M57" i="6"/>
  <c r="L57" i="6"/>
  <c r="K57" i="6"/>
  <c r="J57" i="6"/>
  <c r="I57" i="6"/>
  <c r="J54" i="6"/>
  <c r="J64" i="6"/>
  <c r="I54" i="6"/>
  <c r="I64" i="6"/>
  <c r="O54" i="6"/>
  <c r="O64" i="6"/>
  <c r="N54" i="6"/>
  <c r="N64" i="6"/>
  <c r="M54" i="6"/>
  <c r="M64" i="6"/>
  <c r="L54" i="6"/>
  <c r="L64" i="6"/>
  <c r="K54" i="6"/>
  <c r="K64" i="6"/>
  <c r="O55" i="6"/>
  <c r="N55" i="6"/>
  <c r="M55" i="6"/>
  <c r="L55" i="6"/>
  <c r="K55" i="6"/>
  <c r="J55" i="6"/>
  <c r="I55" i="6"/>
  <c r="O58" i="6"/>
  <c r="N58" i="6"/>
  <c r="M58" i="6"/>
  <c r="L58" i="6"/>
  <c r="K58" i="6"/>
  <c r="J58" i="6"/>
  <c r="I58" i="6"/>
  <c r="O45" i="6"/>
  <c r="N45" i="6"/>
  <c r="M45" i="6"/>
  <c r="L45" i="6"/>
  <c r="K45" i="6"/>
  <c r="J45" i="6"/>
  <c r="I45" i="6"/>
  <c r="I53" i="6"/>
  <c r="J53" i="6"/>
  <c r="K53" i="6"/>
  <c r="L53" i="6"/>
  <c r="M53" i="6"/>
  <c r="N53" i="6"/>
  <c r="O53" i="6"/>
  <c r="L47" i="6"/>
  <c r="K47" i="6"/>
  <c r="J47" i="6"/>
  <c r="I47" i="6"/>
  <c r="N59" i="6"/>
  <c r="M59" i="6"/>
  <c r="M49" i="6"/>
  <c r="L59" i="6"/>
  <c r="L49" i="6"/>
  <c r="K59" i="6"/>
  <c r="J59" i="6"/>
  <c r="I59" i="6"/>
  <c r="J421" i="1" l="1"/>
  <c r="F421" i="1" s="1"/>
  <c r="G421" i="1"/>
  <c r="H421" i="1" l="1"/>
  <c r="J95" i="1"/>
  <c r="F95" i="1" s="1"/>
  <c r="G95" i="1"/>
  <c r="H95" i="1" l="1"/>
  <c r="O59" i="6" l="1"/>
  <c r="O49" i="6"/>
  <c r="O46" i="6"/>
  <c r="O63" i="6"/>
  <c r="O48" i="6"/>
  <c r="O56" i="6"/>
  <c r="O50" i="6"/>
  <c r="O52" i="6"/>
  <c r="O6" i="6"/>
  <c r="O44" i="6"/>
  <c r="O8" i="6"/>
  <c r="N49" i="6"/>
  <c r="N46" i="6"/>
  <c r="N63" i="6"/>
  <c r="N48" i="6"/>
  <c r="N56" i="6"/>
  <c r="N50" i="6"/>
  <c r="N52" i="6"/>
  <c r="N6" i="6"/>
  <c r="N44" i="6"/>
  <c r="N8" i="6"/>
  <c r="M46" i="6"/>
  <c r="M63" i="6"/>
  <c r="M48" i="6"/>
  <c r="M56" i="6"/>
  <c r="M50" i="6"/>
  <c r="M52" i="6"/>
  <c r="M6" i="6"/>
  <c r="M44" i="6"/>
  <c r="M8" i="6"/>
  <c r="L46" i="6"/>
  <c r="L63" i="6"/>
  <c r="L48" i="6"/>
  <c r="L56" i="6"/>
  <c r="L50" i="6"/>
  <c r="L52" i="6"/>
  <c r="L6" i="6"/>
  <c r="L44" i="6"/>
  <c r="L8" i="6"/>
  <c r="K49" i="6"/>
  <c r="J49" i="6"/>
  <c r="I49" i="6"/>
  <c r="K46" i="6"/>
  <c r="J46" i="6"/>
  <c r="I46" i="6"/>
  <c r="K63" i="6"/>
  <c r="J63" i="6"/>
  <c r="I63" i="6"/>
  <c r="K48" i="6"/>
  <c r="J48" i="6"/>
  <c r="I48" i="6"/>
  <c r="K56" i="6"/>
  <c r="J56" i="6"/>
  <c r="I56" i="6"/>
  <c r="K6" i="6"/>
  <c r="J6" i="6"/>
  <c r="I6" i="6"/>
  <c r="K52" i="6"/>
  <c r="J52" i="6"/>
  <c r="I52" i="6"/>
  <c r="K50" i="6"/>
  <c r="I50" i="6"/>
  <c r="K44" i="6"/>
  <c r="J44" i="6"/>
  <c r="I44" i="6"/>
  <c r="K8" i="6"/>
  <c r="J8" i="6"/>
  <c r="I8" i="6"/>
  <c r="I76" i="4"/>
  <c r="E76" i="4" s="1" a="1"/>
  <c r="E76" i="4" s="1"/>
  <c r="F76" i="4"/>
  <c r="G76" i="4" l="1"/>
  <c r="AR20" i="6"/>
  <c r="AU20" i="6"/>
  <c r="AT20" i="6"/>
  <c r="AS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G20" i="6" l="1"/>
  <c r="L20" i="6"/>
  <c r="J20" i="6"/>
  <c r="M20" i="6"/>
  <c r="K20" i="6"/>
  <c r="I20" i="6"/>
  <c r="J61" i="1"/>
  <c r="G92" i="1" l="1"/>
  <c r="J92" i="1"/>
  <c r="F92" i="1" s="1"/>
  <c r="G27" i="1"/>
  <c r="H92" i="1" l="1"/>
  <c r="G154" i="1"/>
  <c r="J154" i="1"/>
  <c r="F154" i="1" s="1"/>
  <c r="G153" i="1"/>
  <c r="J153" i="1"/>
  <c r="F153" i="1" s="1"/>
  <c r="H154" i="1" l="1"/>
  <c r="H153" i="1"/>
  <c r="J109" i="1"/>
  <c r="F109" i="1" s="1"/>
  <c r="G109" i="1"/>
  <c r="F12" i="5" a="1"/>
  <c r="F12" i="5" s="1"/>
  <c r="G314" i="1"/>
  <c r="J314" i="1"/>
  <c r="F314" i="1" s="1"/>
  <c r="G319" i="1"/>
  <c r="J319" i="1"/>
  <c r="E319" i="1"/>
  <c r="H109" i="1" l="1"/>
  <c r="F319" i="1"/>
  <c r="H319" i="1" s="1"/>
  <c r="H314" i="1"/>
  <c r="G9" i="1"/>
  <c r="P9" i="1"/>
  <c r="O9" i="1"/>
  <c r="N9" i="1"/>
  <c r="AI79" i="6"/>
  <c r="AD26" i="6"/>
  <c r="AF26" i="6"/>
  <c r="AF14" i="6"/>
  <c r="G14" i="6" s="1"/>
  <c r="V9" i="6"/>
  <c r="R9" i="6"/>
  <c r="Q9" i="6"/>
  <c r="N9" i="6"/>
  <c r="M9" i="6"/>
  <c r="L9" i="6"/>
  <c r="G79" i="6" l="1"/>
  <c r="AI9" i="6"/>
  <c r="G26" i="6"/>
  <c r="P9" i="6"/>
  <c r="T9" i="6"/>
  <c r="S9" i="6"/>
  <c r="K9" i="6"/>
  <c r="I14" i="6"/>
  <c r="U9" i="6"/>
  <c r="I26" i="6"/>
  <c r="J79" i="6"/>
  <c r="O9" i="6"/>
  <c r="I9" i="6"/>
  <c r="J9" i="6"/>
  <c r="G7" i="1"/>
  <c r="G9" i="6" l="1"/>
  <c r="AG50" i="6"/>
  <c r="G50" i="6" s="1"/>
  <c r="J50" i="6" l="1"/>
  <c r="G69" i="1"/>
  <c r="J69" i="1"/>
  <c r="F69" i="1" s="1"/>
  <c r="H69" i="1" l="1"/>
  <c r="J155" i="1"/>
  <c r="F155" i="1" s="1"/>
  <c r="G155" i="1"/>
  <c r="H155" i="1" l="1"/>
  <c r="G100" i="1"/>
  <c r="J100" i="1"/>
  <c r="F100" i="1" s="1"/>
  <c r="H100" i="1" l="1"/>
  <c r="J88" i="1"/>
  <c r="F88" i="1" s="1"/>
  <c r="G64" i="1" l="1"/>
  <c r="J64" i="1"/>
  <c r="F64" i="1" s="1"/>
  <c r="H64" i="1" l="1"/>
  <c r="G26" i="1"/>
  <c r="F26" i="1"/>
  <c r="H26" i="1" l="1"/>
  <c r="J60" i="1"/>
  <c r="F60" i="1" s="1"/>
  <c r="H60" i="1" s="1"/>
  <c r="J49" i="1"/>
  <c r="F49" i="1" s="1"/>
  <c r="G77" i="1"/>
  <c r="J77" i="1"/>
  <c r="F77" i="1" s="1"/>
  <c r="H49" i="1" l="1"/>
  <c r="H77" i="1"/>
  <c r="K13" i="1"/>
  <c r="G48" i="1" l="1"/>
  <c r="G47" i="1"/>
  <c r="J48" i="1"/>
  <c r="F48" i="1" s="1"/>
  <c r="J47" i="1"/>
  <c r="F47" i="1" s="1"/>
  <c r="G115" i="1"/>
  <c r="J115" i="1"/>
  <c r="F115" i="1" s="1"/>
  <c r="G66" i="1"/>
  <c r="J66" i="1"/>
  <c r="F66" i="1" s="1"/>
  <c r="G103" i="1"/>
  <c r="J103" i="1"/>
  <c r="F103" i="1" s="1"/>
  <c r="H115" i="1" l="1"/>
  <c r="H48" i="1"/>
  <c r="H47" i="1"/>
  <c r="H66" i="1"/>
  <c r="H103" i="1"/>
  <c r="G51" i="1"/>
  <c r="J51" i="1"/>
  <c r="F51" i="1" s="1"/>
  <c r="J44" i="1"/>
  <c r="F44" i="1" s="1"/>
  <c r="H51" i="1" l="1"/>
  <c r="H44" i="1"/>
  <c r="J70" i="1"/>
  <c r="F70" i="1" s="1"/>
  <c r="G70" i="1"/>
  <c r="H70" i="1" l="1"/>
  <c r="J16" i="1" l="1"/>
  <c r="G111" i="1" l="1"/>
  <c r="J111" i="1"/>
  <c r="F111" i="1" s="1"/>
  <c r="H111" i="1" l="1"/>
  <c r="G208" i="1"/>
  <c r="J208" i="1"/>
  <c r="F208" i="1" s="1"/>
  <c r="H208" i="1" l="1"/>
  <c r="J46" i="1"/>
  <c r="G46" i="1"/>
  <c r="L9" i="1" l="1"/>
  <c r="M9" i="1" s="1"/>
  <c r="G42" i="1"/>
  <c r="J42" i="1"/>
  <c r="F42" i="1" s="1"/>
  <c r="H42" i="1" l="1"/>
  <c r="J8" i="1"/>
  <c r="F8" i="1" s="1"/>
  <c r="H8" i="1" l="1"/>
  <c r="J45" i="1" l="1"/>
  <c r="F45" i="1" s="1"/>
  <c r="H45" i="1" s="1"/>
  <c r="J50" i="1"/>
  <c r="F50" i="1" s="1"/>
  <c r="G89" i="1"/>
  <c r="J32" i="1"/>
  <c r="F32" i="1" s="1" a="1"/>
  <c r="F32" i="1" s="1"/>
  <c r="H32" i="1" s="1"/>
  <c r="F200" i="1"/>
  <c r="H50" i="1" l="1"/>
  <c r="H89" i="1"/>
  <c r="G84" i="1"/>
  <c r="J84" i="1"/>
  <c r="F84" i="1" s="1"/>
  <c r="H84" i="1" l="1"/>
  <c r="J52" i="1"/>
  <c r="F52" i="1" s="1"/>
  <c r="P61" i="1" l="1"/>
  <c r="O61" i="1"/>
  <c r="N61" i="1"/>
  <c r="L61" i="1"/>
  <c r="M61" i="1" s="1"/>
  <c r="G61" i="1"/>
  <c r="F61" i="1"/>
  <c r="H61" i="1" l="1"/>
  <c r="G40" i="1" l="1"/>
  <c r="J40" i="1"/>
  <c r="F40" i="1" s="1"/>
  <c r="J58" i="1"/>
  <c r="F58" i="1" s="1"/>
  <c r="G58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6" i="1"/>
  <c r="H46" i="1" s="1"/>
  <c r="B10" i="1" l="1"/>
  <c r="H65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12" i="1" l="1"/>
  <c r="J212" i="1"/>
  <c r="F212" i="1" s="1"/>
  <c r="J110" i="1"/>
  <c r="F110" i="1" s="1"/>
  <c r="G110" i="1"/>
  <c r="G152" i="1"/>
  <c r="J152" i="1"/>
  <c r="F152" i="1" s="1"/>
  <c r="H212" i="1" l="1"/>
  <c r="H152" i="1"/>
  <c r="H110" i="1"/>
  <c r="J28" i="1"/>
  <c r="F28" i="1" s="1"/>
  <c r="H28" i="1" s="1"/>
  <c r="J27" i="1"/>
  <c r="F27" i="1" s="1"/>
  <c r="H27" i="1" s="1"/>
  <c r="J24" i="1"/>
  <c r="J25" i="1" s="1"/>
  <c r="G235" i="1" l="1"/>
  <c r="J235" i="1"/>
  <c r="F235" i="1" s="1"/>
  <c r="G91" i="1"/>
  <c r="J91" i="1"/>
  <c r="F91" i="1" s="1"/>
  <c r="H91" i="1" l="1"/>
  <c r="H235" i="1"/>
  <c r="J96" i="1"/>
  <c r="F96" i="1" s="1"/>
  <c r="H96" i="1" s="1"/>
  <c r="B11" i="1" l="1"/>
  <c r="B12" i="1" s="1"/>
  <c r="J59" i="1"/>
  <c r="F59" i="1" s="1"/>
  <c r="G59" i="1"/>
  <c r="J22" i="1"/>
  <c r="H59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41" i="1"/>
  <c r="J241" i="1"/>
  <c r="F241" i="1" s="1"/>
  <c r="G85" i="1"/>
  <c r="J85" i="1"/>
  <c r="F85" i="1" s="1"/>
  <c r="H85" i="1" l="1"/>
  <c r="H241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71" i="1" l="1"/>
  <c r="J71" i="1"/>
  <c r="F71" i="1" s="1"/>
  <c r="H71" i="1" l="1"/>
  <c r="G211" i="1"/>
  <c r="F211" i="1"/>
  <c r="H211" i="1" l="1"/>
  <c r="H58" i="1" l="1"/>
  <c r="G206" i="1"/>
  <c r="F206" i="1"/>
  <c r="F22" i="1"/>
  <c r="G22" i="1"/>
  <c r="H206" i="1" l="1"/>
  <c r="H22" i="1"/>
  <c r="G237" i="1"/>
  <c r="F237" i="1"/>
  <c r="H37" i="1" l="1"/>
  <c r="H237" i="1"/>
  <c r="G88" i="1"/>
  <c r="H88" i="1" l="1"/>
  <c r="F7" i="1"/>
  <c r="G52" i="1" l="1"/>
  <c r="H52" i="1" l="1"/>
  <c r="G245" i="1"/>
  <c r="F245" i="1"/>
  <c r="G244" i="1"/>
  <c r="F244" i="1"/>
  <c r="G243" i="1"/>
  <c r="F243" i="1"/>
  <c r="G242" i="1"/>
  <c r="F242" i="1"/>
  <c r="G239" i="1"/>
  <c r="F239" i="1"/>
  <c r="G238" i="1"/>
  <c r="F238" i="1"/>
  <c r="G236" i="1"/>
  <c r="F236" i="1"/>
  <c r="G234" i="1"/>
  <c r="F234" i="1"/>
  <c r="F2" i="1" s="1"/>
  <c r="H5" i="1"/>
  <c r="H7" i="1"/>
  <c r="H244" i="1" l="1"/>
  <c r="H25" i="1"/>
  <c r="H12" i="1"/>
  <c r="H243" i="1"/>
  <c r="H245" i="1"/>
  <c r="H17" i="1"/>
  <c r="H238" i="1"/>
  <c r="H24" i="1"/>
  <c r="H239" i="1"/>
  <c r="H15" i="1"/>
  <c r="H234" i="1"/>
  <c r="H236" i="1"/>
  <c r="H14" i="1"/>
  <c r="H19" i="1"/>
  <c r="H242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4" i="5" l="1"/>
  <c r="B8" i="5" l="1"/>
  <c r="B9" i="5" s="1"/>
  <c r="B73" i="1" l="1"/>
  <c r="B74" i="1" s="1"/>
  <c r="B75" i="1" s="1"/>
  <c r="B76" i="1" s="1"/>
  <c r="B77" i="1" s="1"/>
  <c r="B78" i="1" s="1"/>
  <c r="B79" i="1" s="1"/>
  <c r="B80" i="1" s="1"/>
  <c r="B81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l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l="1"/>
  <c r="B126" i="1" s="1"/>
  <c r="B127" i="1" s="1"/>
  <c r="B128" i="1" s="1"/>
  <c r="B129" i="1" s="1"/>
  <c r="B130" i="1" s="1"/>
  <c r="B131" i="1" s="1"/>
  <c r="B132" i="1" s="1"/>
  <c r="B133" i="1" s="1"/>
  <c r="B134" i="1" s="1"/>
  <c r="B135" i="1" l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214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1" i="1" s="1"/>
  <c r="B242" i="1" s="1"/>
  <c r="B243" i="1" s="1"/>
  <c r="B244" i="1" s="1"/>
  <c r="B245" i="1" s="1"/>
  <c r="B246" i="1" s="1"/>
  <c r="B247" i="1" s="1"/>
  <c r="B248" i="1" s="1"/>
  <c r="B249" i="1" s="1"/>
  <c r="B10" i="5"/>
  <c r="B1" i="1" l="1"/>
  <c r="B250" i="1"/>
  <c r="B251" i="1" s="1"/>
  <c r="B252" i="1" s="1"/>
  <c r="B253" i="1" s="1"/>
  <c r="B254" i="1" s="1"/>
  <c r="B255" i="1" s="1"/>
  <c r="B256" i="1" s="1"/>
  <c r="B240" i="1"/>
  <c r="B257" i="1" l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l="1"/>
  <c r="B396" i="1"/>
  <c r="B397" i="1" s="1"/>
  <c r="B398" i="1" s="1"/>
  <c r="B399" i="1" s="1"/>
  <c r="B400" i="1" s="1"/>
  <c r="B401" i="1" s="1"/>
  <c r="B402" i="1" s="1"/>
  <c r="B403" i="1" l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A27" i="6" l="1"/>
  <c r="A28" i="6" s="1"/>
  <c r="A30" i="6" s="1"/>
  <c r="A31" i="6" s="1"/>
  <c r="A32" i="6" s="1"/>
  <c r="A33" i="6" s="1"/>
  <c r="A35" i="6" s="1"/>
  <c r="A29" i="6"/>
  <c r="A34" i="6" l="1"/>
  <c r="A36" i="6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l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8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1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<sst xmlns="http://schemas.openxmlformats.org/spreadsheetml/2006/main" count="2168" uniqueCount="1468">
  <si>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</si>
  <si>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</si>
  <si>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</si>
  <si>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</si>
  <si>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</si>
  <si>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</si>
  <si>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</si>
  <si>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</si>
  <si>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</si>
  <si>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</si>
  <si>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</si>
  <si>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</si>
  <si>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</si>
  <si>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</si>
  <si>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</si>
  <si>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</si>
  <si>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</si>
  <si>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</si>
  <si>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</si>
  <si>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</si>
  <si>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</si>
  <si>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</si>
  <si>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</si>
  <si>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</si>
  <si>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</si>
  <si>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</si>
  <si>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</si>
  <si>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</si>
  <si>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</si>
  <si>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</si>
  <si>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</si>
  <si>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</si>
  <si>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</si>
  <si>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</si>
  <si>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</si>
  <si>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</si>
  <si>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</si>
  <si>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</si>
  <si>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</si>
  <si>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</si>
  <si>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</si>
  <si>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</si>
  <si>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</si>
  <si>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</si>
  <si>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</si>
  <si>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</si>
  <si>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</si>
  <si>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</si>
  <si>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</si>
  <si>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</si>
  <si>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</si>
  <si>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</si>
  <si>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</si>
  <si>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</si>
  <si>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</si>
  <si>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</si>
  <si>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</si>
  <si>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</si>
  <si>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</si>
  <si>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</si>
  <si>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</si>
  <si>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</si>
  <si>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</si>
  <si>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</si>
  <si>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</si>
  <si>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</si>
  <si>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</si>
  <si>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</si>
  <si>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</si>
  <si>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</si>
  <si>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</si>
  <si>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</si>
  <si>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</si>
  <si>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</si>
  <si>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</si>
  <si>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</si>
  <si>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</si>
  <si>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</si>
  <si>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</si>
  <si>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</si>
  <si>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</si>
  <si>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</si>
  <si>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</si>
  <si>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</si>
  <si>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</si>
  <si>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</si>
  <si>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</si>
  <si>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</si>
  <si>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</si>
  <si>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</si>
  <si>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</si>
  <si>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</si>
  <si>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</si>
  <si>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</si>
  <si>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</si>
  <si>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</si>
  <si>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</si>
  <si>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</si>
  <si>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</si>
  <si>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</si>
  <si>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</si>
  <si>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</si>
  <si>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</si>
  <si>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</si>
  <si>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</si>
  <si>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</si>
  <si>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</si>
  <si>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</si>
  <si>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</si>
  <si>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</si>
  <si>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</si>
  <si>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</si>
  <si>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</si>
  <si>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</si>
  <si>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</si>
  <si>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</si>
  <si>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</si>
  <si>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</si>
  <si>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</si>
  <si>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</si>
  <si>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</si>
  <si>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</si>
  <si>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</si>
  <si>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</si>
  <si>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</si>
  <si>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</si>
  <si>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</si>
  <si>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</si>
  <si>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</si>
  <si>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</si>
  <si>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</si>
  <si>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</si>
  <si>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</si>
  <si>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</si>
  <si>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</si>
  <si>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</si>
  <si>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</si>
  <si>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</si>
  <si>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</si>
  <si>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</si>
  <si>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</si>
  <si>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</si>
  <si>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</si>
  <si>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</si>
  <si>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</si>
  <si>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</si>
  <si>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</si>
  <si>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</si>
  <si>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</si>
  <si>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</si>
  <si>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</si>
  <si>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</si>
  <si>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</si>
  <si>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</si>
  <si>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</si>
  <si>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</si>
  <si>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</si>
  <si>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</si>
  <si>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</si>
  <si>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</si>
  <si>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</si>
  <si>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</si>
  <si>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</si>
  <si>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</si>
  <si>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</si>
  <si>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</si>
  <si>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</si>
  <si>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</si>
  <si>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</si>
  <si>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</si>
  <si>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</si>
  <si>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</si>
  <si>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</si>
  <si>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</si>
  <si>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</si>
  <si>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</si>
  <si>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</si>
  <si>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</si>
  <si>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</si>
  <si>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</si>
  <si>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</si>
  <si>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</si>
  <si>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</si>
  <si>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</si>
  <si>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</si>
  <si>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</si>
  <si>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</si>
  <si>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</si>
  <si>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</si>
  <si>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</si>
  <si>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</si>
  <si>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</si>
  <si>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</si>
  <si>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</si>
  <si>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</si>
  <si>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</si>
  <si>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</si>
  <si>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</si>
  <si>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</si>
  <si>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</si>
  <si>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</si>
  <si>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</si>
  <si>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</si>
  <si>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</si>
  <si>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</si>
  <si>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</si>
  <si>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</si>
  <si>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</si>
  <si>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</si>
  <si>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</si>
  <si>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</si>
  <si>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</si>
  <si>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</si>
  <si>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</si>
  <si>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</si>
  <si>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</si>
  <si>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</si>
  <si>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</si>
  <si>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</si>
  <si>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</si>
  <si>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</si>
  <si>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</si>
  <si>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</si>
  <si>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</si>
  <si>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</si>
  <si>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</si>
  <si>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</si>
  <si>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</si>
  <si>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</si>
  <si>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</si>
  <si>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</si>
  <si>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</si>
  <si>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</si>
  <si>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</si>
  <si>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</si>
  <si>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</si>
  <si>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</si>
  <si>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</si>
  <si>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</si>
  <si>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</si>
  <si>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</si>
  <si>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</si>
  <si>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</si>
  <si>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</si>
  <si>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</si>
  <si>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</si>
  <si>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</si>
  <si>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</si>
  <si>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</si>
  <si>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</si>
  <si>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</si>
  <si>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</si>
  <si>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</si>
  <si>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</si>
  <si>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</si>
  <si>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</si>
  <si>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</si>
  <si>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</si>
  <si>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</si>
  <si>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</si>
  <si>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</si>
  <si>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</si>
  <si>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</si>
  <si>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</si>
  <si>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</si>
  <si>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</si>
  <si>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</si>
  <si>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</si>
  <si>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</si>
  <si>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</si>
  <si>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</si>
  <si>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</si>
  <si>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</si>
  <si>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</si>
  <si>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</si>
  <si>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</si>
  <si>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</si>
  <si>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</si>
  <si>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</si>
  <si>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</si>
  <si>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</si>
  <si>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</si>
  <si>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</si>
  <si>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</si>
  <si>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</si>
  <si>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</si>
  <si>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</si>
  <si>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</si>
  <si>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</si>
  <si>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</si>
  <si>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</si>
  <si>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</si>
  <si>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</si>
  <si>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</si>
  <si>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</si>
  <si>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</si>
  <si>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</si>
  <si>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</si>
  <si>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</si>
  <si>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</si>
  <si>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</si>
  <si>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</si>
  <si>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</si>
  <si>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</si>
  <si>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</si>
  <si>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</si>
  <si>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</si>
  <si>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</si>
  <si>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</si>
  <si>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</si>
  <si>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</si>
  <si>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</si>
  <si>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</si>
  <si>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</si>
  <si>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</si>
  <si>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</si>
  <si>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</si>
  <si>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</si>
  <si>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</si>
  <si>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</si>
  <si>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</si>
  <si>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</si>
  <si>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</si>
  <si>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</si>
  <si>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</si>
  <si>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</si>
  <si>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</si>
  <si>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</si>
  <si>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</si>
  <si>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</si>
  <si>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</si>
  <si>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</si>
  <si>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</si>
  <si>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</si>
  <si>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</si>
  <si>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</si>
  <si>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</si>
  <si>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</si>
  <si>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</si>
  <si>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</si>
  <si>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</si>
  <si>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</si>
  <si>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</si>
  <si>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</si>
  <si>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</si>
  <si>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</si>
  <si>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</si>
  <si>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</si>
  <si>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</si>
  <si>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</si>
  <si>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</si>
  <si>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</si>
  <si>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</si>
  <si>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</si>
  <si>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</si>
  <si>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</si>
  <si>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</si>
  <si>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</si>
  <si>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</si>
  <si>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</si>
  <si>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</si>
  <si>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</si>
  <si>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</si>
  <si>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</si>
  <si>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</si>
  <si>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</si>
  <si>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</si>
  <si>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</si>
  <si>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</si>
  <si>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</si>
  <si>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</si>
  <si>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</si>
  <si>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</si>
  <si>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</si>
  <si>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</si>
  <si>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</si>
  <si>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</si>
  <si>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</si>
  <si>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</si>
  <si>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</si>
  <si>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</si>
  <si>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</si>
  <si>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</si>
  <si>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</si>
  <si>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</si>
  <si>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</si>
  <si>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</si>
  <si>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</si>
  <si>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</si>
  <si>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</si>
  <si>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</si>
  <si>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</si>
  <si>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</si>
  <si>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</si>
  <si>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</si>
  <si>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</si>
  <si>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</si>
  <si>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</si>
  <si>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</si>
  <si>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</si>
  <si>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</si>
  <si>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</si>
  <si>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</si>
  <si>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</si>
  <si>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</si>
  <si>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</si>
  <si>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</si>
  <si>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</si>
  <si>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</si>
  <si>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</si>
  <si>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</si>
  <si>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</si>
  <si>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</si>
  <si>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</si>
  <si>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</si>
  <si>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</si>
  <si>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</si>
  <si>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</si>
  <si>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</si>
  <si>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</si>
  <si>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</si>
  <si>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</si>
  <si>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</si>
  <si>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</si>
  <si>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</si>
  <si>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</si>
  <si>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</si>
  <si>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</si>
  <si>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</si>
  <si>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</si>
  <si>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</si>
  <si>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</si>
  <si>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</si>
  <si>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</si>
  <si>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</si>
  <si>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</si>
  <si>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</si>
  <si>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</si>
  <si>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</si>
  <si>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</si>
  <si>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</si>
  <si>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</si>
  <si>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</si>
  <si>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</si>
  <si>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</si>
  <si>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</si>
  <si>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</si>
  <si>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</si>
  <si>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</si>
  <si>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</si>
  <si>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</si>
  <si>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</si>
  <si>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</si>
  <si>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</si>
  <si>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</si>
  <si>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</si>
  <si>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</si>
  <si>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</si>
  <si>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</si>
  <si>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</si>
  <si>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</si>
  <si>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</si>
  <si>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</si>
  <si>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</si>
  <si>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</si>
  <si>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</si>
  <si>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</si>
  <si>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</si>
  <si>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</si>
  <si>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</si>
  <si>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</si>
  <si>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</si>
  <si>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</si>
  <si>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</si>
  <si>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</si>
  <si>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</si>
  <si>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</si>
  <si>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</si>
  <si>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</si>
  <si>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</si>
  <si>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</si>
  <si>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</si>
  <si>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</si>
  <si>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</si>
  <si>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</si>
  <si>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</si>
  <si>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</si>
  <si>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</si>
  <si>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</si>
  <si>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</si>
  <si>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</si>
  <si>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</si>
  <si>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</si>
  <si>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</si>
  <si>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</si>
  <si>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</si>
  <si>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</si>
  <si>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</si>
  <si>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</si>
  <si>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</si>
  <si>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</si>
  <si>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</si>
  <si>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</si>
  <si>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</si>
  <si>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</si>
  <si>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</si>
  <si>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</si>
  <si>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</si>
  <si>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</si>
  <si>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</si>
  <si>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</si>
  <si>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</si>
  <si>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</si>
  <si>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</si>
  <si>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</si>
  <si>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</si>
  <si>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</si>
  <si>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</si>
  <si>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</si>
  <si>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</si>
  <si>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</si>
  <si>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</si>
  <si>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</si>
  <si>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</si>
  <si>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</si>
  <si>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</si>
  <si>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</si>
  <si>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</si>
  <si>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</si>
  <si>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</si>
  <si>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</si>
  <si>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</si>
  <si>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</si>
  <si>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</si>
  <si>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</si>
  <si>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</si>
  <si>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</si>
  <si>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</si>
  <si>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</si>
  <si>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</si>
  <si>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</si>
  <si>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</si>
  <si>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</si>
  <si>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</si>
  <si>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</si>
  <si>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</si>
  <si>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</si>
  <si>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</si>
  <si>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</si>
  <si>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</si>
  <si>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</si>
  <si>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</si>
  <si>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</si>
  <si>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</si>
  <si>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</si>
  <si>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</si>
  <si>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</si>
  <si>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</si>
  <si>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</si>
  <si>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</si>
  <si>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</si>
  <si>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</si>
  <si>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</si>
  <si>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</si>
  <si>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</si>
  <si>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</si>
  <si>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</si>
  <si>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</si>
  <si>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</si>
  <si>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</si>
  <si>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</si>
  <si>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</si>
  <si>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</si>
  <si>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</si>
  <si>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</si>
  <si>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</si>
  <si>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</si>
  <si>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</si>
  <si>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</si>
  <si>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</si>
  <si>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</si>
  <si>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</si>
  <si>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</si>
  <si>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</si>
  <si>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</si>
  <si>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</si>
  <si>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</si>
  <si>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</si>
  <si>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</si>
  <si>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</si>
  <si>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</si>
  <si>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</si>
  <si>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</si>
  <si>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</si>
  <si>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</si>
  <si>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</si>
  <si>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</si>
  <si>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</si>
  <si>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</si>
  <si>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</si>
  <si>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</si>
  <si>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</si>
  <si>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</si>
  <si>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</si>
  <si>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</si>
  <si>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</si>
  <si>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</si>
  <si>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</si>
  <si>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</si>
  <si>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</si>
  <si>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</si>
  <si>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</si>
  <si>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</si>
  <si>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</si>
  <si>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</si>
  <si>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</si>
  <si>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</si>
  <si>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</si>
  <si>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</si>
  <si>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</si>
  <si>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</si>
  <si>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</si>
  <si>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</si>
  <si>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</si>
  <si>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</si>
  <si>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</si>
  <si>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</si>
  <si>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</si>
  <si>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</si>
  <si>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</si>
  <si>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</si>
  <si>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</si>
  <si>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</si>
  <si>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</si>
  <si>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</si>
  <si>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</si>
  <si>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</si>
  <si>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</si>
  <si>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</si>
  <si>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</si>
  <si>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</si>
  <si>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</si>
  <si>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</si>
  <si>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</si>
  <si>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</si>
  <si>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</si>
  <si>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</si>
  <si>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</si>
  <si>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</si>
  <si>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</si>
  <si>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</si>
  <si>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</si>
  <si>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</si>
  <si>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</si>
  <si>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</si>
  <si>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</si>
  <si>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</si>
  <si>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</si>
  <si>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</si>
  <si>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</si>
  <si>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</si>
  <si>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</si>
  <si>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</si>
  <si>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</si>
  <si>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</si>
  <si>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</si>
  <si>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</si>
  <si>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</si>
  <si>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</si>
  <si>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</si>
  <si>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</si>
  <si>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</si>
  <si>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</si>
  <si>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</si>
  <si>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</si>
  <si>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</si>
  <si>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</si>
  <si>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</si>
  <si>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</si>
  <si>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</si>
  <si>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</si>
  <si>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</si>
  <si>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</si>
  <si>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</si>
  <si>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</si>
  <si>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</si>
  <si>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</si>
  <si>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</si>
  <si>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</si>
  <si>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</si>
  <si>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</si>
  <si>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</si>
  <si>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</si>
  <si>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</si>
  <si>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</si>
  <si>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</si>
  <si>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</si>
  <si>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</si>
  <si>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</si>
  <si>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</si>
  <si>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</si>
  <si>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</si>
  <si>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</si>
  <si>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</si>
  <si>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</si>
  <si>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</si>
  <si>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</si>
  <si>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</si>
  <si>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</si>
  <si>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</si>
  <si>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</si>
  <si>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</si>
  <si>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</si>
  <si>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</si>
  <si>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</si>
  <si>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</si>
  <si>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</si>
  <si>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</si>
  <si>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</si>
  <si>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</si>
  <si>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</si>
  <si>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</si>
  <si>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</si>
  <si>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</si>
  <si>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</si>
  <si>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</si>
  <si>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</si>
  <si>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</si>
  <si>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</si>
  <si>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</si>
  <si>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</si>
  <si>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</si>
  <si>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</si>
  <si>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</si>
  <si>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</si>
  <si>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</si>
  <si>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</si>
  <si>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</si>
  <si>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</si>
  <si>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</si>
  <si>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</si>
  <si>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</si>
  <si>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</si>
  <si>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</si>
  <si>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</si>
  <si>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</si>
  <si>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</si>
  <si>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</si>
  <si>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</si>
  <si>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</si>
  <si>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</si>
  <si>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</si>
  <si>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</si>
  <si>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</si>
  <si>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</si>
  <si>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</si>
  <si>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</si>
  <si>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</si>
  <si>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</si>
  <si>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</si>
  <si>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</si>
  <si>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</si>
  <si>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</si>
  <si>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</si>
  <si>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</si>
  <si>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</si>
  <si>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</si>
  <si>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</si>
  <si>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</si>
  <si>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</si>
  <si>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</si>
  <si>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</si>
  <si>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</si>
  <si>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</si>
  <si>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</si>
  <si>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</si>
  <si>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</si>
  <si>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</si>
  <si>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</si>
  <si>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</si>
  <si>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</si>
  <si>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</si>
  <si>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</si>
  <si>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</si>
  <si>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</si>
  <si>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</si>
  <si>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</si>
  <si>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</si>
  <si>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</si>
  <si>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</si>
  <si>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</si>
  <si>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</si>
  <si>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</si>
  <si>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</si>
  <si>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</si>
  <si>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</si>
  <si>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</si>
  <si>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</si>
  <si>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</si>
  <si>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</si>
  <si>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</si>
  <si>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</si>
  <si>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</si>
  <si>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</si>
  <si>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</si>
  <si>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</si>
  <si>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</si>
  <si>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</si>
  <si>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</si>
  <si>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</si>
  <si>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</si>
  <si>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</si>
  <si>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</si>
  <si>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</si>
  <si>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</si>
  <si>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</si>
  <si>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</si>
  <si>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</si>
  <si>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</si>
  <si>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</si>
  <si>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</si>
  <si>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</si>
  <si>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</si>
  <si>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</si>
  <si>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</si>
  <si>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</si>
  <si>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</si>
  <si>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</si>
  <si>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</si>
  <si>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</si>
  <si>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</si>
  <si>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</si>
  <si>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</si>
  <si>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</si>
  <si>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</si>
  <si>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</si>
  <si>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</si>
  <si>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</si>
  <si>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</si>
  <si>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</si>
  <si>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</si>
  <si>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</si>
  <si>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</si>
  <si>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</si>
  <si>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</si>
  <si>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</si>
  <si>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</si>
  <si>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</si>
  <si>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</si>
  <si>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</si>
  <si>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</si>
  <si>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</si>
  <si>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</si>
  <si>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</si>
  <si>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</si>
  <si>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</si>
  <si>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</si>
  <si>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</si>
  <si>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</si>
  <si>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</si>
  <si>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</si>
  <si>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</si>
  <si>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</si>
  <si>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</si>
  <si>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</si>
  <si>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</si>
  <si>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</si>
  <si>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</si>
  <si>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</si>
  <si>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</si>
  <si>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</si>
  <si>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</si>
  <si>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</si>
  <si>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</si>
  <si>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</si>
  <si>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</si>
  <si>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</si>
  <si>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</si>
  <si>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</si>
  <si>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</si>
  <si>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</si>
  <si>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</si>
  <si>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</si>
  <si>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</si>
  <si>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</si>
  <si>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</si>
  <si>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</si>
  <si>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</si>
  <si>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</si>
  <si>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</si>
  <si>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</si>
  <si>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</si>
  <si>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</si>
  <si>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</si>
  <si>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</si>
  <si>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</si>
  <si>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</si>
  <si>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</si>
  <si>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</si>
  <si>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</si>
  <si>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</si>
  <si>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</si>
  <si>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</si>
  <si>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</si>
  <si>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</si>
  <si>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</si>
  <si>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</si>
  <si>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</si>
  <si>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</si>
  <si>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</si>
  <si>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</si>
  <si>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</si>
  <si>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</si>
  <si>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</si>
  <si>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</si>
  <si>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</si>
  <si>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</si>
  <si>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</si>
  <si>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</si>
  <si>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</si>
  <si>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</si>
  <si>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</si>
  <si>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</si>
  <si>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</si>
  <si>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</si>
  <si>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</si>
  <si>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</si>
  <si>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</si>
  <si>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</si>
  <si>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</si>
  <si>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</si>
  <si>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</si>
  <si>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</si>
  <si>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</si>
  <si>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</si>
  <si>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</si>
  <si>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</si>
  <si>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</si>
  <si>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</si>
  <si>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</si>
  <si>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</si>
  <si>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</si>
  <si>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</si>
  <si>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</si>
  <si>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</si>
  <si>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</si>
  <si>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</si>
  <si>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</si>
  <si>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</si>
  <si>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</si>
  <si>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</si>
  <si>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</si>
  <si>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</si>
  <si>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</si>
  <si>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</si>
  <si>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</si>
  <si>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</si>
  <si>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</si>
  <si>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</si>
  <si>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</si>
  <si>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</si>
  <si>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</si>
  <si>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</si>
  <si>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</si>
  <si>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</si>
  <si>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</si>
  <si>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</si>
  <si>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</si>
  <si>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</si>
  <si>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</si>
  <si>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</si>
  <si>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</si>
  <si>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</si>
  <si>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</si>
  <si>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</si>
  <si>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</si>
  <si>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</si>
  <si>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</si>
  <si>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</si>
  <si>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</si>
  <si>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</si>
  <si>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</si>
  <si>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</si>
  <si>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</si>
  <si>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</si>
  <si>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</si>
  <si>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</si>
  <si>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</si>
  <si>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</si>
  <si>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</si>
  <si>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</si>
  <si>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</si>
  <si>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</si>
  <si>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</si>
  <si>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</si>
  <si>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</si>
  <si>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</si>
  <si>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</si>
  <si>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</si>
  <si>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</si>
  <si>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</si>
  <si>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</si>
  <si>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</si>
  <si>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</si>
  <si>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</si>
  <si>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</si>
  <si>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</si>
  <si>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</si>
  <si>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</si>
  <si>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</si>
  <si>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</si>
  <si>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</si>
  <si>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</si>
  <si>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</si>
  <si>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</si>
  <si>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</si>
  <si>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</si>
  <si>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</si>
  <si>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</si>
  <si>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</si>
  <si>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</si>
  <si>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</si>
  <si>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</si>
  <si>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</si>
  <si>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</si>
  <si>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</si>
  <si>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</si>
  <si>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</si>
  <si>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</si>
  <si>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</si>
  <si>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</si>
  <si>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</si>
  <si>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</si>
  <si>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</si>
  <si>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</si>
  <si>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</si>
  <si>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</si>
  <si>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</si>
  <si>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</si>
  <si>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</si>
  <si>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</si>
  <si>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</si>
  <si>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</si>
  <si>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</si>
  <si>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</si>
  <si>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</si>
  <si>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</si>
  <si>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</si>
  <si>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</si>
  <si>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</si>
  <si>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</si>
  <si>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</si>
  <si>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</si>
  <si>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</si>
  <si>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</si>
  <si>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</si>
  <si>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</si>
  <si>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</si>
  <si>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</si>
  <si>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</si>
  <si>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</si>
  <si>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</si>
  <si>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</si>
  <si>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</si>
  <si>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</si>
  <si>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</si>
  <si>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</si>
  <si>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</si>
  <si>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</si>
  <si>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</si>
  <si>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</si>
  <si>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</si>
  <si>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</si>
  <si>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</si>
  <si>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</si>
  <si>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</si>
  <si>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</si>
  <si>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</si>
  <si>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</si>
  <si>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</si>
  <si>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</si>
  <si>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</si>
  <si>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</si>
  <si>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</si>
  <si>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</si>
  <si>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</si>
  <si>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</si>
  <si>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</si>
  <si>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</si>
  <si>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</si>
  <si>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</si>
  <si>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</si>
  <si>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</si>
  <si>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</si>
  <si>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</si>
  <si>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</si>
  <si>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</si>
  <si>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</si>
  <si>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</si>
  <si>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</si>
  <si>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</si>
  <si>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</si>
  <si>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</si>
  <si>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</si>
  <si>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</si>
  <si>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</si>
  <si>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</si>
  <si>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</si>
  <si>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</si>
  <si>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</si>
  <si>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</si>
  <si>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</si>
  <si>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</si>
  <si>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</si>
  <si>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</si>
  <si>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</si>
  <si>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</si>
  <si>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</si>
  <si>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</si>
  <si>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</si>
  <si>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</si>
  <si>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</si>
  <si>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</si>
  <si>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</si>
  <si>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</si>
  <si>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</si>
  <si>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</si>
  <si>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</si>
  <si>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</si>
  <si>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</si>
  <si>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</si>
  <si>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</si>
  <si>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</si>
  <si>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</si>
  <si>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</si>
  <si>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</si>
  <si>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</si>
  <si>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</si>
  <si>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</si>
  <si>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</si>
  <si>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</si>
  <si>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</si>
  <si>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</si>
  <si>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</si>
  <si>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</si>
  <si>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</si>
  <si>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</si>
  <si>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</si>
  <si>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</si>
  <si>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</si>
  <si>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</si>
  <si>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</si>
  <si>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</si>
  <si>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</si>
  <si>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</si>
  <si>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</si>
  <si>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</si>
  <si>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</si>
  <si>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</si>
  <si>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</si>
  <si>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</si>
  <si>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</si>
  <si>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</si>
  <si>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</si>
  <si>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</si>
  <si>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</si>
  <si>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</si>
  <si>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</si>
  <si>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</si>
  <si>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</si>
  <si>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</si>
  <si>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</si>
  <si>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</si>
  <si>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</si>
  <si>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</si>
  <si>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</si>
  <si>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</si>
  <si>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</si>
  <si>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</si>
  <si>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</si>
  <si>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</si>
  <si>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</si>
  <si>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</si>
  <si>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</si>
  <si>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</si>
  <si>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</si>
  <si>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</si>
  <si>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</si>
  <si>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</si>
  <si>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</si>
  <si>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</si>
  <si>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</si>
  <si>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</si>
  <si>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</si>
  <si>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</si>
  <si>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</si>
  <si>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</si>
  <si>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</si>
  <si>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</si>
  <si>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TARS</t>
  </si>
  <si>
    <t>CHGG</t>
  </si>
  <si>
    <t>ZM</t>
  </si>
  <si>
    <t>FRSH</t>
  </si>
  <si>
    <t>BABA</t>
  </si>
  <si>
    <t>HUMA</t>
  </si>
  <si>
    <t>SOFI</t>
  </si>
  <si>
    <t>HIMS</t>
  </si>
  <si>
    <t>HOOD</t>
  </si>
  <si>
    <t>Baxalta</t>
  </si>
  <si>
    <t>Shire</t>
  </si>
  <si>
    <t>Ensysce</t>
  </si>
  <si>
    <t>ENSC</t>
  </si>
  <si>
    <t>Applied</t>
  </si>
  <si>
    <t>APLT</t>
  </si>
  <si>
    <t>TOST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</si>
  <si>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</si>
  <si>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</si>
  <si>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</si>
  <si>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</si>
  <si>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</si>
  <si>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</si>
  <si>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</si>
  <si>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</si>
  <si>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</si>
  <si>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</si>
  <si>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</si>
  <si>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</si>
  <si>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</si>
  <si>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</si>
  <si>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</si>
  <si>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</si>
  <si>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</si>
  <si>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</si>
  <si>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</si>
  <si>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</si>
  <si>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</si>
  <si>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</si>
  <si>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</si>
  <si>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</si>
  <si>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</si>
  <si>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</si>
  <si>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</si>
  <si>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</si>
  <si>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</si>
  <si>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</si>
  <si>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</si>
  <si>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</si>
  <si>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</si>
  <si>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</si>
  <si>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</si>
  <si>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</si>
  <si>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</si>
  <si>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</si>
  <si>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</si>
  <si>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</si>
  <si>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</si>
  <si>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</si>
  <si>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</si>
  <si>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</si>
  <si>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</si>
  <si>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</si>
  <si>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</si>
  <si>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</si>
  <si>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</si>
  <si>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</si>
  <si>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</si>
  <si>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</si>
  <si>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</si>
  <si>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</si>
  <si>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</si>
  <si>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</si>
  <si>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</si>
  <si>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</si>
  <si>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</si>
  <si>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</si>
  <si>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</si>
  <si>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</si>
  <si>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</si>
  <si>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</si>
  <si>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</si>
  <si>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</si>
  <si>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</si>
  <si>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</si>
  <si>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</si>
  <si>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</si>
  <si>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</si>
  <si>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</si>
  <si>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</si>
  <si>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</si>
  <si>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</si>
  <si>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</si>
  <si>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</si>
  <si>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</si>
  <si>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</si>
  <si>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</si>
  <si>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</si>
  <si>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</si>
  <si>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</si>
  <si>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</si>
  <si>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</si>
  <si>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</si>
  <si>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</si>
  <si>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</si>
  <si>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</si>
  <si>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</si>
  <si>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</si>
  <si>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</si>
  <si>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</si>
  <si>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</si>
  <si>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</si>
  <si>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</si>
  <si>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</si>
  <si>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TEAM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</si>
  <si>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</si>
  <si>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</si>
  <si>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</si>
  <si>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</si>
  <si>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</si>
  <si>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</si>
  <si>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</si>
  <si>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</si>
  <si>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ENCRYPTED</t>
  </si>
  <si>
    <t>INTU</t>
  </si>
  <si>
    <t>AVOID</t>
  </si>
  <si>
    <t>AVOID - SCAM</t>
  </si>
  <si>
    <t>PERI</t>
  </si>
  <si>
    <t>CRNC</t>
  </si>
  <si>
    <t>OTLY</t>
  </si>
  <si>
    <t>NEUTRAL</t>
  </si>
  <si>
    <t>CRL</t>
  </si>
  <si>
    <t>Brainstorm</t>
  </si>
  <si>
    <t>BCLI</t>
  </si>
  <si>
    <t>EB</t>
  </si>
  <si>
    <t>Allakos</t>
  </si>
  <si>
    <t>ALLK</t>
  </si>
  <si>
    <t>Sutro</t>
  </si>
  <si>
    <t>STRO</t>
  </si>
  <si>
    <t>ELF</t>
  </si>
  <si>
    <t>CLOSED</t>
  </si>
  <si>
    <t>ROOT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</si>
  <si>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</si>
  <si>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</si>
  <si>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</si>
  <si>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</si>
  <si>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</si>
  <si>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</si>
  <si>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</si>
  <si>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</si>
  <si>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</si>
  <si>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</si>
  <si>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ULTA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</si>
  <si>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</si>
  <si>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</si>
  <si>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</si>
  <si>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</si>
  <si>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</si>
  <si>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</si>
  <si>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</si>
  <si>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</si>
  <si>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</si>
  <si>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</si>
  <si>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</si>
  <si>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</si>
  <si>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</si>
  <si>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</si>
  <si>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</si>
  <si>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</si>
  <si>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</si>
  <si>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</si>
  <si>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</si>
  <si>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</si>
  <si>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</si>
  <si>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</si>
  <si>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</si>
  <si>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</si>
  <si>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</si>
  <si>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</si>
  <si>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</si>
  <si>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</si>
  <si>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</si>
  <si>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</si>
  <si>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</si>
  <si>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</si>
  <si>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</si>
  <si>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</si>
  <si>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</si>
  <si>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Acquired</t>
  </si>
  <si>
    <t>BROS</t>
  </si>
  <si>
    <t>ABT</t>
  </si>
  <si>
    <t>EBAY</t>
  </si>
  <si>
    <t>PBI</t>
  </si>
  <si>
    <t>ASPI</t>
  </si>
  <si>
    <t>PSO</t>
  </si>
  <si>
    <t>LUMN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</si>
  <si>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</si>
  <si>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</si>
  <si>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</si>
  <si>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</si>
  <si>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</si>
  <si>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</si>
  <si>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</si>
  <si>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</si>
  <si>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</si>
  <si>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</si>
  <si>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</si>
  <si>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HURA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</si>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</sst>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14" fontId="3" fillId="0" borderId="0" xfId="0" applyNumberFormat="1" applyFont="1"/>
    <xf numFmtId="9" fontId="0" fillId="0" borderId="0" xfId="0" applyNumberFormat="1"/>
    <xf numFmtId="4" fontId="3" fillId="0" borderId="0" xfId="0" applyNumberFormat="1" applyFont="1"/>
    <xf numFmtId="9" fontId="3" fillId="0" borderId="0" xfId="0" applyNumberFormat="1" applyFont="1"/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3" fontId="0" fillId="0" borderId="0" xfId="0" applyNumberFormat="1" applyFont="1"/>
    <xf numFmtId="0" fontId="0" fillId="0" borderId="0" xfId="0" applyFont="1"/>
    <xf numFmtId="3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33" Type="http://schemas.openxmlformats.org/officeDocument/2006/relationships/externalLink" Target="externalLinks/externalLink22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08" Type="http://schemas.openxmlformats.org/officeDocument/2006/relationships/externalLink" Target="externalLinks/externalLink97.xml"/><Relationship Id="rId124" Type="http://schemas.openxmlformats.org/officeDocument/2006/relationships/externalLink" Target="externalLinks/externalLink113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0" Type="http://schemas.openxmlformats.org/officeDocument/2006/relationships/externalLink" Target="externalLinks/externalLink59.xml"/><Relationship Id="rId75" Type="http://schemas.openxmlformats.org/officeDocument/2006/relationships/externalLink" Target="externalLinks/externalLink64.xml"/><Relationship Id="rId91" Type="http://schemas.openxmlformats.org/officeDocument/2006/relationships/externalLink" Target="externalLinks/externalLink80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45" Type="http://schemas.openxmlformats.org/officeDocument/2006/relationships/externalLink" Target="externalLinks/externalLink134.xml"/><Relationship Id="rId161" Type="http://schemas.openxmlformats.org/officeDocument/2006/relationships/externalLink" Target="externalLinks/externalLink150.xml"/><Relationship Id="rId16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0" Type="http://schemas.openxmlformats.org/officeDocument/2006/relationships/externalLink" Target="externalLinks/externalLink49.xml"/><Relationship Id="rId65" Type="http://schemas.openxmlformats.org/officeDocument/2006/relationships/externalLink" Target="externalLinks/externalLink54.xml"/><Relationship Id="rId81" Type="http://schemas.openxmlformats.org/officeDocument/2006/relationships/externalLink" Target="externalLinks/externalLink70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35" Type="http://schemas.openxmlformats.org/officeDocument/2006/relationships/externalLink" Target="externalLinks/externalLink124.xml"/><Relationship Id="rId151" Type="http://schemas.openxmlformats.org/officeDocument/2006/relationships/externalLink" Target="externalLinks/externalLink140.xml"/><Relationship Id="rId156" Type="http://schemas.openxmlformats.org/officeDocument/2006/relationships/externalLink" Target="externalLinks/externalLink145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microsoft.com/office/2017/10/relationships/person" Target="persons/person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sharedStrings" Target="sharedStrings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MRA.xlsx" TargetMode="External"/><Relationship Id="rId1" Type="http://schemas.openxmlformats.org/officeDocument/2006/relationships/externalLinkPath" Target="NMRA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XRX.xlsx" TargetMode="External"/><Relationship Id="rId1" Type="http://schemas.openxmlformats.org/officeDocument/2006/relationships/externalLinkPath" Target="RXRX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T.xlsx" TargetMode="External"/><Relationship Id="rId1" Type="http://schemas.openxmlformats.org/officeDocument/2006/relationships/externalLinkPath" Target="APLT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 refreshError="1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 refreshError="1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>
        <row r="10">
          <cell r="C10">
            <v>1000</v>
          </cell>
        </row>
      </sheetData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384.39605999999998</v>
          </cell>
        </row>
        <row r="5">
          <cell r="K5">
            <v>10814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242.19640899999999</v>
          </cell>
        </row>
        <row r="5">
          <cell r="K5">
            <v>473.4</v>
          </cell>
        </row>
        <row r="6">
          <cell r="K6">
            <v>31.03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hase 2"/>
      <sheetName val="Alzheimer's"/>
      <sheetName val="Options"/>
      <sheetName val="simufilam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167.291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59" Type="http://schemas.openxmlformats.org/officeDocument/2006/relationships/hyperlink" Target="FOLD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160" Type="http://schemas.openxmlformats.org/officeDocument/2006/relationships/hyperlink" Target="TGTX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SWTX.xlsx" TargetMode="External"/><Relationship Id="rId64" Type="http://schemas.openxmlformats.org/officeDocument/2006/relationships/hyperlink" Target="3692%20HK%20Hansoh.xlsx" TargetMode="External"/><Relationship Id="rId118" Type="http://schemas.openxmlformats.org/officeDocument/2006/relationships/hyperlink" Target="CLSD.xlsx" TargetMode="External"/><Relationship Id="rId139" Type="http://schemas.openxmlformats.org/officeDocument/2006/relationships/hyperlink" Target="BCRX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2" Type="http://schemas.openxmlformats.org/officeDocument/2006/relationships/hyperlink" Target="ABBV.xlsx" TargetMode="External"/><Relationship Id="rId17" Type="http://schemas.openxmlformats.org/officeDocument/2006/relationships/hyperlink" Target="4502%20Takeda.xlsx" TargetMode="External"/><Relationship Id="rId33" Type="http://schemas.openxmlformats.org/officeDocument/2006/relationships/hyperlink" Target="../../AppData/Roaming/Microsoft/Excel/SIG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08" Type="http://schemas.openxmlformats.org/officeDocument/2006/relationships/hyperlink" Target="SMMT.xlsx" TargetMode="External"/><Relationship Id="rId124" Type="http://schemas.openxmlformats.org/officeDocument/2006/relationships/hyperlink" Target="RNA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0" Type="http://schemas.openxmlformats.org/officeDocument/2006/relationships/hyperlink" Target="SRPT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IOVA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45" Type="http://schemas.openxmlformats.org/officeDocument/2006/relationships/hyperlink" Target="CRVS.xlsx" TargetMode="External"/><Relationship Id="rId161" Type="http://schemas.openxmlformats.org/officeDocument/2006/relationships/hyperlink" Target="HLUN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0" Type="http://schemas.openxmlformats.org/officeDocument/2006/relationships/hyperlink" Target="JAZZ.xlsx" TargetMode="External"/><Relationship Id="rId65" Type="http://schemas.openxmlformats.org/officeDocument/2006/relationships/hyperlink" Target="4578%20Otsuka.xlsx" TargetMode="External"/><Relationship Id="rId81" Type="http://schemas.openxmlformats.org/officeDocument/2006/relationships/hyperlink" Target="CRSP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35" Type="http://schemas.openxmlformats.org/officeDocument/2006/relationships/hyperlink" Target="PRGO.xlsx" TargetMode="External"/><Relationship Id="rId151" Type="http://schemas.openxmlformats.org/officeDocument/2006/relationships/hyperlink" Target="SRRK.xlsx" TargetMode="External"/><Relationship Id="rId156" Type="http://schemas.openxmlformats.org/officeDocument/2006/relationships/hyperlink" Target="NMRA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162" Type="http://schemas.openxmlformats.org/officeDocument/2006/relationships/hyperlink" Target="BHC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157" Type="http://schemas.openxmlformats.org/officeDocument/2006/relationships/hyperlink" Target="HUMA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163" Type="http://schemas.openxmlformats.org/officeDocument/2006/relationships/hyperlink" Target="INSM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158" Type="http://schemas.openxmlformats.org/officeDocument/2006/relationships/hyperlink" Target="BBIO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164" Type="http://schemas.openxmlformats.org/officeDocument/2006/relationships/hyperlink" Target="BHV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Relationship Id="rId165" Type="http://schemas.openxmlformats.org/officeDocument/2006/relationships/printerSettings" Target="../printerSettings/printerSettings1.bin"/><Relationship Id="rId27" Type="http://schemas.openxmlformats.org/officeDocument/2006/relationships/hyperlink" Target="UTHR.xlsx" TargetMode="External"/><Relationship Id="rId48" Type="http://schemas.openxmlformats.org/officeDocument/2006/relationships/hyperlink" Target="207940%20Samsung%20Biologics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34" Type="http://schemas.openxmlformats.org/officeDocument/2006/relationships/hyperlink" Target="REPL.xlsx" TargetMode="External"/><Relationship Id="rId80" Type="http://schemas.openxmlformats.org/officeDocument/2006/relationships/hyperlink" Target="4502%20Takeda.xlsx" TargetMode="External"/><Relationship Id="rId155" Type="http://schemas.openxmlformats.org/officeDocument/2006/relationships/hyperlink" Target="AMPH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29"/>
  <sheetViews>
    <sheetView tabSelected="1" zoomScale="190" zoomScaleNormal="190" workbookViewId="0">
      <pane xSplit="3" ySplit="3" topLeftCell="D160" activePane="bottomRight" state="frozen"/>
      <selection pane="topRight" activeCell="C1" sqref="C1"/>
      <selection pane="bottomLeft" activeCell="A4" sqref="A4"/>
      <selection pane="bottomRight" activeCell="A205" sqref="A205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8554687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8.42578125" style="3" customWidth="1"/>
    <col min="10" max="10" width="7.42578125" style="3" customWidth="1"/>
    <col min="11" max="11" width="10.570312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RANDBETWEEN(1,B235)</f>
        <v>98</v>
      </c>
    </row>
    <row r="2" spans="1:30" x14ac:dyDescent="0.2">
      <c r="F2" s="6">
        <f>SUM(F4:F450)-F5-F10-F12-F17-F24-F27-F47-F55</f>
        <v>5642833.1462724404</v>
      </c>
      <c r="K2" s="9">
        <f>MIN(K4:K89)</f>
        <v>45524</v>
      </c>
      <c r="Q2" s="60" t="s">
        <v>312</v>
      </c>
      <c r="R2" s="60"/>
      <c r="S2" s="60"/>
      <c r="T2" s="60"/>
      <c r="U2" s="60"/>
      <c r="V2" s="60"/>
      <c r="W2" s="60" t="s">
        <v>311</v>
      </c>
      <c r="X2" s="60"/>
      <c r="Y2" s="60"/>
      <c r="Z2" s="60"/>
      <c r="AA2" s="60"/>
      <c r="AB2" s="60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300</v>
      </c>
      <c r="K3" s="3" t="s">
        <v>306</v>
      </c>
      <c r="L3" s="3" t="s">
        <v>313</v>
      </c>
      <c r="M3" s="3" t="s">
        <v>315</v>
      </c>
      <c r="N3" s="3" t="s">
        <v>316</v>
      </c>
      <c r="O3" s="3" t="s">
        <v>317</v>
      </c>
      <c r="P3" s="3" t="s">
        <v>314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998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1083</v>
      </c>
      <c r="J4" s="6">
        <f>+[1]Main!$J$3</f>
        <v>950.42577800000004</v>
      </c>
      <c r="K4" s="9">
        <v>45574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1083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318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1083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1083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A8"/>
      <c r="B8">
        <f>+B7+1</f>
        <v>4</v>
      </c>
      <c r="C8" s="5" t="s">
        <v>17</v>
      </c>
      <c r="D8" t="s">
        <v>18</v>
      </c>
      <c r="E8" s="59">
        <v>195.73</v>
      </c>
      <c r="F8" s="30">
        <f>+E8*J8</f>
        <v>346637.82999999996</v>
      </c>
      <c r="G8" s="30">
        <f>+[4]Main!$K$5-[4]Main!$K$6</f>
        <v>-57205</v>
      </c>
      <c r="H8" s="30">
        <f>F8-G8</f>
        <v>403842.82999999996</v>
      </c>
      <c r="I8" s="28" t="s">
        <v>1083</v>
      </c>
      <c r="J8" s="30">
        <f>+[4]Main!$K$3</f>
        <v>1771</v>
      </c>
      <c r="K8" s="38">
        <v>45585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1083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1083</v>
      </c>
      <c r="J10" s="6">
        <f>+[6]Main!$K$3</f>
        <v>1560</v>
      </c>
      <c r="K10" s="9">
        <v>45524</v>
      </c>
    </row>
    <row r="11" spans="1:30" x14ac:dyDescent="0.2">
      <c r="A11"/>
      <c r="B11" s="1">
        <f>+B10</f>
        <v>6</v>
      </c>
      <c r="C11" s="5" t="s">
        <v>37</v>
      </c>
      <c r="D11" s="1" t="s">
        <v>417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+[7]Main!$K$6-[7]Main!$K$7</f>
        <v>-18800</v>
      </c>
      <c r="H12" s="6">
        <f t="shared" si="1"/>
        <v>259736.96000000002</v>
      </c>
      <c r="I12" s="3" t="s">
        <v>1083</v>
      </c>
      <c r="J12" s="6">
        <f>+[7]Main!$K$4</f>
        <v>2046</v>
      </c>
      <c r="K12" s="9">
        <v>45578</v>
      </c>
    </row>
    <row r="13" spans="1:30" x14ac:dyDescent="0.2">
      <c r="A13"/>
      <c r="B13" s="1">
        <f>+B12</f>
        <v>7</v>
      </c>
      <c r="C13" s="5" t="s">
        <v>29</v>
      </c>
      <c r="D13" t="s">
        <v>422</v>
      </c>
      <c r="E13" s="21">
        <v>100.4</v>
      </c>
      <c r="F13" s="6">
        <f>+E13*J13/CHF</f>
        <v>241668.70588235298</v>
      </c>
      <c r="G13" s="6">
        <f>+[7]Main!$K$6-[7]Main!$K$7</f>
        <v>-18800</v>
      </c>
      <c r="H13" s="6">
        <f t="shared" si="1"/>
        <v>260468.70588235298</v>
      </c>
      <c r="I13" s="3" t="s">
        <v>1083</v>
      </c>
      <c r="J13" s="6">
        <f>+[7]Main!$K$4</f>
        <v>2046</v>
      </c>
      <c r="K13" s="9">
        <f>+K12</f>
        <v>45578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1126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0" t="s">
        <v>33</v>
      </c>
      <c r="D15" s="1" t="s">
        <v>34</v>
      </c>
      <c r="E15" s="7">
        <v>317</v>
      </c>
      <c r="F15" s="6">
        <f>+E15*J15</f>
        <v>170863</v>
      </c>
      <c r="G15" s="6">
        <f>[9]Main!$J$5-[9]Main!$J$6</f>
        <v>-53344</v>
      </c>
      <c r="H15" s="6">
        <f t="shared" si="1"/>
        <v>224207</v>
      </c>
      <c r="I15" s="3" t="s">
        <v>1083</v>
      </c>
      <c r="J15" s="6">
        <f>+[10]Main!$J$3</f>
        <v>539</v>
      </c>
      <c r="K15" s="9">
        <v>45581</v>
      </c>
      <c r="AC15" s="1">
        <v>1980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1083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1125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1083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1083</v>
      </c>
      <c r="J19" s="6">
        <f>+[14]Main!$K$3</f>
        <v>2027.395178</v>
      </c>
      <c r="K19" s="9">
        <v>45578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1083</v>
      </c>
      <c r="J20" s="6">
        <f>+[15]Main!$J$3</f>
        <v>115.4</v>
      </c>
      <c r="K20" s="9">
        <v>45530</v>
      </c>
      <c r="AC20" s="1">
        <v>1988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1083</v>
      </c>
      <c r="J21" s="6">
        <f>+[16]Main!$J$3</f>
        <v>1244.9920810000001</v>
      </c>
      <c r="K21" s="9">
        <v>45525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1083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421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1083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1083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1083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1083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1083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335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1083</v>
      </c>
      <c r="J28" s="6">
        <f>+[21]Main!$K$4</f>
        <v>1569</v>
      </c>
      <c r="K28" s="9">
        <v>45535</v>
      </c>
    </row>
    <row r="29" spans="1:29" x14ac:dyDescent="0.2">
      <c r="B29" s="1">
        <f t="shared" ref="B29:B55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1083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1083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255</v>
      </c>
      <c r="D31" t="s">
        <v>256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1083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265</v>
      </c>
      <c r="D32" t="s">
        <v>266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1083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257</v>
      </c>
      <c r="D33" t="s">
        <v>258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1053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271</v>
      </c>
      <c r="D34" t="s">
        <v>271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1083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1083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1083</v>
      </c>
      <c r="J36" s="6">
        <f>+[29]Main!$L$3</f>
        <v>128.38051300000001</v>
      </c>
      <c r="K36" s="9">
        <v>45537</v>
      </c>
      <c r="AC36" s="1">
        <v>2002</v>
      </c>
      <c r="AD36" s="1" t="s">
        <v>609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1083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1083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263</v>
      </c>
      <c r="D39" t="s">
        <v>264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1083</v>
      </c>
      <c r="J39" s="6">
        <f>+[32]Main!$J$3</f>
        <v>145</v>
      </c>
      <c r="K39" s="9">
        <v>45536</v>
      </c>
      <c r="AC39" s="1">
        <v>1978</v>
      </c>
      <c r="AD39" s="1" t="s">
        <v>609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1083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1083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1083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1083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353</v>
      </c>
      <c r="D44" t="s">
        <v>354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1083</v>
      </c>
      <c r="J44" s="6">
        <f>+[37]Main!$J$3</f>
        <v>142.48709700000001</v>
      </c>
      <c r="K44" s="9">
        <v>45537</v>
      </c>
    </row>
    <row r="45" spans="1:30" x14ac:dyDescent="0.2">
      <c r="B45" s="1">
        <f t="shared" si="4"/>
        <v>36</v>
      </c>
      <c r="C45" s="5" t="s">
        <v>79</v>
      </c>
      <c r="D45" s="1" t="s">
        <v>80</v>
      </c>
      <c r="E45" s="7">
        <v>190</v>
      </c>
      <c r="F45" s="6">
        <f>+E45*J45</f>
        <v>19892.745209999997</v>
      </c>
      <c r="G45" s="6">
        <f>[38]Main!$L$5-[38]Main!$L$6</f>
        <v>1581.0029999999999</v>
      </c>
      <c r="H45" s="6">
        <f>F45-G45</f>
        <v>18311.742209999997</v>
      </c>
      <c r="I45" s="3" t="s">
        <v>1083</v>
      </c>
      <c r="J45" s="6">
        <f>+[38]Main!$L$3</f>
        <v>104.69865899999999</v>
      </c>
      <c r="K45" s="9">
        <v>45537</v>
      </c>
    </row>
    <row r="46" spans="1:30" x14ac:dyDescent="0.2">
      <c r="A46"/>
      <c r="B46" s="1">
        <f t="shared" si="4"/>
        <v>37</v>
      </c>
      <c r="C46" s="5" t="s">
        <v>69</v>
      </c>
      <c r="D46" s="1" t="s">
        <v>70</v>
      </c>
      <c r="E46" s="7">
        <v>91.21</v>
      </c>
      <c r="F46" s="6">
        <f>+E46*J46</f>
        <v>17364.817194619998</v>
      </c>
      <c r="G46" s="6">
        <f>+[39]Main!$L$5-[39]Main!$L$6</f>
        <v>692.48099999999977</v>
      </c>
      <c r="H46" s="6">
        <f t="shared" ref="H46" si="5">F46-G46</f>
        <v>16672.336194619998</v>
      </c>
      <c r="I46" s="3" t="s">
        <v>1083</v>
      </c>
      <c r="J46" s="6">
        <f>+[39]Main!$L$3</f>
        <v>190.382822</v>
      </c>
      <c r="K46" s="9">
        <v>45537</v>
      </c>
      <c r="AC46">
        <v>1997</v>
      </c>
      <c r="AD46" s="1" t="s">
        <v>1137</v>
      </c>
    </row>
    <row r="47" spans="1:30" x14ac:dyDescent="0.2">
      <c r="A47"/>
      <c r="B47" s="1">
        <f t="shared" si="4"/>
        <v>38</v>
      </c>
      <c r="C47" s="5" t="s">
        <v>59</v>
      </c>
      <c r="D47" s="1" t="s">
        <v>60</v>
      </c>
      <c r="E47" s="3">
        <v>27.44</v>
      </c>
      <c r="F47" s="6">
        <f>+E47*J47*10</f>
        <v>18147.967829600002</v>
      </c>
      <c r="G47" s="6">
        <f>([40]Main!$K$7-[40]Main!$K$8)/DKK</f>
        <v>2373.9195230998512</v>
      </c>
      <c r="H47" s="6">
        <f>F47-G47</f>
        <v>15774.04830650015</v>
      </c>
      <c r="I47" s="3" t="s">
        <v>1083</v>
      </c>
      <c r="J47" s="6">
        <f>+[40]Main!$K$4</f>
        <v>66.136909000000003</v>
      </c>
      <c r="K47" s="9">
        <v>45537</v>
      </c>
      <c r="AC47" s="1">
        <v>1999</v>
      </c>
      <c r="AD47" s="1" t="s">
        <v>1138</v>
      </c>
    </row>
    <row r="48" spans="1:30" x14ac:dyDescent="0.2">
      <c r="A48"/>
      <c r="B48" s="1">
        <f t="shared" si="4"/>
        <v>39</v>
      </c>
      <c r="C48" s="5" t="s">
        <v>59</v>
      </c>
      <c r="D48" t="s">
        <v>514</v>
      </c>
      <c r="E48" s="6">
        <v>1869.5</v>
      </c>
      <c r="F48" s="6">
        <f>+E48*J48/DKK</f>
        <v>18426.669355514161</v>
      </c>
      <c r="G48" s="6">
        <f>([40]Main!$K$7-[40]Main!$K$8)/DKK</f>
        <v>2373.9195230998512</v>
      </c>
      <c r="H48" s="6">
        <f>F48-G48</f>
        <v>16052.749832414309</v>
      </c>
      <c r="I48" s="3" t="s">
        <v>1083</v>
      </c>
      <c r="J48" s="6">
        <f>+[40]Main!$K$4</f>
        <v>66.136909000000003</v>
      </c>
      <c r="K48" s="9">
        <v>45537</v>
      </c>
      <c r="AC48" s="1">
        <v>1999</v>
      </c>
      <c r="AD48" s="1" t="s">
        <v>1138</v>
      </c>
    </row>
    <row r="49" spans="1:30" x14ac:dyDescent="0.2">
      <c r="A49"/>
      <c r="B49" s="1">
        <f t="shared" si="4"/>
        <v>40</v>
      </c>
      <c r="C49" s="5" t="s">
        <v>85</v>
      </c>
      <c r="D49" s="1" t="s">
        <v>86</v>
      </c>
      <c r="E49" s="7">
        <v>9</v>
      </c>
      <c r="F49" s="6">
        <f>+E49*J49</f>
        <v>6187.9941720000006</v>
      </c>
      <c r="G49" s="6">
        <f>([41]Main!$L$5-[41]Main!$L$6)*EUR</f>
        <v>-9434.5526700000009</v>
      </c>
      <c r="H49" s="6">
        <f>F49-G49</f>
        <v>15622.546842000002</v>
      </c>
      <c r="I49" s="3" t="s">
        <v>1083</v>
      </c>
      <c r="J49" s="6">
        <f>+[41]Main!$L$3</f>
        <v>687.55490800000007</v>
      </c>
      <c r="K49" s="9">
        <v>45537</v>
      </c>
    </row>
    <row r="50" spans="1:30" x14ac:dyDescent="0.2">
      <c r="A50"/>
      <c r="B50" s="1">
        <f t="shared" si="4"/>
        <v>41</v>
      </c>
      <c r="C50" s="5" t="s">
        <v>409</v>
      </c>
      <c r="D50" t="s">
        <v>410</v>
      </c>
      <c r="E50" s="19">
        <v>19.739999999999998</v>
      </c>
      <c r="F50" s="6">
        <f>+E50*J50/CNY</f>
        <v>16519.651675853314</v>
      </c>
      <c r="G50" s="6">
        <f>([42]Main!$J$5-[42]Main!$J$6)/CNY</f>
        <v>3006.8781382228485</v>
      </c>
      <c r="H50" s="6">
        <f>F50-G50</f>
        <v>13512.773537630466</v>
      </c>
      <c r="I50" s="3" t="s">
        <v>1126</v>
      </c>
      <c r="J50" s="6">
        <f>+[42]Main!$J$3</f>
        <v>5933.3500700000004</v>
      </c>
      <c r="K50" s="9">
        <v>45539</v>
      </c>
      <c r="AC50" s="1">
        <v>1995</v>
      </c>
    </row>
    <row r="51" spans="1:30" x14ac:dyDescent="0.2">
      <c r="B51" s="1">
        <f t="shared" si="4"/>
        <v>42</v>
      </c>
      <c r="C51" s="5" t="s">
        <v>127</v>
      </c>
      <c r="D51" s="1" t="s">
        <v>128</v>
      </c>
      <c r="E51" s="7">
        <v>138.38999999999999</v>
      </c>
      <c r="F51" s="6">
        <f>+E51*J51</f>
        <v>13197.746962259998</v>
      </c>
      <c r="G51" s="6">
        <f>+[43]Main!$L$5-[43]Main!$L$6</f>
        <v>234.15900000000011</v>
      </c>
      <c r="H51" s="6">
        <f>+F51-G51</f>
        <v>12963.587962259999</v>
      </c>
      <c r="I51" s="3" t="s">
        <v>1083</v>
      </c>
      <c r="J51" s="6">
        <f>+[43]Main!$L$3</f>
        <v>95.366333999999995</v>
      </c>
      <c r="K51" s="9">
        <v>45537</v>
      </c>
    </row>
    <row r="52" spans="1:30" x14ac:dyDescent="0.2">
      <c r="A52"/>
      <c r="B52" s="1">
        <f t="shared" si="4"/>
        <v>43</v>
      </c>
      <c r="C52" s="5" t="s">
        <v>89</v>
      </c>
      <c r="D52" s="1" t="s">
        <v>90</v>
      </c>
      <c r="E52" s="7">
        <v>363.55</v>
      </c>
      <c r="F52" s="6">
        <f>+E52*J52</f>
        <v>16174.767034800001</v>
      </c>
      <c r="G52" s="6">
        <f>[44]Main!$K$5-[44]Main!$K$6</f>
        <v>3801.8999999999996</v>
      </c>
      <c r="H52" s="6">
        <f>F52-G52</f>
        <v>12372.867034800001</v>
      </c>
      <c r="I52" s="3" t="s">
        <v>1083</v>
      </c>
      <c r="J52" s="6">
        <f>+[44]Main!$K$3</f>
        <v>44.491176000000003</v>
      </c>
      <c r="K52" s="9">
        <v>45537</v>
      </c>
    </row>
    <row r="53" spans="1:30" x14ac:dyDescent="0.2">
      <c r="A53" t="s">
        <v>334</v>
      </c>
      <c r="B53" s="1">
        <f t="shared" si="4"/>
        <v>44</v>
      </c>
      <c r="C53" s="5" t="s">
        <v>708</v>
      </c>
      <c r="D53" t="s">
        <v>709</v>
      </c>
      <c r="E53" s="7">
        <v>17.95</v>
      </c>
      <c r="F53" s="6">
        <f>+E53*J53</f>
        <v>13005.45263045</v>
      </c>
      <c r="G53" s="6">
        <f>+[45]Main!$K$5-[45]Main!$K$6</f>
        <v>225.46900000000005</v>
      </c>
      <c r="H53" s="6">
        <f>F53-G53</f>
        <v>12779.983630449999</v>
      </c>
      <c r="I53" s="3" t="s">
        <v>1083</v>
      </c>
      <c r="J53" s="6">
        <f>+[45]Main!$K$3</f>
        <v>724.53775099999996</v>
      </c>
      <c r="K53" s="9">
        <v>45544</v>
      </c>
    </row>
    <row r="54" spans="1:30" x14ac:dyDescent="0.2">
      <c r="A54"/>
      <c r="B54" s="1">
        <f t="shared" si="4"/>
        <v>45</v>
      </c>
      <c r="C54" s="5" t="s">
        <v>114</v>
      </c>
      <c r="D54" s="1" t="s">
        <v>115</v>
      </c>
      <c r="E54" s="3">
        <v>19.079999999999998</v>
      </c>
      <c r="F54" s="6">
        <f>+E54*J54</f>
        <v>4912.5939411599993</v>
      </c>
      <c r="G54" s="6">
        <f>[46]Main!$L$5-[46]Main!$L$6</f>
        <v>-7952</v>
      </c>
      <c r="H54" s="6">
        <f>+F54-G54</f>
        <v>12864.593941159999</v>
      </c>
      <c r="I54" s="3" t="s">
        <v>1083</v>
      </c>
      <c r="J54" s="6">
        <f>+[46]Main!$L$3</f>
        <v>257.473477</v>
      </c>
      <c r="K54" s="9">
        <v>45562</v>
      </c>
    </row>
    <row r="55" spans="1:30" customFormat="1" x14ac:dyDescent="0.2">
      <c r="B55" s="1">
        <f t="shared" si="4"/>
        <v>46</v>
      </c>
      <c r="C55" s="5" t="s">
        <v>381</v>
      </c>
      <c r="D55" t="s">
        <v>382</v>
      </c>
      <c r="E55" s="47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1126</v>
      </c>
      <c r="J55" s="6">
        <f>+[47]Main!$K$4</f>
        <v>2672.3987109999998</v>
      </c>
      <c r="K55" s="9">
        <v>45542</v>
      </c>
    </row>
    <row r="56" spans="1:30" x14ac:dyDescent="0.2">
      <c r="A56"/>
      <c r="B56" s="1">
        <f>+B55</f>
        <v>46</v>
      </c>
      <c r="C56" s="5" t="s">
        <v>381</v>
      </c>
      <c r="D56" t="s">
        <v>383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1126</v>
      </c>
      <c r="J56" s="6">
        <f>+[47]Main!$K$4</f>
        <v>2672.3987109999998</v>
      </c>
      <c r="K56" s="9">
        <v>45542</v>
      </c>
    </row>
    <row r="57" spans="1:30" x14ac:dyDescent="0.2">
      <c r="A57" t="s">
        <v>334</v>
      </c>
      <c r="B57" s="1">
        <f>+B56+1</f>
        <v>47</v>
      </c>
      <c r="C57" s="5" t="s">
        <v>175</v>
      </c>
      <c r="D57" s="1" t="s">
        <v>176</v>
      </c>
      <c r="E57" s="7">
        <v>74</v>
      </c>
      <c r="F57" s="6">
        <f>+E57*J57</f>
        <v>12716.833622000002</v>
      </c>
      <c r="G57" s="6">
        <f>+[48]Main!$L$5-[48]Main!$L$6</f>
        <v>299.97399999999993</v>
      </c>
      <c r="H57" s="6">
        <f>+F57-G57</f>
        <v>12416.859622000002</v>
      </c>
      <c r="I57" s="3" t="s">
        <v>1083</v>
      </c>
      <c r="J57" s="6">
        <f>+[48]Main!$L$3</f>
        <v>171.84910300000001</v>
      </c>
      <c r="K57" s="9">
        <v>45583</v>
      </c>
      <c r="AC57" s="1">
        <v>1999</v>
      </c>
    </row>
    <row r="58" spans="1:30" x14ac:dyDescent="0.2">
      <c r="B58" s="1">
        <f>+B57+1</f>
        <v>48</v>
      </c>
      <c r="C58" s="5" t="s">
        <v>49</v>
      </c>
      <c r="D58" s="1" t="s">
        <v>50</v>
      </c>
      <c r="E58" s="7">
        <v>65.72</v>
      </c>
      <c r="F58" s="6">
        <f>+E58*J58</f>
        <v>12657.542334440001</v>
      </c>
      <c r="G58" s="6">
        <f>+[49]Main!$K$5-[49]Main!$K$6</f>
        <v>1549.0429999999999</v>
      </c>
      <c r="H58" s="6">
        <f>F58-G58</f>
        <v>11108.499334440001</v>
      </c>
      <c r="I58" s="3" t="s">
        <v>1083</v>
      </c>
      <c r="J58" s="6">
        <f>+[49]Main!$K$3</f>
        <v>192.598027</v>
      </c>
      <c r="K58" s="9">
        <v>45537</v>
      </c>
    </row>
    <row r="59" spans="1:30" x14ac:dyDescent="0.2">
      <c r="A59"/>
      <c r="B59" s="1">
        <f t="shared" ref="B59:B72" si="6">+B58+1</f>
        <v>49</v>
      </c>
      <c r="C59" s="14" t="s">
        <v>53</v>
      </c>
      <c r="D59" s="1" t="s">
        <v>54</v>
      </c>
      <c r="E59" s="7">
        <v>58.29</v>
      </c>
      <c r="F59" s="6">
        <f>+E59*J59</f>
        <v>22406.446337399997</v>
      </c>
      <c r="G59" s="6">
        <f>+[50]Main!$K$5-[50]Main!$K$6</f>
        <v>10814</v>
      </c>
      <c r="H59" s="6">
        <f>F59-G59</f>
        <v>11592.446337399997</v>
      </c>
      <c r="I59" s="3" t="s">
        <v>1083</v>
      </c>
      <c r="J59" s="6">
        <f>+[50]Main!$K$3</f>
        <v>384.39605999999998</v>
      </c>
      <c r="K59" s="9">
        <v>45573</v>
      </c>
      <c r="AD59" s="1" t="s">
        <v>609</v>
      </c>
    </row>
    <row r="60" spans="1:30" x14ac:dyDescent="0.2">
      <c r="A60"/>
      <c r="B60" s="1">
        <f t="shared" si="6"/>
        <v>50</v>
      </c>
      <c r="C60" s="5" t="s">
        <v>274</v>
      </c>
      <c r="D60" t="s">
        <v>275</v>
      </c>
      <c r="E60" s="17">
        <v>6022</v>
      </c>
      <c r="F60" s="6">
        <f>+E60*J60/JPY</f>
        <v>11871.835559820998</v>
      </c>
      <c r="G60" s="6">
        <f>+([51]Main!$K$5-[51]Main!$K$6)/JPY</f>
        <v>861.49397590361446</v>
      </c>
      <c r="H60" s="6">
        <f>F60-G60</f>
        <v>11010.341583917383</v>
      </c>
      <c r="I60" s="3" t="s">
        <v>1083</v>
      </c>
      <c r="J60" s="6">
        <f>+[51]Main!$K$3</f>
        <v>286.34741200000002</v>
      </c>
      <c r="K60" s="9">
        <v>45537</v>
      </c>
    </row>
    <row r="61" spans="1:30" x14ac:dyDescent="0.2">
      <c r="A61"/>
      <c r="B61" s="1">
        <f t="shared" si="6"/>
        <v>51</v>
      </c>
      <c r="C61" s="5" t="s">
        <v>93</v>
      </c>
      <c r="D61" s="1" t="s">
        <v>94</v>
      </c>
      <c r="E61" s="7">
        <v>115</v>
      </c>
      <c r="F61" s="6">
        <f>+E61*J61</f>
        <v>7101.6536500000002</v>
      </c>
      <c r="G61" s="6">
        <f>+[52]Main!$K$5-[52]Main!$K$6</f>
        <v>-3725.9790000000003</v>
      </c>
      <c r="H61" s="6">
        <f>+F61-G61</f>
        <v>10827.63265</v>
      </c>
      <c r="I61" s="3" t="s">
        <v>1083</v>
      </c>
      <c r="J61" s="6">
        <f>+[52]Main!$K$3</f>
        <v>61.753509999999999</v>
      </c>
      <c r="K61" s="9">
        <v>45537</v>
      </c>
      <c r="L61" s="7">
        <f>+[52]Model!$AP$31</f>
        <v>0.94</v>
      </c>
      <c r="M61" s="10">
        <f>+L61/E61-1</f>
        <v>-0.99182608695652175</v>
      </c>
      <c r="N61" s="10">
        <f>+[52]Model!$AP$28</f>
        <v>0</v>
      </c>
      <c r="O61" s="10">
        <f>+[52]Model!$AP$27</f>
        <v>67.853000000000009</v>
      </c>
      <c r="P61" s="10">
        <f>+[52]Model!$AP$29</f>
        <v>-0.32933821939538621</v>
      </c>
    </row>
    <row r="62" spans="1:30" x14ac:dyDescent="0.2">
      <c r="A62"/>
      <c r="B62" s="1">
        <f t="shared" si="6"/>
        <v>52</v>
      </c>
      <c r="C62" s="5" t="s">
        <v>1131</v>
      </c>
      <c r="D62" t="s">
        <v>1132</v>
      </c>
      <c r="E62" s="7">
        <v>113</v>
      </c>
      <c r="F62" s="6">
        <f>+E62*J62</f>
        <v>12611.892823</v>
      </c>
      <c r="G62" s="6">
        <f>+[53]Main!$L$5-[53]Main!$L$6</f>
        <v>1853.0430000000001</v>
      </c>
      <c r="H62" s="6">
        <f t="shared" ref="H62" si="7">+F62-G62</f>
        <v>10758.849823</v>
      </c>
      <c r="I62" s="3" t="s">
        <v>1083</v>
      </c>
      <c r="J62" s="6">
        <f>+[53]Main!$L$3</f>
        <v>111.60967100000001</v>
      </c>
      <c r="K62" s="9">
        <v>45544</v>
      </c>
      <c r="AC62" s="1">
        <v>2013</v>
      </c>
    </row>
    <row r="63" spans="1:30" x14ac:dyDescent="0.2">
      <c r="B63" s="1">
        <f t="shared" si="6"/>
        <v>53</v>
      </c>
      <c r="C63" s="5" t="s">
        <v>366</v>
      </c>
      <c r="D63" t="s">
        <v>367</v>
      </c>
      <c r="E63" s="15">
        <v>111.5</v>
      </c>
      <c r="F63" s="6">
        <f>+E63*J63*EUR</f>
        <v>10373.304810390002</v>
      </c>
      <c r="G63" s="6">
        <f>([54]Main!$L$5-[54]Main!$L$6)*EUR</f>
        <v>7.548</v>
      </c>
      <c r="H63" s="6">
        <f>+F63-G63</f>
        <v>10365.756810390001</v>
      </c>
      <c r="I63" s="3" t="s">
        <v>1083</v>
      </c>
      <c r="J63" s="6">
        <f>+[54]Main!$L$3</f>
        <v>83.814526000000001</v>
      </c>
      <c r="K63" s="9">
        <v>45563</v>
      </c>
    </row>
    <row r="64" spans="1:30" x14ac:dyDescent="0.2">
      <c r="B64" s="1">
        <f t="shared" si="6"/>
        <v>54</v>
      </c>
      <c r="C64" s="5" t="s">
        <v>364</v>
      </c>
      <c r="D64" t="s">
        <v>365</v>
      </c>
      <c r="E64" s="15">
        <v>38.75</v>
      </c>
      <c r="F64" s="24">
        <f>E64*J64</f>
        <v>7994.0924500000001</v>
      </c>
      <c r="G64" s="6">
        <f>([55]Main!$M$5-[55]Main!$M$6)*EUR</f>
        <v>-1631.0340000000003</v>
      </c>
      <c r="H64" s="6">
        <f>+F64-G64</f>
        <v>9625.1264499999997</v>
      </c>
      <c r="I64" s="3" t="s">
        <v>1083</v>
      </c>
      <c r="J64" s="6">
        <f>[55]Main!$M$3</f>
        <v>206.29916</v>
      </c>
      <c r="K64" s="9">
        <v>45540</v>
      </c>
      <c r="AC64" s="1">
        <v>1926</v>
      </c>
    </row>
    <row r="65" spans="1:30" x14ac:dyDescent="0.2">
      <c r="B65" s="1">
        <f t="shared" si="6"/>
        <v>55</v>
      </c>
      <c r="C65" s="5" t="s">
        <v>91</v>
      </c>
      <c r="D65" s="1" t="s">
        <v>92</v>
      </c>
      <c r="E65" s="7">
        <v>113</v>
      </c>
      <c r="F65" s="6">
        <f>+E65*J65</f>
        <v>11410.316137</v>
      </c>
      <c r="G65" s="6">
        <f>+[56]Main!$L$5-[56]Main!$L$6</f>
        <v>1820.3</v>
      </c>
      <c r="H65" s="6">
        <f>F65-G65</f>
        <v>9590.0161370000005</v>
      </c>
      <c r="I65" s="3" t="s">
        <v>1083</v>
      </c>
      <c r="J65" s="6">
        <f>+[56]Main!$L$3</f>
        <v>100.976249</v>
      </c>
      <c r="K65" s="9">
        <v>45572</v>
      </c>
    </row>
    <row r="66" spans="1:30" x14ac:dyDescent="0.2">
      <c r="A66"/>
      <c r="B66" s="1">
        <f t="shared" si="6"/>
        <v>56</v>
      </c>
      <c r="C66" s="5" t="s">
        <v>99</v>
      </c>
      <c r="D66" s="1" t="s">
        <v>100</v>
      </c>
      <c r="E66" s="7">
        <v>64</v>
      </c>
      <c r="F66" s="6">
        <f>+E66*J66</f>
        <v>8107.3919999999998</v>
      </c>
      <c r="G66" s="6">
        <f>+[57]Main!$M$5-[57]Main!$M$6</f>
        <v>-973.48500000000013</v>
      </c>
      <c r="H66" s="6">
        <f>+F66-G66</f>
        <v>9080.8770000000004</v>
      </c>
      <c r="I66" s="3" t="s">
        <v>1083</v>
      </c>
      <c r="J66" s="6">
        <f>+[57]Main!$M$3</f>
        <v>126.678</v>
      </c>
      <c r="K66" s="9">
        <v>45538</v>
      </c>
    </row>
    <row r="67" spans="1:30" x14ac:dyDescent="0.2">
      <c r="B67" s="1">
        <f t="shared" si="6"/>
        <v>57</v>
      </c>
      <c r="C67" s="5" t="s">
        <v>118</v>
      </c>
      <c r="D67" s="1" t="s">
        <v>119</v>
      </c>
      <c r="E67" s="7">
        <v>48.59</v>
      </c>
      <c r="F67" s="6">
        <f>+E67*J67</f>
        <v>8872.6349214300008</v>
      </c>
      <c r="G67" s="6">
        <f>+[58]Main!$K$5-[58]Main!$K$6</f>
        <v>1008.441</v>
      </c>
      <c r="H67" s="6">
        <f>+F67-G67</f>
        <v>7864.193921430001</v>
      </c>
      <c r="I67" s="3" t="s">
        <v>1083</v>
      </c>
      <c r="J67" s="6">
        <f>+[58]Main!$K$3</f>
        <v>182.60207700000001</v>
      </c>
      <c r="K67" s="9">
        <v>45574</v>
      </c>
    </row>
    <row r="68" spans="1:30" x14ac:dyDescent="0.2">
      <c r="A68"/>
      <c r="B68" s="1">
        <f t="shared" si="6"/>
        <v>58</v>
      </c>
      <c r="C68" s="5" t="s">
        <v>372</v>
      </c>
      <c r="D68" t="s">
        <v>373</v>
      </c>
      <c r="E68" s="3">
        <v>49.22</v>
      </c>
      <c r="F68" s="6">
        <f>+E68*J68*EUR</f>
        <v>7710.7431827999999</v>
      </c>
      <c r="G68" s="6">
        <f>([59]Main!$L$5-[59]Main!$L$6)*EUR</f>
        <v>-123.432</v>
      </c>
      <c r="H68" s="6">
        <f>+F68-G68</f>
        <v>7834.1751827999997</v>
      </c>
      <c r="I68" s="3" t="s">
        <v>1083</v>
      </c>
      <c r="J68" s="6">
        <f>+[59]Main!$L$3</f>
        <v>141.13399999999999</v>
      </c>
      <c r="K68" s="9">
        <v>45566</v>
      </c>
    </row>
    <row r="69" spans="1:30" x14ac:dyDescent="0.2">
      <c r="B69" s="1">
        <f t="shared" si="6"/>
        <v>59</v>
      </c>
      <c r="C69" s="5" t="s">
        <v>137</v>
      </c>
      <c r="D69" s="1" t="s">
        <v>138</v>
      </c>
      <c r="E69" s="7">
        <v>126</v>
      </c>
      <c r="F69" s="6">
        <f>E69*J69</f>
        <v>7337.1059999999998</v>
      </c>
      <c r="G69" s="6">
        <f>[60]Main!$K$5-[60]Main!$K$6</f>
        <v>-413.63900000000001</v>
      </c>
      <c r="H69" s="6">
        <f>F69-G69</f>
        <v>7750.7449999999999</v>
      </c>
      <c r="I69" s="3" t="s">
        <v>1083</v>
      </c>
      <c r="J69" s="6">
        <f>[60]Main!$K$3</f>
        <v>58.231000000000002</v>
      </c>
      <c r="K69" s="9">
        <v>45539</v>
      </c>
      <c r="AC69" s="1">
        <v>2007</v>
      </c>
      <c r="AD69" s="1" t="s">
        <v>1154</v>
      </c>
    </row>
    <row r="70" spans="1:30" x14ac:dyDescent="0.2">
      <c r="B70" s="1">
        <f t="shared" si="6"/>
        <v>60</v>
      </c>
      <c r="C70" s="5" t="s">
        <v>101</v>
      </c>
      <c r="D70" s="1" t="s">
        <v>102</v>
      </c>
      <c r="E70" s="3">
        <v>49.82</v>
      </c>
      <c r="F70" s="6">
        <f>+E70*J70</f>
        <v>7284.2365536200004</v>
      </c>
      <c r="G70" s="6">
        <f>+[61]Main!$L$5-[61]Main!$L$6</f>
        <v>309.9079999999999</v>
      </c>
      <c r="H70" s="6">
        <f>+F70-G70</f>
        <v>6974.3285536200001</v>
      </c>
      <c r="I70" s="9" t="s">
        <v>1083</v>
      </c>
      <c r="J70" s="6">
        <f>+[61]Main!$L$3</f>
        <v>146.21109100000001</v>
      </c>
      <c r="K70" s="9">
        <v>45539</v>
      </c>
      <c r="AC70" s="1">
        <v>1989</v>
      </c>
    </row>
    <row r="71" spans="1:30" x14ac:dyDescent="0.2">
      <c r="B71" s="1">
        <f t="shared" si="6"/>
        <v>61</v>
      </c>
      <c r="C71" s="5" t="s">
        <v>296</v>
      </c>
      <c r="D71" t="s">
        <v>297</v>
      </c>
      <c r="E71" s="22">
        <v>1992</v>
      </c>
      <c r="F71" s="6">
        <f>+E71*J71/100*GBP</f>
        <v>5742.3752022000008</v>
      </c>
      <c r="G71" s="6">
        <f>+[62]Main!$K$5-[62]Main!$K$6</f>
        <v>-1276</v>
      </c>
      <c r="H71" s="6">
        <f t="shared" ref="H71:H96" si="8">+F71-G71</f>
        <v>7018.3752022000008</v>
      </c>
      <c r="I71" s="3" t="s">
        <v>1083</v>
      </c>
      <c r="J71" s="6">
        <f>+[62]Main!$K$3</f>
        <v>221.74757500000001</v>
      </c>
      <c r="K71" s="9">
        <v>45541</v>
      </c>
    </row>
    <row r="72" spans="1:30" x14ac:dyDescent="0.2">
      <c r="B72" s="1">
        <f t="shared" si="6"/>
        <v>62</v>
      </c>
      <c r="C72" s="5" t="s">
        <v>276</v>
      </c>
      <c r="D72" t="s">
        <v>277</v>
      </c>
      <c r="E72" s="3">
        <v>2587.5</v>
      </c>
      <c r="F72" s="6">
        <f>+E72*J72/JPY</f>
        <v>9510.5627333907069</v>
      </c>
      <c r="G72" s="6">
        <f>([63]Main!$L$5-[63]Main!$L$6)/JPY</f>
        <v>2512.9707401032701</v>
      </c>
      <c r="H72" s="6">
        <f>+F72-G72</f>
        <v>6997.5919932874367</v>
      </c>
      <c r="I72" s="3" t="s">
        <v>1083</v>
      </c>
      <c r="J72" s="6">
        <f>+[63]Main!$L$3</f>
        <v>533.87796600000001</v>
      </c>
      <c r="K72" s="9">
        <v>45567</v>
      </c>
    </row>
    <row r="73" spans="1:30" x14ac:dyDescent="0.2">
      <c r="A73" t="s">
        <v>334</v>
      </c>
      <c r="B73" s="1">
        <f t="shared" ref="B73:B131" si="9">+B72+1</f>
        <v>63</v>
      </c>
      <c r="C73" s="5" t="s">
        <v>131</v>
      </c>
      <c r="D73" s="1" t="s">
        <v>132</v>
      </c>
      <c r="E73" s="3">
        <v>25.49</v>
      </c>
      <c r="F73" s="6">
        <f t="shared" ref="F73:F79" si="10">+E73*J73</f>
        <v>3477.2290048199993</v>
      </c>
      <c r="G73" s="6">
        <f>+[64]Main!$N$5-[64]Main!$N$6</f>
        <v>-3514.8</v>
      </c>
      <c r="H73" s="6">
        <f>+F73-G73</f>
        <v>6992.0290048199995</v>
      </c>
      <c r="I73" s="3" t="s">
        <v>1083</v>
      </c>
      <c r="J73" s="6">
        <f>+[64]Main!$N$3</f>
        <v>136.41541799999999</v>
      </c>
      <c r="K73" s="9">
        <v>45566</v>
      </c>
    </row>
    <row r="74" spans="1:30" x14ac:dyDescent="0.2">
      <c r="A74" t="s">
        <v>334</v>
      </c>
      <c r="B74" s="1">
        <f t="shared" si="9"/>
        <v>64</v>
      </c>
      <c r="C74" s="5" t="s">
        <v>129</v>
      </c>
      <c r="D74" s="1" t="s">
        <v>130</v>
      </c>
      <c r="E74" s="3">
        <v>72.11</v>
      </c>
      <c r="F74" s="6">
        <f t="shared" si="10"/>
        <v>7619.6419617500005</v>
      </c>
      <c r="G74" s="6">
        <f>+[65]Main!$L$5-[65]Main!$L$6</f>
        <v>1024.6570000000002</v>
      </c>
      <c r="H74" s="6">
        <f>+F74-G74</f>
        <v>6594.9849617500004</v>
      </c>
      <c r="I74" s="3" t="s">
        <v>1083</v>
      </c>
      <c r="J74" s="6">
        <f>+[65]Main!$L$3</f>
        <v>105.66692500000001</v>
      </c>
      <c r="K74" s="9">
        <v>45545</v>
      </c>
    </row>
    <row r="75" spans="1:30" x14ac:dyDescent="0.2">
      <c r="B75" s="1">
        <f t="shared" si="9"/>
        <v>65</v>
      </c>
      <c r="C75" s="5" t="s">
        <v>686</v>
      </c>
      <c r="D75" t="s">
        <v>687</v>
      </c>
      <c r="E75" s="7">
        <v>56.68</v>
      </c>
      <c r="F75" s="6">
        <f t="shared" si="10"/>
        <v>6668.9448810399999</v>
      </c>
      <c r="G75" s="6">
        <f>+[66]Main!$K$5-[66]Main!$K$6</f>
        <v>707.18499999999995</v>
      </c>
      <c r="H75" s="6">
        <f>+F75-G75</f>
        <v>5961.7598810399995</v>
      </c>
      <c r="I75" s="3" t="s">
        <v>1083</v>
      </c>
      <c r="J75" s="6">
        <f>+[66]Main!$K$3</f>
        <v>117.659578</v>
      </c>
      <c r="K75" s="9">
        <v>45570</v>
      </c>
    </row>
    <row r="76" spans="1:30" x14ac:dyDescent="0.2">
      <c r="A76"/>
      <c r="B76" s="1">
        <f t="shared" si="9"/>
        <v>66</v>
      </c>
      <c r="C76" s="5" t="s">
        <v>1071</v>
      </c>
      <c r="D76" t="s">
        <v>1072</v>
      </c>
      <c r="E76" s="7">
        <v>64</v>
      </c>
      <c r="F76" s="6">
        <f t="shared" si="10"/>
        <v>6656</v>
      </c>
      <c r="G76" s="3">
        <f>+[67]Main!$K$5-[67]Main!$K$6</f>
        <v>711</v>
      </c>
      <c r="H76" s="6">
        <f t="shared" ref="H76" si="11">+F76-G76</f>
        <v>5945</v>
      </c>
      <c r="I76" s="3" t="s">
        <v>1126</v>
      </c>
      <c r="J76" s="3">
        <f>+[67]Main!$K$3</f>
        <v>104</v>
      </c>
      <c r="K76" s="9">
        <v>45541</v>
      </c>
    </row>
    <row r="77" spans="1:30" x14ac:dyDescent="0.2">
      <c r="B77" s="1">
        <f t="shared" si="9"/>
        <v>67</v>
      </c>
      <c r="C77" s="5" t="s">
        <v>122</v>
      </c>
      <c r="D77" s="1" t="s">
        <v>123</v>
      </c>
      <c r="E77" s="3">
        <v>25.59</v>
      </c>
      <c r="F77" s="6">
        <f t="shared" si="10"/>
        <v>7299.5916427500006</v>
      </c>
      <c r="G77" s="6">
        <f>+[68]Main!$M$5-[68]Main!$M$6</f>
        <v>1434.3040000000001</v>
      </c>
      <c r="H77" s="6">
        <f t="shared" si="8"/>
        <v>5865.2876427500005</v>
      </c>
      <c r="I77" s="3" t="s">
        <v>1083</v>
      </c>
      <c r="J77" s="6">
        <f>+[68]Main!$M$3</f>
        <v>285.25172500000002</v>
      </c>
      <c r="K77" s="9">
        <v>45540</v>
      </c>
    </row>
    <row r="78" spans="1:30" x14ac:dyDescent="0.2">
      <c r="B78" s="1">
        <f t="shared" si="9"/>
        <v>68</v>
      </c>
      <c r="C78" s="5" t="s">
        <v>698</v>
      </c>
      <c r="D78" t="s">
        <v>699</v>
      </c>
      <c r="E78" s="59">
        <v>25</v>
      </c>
      <c r="F78" s="30">
        <f>+E78*J78</f>
        <v>4689.6500000000005</v>
      </c>
      <c r="G78" s="30">
        <f>+[69]Main!$N$5-[69]Main!$N$6</f>
        <v>-1130.3990000000001</v>
      </c>
      <c r="H78" s="30">
        <f t="shared" ref="H78:H83" si="12">+F78-G78</f>
        <v>5820.0490000000009</v>
      </c>
      <c r="I78" s="28" t="s">
        <v>1083</v>
      </c>
      <c r="J78" s="30">
        <f>+[69]Main!$N$3</f>
        <v>187.58600000000001</v>
      </c>
      <c r="K78" s="38">
        <v>45579</v>
      </c>
    </row>
    <row r="79" spans="1:30" x14ac:dyDescent="0.2">
      <c r="A79"/>
      <c r="B79" s="1">
        <f t="shared" si="9"/>
        <v>69</v>
      </c>
      <c r="C79" s="5" t="s">
        <v>152</v>
      </c>
      <c r="D79" s="1" t="s">
        <v>153</v>
      </c>
      <c r="E79" s="3">
        <v>86.43</v>
      </c>
      <c r="F79" s="6">
        <f t="shared" si="10"/>
        <v>5432.4712200000004</v>
      </c>
      <c r="G79" s="6">
        <f>+[70]Main!$K$5-[70]Main!$K$6</f>
        <v>481.55700000000002</v>
      </c>
      <c r="H79" s="6">
        <f t="shared" si="12"/>
        <v>4950.9142200000006</v>
      </c>
      <c r="I79" s="3" t="s">
        <v>1083</v>
      </c>
      <c r="J79" s="6">
        <f>+[70]Main!$K$3</f>
        <v>62.853999999999999</v>
      </c>
      <c r="K79" s="9">
        <v>45549</v>
      </c>
    </row>
    <row r="80" spans="1:30" x14ac:dyDescent="0.2">
      <c r="A80"/>
      <c r="B80" s="1">
        <f t="shared" si="9"/>
        <v>70</v>
      </c>
      <c r="C80" s="5" t="s">
        <v>681</v>
      </c>
      <c r="D80" t="s">
        <v>999</v>
      </c>
      <c r="E80" s="3">
        <v>35.46</v>
      </c>
      <c r="F80" s="6">
        <f>+E80*J80/DKK</f>
        <v>5240.7871833084946</v>
      </c>
      <c r="G80" s="6">
        <f>([71]Main!$K$5-[71]Main!$K$6)/DKK</f>
        <v>375.40983606557376</v>
      </c>
      <c r="H80" s="6">
        <f t="shared" si="12"/>
        <v>4865.3773472429211</v>
      </c>
      <c r="I80" s="3" t="s">
        <v>1083</v>
      </c>
      <c r="J80" s="6">
        <f>+[71]Main!$K$3</f>
        <v>991.7</v>
      </c>
      <c r="K80" s="9">
        <v>45581</v>
      </c>
    </row>
    <row r="81" spans="1:30" x14ac:dyDescent="0.2">
      <c r="A81" s="1" t="s">
        <v>334</v>
      </c>
      <c r="B81" s="1">
        <f t="shared" si="9"/>
        <v>71</v>
      </c>
      <c r="C81" s="5" t="s">
        <v>806</v>
      </c>
      <c r="D81" t="s">
        <v>807</v>
      </c>
      <c r="E81" s="3">
        <v>19.79</v>
      </c>
      <c r="F81" s="6">
        <f>+E81*J81</f>
        <v>4789.1799999999994</v>
      </c>
      <c r="G81" s="6">
        <f>+[72]Main!$L$5-[72]Main!$L$6</f>
        <v>-43</v>
      </c>
      <c r="H81" s="6">
        <f t="shared" si="12"/>
        <v>4832.1799999999994</v>
      </c>
      <c r="I81" s="3" t="s">
        <v>1083</v>
      </c>
      <c r="J81" s="6">
        <f>+[72]Main!$L$3</f>
        <v>242</v>
      </c>
      <c r="K81" s="9">
        <v>45566</v>
      </c>
    </row>
    <row r="82" spans="1:30" x14ac:dyDescent="0.2">
      <c r="A82" t="s">
        <v>334</v>
      </c>
      <c r="B82" s="1">
        <f t="shared" si="9"/>
        <v>72</v>
      </c>
      <c r="C82" s="5" t="s">
        <v>87</v>
      </c>
      <c r="D82" s="1" t="s">
        <v>88</v>
      </c>
      <c r="E82" s="7">
        <v>52</v>
      </c>
      <c r="F82" s="6">
        <f>+E82*J82</f>
        <v>4916.1971560000002</v>
      </c>
      <c r="G82" s="6">
        <f>+[73]Main!$L$5-[73]Main!$L$6</f>
        <v>436.94799999999998</v>
      </c>
      <c r="H82" s="6">
        <f t="shared" si="12"/>
        <v>4479.2491559999999</v>
      </c>
      <c r="I82" s="3" t="s">
        <v>1083</v>
      </c>
      <c r="J82" s="6">
        <f>+[73]Main!$L$3</f>
        <v>94.542253000000002</v>
      </c>
      <c r="K82" s="9">
        <v>45583</v>
      </c>
    </row>
    <row r="83" spans="1:30" x14ac:dyDescent="0.2">
      <c r="A83"/>
      <c r="B83" s="1">
        <f t="shared" si="9"/>
        <v>73</v>
      </c>
      <c r="C83" s="5" t="s">
        <v>679</v>
      </c>
      <c r="D83" t="s">
        <v>680</v>
      </c>
      <c r="E83" s="7">
        <v>245</v>
      </c>
      <c r="F83" s="6">
        <f>+E83*J83</f>
        <v>5319.6058649999995</v>
      </c>
      <c r="G83" s="6">
        <f>+[74]Main!$M$5-[74]Main!$M$6</f>
        <v>946.1869999999999</v>
      </c>
      <c r="H83" s="6">
        <f t="shared" si="12"/>
        <v>4373.4188649999996</v>
      </c>
      <c r="I83" s="3" t="s">
        <v>1083</v>
      </c>
      <c r="J83" s="6">
        <f>+[74]Main!$M$3</f>
        <v>21.712676999999999</v>
      </c>
      <c r="K83" s="9">
        <v>45556</v>
      </c>
    </row>
    <row r="84" spans="1:30" x14ac:dyDescent="0.2">
      <c r="A84" t="s">
        <v>334</v>
      </c>
      <c r="B84" s="1">
        <f t="shared" si="9"/>
        <v>74</v>
      </c>
      <c r="C84" s="5" t="s">
        <v>431</v>
      </c>
      <c r="D84" t="s">
        <v>432</v>
      </c>
      <c r="E84" s="7">
        <v>93.89</v>
      </c>
      <c r="F84" s="6">
        <f>+E84*J84</f>
        <v>4506.7392474500002</v>
      </c>
      <c r="G84" s="6">
        <f>+[75]Main!$L$5-[75]Main!$L$6</f>
        <v>136.32699999999997</v>
      </c>
      <c r="H84" s="6">
        <f t="shared" si="8"/>
        <v>4370.41224745</v>
      </c>
      <c r="I84" s="3" t="s">
        <v>1083</v>
      </c>
      <c r="J84" s="6">
        <f>+[75]Main!$L$3</f>
        <v>48.000205000000001</v>
      </c>
      <c r="K84" s="9">
        <v>45540</v>
      </c>
    </row>
    <row r="85" spans="1:30" x14ac:dyDescent="0.2">
      <c r="A85" t="s">
        <v>334</v>
      </c>
      <c r="B85" s="1">
        <f t="shared" si="9"/>
        <v>75</v>
      </c>
      <c r="C85" s="5" t="s">
        <v>135</v>
      </c>
      <c r="D85" s="1" t="s">
        <v>136</v>
      </c>
      <c r="E85" s="3">
        <v>28.45</v>
      </c>
      <c r="F85" s="6">
        <f>+J85*E85</f>
        <v>4684.8139600499999</v>
      </c>
      <c r="G85" s="6">
        <f>+[76]Main!$L$5-[76]Main!$L$6</f>
        <v>673.06</v>
      </c>
      <c r="H85" s="6">
        <f>+F85-G85</f>
        <v>4011.7539600499999</v>
      </c>
      <c r="I85" s="3" t="s">
        <v>1083</v>
      </c>
      <c r="J85" s="6">
        <f>+[76]Main!$L$3</f>
        <v>164.668329</v>
      </c>
      <c r="K85" s="9">
        <v>45540</v>
      </c>
    </row>
    <row r="86" spans="1:30" x14ac:dyDescent="0.2">
      <c r="A86" s="1" t="s">
        <v>334</v>
      </c>
      <c r="B86" s="1">
        <f t="shared" si="9"/>
        <v>76</v>
      </c>
      <c r="C86" s="5" t="s">
        <v>506</v>
      </c>
      <c r="D86" t="s">
        <v>507</v>
      </c>
      <c r="E86" s="7">
        <v>24</v>
      </c>
      <c r="F86" s="6">
        <f>+E86*J86</f>
        <v>3715.7552880000003</v>
      </c>
      <c r="G86" s="6">
        <f>+[77]Main!$J$5-[77]Main!$J$6</f>
        <v>115.66200000000001</v>
      </c>
      <c r="H86" s="6">
        <f>+F86-G86</f>
        <v>3600.0932880000005</v>
      </c>
      <c r="I86" s="3" t="s">
        <v>1083</v>
      </c>
      <c r="J86" s="6">
        <f>+[77]Main!$J$3</f>
        <v>154.823137</v>
      </c>
      <c r="K86" s="9">
        <v>45580</v>
      </c>
    </row>
    <row r="87" spans="1:30" x14ac:dyDescent="0.2">
      <c r="B87" s="1">
        <f t="shared" si="9"/>
        <v>77</v>
      </c>
      <c r="C87" s="5" t="s">
        <v>789</v>
      </c>
      <c r="D87" t="s">
        <v>1186</v>
      </c>
      <c r="E87" s="7">
        <v>44</v>
      </c>
      <c r="F87" s="6">
        <f>+E87*J87</f>
        <v>5153.3414680000005</v>
      </c>
      <c r="G87" s="6">
        <f>+[78]Main!$L$5-[78]Main!$L$6</f>
        <v>1590.0459999999998</v>
      </c>
      <c r="H87" s="6">
        <f>+F87-G87</f>
        <v>3563.2954680000007</v>
      </c>
      <c r="I87" s="3" t="s">
        <v>1083</v>
      </c>
      <c r="J87" s="6">
        <f>+[78]Main!$L$3</f>
        <v>117.121397</v>
      </c>
      <c r="K87" s="9">
        <v>45558</v>
      </c>
    </row>
    <row r="88" spans="1:30" x14ac:dyDescent="0.2">
      <c r="A88" t="s">
        <v>334</v>
      </c>
      <c r="B88" s="1">
        <f t="shared" si="9"/>
        <v>78</v>
      </c>
      <c r="C88" s="5" t="s">
        <v>133</v>
      </c>
      <c r="D88" s="1" t="s">
        <v>134</v>
      </c>
      <c r="E88" s="7">
        <v>26.99</v>
      </c>
      <c r="F88" s="6">
        <f>E88*J88</f>
        <v>3286.47319272</v>
      </c>
      <c r="G88" s="6">
        <f>+[79]Main!$L$5-[79]Main!$L$6</f>
        <v>-96.746999999999957</v>
      </c>
      <c r="H88" s="6">
        <f>+F88-G88</f>
        <v>3383.2201927199999</v>
      </c>
      <c r="I88" s="3" t="s">
        <v>1083</v>
      </c>
      <c r="J88" s="6">
        <f>[79]Main!$L$3</f>
        <v>121.766328</v>
      </c>
      <c r="K88" s="9">
        <v>45540</v>
      </c>
      <c r="AC88" s="1">
        <v>2009</v>
      </c>
      <c r="AD88" s="1" t="s">
        <v>997</v>
      </c>
    </row>
    <row r="89" spans="1:30" x14ac:dyDescent="0.2">
      <c r="A89"/>
      <c r="B89" s="1">
        <f t="shared" si="9"/>
        <v>79</v>
      </c>
      <c r="C89" s="5" t="s">
        <v>407</v>
      </c>
      <c r="D89" t="s">
        <v>408</v>
      </c>
      <c r="E89" s="19">
        <v>3.14</v>
      </c>
      <c r="F89" s="6">
        <f>+E89*J89/HKD</f>
        <v>7410.5214572128207</v>
      </c>
      <c r="G89" s="6">
        <f>([80]Main!$K$5-[80]Main!$K$6)/HKD</f>
        <v>3986.4565384615375</v>
      </c>
      <c r="H89" s="6">
        <f t="shared" ref="H89" si="13">F89-G89</f>
        <v>3424.0649187512831</v>
      </c>
      <c r="I89" s="3" t="s">
        <v>1083</v>
      </c>
      <c r="J89" s="6">
        <f>+[80]Main!$K$3</f>
        <v>18408.301708999999</v>
      </c>
      <c r="K89" s="9">
        <v>45539</v>
      </c>
    </row>
    <row r="90" spans="1:30" x14ac:dyDescent="0.2">
      <c r="A90" t="s">
        <v>334</v>
      </c>
      <c r="B90" s="1">
        <f t="shared" si="9"/>
        <v>80</v>
      </c>
      <c r="C90" s="5" t="s">
        <v>164</v>
      </c>
      <c r="D90" s="1" t="s">
        <v>165</v>
      </c>
      <c r="E90" s="7">
        <v>10.43</v>
      </c>
      <c r="F90" s="6">
        <f>+E90*J90</f>
        <v>3093.44341033</v>
      </c>
      <c r="G90" s="6">
        <f>+[81]Main!$M$5-[81]Main!$M$6</f>
        <v>-128.87700000000001</v>
      </c>
      <c r="H90" s="6">
        <f t="shared" ref="H90:H95" si="14">+F90-G90</f>
        <v>3222.32041033</v>
      </c>
      <c r="I90" s="3" t="s">
        <v>1083</v>
      </c>
      <c r="J90" s="6">
        <f>+[81]Main!$M$3</f>
        <v>296.59093100000001</v>
      </c>
      <c r="K90" s="9">
        <v>45580</v>
      </c>
    </row>
    <row r="91" spans="1:30" x14ac:dyDescent="0.2">
      <c r="A91"/>
      <c r="B91" s="1">
        <f t="shared" si="9"/>
        <v>81</v>
      </c>
      <c r="C91" s="5" t="s">
        <v>350</v>
      </c>
      <c r="D91" t="s">
        <v>691</v>
      </c>
      <c r="E91" s="3">
        <v>12.01</v>
      </c>
      <c r="F91" s="6">
        <f>+E91*J91</f>
        <v>8881.6571062399998</v>
      </c>
      <c r="G91" s="6">
        <f>+[82]Main!$K$5-[82]Main!$K$6</f>
        <v>5617.777</v>
      </c>
      <c r="H91" s="6">
        <f t="shared" si="14"/>
        <v>3263.8801062399998</v>
      </c>
      <c r="I91" s="3" t="s">
        <v>1083</v>
      </c>
      <c r="J91" s="6">
        <f>+[82]Main!$K$3</f>
        <v>739.52182400000004</v>
      </c>
      <c r="K91" s="9">
        <v>45540</v>
      </c>
    </row>
    <row r="92" spans="1:30" x14ac:dyDescent="0.2">
      <c r="A92" t="s">
        <v>334</v>
      </c>
      <c r="B92" s="1">
        <f t="shared" si="9"/>
        <v>82</v>
      </c>
      <c r="C92" s="5" t="s">
        <v>684</v>
      </c>
      <c r="D92" t="s">
        <v>685</v>
      </c>
      <c r="E92" s="3">
        <v>25.25</v>
      </c>
      <c r="F92" s="6">
        <f>E92*J92</f>
        <v>4272.5860572500005</v>
      </c>
      <c r="G92" s="6">
        <f>[83]Main!$K$5-[83]Main!$K$6</f>
        <v>1347.038</v>
      </c>
      <c r="H92" s="6">
        <f t="shared" si="14"/>
        <v>2925.5480572500005</v>
      </c>
      <c r="I92" s="3" t="s">
        <v>1083</v>
      </c>
      <c r="J92" s="6">
        <f>[83]Main!$K$3</f>
        <v>169.21132900000001</v>
      </c>
      <c r="K92" s="9">
        <v>45545</v>
      </c>
    </row>
    <row r="93" spans="1:30" x14ac:dyDescent="0.2">
      <c r="A93" s="1" t="s">
        <v>334</v>
      </c>
      <c r="B93" s="1">
        <f t="shared" si="9"/>
        <v>83</v>
      </c>
      <c r="C93" s="5" t="s">
        <v>148</v>
      </c>
      <c r="D93" s="1" t="s">
        <v>149</v>
      </c>
      <c r="E93" s="3">
        <v>53.29</v>
      </c>
      <c r="F93" s="6">
        <v>3560</v>
      </c>
      <c r="G93" s="6">
        <f>+[84]Main!$L$5-[84]Main!$L$6</f>
        <v>568.66099999999994</v>
      </c>
      <c r="H93" s="6">
        <f t="shared" si="14"/>
        <v>2991.3389999999999</v>
      </c>
      <c r="I93" s="3" t="s">
        <v>1053</v>
      </c>
      <c r="J93" s="6">
        <f>[84]Main!$L$3</f>
        <v>83.133341000000001</v>
      </c>
      <c r="K93" s="9">
        <v>45571</v>
      </c>
    </row>
    <row r="94" spans="1:30" x14ac:dyDescent="0.2">
      <c r="A94" t="s">
        <v>334</v>
      </c>
      <c r="B94" s="1">
        <f t="shared" si="9"/>
        <v>84</v>
      </c>
      <c r="C94" s="5" t="s">
        <v>212</v>
      </c>
      <c r="D94" s="1" t="s">
        <v>213</v>
      </c>
      <c r="E94" s="7">
        <v>3.52</v>
      </c>
      <c r="F94" s="6">
        <f t="shared" ref="F94:F99" si="15">+E94*J94</f>
        <v>2451.7976313599997</v>
      </c>
      <c r="G94" s="6">
        <f>+[85]Main!$J$5-[85]Main!$J$6</f>
        <v>-474.93899999999996</v>
      </c>
      <c r="H94" s="6">
        <f t="shared" si="14"/>
        <v>2926.7366313599996</v>
      </c>
      <c r="I94" s="3" t="s">
        <v>1083</v>
      </c>
      <c r="J94" s="6">
        <f>+[85]Main!$J$3</f>
        <v>696.53341799999998</v>
      </c>
      <c r="K94" s="9">
        <v>45572</v>
      </c>
    </row>
    <row r="95" spans="1:30" x14ac:dyDescent="0.2">
      <c r="A95" s="1" t="s">
        <v>334</v>
      </c>
      <c r="B95" s="1">
        <f t="shared" si="9"/>
        <v>85</v>
      </c>
      <c r="C95" s="5" t="s">
        <v>214</v>
      </c>
      <c r="D95" s="1" t="s">
        <v>215</v>
      </c>
      <c r="E95" s="3">
        <v>9.35</v>
      </c>
      <c r="F95" s="6">
        <f t="shared" si="15"/>
        <v>2837.8547031999997</v>
      </c>
      <c r="G95" s="6">
        <f>+[86]Main!$I$5-[86]Main!$I$6</f>
        <v>417.97200000000004</v>
      </c>
      <c r="H95" s="6">
        <f t="shared" si="14"/>
        <v>2419.8827031999995</v>
      </c>
      <c r="I95" s="3" t="s">
        <v>1083</v>
      </c>
      <c r="J95" s="6">
        <f>+[86]Main!$I$3</f>
        <v>303.51387199999999</v>
      </c>
      <c r="K95" s="9">
        <v>45525</v>
      </c>
    </row>
    <row r="96" spans="1:30" x14ac:dyDescent="0.2">
      <c r="A96"/>
      <c r="B96" s="1">
        <f t="shared" si="9"/>
        <v>86</v>
      </c>
      <c r="C96" s="5" t="s">
        <v>73</v>
      </c>
      <c r="D96" s="1" t="s">
        <v>74</v>
      </c>
      <c r="E96" s="7">
        <v>87</v>
      </c>
      <c r="F96" s="6">
        <f t="shared" si="15"/>
        <v>21113.629887000003</v>
      </c>
      <c r="G96" s="6">
        <f>+[87]Main!$K$5-[87]Main!$K$6</f>
        <v>18458.399999999998</v>
      </c>
      <c r="H96" s="6">
        <f t="shared" si="8"/>
        <v>2655.229887000005</v>
      </c>
      <c r="I96" s="3" t="s">
        <v>1083</v>
      </c>
      <c r="J96" s="6">
        <f>+[87]Main!$K$3</f>
        <v>242.68540100000001</v>
      </c>
      <c r="K96" s="9">
        <v>45537</v>
      </c>
      <c r="AC96" s="1">
        <v>2008</v>
      </c>
    </row>
    <row r="97" spans="1:30" x14ac:dyDescent="0.2">
      <c r="A97"/>
      <c r="B97" s="1">
        <f t="shared" si="9"/>
        <v>87</v>
      </c>
      <c r="C97" s="5" t="s">
        <v>1313</v>
      </c>
      <c r="D97" t="s">
        <v>1314</v>
      </c>
      <c r="E97" s="7">
        <v>35</v>
      </c>
      <c r="F97" s="6">
        <f t="shared" si="15"/>
        <v>2801.12</v>
      </c>
      <c r="G97" s="6">
        <f>+[88]Main!$K$5-[88]Main!$K$6</f>
        <v>140.42099999999999</v>
      </c>
      <c r="H97" s="6">
        <f>+F97-G97</f>
        <v>2660.6990000000001</v>
      </c>
      <c r="I97" s="3" t="s">
        <v>1083</v>
      </c>
      <c r="J97" s="6">
        <f>+[88]Main!$K$3</f>
        <v>80.031999999999996</v>
      </c>
      <c r="K97" s="9">
        <v>45572</v>
      </c>
    </row>
    <row r="98" spans="1:30" x14ac:dyDescent="0.2">
      <c r="A98" t="s">
        <v>334</v>
      </c>
      <c r="B98" s="1">
        <f t="shared" si="9"/>
        <v>88</v>
      </c>
      <c r="C98" s="5" t="s">
        <v>204</v>
      </c>
      <c r="D98" s="1" t="s">
        <v>205</v>
      </c>
      <c r="E98" s="3">
        <v>46.29</v>
      </c>
      <c r="F98" s="6">
        <f t="shared" si="15"/>
        <v>2253.2038003799998</v>
      </c>
      <c r="G98" s="6">
        <f>+[89]Main!$L$5-[89]Main!$L$6</f>
        <v>-356.94799999999998</v>
      </c>
      <c r="H98" s="6">
        <f>+F98-G98</f>
        <v>2610.1518003799997</v>
      </c>
      <c r="I98" s="3" t="s">
        <v>1083</v>
      </c>
      <c r="J98" s="6">
        <f>+[89]Main!$L$3</f>
        <v>48.675821999999997</v>
      </c>
      <c r="K98" s="9">
        <v>45576</v>
      </c>
    </row>
    <row r="99" spans="1:30" x14ac:dyDescent="0.2">
      <c r="A99" t="s">
        <v>334</v>
      </c>
      <c r="B99" s="1">
        <f t="shared" si="9"/>
        <v>89</v>
      </c>
      <c r="C99" s="5" t="s">
        <v>850</v>
      </c>
      <c r="D99" t="s">
        <v>851</v>
      </c>
      <c r="E99" s="3">
        <v>29.07</v>
      </c>
      <c r="F99" s="6">
        <f t="shared" si="15"/>
        <v>2725.96041216</v>
      </c>
      <c r="G99" s="6">
        <f>+[90]Main!$J$5-[90]Main!$J$6</f>
        <v>511.75100000000003</v>
      </c>
      <c r="H99" s="6">
        <f>+F99-G99</f>
        <v>2214.2094121599998</v>
      </c>
      <c r="I99" s="3" t="s">
        <v>1083</v>
      </c>
      <c r="J99" s="6">
        <f>+[90]Main!$J$3</f>
        <v>93.772288000000003</v>
      </c>
      <c r="K99" s="9">
        <v>45554</v>
      </c>
    </row>
    <row r="100" spans="1:30" x14ac:dyDescent="0.2">
      <c r="A100"/>
      <c r="B100" s="1">
        <f t="shared" si="9"/>
        <v>90</v>
      </c>
      <c r="C100" s="5" t="s">
        <v>120</v>
      </c>
      <c r="D100" s="1" t="s">
        <v>121</v>
      </c>
      <c r="E100" s="7">
        <v>47</v>
      </c>
      <c r="F100" s="6">
        <f>E100*J100</f>
        <v>4002.9034260000003</v>
      </c>
      <c r="G100" s="6">
        <f>[91]Main!$L$5-[91]Main!$L$6</f>
        <v>2012.8349999999998</v>
      </c>
      <c r="H100" s="6">
        <f>+F100-G100</f>
        <v>1990.0684260000005</v>
      </c>
      <c r="I100" s="3" t="s">
        <v>1083</v>
      </c>
      <c r="J100" s="6">
        <f>[91]Main!$L$3</f>
        <v>85.168158000000005</v>
      </c>
      <c r="K100" s="9">
        <v>45565</v>
      </c>
    </row>
    <row r="101" spans="1:30" x14ac:dyDescent="0.2">
      <c r="A101" t="s">
        <v>334</v>
      </c>
      <c r="B101" s="1">
        <f t="shared" si="9"/>
        <v>91</v>
      </c>
      <c r="C101" s="5" t="s">
        <v>712</v>
      </c>
      <c r="D101" t="s">
        <v>713</v>
      </c>
      <c r="E101" s="3">
        <v>45.02</v>
      </c>
      <c r="F101" s="6">
        <f>+E101*J101</f>
        <v>2651.8844167000002</v>
      </c>
      <c r="G101" s="6">
        <f>+[92]Main!$L$5-[92]Main!$L$6</f>
        <v>595.44399999999996</v>
      </c>
      <c r="H101" s="6">
        <f>+F101-G101</f>
        <v>2056.4404167000002</v>
      </c>
      <c r="I101" s="3" t="s">
        <v>1083</v>
      </c>
      <c r="J101" s="6">
        <f>+[92]Main!$L$3</f>
        <v>58.904584999999997</v>
      </c>
      <c r="K101" s="9">
        <v>45553</v>
      </c>
    </row>
    <row r="102" spans="1:30" x14ac:dyDescent="0.2">
      <c r="A102" t="s">
        <v>334</v>
      </c>
      <c r="B102" s="1">
        <f t="shared" si="9"/>
        <v>92</v>
      </c>
      <c r="C102" s="5" t="s">
        <v>125</v>
      </c>
      <c r="D102" s="1" t="s">
        <v>126</v>
      </c>
      <c r="E102" s="3">
        <v>16.22</v>
      </c>
      <c r="F102" s="6">
        <f>+E102*J102</f>
        <v>2695.3422799999998</v>
      </c>
      <c r="G102" s="6">
        <f>+[93]Main!$K$5-[93]Main!$K$6</f>
        <v>501</v>
      </c>
      <c r="H102" s="6">
        <f t="shared" ref="H102:H112" si="16">+F102-G102</f>
        <v>2194.3422799999998</v>
      </c>
      <c r="I102" s="3" t="s">
        <v>1083</v>
      </c>
      <c r="J102" s="6">
        <f>+[93]Main!$K$3</f>
        <v>166.17400000000001</v>
      </c>
      <c r="K102" s="9">
        <v>45541</v>
      </c>
    </row>
    <row r="103" spans="1:30" x14ac:dyDescent="0.2">
      <c r="A103" t="s">
        <v>334</v>
      </c>
      <c r="B103" s="1">
        <f t="shared" si="9"/>
        <v>93</v>
      </c>
      <c r="C103" s="5" t="s">
        <v>112</v>
      </c>
      <c r="D103" s="1" t="s">
        <v>113</v>
      </c>
      <c r="E103" s="3">
        <v>19.670000000000002</v>
      </c>
      <c r="F103" s="6">
        <f>+E103*J103</f>
        <v>2445.2814395800001</v>
      </c>
      <c r="G103" s="6">
        <f>+[94]Main!$L$5-[94]Main!$L$6</f>
        <v>436.77100000000002</v>
      </c>
      <c r="H103" s="6">
        <f>+F103-G103</f>
        <v>2008.5104395800001</v>
      </c>
      <c r="I103" s="3" t="s">
        <v>1083</v>
      </c>
      <c r="J103" s="6">
        <f>+[94]Main!$L$3</f>
        <v>124.315274</v>
      </c>
      <c r="K103" s="9">
        <v>45562</v>
      </c>
    </row>
    <row r="104" spans="1:30" x14ac:dyDescent="0.2">
      <c r="A104" t="s">
        <v>334</v>
      </c>
      <c r="B104" s="1">
        <f t="shared" si="9"/>
        <v>94</v>
      </c>
      <c r="C104" s="5" t="s">
        <v>368</v>
      </c>
      <c r="D104" t="s">
        <v>369</v>
      </c>
      <c r="E104" s="43">
        <v>51800</v>
      </c>
      <c r="F104" s="6">
        <f>+E104*J104/KRW</f>
        <v>2777.1378925331474</v>
      </c>
      <c r="G104" s="6">
        <f>([95]Main!$L$5-[95]Main!$L$6)/KRW</f>
        <v>792.45638520586181</v>
      </c>
      <c r="H104" s="6">
        <f t="shared" si="16"/>
        <v>1984.6815073272855</v>
      </c>
      <c r="I104" s="3" t="s">
        <v>1083</v>
      </c>
      <c r="J104" s="6">
        <f>+[95]Main!$L$3</f>
        <v>76.826999999999998</v>
      </c>
      <c r="K104" s="9">
        <v>45542</v>
      </c>
    </row>
    <row r="105" spans="1:30" x14ac:dyDescent="0.2">
      <c r="B105" s="1">
        <f t="shared" si="9"/>
        <v>95</v>
      </c>
      <c r="C105" s="5" t="s">
        <v>1318</v>
      </c>
      <c r="D105" t="s">
        <v>1319</v>
      </c>
      <c r="E105" s="7">
        <v>14.6</v>
      </c>
      <c r="F105" s="6">
        <f>+E105*[96]Main!$K$3</f>
        <v>2321.1664000000001</v>
      </c>
      <c r="G105" s="6">
        <f>+[96]Main!$K$5-[96]Main!$K$6</f>
        <v>371.63900000000001</v>
      </c>
      <c r="H105" s="6">
        <f>+F105-G105</f>
        <v>1949.5273999999999</v>
      </c>
      <c r="I105" s="3" t="s">
        <v>1083</v>
      </c>
    </row>
    <row r="106" spans="1:30" x14ac:dyDescent="0.2">
      <c r="B106" s="1">
        <f t="shared" si="9"/>
        <v>96</v>
      </c>
      <c r="C106" s="41" t="s">
        <v>1174</v>
      </c>
      <c r="D106" t="s">
        <v>1175</v>
      </c>
      <c r="E106" s="3">
        <v>49.43</v>
      </c>
      <c r="F106" s="6">
        <f>+E106*J106</f>
        <v>1921.42289142</v>
      </c>
      <c r="G106" s="6">
        <f>+[97]Main!$J$5-[97]Main!$J$6</f>
        <v>294.60500000000002</v>
      </c>
      <c r="H106" s="6">
        <f t="shared" si="16"/>
        <v>1626.81789142</v>
      </c>
      <c r="I106" s="3" t="s">
        <v>1083</v>
      </c>
      <c r="J106" s="6">
        <f>+[97]Main!$J$3</f>
        <v>38.871594000000002</v>
      </c>
      <c r="K106" s="9">
        <v>45546</v>
      </c>
      <c r="AC106" s="1">
        <v>1999</v>
      </c>
    </row>
    <row r="107" spans="1:30" s="25" customFormat="1" x14ac:dyDescent="0.2">
      <c r="A107" s="25" t="s">
        <v>334</v>
      </c>
      <c r="B107" s="1">
        <f t="shared" si="9"/>
        <v>97</v>
      </c>
      <c r="C107" s="44" t="s">
        <v>663</v>
      </c>
      <c r="D107" s="25" t="s">
        <v>664</v>
      </c>
      <c r="E107" s="28">
        <v>42</v>
      </c>
      <c r="F107" s="30">
        <f>+E107*J107</f>
        <v>2402.253854</v>
      </c>
      <c r="G107" s="30">
        <f>+[98]Main!$N$5-[98]Main!$N$6</f>
        <v>927.11899999999991</v>
      </c>
      <c r="H107" s="30">
        <f>+F107-G107</f>
        <v>1475.1348540000001</v>
      </c>
      <c r="I107" s="28" t="s">
        <v>1083</v>
      </c>
      <c r="J107" s="30">
        <f>+[98]Main!$N$3</f>
        <v>57.196520333333332</v>
      </c>
      <c r="K107" s="38">
        <v>45572</v>
      </c>
      <c r="L107" s="26"/>
      <c r="M107" s="26"/>
      <c r="N107" s="26"/>
      <c r="O107" s="26"/>
      <c r="P107" s="2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</row>
    <row r="108" spans="1:30" x14ac:dyDescent="0.2">
      <c r="A108" t="s">
        <v>334</v>
      </c>
      <c r="B108" s="1">
        <f t="shared" si="9"/>
        <v>98</v>
      </c>
      <c r="C108" s="5" t="s">
        <v>293</v>
      </c>
      <c r="D108" s="1" t="s">
        <v>185</v>
      </c>
      <c r="E108" s="7">
        <v>7</v>
      </c>
      <c r="F108" s="6">
        <f>+E108*J108</f>
        <v>1444.6396159999999</v>
      </c>
      <c r="G108" s="6">
        <f>+[99]Main!$M$5-[99]Main!$M$6</f>
        <v>28.069999999999993</v>
      </c>
      <c r="H108" s="6">
        <f>+F108-G108</f>
        <v>1416.569616</v>
      </c>
      <c r="I108" s="3" t="s">
        <v>1053</v>
      </c>
      <c r="J108" s="6">
        <f>+[99]Main!$M$3</f>
        <v>206.37708799999999</v>
      </c>
      <c r="K108" s="9">
        <v>45567</v>
      </c>
    </row>
    <row r="109" spans="1:30" x14ac:dyDescent="0.2">
      <c r="A109" t="s">
        <v>334</v>
      </c>
      <c r="B109" s="1">
        <f t="shared" si="9"/>
        <v>99</v>
      </c>
      <c r="C109" s="5" t="s">
        <v>206</v>
      </c>
      <c r="D109" s="1" t="s">
        <v>207</v>
      </c>
      <c r="E109" s="7">
        <v>6.14</v>
      </c>
      <c r="F109" s="6">
        <f>E109*J109</f>
        <v>1487.0859512599998</v>
      </c>
      <c r="G109" s="6">
        <f>[100]Main!$K$5-[100]Main!$K$6</f>
        <v>442.37</v>
      </c>
      <c r="H109" s="6">
        <f>F109-G109</f>
        <v>1044.7159512599997</v>
      </c>
      <c r="I109" s="3" t="s">
        <v>1083</v>
      </c>
      <c r="J109" s="6">
        <f>[100]Main!$K$3</f>
        <v>242.19640899999999</v>
      </c>
      <c r="K109" s="9">
        <v>45572</v>
      </c>
    </row>
    <row r="110" spans="1:30" x14ac:dyDescent="0.2">
      <c r="A110" t="s">
        <v>334</v>
      </c>
      <c r="B110" s="1">
        <f t="shared" si="9"/>
        <v>100</v>
      </c>
      <c r="C110" s="5" t="s">
        <v>158</v>
      </c>
      <c r="D110" s="1" t="s">
        <v>159</v>
      </c>
      <c r="E110" s="7">
        <v>24.5</v>
      </c>
      <c r="F110" s="6">
        <f>+E110*J110</f>
        <v>2019.1826655000002</v>
      </c>
      <c r="G110" s="6">
        <f>+[101]Main!$K$5-[101]Main!$K$6</f>
        <v>1008.165</v>
      </c>
      <c r="H110" s="6">
        <f>+F110-G110</f>
        <v>1011.0176655000002</v>
      </c>
      <c r="I110" s="3" t="s">
        <v>1083</v>
      </c>
      <c r="J110" s="6">
        <f>+[101]Main!$K$3</f>
        <v>82.415619000000007</v>
      </c>
      <c r="K110" s="9">
        <v>45565</v>
      </c>
    </row>
    <row r="111" spans="1:30" x14ac:dyDescent="0.2">
      <c r="A111" t="s">
        <v>334</v>
      </c>
      <c r="B111" s="1">
        <f t="shared" si="9"/>
        <v>101</v>
      </c>
      <c r="C111" s="5" t="s">
        <v>145</v>
      </c>
      <c r="D111" s="1" t="s">
        <v>146</v>
      </c>
      <c r="E111" s="7">
        <v>20</v>
      </c>
      <c r="F111" s="6">
        <f>+E111*J111</f>
        <v>1929.5</v>
      </c>
      <c r="G111" s="6">
        <f>+[102]Main!$J$5-[102]Main!$J$6</f>
        <v>939.9</v>
      </c>
      <c r="H111" s="6">
        <f t="shared" ref="H111" si="17">+F111-G111</f>
        <v>989.6</v>
      </c>
      <c r="I111" s="3" t="s">
        <v>1053</v>
      </c>
      <c r="J111" s="6">
        <f>+[102]Main!$J$3</f>
        <v>96.474999999999994</v>
      </c>
      <c r="K111" s="9">
        <v>45565</v>
      </c>
    </row>
    <row r="112" spans="1:30" x14ac:dyDescent="0.2">
      <c r="A112" t="s">
        <v>334</v>
      </c>
      <c r="B112" s="1">
        <f t="shared" si="9"/>
        <v>102</v>
      </c>
      <c r="C112" s="5" t="s">
        <v>370</v>
      </c>
      <c r="D112" t="s">
        <v>371</v>
      </c>
      <c r="E112" s="19">
        <v>10.7</v>
      </c>
      <c r="F112" s="6">
        <f>+E112*J112/HKD</f>
        <v>1352.1643102179487</v>
      </c>
      <c r="G112" s="6">
        <f>([103]Main!$J$6-[103]Main!$J$7)/HKD</f>
        <v>376.08884615384613</v>
      </c>
      <c r="H112" s="6">
        <f t="shared" si="16"/>
        <v>976.07546406410256</v>
      </c>
      <c r="I112" s="3" t="s">
        <v>1126</v>
      </c>
      <c r="J112" s="6">
        <f>+[103]Main!$J$4</f>
        <v>985.68987100000004</v>
      </c>
      <c r="K112" s="9">
        <v>45543</v>
      </c>
      <c r="AD112" s="1">
        <v>2012</v>
      </c>
    </row>
    <row r="113" spans="1:29" x14ac:dyDescent="0.2">
      <c r="A113"/>
      <c r="B113" s="1">
        <f>+B112</f>
        <v>102</v>
      </c>
      <c r="C113" s="5" t="s">
        <v>370</v>
      </c>
      <c r="D113" t="s">
        <v>1196</v>
      </c>
      <c r="E113" s="7">
        <v>27.72</v>
      </c>
      <c r="F113" s="6"/>
      <c r="I113" s="3" t="str">
        <f>+I112</f>
        <v>Q423</v>
      </c>
      <c r="J113" s="6"/>
      <c r="K113" s="9">
        <f>+K112</f>
        <v>45543</v>
      </c>
    </row>
    <row r="114" spans="1:29" x14ac:dyDescent="0.2">
      <c r="A114" s="1" t="s">
        <v>334</v>
      </c>
      <c r="B114" s="1">
        <f t="shared" si="9"/>
        <v>103</v>
      </c>
      <c r="C114" s="5" t="s">
        <v>110</v>
      </c>
      <c r="D114" s="1" t="s">
        <v>111</v>
      </c>
      <c r="E114" s="7">
        <v>20.25</v>
      </c>
      <c r="F114" s="6">
        <f>+E114*J114</f>
        <v>1252.1289825000001</v>
      </c>
      <c r="G114" s="6">
        <f>+[104]Main!$O$5-[104]Main!$O$6</f>
        <v>637.79299999999989</v>
      </c>
      <c r="H114" s="6">
        <f>+F114-G114</f>
        <v>614.33598250000023</v>
      </c>
      <c r="I114" s="3" t="s">
        <v>1083</v>
      </c>
      <c r="J114" s="6">
        <f>+[104]Main!$O$3</f>
        <v>61.833530000000003</v>
      </c>
      <c r="K114" s="9">
        <v>45563</v>
      </c>
    </row>
    <row r="115" spans="1:29" x14ac:dyDescent="0.2">
      <c r="A115" t="s">
        <v>334</v>
      </c>
      <c r="B115" s="1">
        <f t="shared" si="9"/>
        <v>104</v>
      </c>
      <c r="C115" s="5" t="s">
        <v>97</v>
      </c>
      <c r="D115" s="1" t="s">
        <v>98</v>
      </c>
      <c r="E115" s="3">
        <v>17.149999999999999</v>
      </c>
      <c r="F115" s="6">
        <f>+E115*J115</f>
        <v>1559.8953999999999</v>
      </c>
      <c r="G115" s="6">
        <f>+[105]Main!$K$5-[105]Main!$K$6</f>
        <v>278.82499999999999</v>
      </c>
      <c r="H115" s="6">
        <f>+F115-G115</f>
        <v>1281.0703999999998</v>
      </c>
      <c r="I115" s="3" t="s">
        <v>1083</v>
      </c>
      <c r="J115" s="6">
        <f>+[105]Main!$K$3</f>
        <v>90.956000000000003</v>
      </c>
      <c r="K115" s="9">
        <v>45573</v>
      </c>
    </row>
    <row r="116" spans="1:29" x14ac:dyDescent="0.2">
      <c r="A116" t="s">
        <v>334</v>
      </c>
      <c r="B116" s="1">
        <f t="shared" si="9"/>
        <v>105</v>
      </c>
      <c r="C116" s="5" t="s">
        <v>763</v>
      </c>
      <c r="D116" t="s">
        <v>764</v>
      </c>
      <c r="E116" s="7">
        <v>11.13</v>
      </c>
      <c r="F116" s="6">
        <f>+E116*J116</f>
        <v>760.17899999999997</v>
      </c>
      <c r="G116" s="6">
        <f>+[106]Main!$K$5-[106]Main!$K$6</f>
        <v>423.93200000000002</v>
      </c>
      <c r="H116" s="6">
        <f>+F116-G116</f>
        <v>336.24699999999996</v>
      </c>
      <c r="I116" s="3" t="s">
        <v>1083</v>
      </c>
      <c r="J116" s="6">
        <v>68.3</v>
      </c>
      <c r="K116" s="9">
        <v>45565</v>
      </c>
      <c r="AC116" s="1">
        <v>2015</v>
      </c>
    </row>
    <row r="117" spans="1:29" x14ac:dyDescent="0.2">
      <c r="A117"/>
      <c r="B117" s="1">
        <f t="shared" si="9"/>
        <v>106</v>
      </c>
      <c r="C117" s="5" t="s">
        <v>1170</v>
      </c>
      <c r="D117" t="s">
        <v>1171</v>
      </c>
      <c r="E117" s="3">
        <v>3.04</v>
      </c>
      <c r="F117" s="6">
        <f>+E117*J117</f>
        <v>757.70519216000002</v>
      </c>
      <c r="G117" s="6">
        <f>+[107]Main!$K$5-[107]Main!$K$6</f>
        <v>565.53499999999997</v>
      </c>
      <c r="H117" s="6">
        <f>+F117-G117</f>
        <v>192.17019216000006</v>
      </c>
      <c r="I117" s="3" t="s">
        <v>1083</v>
      </c>
      <c r="J117" s="6">
        <f>+[107]Main!$K$3</f>
        <v>249.24512899999999</v>
      </c>
      <c r="K117" s="9">
        <v>45505</v>
      </c>
      <c r="AC117" s="1">
        <v>2018</v>
      </c>
    </row>
    <row r="118" spans="1:29" x14ac:dyDescent="0.2">
      <c r="A118" t="s">
        <v>334</v>
      </c>
      <c r="B118" s="1">
        <f t="shared" si="9"/>
        <v>107</v>
      </c>
      <c r="C118" s="5" t="s">
        <v>156</v>
      </c>
      <c r="D118" s="1" t="s">
        <v>157</v>
      </c>
      <c r="E118" s="3">
        <v>2.38</v>
      </c>
      <c r="F118" s="6">
        <f>+E118*J118</f>
        <v>701.30396615999996</v>
      </c>
      <c r="G118" s="6">
        <f>+[108]Main!$L$5-[108]Main!$L$6</f>
        <v>851.52300000000002</v>
      </c>
      <c r="H118" s="6">
        <f>+F118-G118</f>
        <v>-150.21903384000007</v>
      </c>
      <c r="I118" s="3" t="s">
        <v>1083</v>
      </c>
      <c r="J118" s="6">
        <f>+[108]Main!$L$3</f>
        <v>294.66553199999998</v>
      </c>
      <c r="K118" s="9">
        <v>45536</v>
      </c>
    </row>
    <row r="119" spans="1:29" x14ac:dyDescent="0.2">
      <c r="A119"/>
      <c r="B119" s="1">
        <f t="shared" si="9"/>
        <v>108</v>
      </c>
      <c r="C119" s="1" t="s">
        <v>139</v>
      </c>
      <c r="D119" s="1" t="s">
        <v>140</v>
      </c>
      <c r="E119" s="3">
        <v>60.72</v>
      </c>
      <c r="F119" s="6">
        <v>8000</v>
      </c>
    </row>
    <row r="120" spans="1:29" x14ac:dyDescent="0.2">
      <c r="B120" s="1">
        <f t="shared" si="9"/>
        <v>109</v>
      </c>
      <c r="C120" t="s">
        <v>336</v>
      </c>
      <c r="D120" t="s">
        <v>337</v>
      </c>
      <c r="E120" s="3">
        <v>20.18</v>
      </c>
      <c r="F120" s="6">
        <v>4400</v>
      </c>
    </row>
    <row r="121" spans="1:29" x14ac:dyDescent="0.2">
      <c r="B121" s="1">
        <f t="shared" si="9"/>
        <v>110</v>
      </c>
      <c r="C121" t="s">
        <v>731</v>
      </c>
      <c r="D121" t="s">
        <v>732</v>
      </c>
      <c r="E121" s="3">
        <v>50.49</v>
      </c>
      <c r="F121" s="6">
        <v>4000</v>
      </c>
    </row>
    <row r="122" spans="1:29" x14ac:dyDescent="0.2">
      <c r="B122" s="1">
        <f t="shared" si="9"/>
        <v>111</v>
      </c>
      <c r="C122" s="1" t="s">
        <v>498</v>
      </c>
      <c r="D122" s="1" t="s">
        <v>499</v>
      </c>
      <c r="E122" s="3">
        <v>12.37</v>
      </c>
      <c r="F122" s="6">
        <v>3700</v>
      </c>
    </row>
    <row r="123" spans="1:29" x14ac:dyDescent="0.2">
      <c r="A123" t="s">
        <v>334</v>
      </c>
      <c r="B123" s="1">
        <f t="shared" si="9"/>
        <v>112</v>
      </c>
      <c r="C123" s="1" t="s">
        <v>166</v>
      </c>
      <c r="D123" s="1" t="s">
        <v>167</v>
      </c>
      <c r="E123" s="3">
        <v>55.33</v>
      </c>
      <c r="F123" s="6">
        <v>3280</v>
      </c>
    </row>
    <row r="124" spans="1:29" x14ac:dyDescent="0.2">
      <c r="A124" t="s">
        <v>334</v>
      </c>
      <c r="B124" s="1">
        <f t="shared" si="9"/>
        <v>113</v>
      </c>
      <c r="C124" s="1" t="s">
        <v>154</v>
      </c>
      <c r="D124" s="1" t="s">
        <v>155</v>
      </c>
      <c r="E124" s="3">
        <v>29.49</v>
      </c>
      <c r="F124" s="6">
        <v>2880</v>
      </c>
    </row>
    <row r="125" spans="1:29" x14ac:dyDescent="0.2">
      <c r="A125" t="s">
        <v>334</v>
      </c>
      <c r="B125" s="1">
        <f t="shared" si="9"/>
        <v>114</v>
      </c>
      <c r="C125" s="5" t="s">
        <v>162</v>
      </c>
      <c r="D125" s="1" t="s">
        <v>163</v>
      </c>
      <c r="E125" s="7">
        <v>8.08</v>
      </c>
      <c r="F125" s="6">
        <v>2230</v>
      </c>
    </row>
    <row r="126" spans="1:29" x14ac:dyDescent="0.2">
      <c r="A126"/>
      <c r="B126" s="1">
        <f t="shared" si="9"/>
        <v>115</v>
      </c>
      <c r="C126" s="1" t="s">
        <v>522</v>
      </c>
      <c r="D126" t="s">
        <v>124</v>
      </c>
      <c r="E126" s="3">
        <v>18.91</v>
      </c>
      <c r="F126" s="6"/>
    </row>
    <row r="127" spans="1:29" x14ac:dyDescent="0.2">
      <c r="A127" t="s">
        <v>334</v>
      </c>
      <c r="B127" s="1">
        <f t="shared" si="9"/>
        <v>116</v>
      </c>
      <c r="C127" t="s">
        <v>716</v>
      </c>
      <c r="D127" t="s">
        <v>717</v>
      </c>
      <c r="E127" s="3">
        <v>4.0599999999999996</v>
      </c>
      <c r="F127" s="6">
        <v>2400</v>
      </c>
    </row>
    <row r="128" spans="1:29" x14ac:dyDescent="0.2">
      <c r="A128" t="s">
        <v>334</v>
      </c>
      <c r="B128" s="1">
        <f t="shared" si="9"/>
        <v>117</v>
      </c>
      <c r="C128" s="1" t="s">
        <v>173</v>
      </c>
      <c r="D128" s="1" t="s">
        <v>174</v>
      </c>
      <c r="E128" s="7">
        <v>20.010000000000002</v>
      </c>
      <c r="F128" s="6">
        <v>2150</v>
      </c>
    </row>
    <row r="129" spans="1:6" x14ac:dyDescent="0.2">
      <c r="A129" t="s">
        <v>334</v>
      </c>
      <c r="B129" s="1">
        <f t="shared" si="9"/>
        <v>118</v>
      </c>
      <c r="C129" s="1" t="s">
        <v>202</v>
      </c>
      <c r="D129" s="1" t="s">
        <v>203</v>
      </c>
      <c r="E129" s="7">
        <v>57.1</v>
      </c>
      <c r="F129" s="6">
        <v>2590</v>
      </c>
    </row>
    <row r="130" spans="1:6" x14ac:dyDescent="0.2">
      <c r="A130" t="s">
        <v>334</v>
      </c>
      <c r="B130" s="1">
        <f t="shared" si="9"/>
        <v>119</v>
      </c>
      <c r="C130" s="1" t="s">
        <v>179</v>
      </c>
      <c r="D130" s="1" t="s">
        <v>180</v>
      </c>
      <c r="E130" s="3">
        <v>48.73</v>
      </c>
      <c r="F130" s="6">
        <v>2540</v>
      </c>
    </row>
    <row r="131" spans="1:6" x14ac:dyDescent="0.2">
      <c r="A131" t="s">
        <v>334</v>
      </c>
      <c r="B131" s="1">
        <f t="shared" si="9"/>
        <v>120</v>
      </c>
      <c r="C131" s="1" t="s">
        <v>190</v>
      </c>
      <c r="D131" s="1" t="s">
        <v>191</v>
      </c>
      <c r="E131" s="3">
        <v>37.96</v>
      </c>
      <c r="F131" s="6">
        <v>2360</v>
      </c>
    </row>
    <row r="132" spans="1:6" x14ac:dyDescent="0.2">
      <c r="A132" t="s">
        <v>334</v>
      </c>
      <c r="B132" s="1">
        <f t="shared" ref="B132:B135" si="18">+B131+1</f>
        <v>121</v>
      </c>
      <c r="C132" s="1" t="s">
        <v>210</v>
      </c>
      <c r="D132" s="1" t="s">
        <v>211</v>
      </c>
      <c r="E132" s="3">
        <v>36.86</v>
      </c>
      <c r="F132" s="6">
        <v>1990</v>
      </c>
    </row>
    <row r="133" spans="1:6" x14ac:dyDescent="0.2">
      <c r="A133"/>
      <c r="B133" s="1">
        <f t="shared" si="18"/>
        <v>122</v>
      </c>
      <c r="C133" s="1" t="s">
        <v>198</v>
      </c>
      <c r="D133" s="1" t="s">
        <v>199</v>
      </c>
      <c r="E133" s="7">
        <v>76.78</v>
      </c>
      <c r="F133" s="6">
        <v>1970</v>
      </c>
    </row>
    <row r="134" spans="1:6" x14ac:dyDescent="0.2">
      <c r="A134"/>
      <c r="B134" s="1">
        <f t="shared" si="18"/>
        <v>123</v>
      </c>
      <c r="C134" t="s">
        <v>358</v>
      </c>
      <c r="D134" t="s">
        <v>359</v>
      </c>
    </row>
    <row r="135" spans="1:6" x14ac:dyDescent="0.2">
      <c r="A135"/>
      <c r="B135" s="1">
        <f t="shared" si="18"/>
        <v>124</v>
      </c>
      <c r="C135" t="s">
        <v>356</v>
      </c>
      <c r="D135" t="s">
        <v>357</v>
      </c>
    </row>
    <row r="136" spans="1:6" x14ac:dyDescent="0.2">
      <c r="B136" s="1">
        <f t="shared" ref="B136:B158" si="19">+B135+1</f>
        <v>125</v>
      </c>
      <c r="C136" t="s">
        <v>272</v>
      </c>
      <c r="D136" t="s">
        <v>273</v>
      </c>
    </row>
    <row r="137" spans="1:6" x14ac:dyDescent="0.2">
      <c r="B137" s="1">
        <f t="shared" si="19"/>
        <v>126</v>
      </c>
      <c r="C137" t="s">
        <v>269</v>
      </c>
      <c r="D137" t="s">
        <v>270</v>
      </c>
    </row>
    <row r="138" spans="1:6" x14ac:dyDescent="0.2">
      <c r="B138" s="1">
        <f t="shared" si="19"/>
        <v>127</v>
      </c>
      <c r="C138" t="s">
        <v>362</v>
      </c>
      <c r="D138" t="s">
        <v>363</v>
      </c>
    </row>
    <row r="139" spans="1:6" x14ac:dyDescent="0.2">
      <c r="A139"/>
      <c r="B139" s="1">
        <f t="shared" si="19"/>
        <v>128</v>
      </c>
      <c r="C139" t="s">
        <v>1069</v>
      </c>
      <c r="D139" t="s">
        <v>1070</v>
      </c>
    </row>
    <row r="140" spans="1:6" x14ac:dyDescent="0.2">
      <c r="A140"/>
      <c r="B140" s="1">
        <f t="shared" si="19"/>
        <v>129</v>
      </c>
      <c r="C140" t="s">
        <v>1067</v>
      </c>
      <c r="D140" t="s">
        <v>1068</v>
      </c>
      <c r="E140" s="7"/>
    </row>
    <row r="141" spans="1:6" x14ac:dyDescent="0.2">
      <c r="A141"/>
      <c r="B141" s="1">
        <f t="shared" si="19"/>
        <v>130</v>
      </c>
      <c r="C141" t="s">
        <v>597</v>
      </c>
      <c r="D141" t="s">
        <v>598</v>
      </c>
    </row>
    <row r="142" spans="1:6" x14ac:dyDescent="0.2">
      <c r="B142" s="1">
        <f t="shared" si="19"/>
        <v>131</v>
      </c>
      <c r="C142" s="1" t="s">
        <v>116</v>
      </c>
      <c r="D142" s="1" t="s">
        <v>117</v>
      </c>
      <c r="E142" s="3">
        <v>83.97</v>
      </c>
    </row>
    <row r="143" spans="1:6" x14ac:dyDescent="0.2">
      <c r="A143"/>
      <c r="B143" s="1">
        <f t="shared" si="19"/>
        <v>132</v>
      </c>
      <c r="C143" t="s">
        <v>1073</v>
      </c>
      <c r="D143" t="s">
        <v>1074</v>
      </c>
      <c r="F143" s="6"/>
    </row>
    <row r="144" spans="1:6" x14ac:dyDescent="0.2">
      <c r="A144"/>
      <c r="B144" s="1">
        <f t="shared" si="19"/>
        <v>133</v>
      </c>
      <c r="C144" t="s">
        <v>1129</v>
      </c>
      <c r="D144" t="s">
        <v>1130</v>
      </c>
      <c r="F144" s="6"/>
    </row>
    <row r="145" spans="1:29" x14ac:dyDescent="0.2">
      <c r="A145"/>
      <c r="B145" s="1">
        <f t="shared" si="19"/>
        <v>134</v>
      </c>
      <c r="C145" t="s">
        <v>1078</v>
      </c>
      <c r="F145" s="6"/>
    </row>
    <row r="146" spans="1:29" x14ac:dyDescent="0.2">
      <c r="A146"/>
      <c r="B146" s="1">
        <f t="shared" si="19"/>
        <v>135</v>
      </c>
      <c r="C146" t="s">
        <v>1079</v>
      </c>
      <c r="F146" s="6"/>
    </row>
    <row r="147" spans="1:29" x14ac:dyDescent="0.2">
      <c r="A147"/>
      <c r="B147" s="1">
        <f t="shared" si="19"/>
        <v>136</v>
      </c>
      <c r="C147" t="s">
        <v>336</v>
      </c>
      <c r="D147" t="s">
        <v>337</v>
      </c>
      <c r="F147" s="6"/>
    </row>
    <row r="148" spans="1:29" x14ac:dyDescent="0.2">
      <c r="A148"/>
      <c r="B148" s="1">
        <f t="shared" si="19"/>
        <v>137</v>
      </c>
      <c r="C148" t="s">
        <v>1077</v>
      </c>
      <c r="F148" s="6"/>
    </row>
    <row r="149" spans="1:29" x14ac:dyDescent="0.2">
      <c r="A149"/>
      <c r="B149" s="1">
        <f t="shared" si="19"/>
        <v>138</v>
      </c>
      <c r="C149" t="s">
        <v>1159</v>
      </c>
      <c r="D149" s="1" t="s">
        <v>1160</v>
      </c>
      <c r="F149" s="6"/>
    </row>
    <row r="150" spans="1:29" x14ac:dyDescent="0.2">
      <c r="A150" t="s">
        <v>334</v>
      </c>
      <c r="B150" s="1">
        <f t="shared" si="19"/>
        <v>139</v>
      </c>
      <c r="C150" t="s">
        <v>682</v>
      </c>
      <c r="D150" t="s">
        <v>683</v>
      </c>
    </row>
    <row r="151" spans="1:29" x14ac:dyDescent="0.2">
      <c r="A151"/>
      <c r="B151" s="1">
        <f t="shared" si="19"/>
        <v>140</v>
      </c>
      <c r="C151" t="s">
        <v>307</v>
      </c>
      <c r="D151" t="s">
        <v>308</v>
      </c>
      <c r="E151" s="3">
        <v>4.26</v>
      </c>
      <c r="F151" s="6"/>
      <c r="AC151" s="1">
        <v>2011</v>
      </c>
    </row>
    <row r="152" spans="1:29" x14ac:dyDescent="0.2">
      <c r="A152" t="s">
        <v>334</v>
      </c>
      <c r="B152" s="1">
        <f t="shared" si="19"/>
        <v>141</v>
      </c>
      <c r="C152" s="5" t="s">
        <v>375</v>
      </c>
      <c r="D152" t="s">
        <v>376</v>
      </c>
      <c r="E152" s="3">
        <v>32.26</v>
      </c>
      <c r="F152" s="6">
        <f>+E152*J152</f>
        <v>1873.2795513199999</v>
      </c>
      <c r="G152" s="6">
        <f>+[109]Main!$J$5-[109]Main!$J$6</f>
        <v>566.44900000000007</v>
      </c>
      <c r="H152" s="6">
        <f t="shared" ref="H152:H154" si="20">+F152-G152</f>
        <v>1306.8305513199998</v>
      </c>
      <c r="I152" s="3" t="s">
        <v>301</v>
      </c>
      <c r="J152" s="6">
        <f>+[109]Main!$J$3</f>
        <v>58.068182</v>
      </c>
      <c r="K152" s="9">
        <v>44824</v>
      </c>
    </row>
    <row r="153" spans="1:29" x14ac:dyDescent="0.2">
      <c r="A153" t="s">
        <v>334</v>
      </c>
      <c r="B153" s="1">
        <f t="shared" si="19"/>
        <v>142</v>
      </c>
      <c r="C153" s="5" t="s">
        <v>512</v>
      </c>
      <c r="D153" t="s">
        <v>513</v>
      </c>
      <c r="E153" s="3">
        <v>12.41</v>
      </c>
      <c r="F153" s="6">
        <f>E153*J153</f>
        <v>686.11028007999994</v>
      </c>
      <c r="G153" s="6">
        <f>[110]Main!$L$5-[110]Main!$L$6</f>
        <v>578</v>
      </c>
      <c r="H153" s="6">
        <f t="shared" si="20"/>
        <v>108.11028007999994</v>
      </c>
      <c r="I153" s="3" t="s">
        <v>649</v>
      </c>
      <c r="J153" s="6">
        <f>[110]Main!$L$3</f>
        <v>55.286887999999998</v>
      </c>
      <c r="K153" s="9">
        <v>45064</v>
      </c>
    </row>
    <row r="154" spans="1:29" x14ac:dyDescent="0.2">
      <c r="A154" t="s">
        <v>334</v>
      </c>
      <c r="B154" s="1">
        <f t="shared" si="19"/>
        <v>143</v>
      </c>
      <c r="C154" s="5" t="s">
        <v>782</v>
      </c>
      <c r="D154" t="s">
        <v>783</v>
      </c>
      <c r="E154" s="7">
        <v>3.06</v>
      </c>
      <c r="F154" s="6">
        <f>E154*J154</f>
        <v>205.55876502000001</v>
      </c>
      <c r="G154" s="6">
        <f>[111]Main!$O$5-[111]Main!$O$6</f>
        <v>345.67399999999998</v>
      </c>
      <c r="H154" s="6">
        <f t="shared" si="20"/>
        <v>-140.11523497999997</v>
      </c>
      <c r="I154" s="3" t="s">
        <v>649</v>
      </c>
      <c r="J154" s="6">
        <f>[111]Main!$O$3</f>
        <v>67.176067000000003</v>
      </c>
      <c r="K154" s="9">
        <v>45067</v>
      </c>
    </row>
    <row r="155" spans="1:29" x14ac:dyDescent="0.2">
      <c r="A155" t="s">
        <v>334</v>
      </c>
      <c r="B155" s="1">
        <f t="shared" si="19"/>
        <v>144</v>
      </c>
      <c r="C155" s="5" t="s">
        <v>181</v>
      </c>
      <c r="D155" s="1" t="s">
        <v>182</v>
      </c>
      <c r="E155" s="7">
        <v>7.28</v>
      </c>
      <c r="F155" s="6">
        <f>E155*J155</f>
        <v>434.74418623999998</v>
      </c>
      <c r="G155" s="6">
        <f>[112]Main!$K$5-[112]Main!$K$6</f>
        <v>1272.4940000000001</v>
      </c>
      <c r="H155" s="6">
        <f>F155-G155</f>
        <v>-837.74981376000017</v>
      </c>
      <c r="I155" s="3" t="s">
        <v>517</v>
      </c>
      <c r="J155" s="6">
        <f>[112]Main!$K$3</f>
        <v>59.717607999999998</v>
      </c>
      <c r="K155" s="9">
        <v>44999</v>
      </c>
    </row>
    <row r="156" spans="1:29" x14ac:dyDescent="0.2">
      <c r="A156"/>
      <c r="B156" s="1">
        <f t="shared" si="19"/>
        <v>145</v>
      </c>
      <c r="C156" s="5" t="s">
        <v>141</v>
      </c>
      <c r="D156" t="s">
        <v>1189</v>
      </c>
      <c r="E156" s="7">
        <v>5.91</v>
      </c>
      <c r="F156" s="6"/>
    </row>
    <row r="157" spans="1:29" x14ac:dyDescent="0.2">
      <c r="A157"/>
      <c r="B157" s="1">
        <f>+B156</f>
        <v>145</v>
      </c>
      <c r="C157" s="5" t="s">
        <v>141</v>
      </c>
      <c r="D157" t="s">
        <v>142</v>
      </c>
      <c r="E157" s="7">
        <v>3.32</v>
      </c>
      <c r="F157" s="6"/>
    </row>
    <row r="158" spans="1:29" x14ac:dyDescent="0.2">
      <c r="A158"/>
      <c r="B158" s="1">
        <f t="shared" si="19"/>
        <v>146</v>
      </c>
      <c r="C158" s="1" t="s">
        <v>216</v>
      </c>
      <c r="D158" s="1" t="s">
        <v>217</v>
      </c>
      <c r="E158" s="3">
        <v>18.309999999999999</v>
      </c>
      <c r="F158" s="6">
        <v>1930</v>
      </c>
    </row>
    <row r="159" spans="1:29" x14ac:dyDescent="0.2">
      <c r="A159"/>
      <c r="B159" s="1">
        <f t="shared" ref="B159:B168" si="21">+B158+1</f>
        <v>147</v>
      </c>
      <c r="C159" t="s">
        <v>1191</v>
      </c>
      <c r="D159" t="s">
        <v>1192</v>
      </c>
      <c r="F159" s="6"/>
    </row>
    <row r="160" spans="1:29" x14ac:dyDescent="0.2">
      <c r="A160"/>
      <c r="B160" s="1">
        <f t="shared" si="21"/>
        <v>148</v>
      </c>
      <c r="C160" t="s">
        <v>1133</v>
      </c>
      <c r="D160" t="s">
        <v>1134</v>
      </c>
      <c r="F160" s="6"/>
    </row>
    <row r="161" spans="1:6" x14ac:dyDescent="0.2">
      <c r="B161" s="1">
        <f t="shared" si="21"/>
        <v>149</v>
      </c>
      <c r="C161" t="s">
        <v>1135</v>
      </c>
      <c r="D161" t="s">
        <v>1136</v>
      </c>
    </row>
    <row r="162" spans="1:6" x14ac:dyDescent="0.2">
      <c r="A162" t="s">
        <v>334</v>
      </c>
      <c r="B162" s="1">
        <f t="shared" si="21"/>
        <v>150</v>
      </c>
      <c r="C162" t="s">
        <v>694</v>
      </c>
      <c r="D162" t="s">
        <v>695</v>
      </c>
      <c r="F162" s="6"/>
    </row>
    <row r="163" spans="1:6" x14ac:dyDescent="0.2">
      <c r="A163" t="s">
        <v>334</v>
      </c>
      <c r="B163" s="1">
        <f t="shared" si="21"/>
        <v>151</v>
      </c>
      <c r="C163" s="1" t="s">
        <v>187</v>
      </c>
      <c r="D163" s="1" t="s">
        <v>188</v>
      </c>
      <c r="E163" s="7">
        <v>10.1</v>
      </c>
      <c r="F163" s="6">
        <v>1880</v>
      </c>
    </row>
    <row r="164" spans="1:6" x14ac:dyDescent="0.2">
      <c r="A164" t="s">
        <v>334</v>
      </c>
      <c r="B164" s="1">
        <f t="shared" si="21"/>
        <v>152</v>
      </c>
      <c r="C164" s="1" t="s">
        <v>784</v>
      </c>
      <c r="D164" s="1" t="s">
        <v>170</v>
      </c>
      <c r="E164" s="3">
        <v>38.67</v>
      </c>
      <c r="F164" s="6">
        <v>1770</v>
      </c>
    </row>
    <row r="165" spans="1:6" x14ac:dyDescent="0.2">
      <c r="A165" t="s">
        <v>334</v>
      </c>
      <c r="B165" s="1">
        <f t="shared" si="21"/>
        <v>153</v>
      </c>
      <c r="C165" t="s">
        <v>377</v>
      </c>
      <c r="D165" t="s">
        <v>378</v>
      </c>
      <c r="E165" s="7">
        <v>43.5</v>
      </c>
    </row>
    <row r="166" spans="1:6" x14ac:dyDescent="0.2">
      <c r="A166" t="s">
        <v>334</v>
      </c>
      <c r="B166" s="1">
        <f t="shared" si="21"/>
        <v>154</v>
      </c>
      <c r="C166" t="s">
        <v>692</v>
      </c>
      <c r="D166" t="s">
        <v>693</v>
      </c>
      <c r="E166" s="7"/>
    </row>
    <row r="167" spans="1:6" x14ac:dyDescent="0.2">
      <c r="A167"/>
      <c r="B167" s="1">
        <f t="shared" si="21"/>
        <v>155</v>
      </c>
      <c r="C167" s="5" t="s">
        <v>1081</v>
      </c>
      <c r="D167" t="s">
        <v>1082</v>
      </c>
      <c r="E167" s="7">
        <v>17</v>
      </c>
      <c r="F167" s="6"/>
    </row>
    <row r="168" spans="1:6" x14ac:dyDescent="0.2">
      <c r="A168" t="s">
        <v>334</v>
      </c>
      <c r="B168" s="1">
        <f t="shared" si="21"/>
        <v>156</v>
      </c>
      <c r="C168" t="s">
        <v>726</v>
      </c>
      <c r="F168" s="6"/>
    </row>
    <row r="169" spans="1:6" x14ac:dyDescent="0.2">
      <c r="A169" t="s">
        <v>334</v>
      </c>
      <c r="B169" s="1">
        <f t="shared" ref="B169:B232" si="22">+B168+1</f>
        <v>157</v>
      </c>
      <c r="C169" s="1" t="s">
        <v>183</v>
      </c>
      <c r="D169" s="1" t="s">
        <v>184</v>
      </c>
      <c r="E169" s="3">
        <v>41.59</v>
      </c>
      <c r="F169" s="6">
        <v>1730</v>
      </c>
    </row>
    <row r="170" spans="1:6" x14ac:dyDescent="0.2">
      <c r="A170" t="s">
        <v>334</v>
      </c>
      <c r="B170" s="1">
        <f t="shared" si="22"/>
        <v>158</v>
      </c>
      <c r="C170" s="1" t="s">
        <v>177</v>
      </c>
      <c r="D170" s="1" t="s">
        <v>178</v>
      </c>
      <c r="E170" s="3">
        <v>22.22</v>
      </c>
      <c r="F170" s="6">
        <v>1720</v>
      </c>
    </row>
    <row r="171" spans="1:6" x14ac:dyDescent="0.2">
      <c r="A171" s="1" t="s">
        <v>334</v>
      </c>
      <c r="B171" s="1">
        <f t="shared" si="22"/>
        <v>159</v>
      </c>
      <c r="C171" s="25" t="s">
        <v>623</v>
      </c>
      <c r="D171" s="25" t="s">
        <v>624</v>
      </c>
      <c r="E171" s="26">
        <v>20.66</v>
      </c>
      <c r="F171" s="27">
        <v>1400</v>
      </c>
    </row>
    <row r="172" spans="1:6" x14ac:dyDescent="0.2">
      <c r="A172" t="s">
        <v>334</v>
      </c>
      <c r="B172" s="1">
        <f t="shared" si="22"/>
        <v>160</v>
      </c>
      <c r="C172" t="s">
        <v>765</v>
      </c>
      <c r="D172" t="s">
        <v>766</v>
      </c>
      <c r="E172" s="7"/>
      <c r="F172" s="6"/>
    </row>
    <row r="173" spans="1:6" x14ac:dyDescent="0.2">
      <c r="A173"/>
      <c r="B173" s="1">
        <f t="shared" si="22"/>
        <v>161</v>
      </c>
      <c r="C173" t="s">
        <v>780</v>
      </c>
      <c r="D173" t="s">
        <v>781</v>
      </c>
      <c r="E173" s="7"/>
      <c r="F173" s="6"/>
    </row>
    <row r="174" spans="1:6" x14ac:dyDescent="0.2">
      <c r="A174" t="s">
        <v>334</v>
      </c>
      <c r="B174" s="1">
        <f t="shared" si="22"/>
        <v>162</v>
      </c>
      <c r="C174" t="s">
        <v>779</v>
      </c>
      <c r="D174"/>
      <c r="E174" s="7"/>
      <c r="F174" s="6"/>
    </row>
    <row r="175" spans="1:6" x14ac:dyDescent="0.2">
      <c r="A175" t="s">
        <v>334</v>
      </c>
      <c r="B175" s="1">
        <f t="shared" si="22"/>
        <v>163</v>
      </c>
      <c r="C175" s="1" t="s">
        <v>160</v>
      </c>
      <c r="D175" s="1" t="s">
        <v>161</v>
      </c>
      <c r="E175" s="7">
        <v>5.75</v>
      </c>
      <c r="F175" s="6">
        <v>1100</v>
      </c>
    </row>
    <row r="176" spans="1:6" x14ac:dyDescent="0.2">
      <c r="A176" t="s">
        <v>334</v>
      </c>
      <c r="B176" s="1">
        <f t="shared" si="22"/>
        <v>164</v>
      </c>
      <c r="C176" t="s">
        <v>777</v>
      </c>
      <c r="D176" t="s">
        <v>778</v>
      </c>
      <c r="E176" s="7"/>
      <c r="F176" s="6"/>
    </row>
    <row r="177" spans="1:28" x14ac:dyDescent="0.2">
      <c r="A177" t="s">
        <v>334</v>
      </c>
      <c r="B177" s="1">
        <f t="shared" si="22"/>
        <v>165</v>
      </c>
      <c r="C177" t="s">
        <v>438</v>
      </c>
      <c r="D177" t="s">
        <v>439</v>
      </c>
      <c r="E177" s="3">
        <v>23.13</v>
      </c>
      <c r="F177" s="6">
        <v>1000</v>
      </c>
    </row>
    <row r="178" spans="1:28" x14ac:dyDescent="0.2">
      <c r="A178" s="1" t="s">
        <v>334</v>
      </c>
      <c r="B178" s="1">
        <f t="shared" si="22"/>
        <v>166</v>
      </c>
      <c r="C178" s="1" t="s">
        <v>104</v>
      </c>
      <c r="D178" s="1" t="s">
        <v>105</v>
      </c>
      <c r="E178" s="3">
        <v>24.78</v>
      </c>
    </row>
    <row r="179" spans="1:28" x14ac:dyDescent="0.2">
      <c r="A179" t="s">
        <v>334</v>
      </c>
      <c r="B179" s="1">
        <f t="shared" si="22"/>
        <v>167</v>
      </c>
      <c r="C179" s="1" t="s">
        <v>106</v>
      </c>
      <c r="D179" s="1" t="s">
        <v>107</v>
      </c>
      <c r="E179" s="3">
        <v>4.72</v>
      </c>
    </row>
    <row r="180" spans="1:28" x14ac:dyDescent="0.2">
      <c r="A180" t="s">
        <v>334</v>
      </c>
      <c r="B180" s="1">
        <f t="shared" si="22"/>
        <v>168</v>
      </c>
      <c r="C180" s="1" t="s">
        <v>108</v>
      </c>
      <c r="D180" s="1" t="s">
        <v>109</v>
      </c>
      <c r="E180" s="3">
        <v>24.53</v>
      </c>
    </row>
    <row r="181" spans="1:28" x14ac:dyDescent="0.2">
      <c r="A181" t="s">
        <v>334</v>
      </c>
      <c r="B181" s="1">
        <f t="shared" si="22"/>
        <v>169</v>
      </c>
      <c r="C181" t="s">
        <v>769</v>
      </c>
      <c r="D181" t="s">
        <v>770</v>
      </c>
      <c r="F181" s="6"/>
    </row>
    <row r="182" spans="1:28" x14ac:dyDescent="0.2">
      <c r="A182" t="s">
        <v>334</v>
      </c>
      <c r="B182" s="1">
        <f t="shared" si="22"/>
        <v>170</v>
      </c>
      <c r="C182" t="s">
        <v>767</v>
      </c>
      <c r="D182" t="s">
        <v>768</v>
      </c>
      <c r="F182" s="6"/>
    </row>
    <row r="183" spans="1:28" x14ac:dyDescent="0.2">
      <c r="A183" t="s">
        <v>334</v>
      </c>
      <c r="B183" s="1">
        <f t="shared" si="22"/>
        <v>171</v>
      </c>
      <c r="C183" s="1" t="s">
        <v>171</v>
      </c>
      <c r="D183" s="1" t="s">
        <v>172</v>
      </c>
      <c r="E183" s="7">
        <v>21.6</v>
      </c>
      <c r="F183" s="6">
        <v>991</v>
      </c>
    </row>
    <row r="184" spans="1:28" x14ac:dyDescent="0.2">
      <c r="A184" t="s">
        <v>334</v>
      </c>
      <c r="B184" s="1">
        <f>+B82+1</f>
        <v>73</v>
      </c>
      <c r="C184" t="s">
        <v>720</v>
      </c>
      <c r="D184" t="s">
        <v>721</v>
      </c>
      <c r="F184" s="6"/>
    </row>
    <row r="185" spans="1:28" x14ac:dyDescent="0.2">
      <c r="B185" s="1">
        <f t="shared" si="22"/>
        <v>74</v>
      </c>
      <c r="C185" s="1" t="s">
        <v>196</v>
      </c>
      <c r="D185" s="1" t="s">
        <v>197</v>
      </c>
      <c r="E185" s="3">
        <v>2.42</v>
      </c>
      <c r="F185" s="6">
        <v>823</v>
      </c>
    </row>
    <row r="186" spans="1:28" x14ac:dyDescent="0.2">
      <c r="A186" t="s">
        <v>334</v>
      </c>
      <c r="B186" s="1">
        <f t="shared" si="22"/>
        <v>75</v>
      </c>
      <c r="C186" t="s">
        <v>718</v>
      </c>
      <c r="D186" t="s">
        <v>719</v>
      </c>
      <c r="F186" s="6"/>
    </row>
    <row r="187" spans="1:28" s="25" customFormat="1" x14ac:dyDescent="0.2">
      <c r="B187" s="1">
        <f>+B127+1</f>
        <v>117</v>
      </c>
      <c r="C187" s="25" t="s">
        <v>1197</v>
      </c>
      <c r="D187" s="25" t="s">
        <v>1198</v>
      </c>
      <c r="E187" s="48">
        <v>28.76</v>
      </c>
      <c r="F187" s="27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</row>
    <row r="188" spans="1:28" x14ac:dyDescent="0.2">
      <c r="A188" t="s">
        <v>334</v>
      </c>
      <c r="B188" s="1">
        <f t="shared" si="22"/>
        <v>118</v>
      </c>
      <c r="C188" t="s">
        <v>798</v>
      </c>
      <c r="D188" t="s">
        <v>799</v>
      </c>
      <c r="F188" s="6"/>
    </row>
    <row r="189" spans="1:28" x14ac:dyDescent="0.2">
      <c r="A189" t="s">
        <v>334</v>
      </c>
      <c r="B189" s="1">
        <f t="shared" si="22"/>
        <v>119</v>
      </c>
      <c r="C189" t="s">
        <v>796</v>
      </c>
      <c r="D189" t="s">
        <v>797</v>
      </c>
      <c r="F189" s="6"/>
    </row>
    <row r="190" spans="1:28" x14ac:dyDescent="0.2">
      <c r="A190"/>
      <c r="B190" s="1">
        <f t="shared" si="22"/>
        <v>120</v>
      </c>
      <c r="C190" t="s">
        <v>1290</v>
      </c>
      <c r="D190" t="s">
        <v>1291</v>
      </c>
      <c r="E190" s="7">
        <v>3.5</v>
      </c>
      <c r="F190" s="6"/>
    </row>
    <row r="191" spans="1:28" x14ac:dyDescent="0.2">
      <c r="A191" t="s">
        <v>334</v>
      </c>
      <c r="B191" s="1">
        <f t="shared" si="22"/>
        <v>121</v>
      </c>
      <c r="C191" t="s">
        <v>794</v>
      </c>
      <c r="D191" t="s">
        <v>795</v>
      </c>
      <c r="F191" s="6"/>
    </row>
    <row r="192" spans="1:28" x14ac:dyDescent="0.2">
      <c r="A192" t="s">
        <v>334</v>
      </c>
      <c r="B192" s="1">
        <f t="shared" si="22"/>
        <v>122</v>
      </c>
      <c r="C192" t="s">
        <v>793</v>
      </c>
      <c r="D192" t="s">
        <v>792</v>
      </c>
      <c r="F192" s="6"/>
    </row>
    <row r="193" spans="1:29" x14ac:dyDescent="0.2">
      <c r="A193" t="s">
        <v>334</v>
      </c>
      <c r="B193" s="1">
        <f t="shared" si="22"/>
        <v>123</v>
      </c>
      <c r="C193" t="s">
        <v>790</v>
      </c>
      <c r="D193" t="s">
        <v>791</v>
      </c>
      <c r="F193" s="6"/>
    </row>
    <row r="194" spans="1:29" x14ac:dyDescent="0.2">
      <c r="A194" t="s">
        <v>334</v>
      </c>
      <c r="B194" s="1">
        <f t="shared" si="22"/>
        <v>124</v>
      </c>
      <c r="C194" t="s">
        <v>771</v>
      </c>
      <c r="D194" t="s">
        <v>772</v>
      </c>
      <c r="F194" s="6"/>
    </row>
    <row r="195" spans="1:29" x14ac:dyDescent="0.2">
      <c r="A195" t="s">
        <v>334</v>
      </c>
      <c r="B195" s="1">
        <f t="shared" si="22"/>
        <v>125</v>
      </c>
      <c r="C195" s="1" t="s">
        <v>194</v>
      </c>
      <c r="D195" s="1" t="s">
        <v>195</v>
      </c>
      <c r="E195" s="7">
        <v>5.7</v>
      </c>
      <c r="F195" s="6">
        <v>821</v>
      </c>
    </row>
    <row r="196" spans="1:29" x14ac:dyDescent="0.2">
      <c r="A196" t="s">
        <v>334</v>
      </c>
      <c r="B196" s="1">
        <f t="shared" si="22"/>
        <v>126</v>
      </c>
      <c r="C196" t="s">
        <v>304</v>
      </c>
      <c r="D196" t="s">
        <v>305</v>
      </c>
      <c r="E196" s="3">
        <v>3.23</v>
      </c>
      <c r="F196" s="6">
        <v>630</v>
      </c>
    </row>
    <row r="197" spans="1:29" x14ac:dyDescent="0.2">
      <c r="A197" t="s">
        <v>334</v>
      </c>
      <c r="B197" s="1">
        <f t="shared" si="22"/>
        <v>127</v>
      </c>
      <c r="C197" t="s">
        <v>706</v>
      </c>
      <c r="D197" t="s">
        <v>707</v>
      </c>
      <c r="F197" s="6"/>
    </row>
    <row r="198" spans="1:29" x14ac:dyDescent="0.2">
      <c r="A198" t="s">
        <v>334</v>
      </c>
      <c r="B198" s="1">
        <f>+B214+1</f>
        <v>129</v>
      </c>
      <c r="C198" t="s">
        <v>704</v>
      </c>
      <c r="D198" t="s">
        <v>705</v>
      </c>
      <c r="F198" s="6"/>
    </row>
    <row r="199" spans="1:29" x14ac:dyDescent="0.2">
      <c r="A199" t="s">
        <v>334</v>
      </c>
      <c r="B199" s="1">
        <f t="shared" si="22"/>
        <v>130</v>
      </c>
      <c r="C199" s="1" t="s">
        <v>200</v>
      </c>
      <c r="D199" s="1" t="s">
        <v>201</v>
      </c>
      <c r="E199" s="3">
        <v>4.16</v>
      </c>
      <c r="F199" s="6">
        <v>590</v>
      </c>
    </row>
    <row r="200" spans="1:29" x14ac:dyDescent="0.2">
      <c r="A200" t="s">
        <v>334</v>
      </c>
      <c r="B200" s="1">
        <f t="shared" si="22"/>
        <v>131</v>
      </c>
      <c r="C200" t="s">
        <v>291</v>
      </c>
      <c r="D200" t="s">
        <v>292</v>
      </c>
      <c r="E200" s="3">
        <v>8.4499999999999993</v>
      </c>
      <c r="F200" s="6">
        <f>4406/HKD</f>
        <v>564.87179487179492</v>
      </c>
    </row>
    <row r="201" spans="1:29" x14ac:dyDescent="0.2">
      <c r="A201" t="s">
        <v>334</v>
      </c>
      <c r="B201" s="1">
        <f t="shared" si="22"/>
        <v>132</v>
      </c>
      <c r="C201" t="s">
        <v>727</v>
      </c>
      <c r="D201" t="s">
        <v>728</v>
      </c>
      <c r="F201" s="6"/>
    </row>
    <row r="202" spans="1:29" x14ac:dyDescent="0.2">
      <c r="B202" s="1">
        <f t="shared" si="22"/>
        <v>133</v>
      </c>
      <c r="C202" s="1" t="s">
        <v>143</v>
      </c>
      <c r="D202" s="1" t="s">
        <v>144</v>
      </c>
      <c r="E202" s="3">
        <v>2.37</v>
      </c>
      <c r="F202" s="6"/>
    </row>
    <row r="203" spans="1:29" x14ac:dyDescent="0.2">
      <c r="A203" t="s">
        <v>334</v>
      </c>
      <c r="B203" s="1">
        <f t="shared" si="22"/>
        <v>134</v>
      </c>
      <c r="C203" t="s">
        <v>510</v>
      </c>
      <c r="D203" t="s">
        <v>511</v>
      </c>
      <c r="E203" s="7">
        <v>3.19</v>
      </c>
      <c r="F203" s="6">
        <v>439</v>
      </c>
    </row>
    <row r="204" spans="1:29" x14ac:dyDescent="0.2">
      <c r="A204" t="s">
        <v>334</v>
      </c>
      <c r="B204" s="1">
        <f t="shared" si="22"/>
        <v>135</v>
      </c>
      <c r="C204" s="1" t="s">
        <v>208</v>
      </c>
      <c r="D204" s="1" t="s">
        <v>209</v>
      </c>
      <c r="E204" s="3">
        <v>10.98</v>
      </c>
      <c r="F204" s="6">
        <v>548</v>
      </c>
    </row>
    <row r="205" spans="1:29" x14ac:dyDescent="0.2">
      <c r="A205" s="25" t="s">
        <v>334</v>
      </c>
      <c r="B205" s="1">
        <f t="shared" si="22"/>
        <v>136</v>
      </c>
      <c r="C205" s="44" t="s">
        <v>773</v>
      </c>
      <c r="D205" s="25" t="s">
        <v>774</v>
      </c>
      <c r="E205" s="26">
        <v>28.45</v>
      </c>
      <c r="F205" s="27">
        <f>+E205*J205</f>
        <v>1364.9219226999999</v>
      </c>
      <c r="G205" s="27">
        <f>+[113]Main!$J$5-[113]Main!$J$6</f>
        <v>167.291</v>
      </c>
      <c r="H205" s="27">
        <f t="shared" ref="H205:H212" si="23">+F205-G205</f>
        <v>1197.6309226999999</v>
      </c>
      <c r="I205" s="26" t="s">
        <v>1083</v>
      </c>
      <c r="J205" s="27">
        <f>+[113]Main!$J$3</f>
        <v>47.976165999999999</v>
      </c>
      <c r="K205" s="45">
        <v>45531</v>
      </c>
    </row>
    <row r="206" spans="1:29" x14ac:dyDescent="0.2">
      <c r="A206" t="s">
        <v>334</v>
      </c>
      <c r="B206" s="1">
        <f t="shared" si="22"/>
        <v>137</v>
      </c>
      <c r="C206" s="5" t="s">
        <v>288</v>
      </c>
      <c r="D206" t="s">
        <v>289</v>
      </c>
      <c r="E206" s="3">
        <v>15.65</v>
      </c>
      <c r="F206" s="6">
        <f>E206*[114]Main!$L$3</f>
        <v>1253.1559559500001</v>
      </c>
      <c r="G206" s="6">
        <f>+[114]Main!$L$5-[114]Main!$L$6</f>
        <v>112.015</v>
      </c>
      <c r="H206" s="6">
        <f t="shared" si="23"/>
        <v>1141.14095595</v>
      </c>
      <c r="I206" s="3" t="s">
        <v>16</v>
      </c>
    </row>
    <row r="207" spans="1:29" x14ac:dyDescent="0.2">
      <c r="A207"/>
      <c r="B207" s="1">
        <f t="shared" si="22"/>
        <v>138</v>
      </c>
      <c r="C207" s="5" t="s">
        <v>952</v>
      </c>
      <c r="D207" t="s">
        <v>953</v>
      </c>
      <c r="E207" s="3">
        <v>33.89</v>
      </c>
      <c r="F207" s="6">
        <f>+E207*J207</f>
        <v>1318.30476669</v>
      </c>
      <c r="G207" s="6">
        <f>+[115]Main!$K$5-[115]Main!$K$6</f>
        <v>304.87299999999999</v>
      </c>
      <c r="H207" s="6">
        <f>+F207-G207</f>
        <v>1013.4317666899999</v>
      </c>
      <c r="I207" s="3" t="s">
        <v>1083</v>
      </c>
      <c r="J207" s="6">
        <f>+[115]Main!$K$3</f>
        <v>38.899521</v>
      </c>
      <c r="K207" s="9">
        <v>45558</v>
      </c>
    </row>
    <row r="208" spans="1:29" x14ac:dyDescent="0.2">
      <c r="A208" t="s">
        <v>334</v>
      </c>
      <c r="B208" s="1">
        <f t="shared" si="22"/>
        <v>139</v>
      </c>
      <c r="C208" s="5" t="s">
        <v>224</v>
      </c>
      <c r="D208" s="1" t="s">
        <v>225</v>
      </c>
      <c r="E208" s="3">
        <v>23.75</v>
      </c>
      <c r="F208" s="6">
        <f>+E208*J208</f>
        <v>1355.4004112499999</v>
      </c>
      <c r="G208" s="6">
        <f>+[116]Main!$K$5-[116]Main!$K$6</f>
        <v>449.76100000000002</v>
      </c>
      <c r="H208" s="6">
        <f t="shared" si="23"/>
        <v>905.63941124999997</v>
      </c>
      <c r="I208" s="3" t="s">
        <v>419</v>
      </c>
      <c r="J208" s="6">
        <f>+[116]Main!$K$3</f>
        <v>57.069490999999999</v>
      </c>
      <c r="K208" s="9">
        <v>44947</v>
      </c>
      <c r="AC208" s="1">
        <v>2015</v>
      </c>
    </row>
    <row r="209" spans="1:29" x14ac:dyDescent="0.2">
      <c r="A209" t="s">
        <v>334</v>
      </c>
      <c r="B209" s="1">
        <f t="shared" si="22"/>
        <v>140</v>
      </c>
      <c r="C209" s="5" t="s">
        <v>755</v>
      </c>
      <c r="D209" t="s">
        <v>756</v>
      </c>
      <c r="E209" s="7">
        <v>14.34</v>
      </c>
      <c r="F209" s="6">
        <f>+E209*J209</f>
        <v>1258.48493904</v>
      </c>
      <c r="G209" s="6">
        <f>+[117]Main!$K$5-[117]Main!$K$6</f>
        <v>361.86599999999999</v>
      </c>
      <c r="H209" s="6">
        <f t="shared" si="23"/>
        <v>896.61893903999999</v>
      </c>
      <c r="I209" s="3" t="s">
        <v>1083</v>
      </c>
      <c r="J209" s="6">
        <f>+[117]Main!$K$3</f>
        <v>87.760456000000005</v>
      </c>
      <c r="K209" s="9">
        <v>45555</v>
      </c>
    </row>
    <row r="210" spans="1:29" x14ac:dyDescent="0.2">
      <c r="B210" s="1">
        <f t="shared" si="22"/>
        <v>141</v>
      </c>
      <c r="C210" s="5" t="s">
        <v>1212</v>
      </c>
      <c r="D210" s="42" t="s">
        <v>1213</v>
      </c>
      <c r="E210" s="7">
        <v>8.39</v>
      </c>
      <c r="F210" s="6">
        <f>+E210*J210</f>
        <v>963.56021369000007</v>
      </c>
      <c r="G210" s="6">
        <f>+[118]Main!$L$5-[118]Main!$L$6</f>
        <v>122.197</v>
      </c>
      <c r="H210" s="6">
        <f>+F210-G210</f>
        <v>841.36321369000007</v>
      </c>
      <c r="I210" s="3" t="s">
        <v>1083</v>
      </c>
      <c r="J210" s="6">
        <f>+[118]Main!$L$3</f>
        <v>114.846271</v>
      </c>
      <c r="K210" s="9">
        <v>45567</v>
      </c>
    </row>
    <row r="211" spans="1:29" x14ac:dyDescent="0.2">
      <c r="A211" t="s">
        <v>334</v>
      </c>
      <c r="B211" s="1">
        <f t="shared" si="22"/>
        <v>142</v>
      </c>
      <c r="C211" s="5" t="s">
        <v>298</v>
      </c>
      <c r="D211" t="s">
        <v>299</v>
      </c>
      <c r="E211" s="3">
        <v>11</v>
      </c>
      <c r="F211" s="6">
        <f>+E211*[119]Main!$L$3</f>
        <v>798.23003700000004</v>
      </c>
      <c r="G211" s="6">
        <f>+[119]Main!$L$5-[119]Main!$L$6</f>
        <v>153.25991400000001</v>
      </c>
      <c r="H211" s="6">
        <f t="shared" si="23"/>
        <v>644.97012300000006</v>
      </c>
      <c r="I211" s="3" t="s">
        <v>16</v>
      </c>
      <c r="K211" s="9">
        <v>44771</v>
      </c>
      <c r="L211" s="9"/>
      <c r="M211" s="9"/>
      <c r="N211" s="9"/>
      <c r="O211" s="9"/>
      <c r="P211" s="9"/>
    </row>
    <row r="212" spans="1:29" x14ac:dyDescent="0.2">
      <c r="A212" t="s">
        <v>334</v>
      </c>
      <c r="B212" s="1">
        <f t="shared" si="22"/>
        <v>143</v>
      </c>
      <c r="C212" s="5" t="s">
        <v>192</v>
      </c>
      <c r="D212" s="1" t="s">
        <v>193</v>
      </c>
      <c r="E212" s="3">
        <v>7.36</v>
      </c>
      <c r="F212" s="6">
        <f>+E212*J212</f>
        <v>897.18233664000002</v>
      </c>
      <c r="G212" s="6">
        <f>+[120]Main!$J$5-[120]Main!$J$6</f>
        <v>601.58999999999992</v>
      </c>
      <c r="H212" s="6">
        <f t="shared" si="23"/>
        <v>295.5923366400001</v>
      </c>
      <c r="I212" s="3" t="s">
        <v>16</v>
      </c>
      <c r="J212" s="6">
        <f>+[120]Main!$J$3</f>
        <v>121.89977399999999</v>
      </c>
      <c r="K212" s="9">
        <v>44827</v>
      </c>
    </row>
    <row r="213" spans="1:29" x14ac:dyDescent="0.2">
      <c r="A213"/>
      <c r="B213" s="1">
        <f t="shared" si="22"/>
        <v>144</v>
      </c>
      <c r="C213" s="5" t="s">
        <v>1217</v>
      </c>
      <c r="D213" t="s">
        <v>1218</v>
      </c>
      <c r="E213" s="3">
        <v>5.71</v>
      </c>
      <c r="F213" s="6">
        <f>+E213*J213</f>
        <v>357.16781451000003</v>
      </c>
      <c r="G213" s="6">
        <f>+[121]Main!$K$5-[121]Main!$K$6</f>
        <v>62.650000000000006</v>
      </c>
      <c r="H213" s="6">
        <f>+F213-G213</f>
        <v>294.51781450999999</v>
      </c>
      <c r="I213" s="3" t="s">
        <v>1083</v>
      </c>
      <c r="J213" s="6">
        <f>+[121]Main!$K$3</f>
        <v>62.551281000000003</v>
      </c>
      <c r="K213" s="9">
        <v>45569</v>
      </c>
      <c r="AC213" s="1">
        <v>2014</v>
      </c>
    </row>
    <row r="214" spans="1:29" x14ac:dyDescent="0.2">
      <c r="A214"/>
      <c r="B214" s="1">
        <f>+B197+1</f>
        <v>128</v>
      </c>
      <c r="C214" s="5" t="s">
        <v>1215</v>
      </c>
      <c r="D214" t="s">
        <v>1216</v>
      </c>
      <c r="E214" s="7">
        <v>1</v>
      </c>
      <c r="F214" s="6">
        <f>+E214*J214</f>
        <v>226.227259</v>
      </c>
      <c r="G214" s="6">
        <f>+[122]Main!$K$5-[122]Main!$K$6</f>
        <v>157.43700000000001</v>
      </c>
      <c r="H214" s="6">
        <f>+F214-G214</f>
        <v>68.790258999999992</v>
      </c>
      <c r="I214" s="3" t="s">
        <v>1083</v>
      </c>
      <c r="J214" s="6">
        <f>+[122]Main!$K$3</f>
        <v>226.227259</v>
      </c>
      <c r="K214" s="9">
        <v>45569</v>
      </c>
    </row>
    <row r="215" spans="1:29" s="25" customFormat="1" x14ac:dyDescent="0.2">
      <c r="A215" s="25" t="s">
        <v>334</v>
      </c>
      <c r="B215" s="1">
        <f>+B213+1</f>
        <v>145</v>
      </c>
      <c r="C215" s="25" t="s">
        <v>302</v>
      </c>
      <c r="D215" s="25" t="s">
        <v>303</v>
      </c>
      <c r="E215" s="26">
        <v>12.42</v>
      </c>
      <c r="F215" s="27">
        <v>516</v>
      </c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spans="1:29" x14ac:dyDescent="0.2">
      <c r="A216" t="s">
        <v>334</v>
      </c>
      <c r="B216" s="1">
        <f t="shared" si="22"/>
        <v>146</v>
      </c>
      <c r="C216" t="s">
        <v>309</v>
      </c>
      <c r="D216" t="s">
        <v>310</v>
      </c>
      <c r="E216" s="3">
        <v>3.26</v>
      </c>
      <c r="F216" s="6">
        <v>272</v>
      </c>
    </row>
    <row r="217" spans="1:29" x14ac:dyDescent="0.2">
      <c r="A217" t="s">
        <v>334</v>
      </c>
      <c r="B217" s="1">
        <f t="shared" si="22"/>
        <v>147</v>
      </c>
      <c r="C217" s="1" t="s">
        <v>218</v>
      </c>
      <c r="D217" s="1" t="s">
        <v>219</v>
      </c>
      <c r="E217" s="3">
        <v>6.34</v>
      </c>
      <c r="F217" s="3">
        <v>547</v>
      </c>
    </row>
    <row r="218" spans="1:29" x14ac:dyDescent="0.2">
      <c r="A218" t="s">
        <v>334</v>
      </c>
      <c r="B218" s="1">
        <f t="shared" si="22"/>
        <v>148</v>
      </c>
      <c r="C218" s="5" t="s">
        <v>1178</v>
      </c>
      <c r="D218" t="s">
        <v>1179</v>
      </c>
      <c r="E218" s="3">
        <v>9.34</v>
      </c>
      <c r="F218" s="6">
        <f>+E218*J218</f>
        <v>289.28000241999996</v>
      </c>
      <c r="G218" s="6">
        <f>+[123]Main!$J$5-[123]Main!$J$6</f>
        <v>220.43200000000002</v>
      </c>
      <c r="H218" s="6">
        <f>+F218-G218</f>
        <v>68.848002419999943</v>
      </c>
      <c r="I218" s="3" t="s">
        <v>1083</v>
      </c>
      <c r="J218" s="6">
        <f>+[123]Main!$J$3</f>
        <v>30.972162999999998</v>
      </c>
      <c r="K218" s="9">
        <v>45548</v>
      </c>
      <c r="AC218" s="1">
        <v>2018</v>
      </c>
    </row>
    <row r="219" spans="1:29" x14ac:dyDescent="0.2">
      <c r="A219" t="s">
        <v>334</v>
      </c>
      <c r="B219" s="1">
        <f t="shared" si="22"/>
        <v>149</v>
      </c>
      <c r="C219" s="1" t="s">
        <v>220</v>
      </c>
      <c r="D219" s="1" t="s">
        <v>221</v>
      </c>
      <c r="E219" s="7">
        <v>31.39</v>
      </c>
      <c r="F219" s="3">
        <v>1020</v>
      </c>
    </row>
    <row r="220" spans="1:29" x14ac:dyDescent="0.2">
      <c r="A220" t="s">
        <v>334</v>
      </c>
      <c r="B220" s="1">
        <f t="shared" si="22"/>
        <v>150</v>
      </c>
      <c r="C220" t="s">
        <v>761</v>
      </c>
      <c r="D220" t="s">
        <v>762</v>
      </c>
      <c r="E220" s="7"/>
    </row>
    <row r="221" spans="1:29" x14ac:dyDescent="0.2">
      <c r="A221" t="s">
        <v>334</v>
      </c>
      <c r="B221" s="1">
        <f t="shared" si="22"/>
        <v>151</v>
      </c>
      <c r="C221" t="s">
        <v>759</v>
      </c>
      <c r="D221" t="s">
        <v>760</v>
      </c>
      <c r="E221" s="7"/>
    </row>
    <row r="222" spans="1:29" x14ac:dyDescent="0.2">
      <c r="A222"/>
      <c r="B222" s="1">
        <f t="shared" si="22"/>
        <v>152</v>
      </c>
      <c r="C222" s="5" t="s">
        <v>1193</v>
      </c>
      <c r="D222" t="s">
        <v>1194</v>
      </c>
      <c r="E222" s="7">
        <v>1.18</v>
      </c>
      <c r="F222" s="6">
        <f>+E222*J222</f>
        <v>94.614233720000001</v>
      </c>
      <c r="G222" s="6">
        <f>+[124]Main!$L$5-[124]Main!$L$6</f>
        <v>30.146999999999998</v>
      </c>
      <c r="H222" s="6">
        <f>+F222-G222</f>
        <v>64.467233719999996</v>
      </c>
      <c r="I222" s="3" t="s">
        <v>1083</v>
      </c>
      <c r="J222" s="6">
        <f>+[124]Main!$L$3</f>
        <v>80.181554000000006</v>
      </c>
      <c r="K222" s="9">
        <v>45562</v>
      </c>
    </row>
    <row r="223" spans="1:29" x14ac:dyDescent="0.2">
      <c r="A223" t="s">
        <v>334</v>
      </c>
      <c r="B223" s="1">
        <f t="shared" si="22"/>
        <v>153</v>
      </c>
      <c r="C223" t="s">
        <v>757</v>
      </c>
      <c r="D223" t="s">
        <v>758</v>
      </c>
      <c r="E223" s="7"/>
    </row>
    <row r="224" spans="1:29" x14ac:dyDescent="0.2">
      <c r="A224"/>
      <c r="B224" s="1">
        <f t="shared" si="22"/>
        <v>154</v>
      </c>
      <c r="C224" t="s">
        <v>1184</v>
      </c>
      <c r="D224" t="s">
        <v>1185</v>
      </c>
      <c r="E224" s="7">
        <v>5.43</v>
      </c>
    </row>
    <row r="225" spans="1:29" x14ac:dyDescent="0.2">
      <c r="A225" t="s">
        <v>334</v>
      </c>
      <c r="B225" s="1">
        <f t="shared" si="22"/>
        <v>155</v>
      </c>
      <c r="C225" t="s">
        <v>753</v>
      </c>
      <c r="D225" t="s">
        <v>754</v>
      </c>
      <c r="E225" s="7">
        <v>5.55</v>
      </c>
      <c r="F225" s="3">
        <v>270</v>
      </c>
    </row>
    <row r="226" spans="1:29" x14ac:dyDescent="0.2">
      <c r="A226"/>
      <c r="B226" s="1">
        <f t="shared" si="22"/>
        <v>156</v>
      </c>
      <c r="C226" t="s">
        <v>1330</v>
      </c>
      <c r="D226" t="s">
        <v>1331</v>
      </c>
      <c r="E226" s="7">
        <v>2.0499999999999998</v>
      </c>
      <c r="F226" s="3">
        <v>164</v>
      </c>
    </row>
    <row r="227" spans="1:29" x14ac:dyDescent="0.2">
      <c r="A227" t="s">
        <v>334</v>
      </c>
      <c r="B227" s="1">
        <f t="shared" si="22"/>
        <v>157</v>
      </c>
      <c r="C227" s="1" t="s">
        <v>222</v>
      </c>
      <c r="D227" s="1" t="s">
        <v>223</v>
      </c>
      <c r="E227" s="7">
        <v>5.9</v>
      </c>
      <c r="F227" s="6">
        <v>508</v>
      </c>
    </row>
    <row r="228" spans="1:29" x14ac:dyDescent="0.2">
      <c r="A228" t="s">
        <v>334</v>
      </c>
      <c r="B228" s="1">
        <f t="shared" si="22"/>
        <v>158</v>
      </c>
      <c r="C228" s="1" t="s">
        <v>226</v>
      </c>
      <c r="D228" s="1" t="s">
        <v>227</v>
      </c>
      <c r="E228" s="3">
        <v>10.31</v>
      </c>
      <c r="F228" s="6">
        <v>1240</v>
      </c>
    </row>
    <row r="229" spans="1:29" x14ac:dyDescent="0.2">
      <c r="A229" t="s">
        <v>334</v>
      </c>
      <c r="B229" s="1">
        <f t="shared" si="22"/>
        <v>159</v>
      </c>
      <c r="C229" t="s">
        <v>785</v>
      </c>
      <c r="D229" t="s">
        <v>786</v>
      </c>
      <c r="F229" s="6"/>
    </row>
    <row r="230" spans="1:29" x14ac:dyDescent="0.2">
      <c r="A230" t="s">
        <v>334</v>
      </c>
      <c r="B230" s="1">
        <f t="shared" si="22"/>
        <v>160</v>
      </c>
      <c r="C230" t="s">
        <v>714</v>
      </c>
      <c r="D230" t="s">
        <v>715</v>
      </c>
      <c r="F230" s="6"/>
    </row>
    <row r="231" spans="1:29" x14ac:dyDescent="0.2">
      <c r="A231" t="s">
        <v>334</v>
      </c>
      <c r="B231" s="1">
        <f t="shared" si="22"/>
        <v>161</v>
      </c>
      <c r="C231" t="s">
        <v>710</v>
      </c>
      <c r="D231" t="s">
        <v>711</v>
      </c>
    </row>
    <row r="232" spans="1:29" x14ac:dyDescent="0.2">
      <c r="A232" t="s">
        <v>334</v>
      </c>
      <c r="B232" s="1">
        <f t="shared" si="22"/>
        <v>162</v>
      </c>
      <c r="C232" s="1" t="s">
        <v>228</v>
      </c>
      <c r="D232" s="1" t="s">
        <v>229</v>
      </c>
      <c r="E232" s="7">
        <v>1.3</v>
      </c>
      <c r="F232" s="3">
        <v>107</v>
      </c>
    </row>
    <row r="233" spans="1:29" x14ac:dyDescent="0.2">
      <c r="A233" t="s">
        <v>334</v>
      </c>
      <c r="B233" s="1">
        <f t="shared" ref="B233:B293" si="24">+B232+1</f>
        <v>163</v>
      </c>
      <c r="C233" s="1" t="s">
        <v>230</v>
      </c>
      <c r="D233" s="1" t="s">
        <v>231</v>
      </c>
      <c r="E233" s="3">
        <v>3.35</v>
      </c>
      <c r="F233" s="3">
        <v>457</v>
      </c>
    </row>
    <row r="234" spans="1:29" x14ac:dyDescent="0.2">
      <c r="A234" t="s">
        <v>334</v>
      </c>
      <c r="B234" s="1">
        <f t="shared" si="24"/>
        <v>164</v>
      </c>
      <c r="C234" s="5" t="s">
        <v>232</v>
      </c>
      <c r="D234" s="1" t="s">
        <v>233</v>
      </c>
      <c r="E234" s="3">
        <v>7.06</v>
      </c>
      <c r="F234" s="6">
        <f>E234*[125]Main!$J$3</f>
        <v>725.62786605999997</v>
      </c>
      <c r="G234" s="6">
        <f>[125]Main!$J$5-[125]Main!$J$6</f>
        <v>197.79600000000002</v>
      </c>
      <c r="H234" s="8">
        <f>+F234-G234</f>
        <v>527.83186605999992</v>
      </c>
      <c r="I234" s="3" t="s">
        <v>16</v>
      </c>
    </row>
    <row r="235" spans="1:29" x14ac:dyDescent="0.2">
      <c r="A235" t="s">
        <v>334</v>
      </c>
      <c r="B235" s="1">
        <f t="shared" si="24"/>
        <v>165</v>
      </c>
      <c r="C235" s="5" t="s">
        <v>351</v>
      </c>
      <c r="D235" s="1" t="s">
        <v>352</v>
      </c>
      <c r="E235" s="7">
        <v>0.6</v>
      </c>
      <c r="F235" s="6">
        <f>+E235*J235</f>
        <v>486.43225439999998</v>
      </c>
      <c r="G235" s="6">
        <f>+[126]Main!$K$5-[126]Main!$K$6</f>
        <v>-37.984000000000002</v>
      </c>
      <c r="H235" s="8">
        <f t="shared" ref="H235" si="25">+F235-G235</f>
        <v>524.41625439999996</v>
      </c>
      <c r="I235" s="3" t="s">
        <v>301</v>
      </c>
      <c r="J235" s="6">
        <f>+[126]Main!$K$3</f>
        <v>810.72042399999998</v>
      </c>
      <c r="K235" s="9">
        <v>44816</v>
      </c>
      <c r="AC235" s="1">
        <v>2002</v>
      </c>
    </row>
    <row r="236" spans="1:29" x14ac:dyDescent="0.2">
      <c r="A236" t="s">
        <v>334</v>
      </c>
      <c r="B236" s="1">
        <f t="shared" si="24"/>
        <v>166</v>
      </c>
      <c r="C236" s="5" t="s">
        <v>234</v>
      </c>
      <c r="D236" s="1" t="s">
        <v>235</v>
      </c>
      <c r="E236" s="3">
        <v>14.68</v>
      </c>
      <c r="F236" s="6">
        <f>E236*[127]Main!$L$3</f>
        <v>587.26396075999992</v>
      </c>
      <c r="G236" s="6">
        <f>[127]Main!$L$5-[127]Main!$L$6</f>
        <v>277.88299999999998</v>
      </c>
      <c r="H236" s="8">
        <f>+F236-G236</f>
        <v>309.38096075999994</v>
      </c>
      <c r="I236" s="3" t="s">
        <v>16</v>
      </c>
    </row>
    <row r="237" spans="1:29" x14ac:dyDescent="0.2">
      <c r="A237" t="s">
        <v>334</v>
      </c>
      <c r="B237" s="1">
        <f t="shared" si="24"/>
        <v>167</v>
      </c>
      <c r="C237" s="5" t="s">
        <v>236</v>
      </c>
      <c r="D237" s="1" t="s">
        <v>237</v>
      </c>
      <c r="E237" s="3">
        <v>4.8600000000000003</v>
      </c>
      <c r="F237" s="6">
        <f>E237*[128]Main!$J$3</f>
        <v>312.71415336000001</v>
      </c>
      <c r="G237" s="8">
        <f>+[128]Main!$J$5-[128]Main!$J$6</f>
        <v>92.317999999999998</v>
      </c>
      <c r="H237" s="8">
        <f>+F237-G237</f>
        <v>220.39615336000003</v>
      </c>
      <c r="I237" s="3" t="s">
        <v>16</v>
      </c>
    </row>
    <row r="238" spans="1:29" x14ac:dyDescent="0.2">
      <c r="A238" t="s">
        <v>334</v>
      </c>
      <c r="B238" s="1">
        <f t="shared" si="24"/>
        <v>168</v>
      </c>
      <c r="C238" s="5" t="s">
        <v>238</v>
      </c>
      <c r="D238" s="1" t="s">
        <v>239</v>
      </c>
      <c r="E238" s="3">
        <v>7.57</v>
      </c>
      <c r="F238" s="6">
        <f>E238*[129]Main!$M$3</f>
        <v>338.45983246000003</v>
      </c>
      <c r="G238" s="6">
        <f>[129]Main!$M$5-[129]Main!$M$6</f>
        <v>120.43700000000001</v>
      </c>
      <c r="H238" s="8">
        <f t="shared" ref="H238:H246" si="26">+F238-G238</f>
        <v>218.02283246000002</v>
      </c>
      <c r="I238" s="3" t="s">
        <v>16</v>
      </c>
    </row>
    <row r="239" spans="1:29" x14ac:dyDescent="0.2">
      <c r="B239" s="1">
        <f t="shared" si="24"/>
        <v>169</v>
      </c>
      <c r="C239" s="5" t="s">
        <v>240</v>
      </c>
      <c r="D239" s="1" t="s">
        <v>241</v>
      </c>
      <c r="E239" s="7">
        <v>0.7</v>
      </c>
      <c r="F239" s="6">
        <f>E239*[130]Main!$M$3</f>
        <v>128.9392503</v>
      </c>
      <c r="G239" s="6">
        <f>[130]Main!$M$5-[130]Main!$M$6</f>
        <v>-59.50200000000001</v>
      </c>
      <c r="H239" s="8">
        <f t="shared" si="26"/>
        <v>188.44125030000001</v>
      </c>
      <c r="I239" s="3" t="s">
        <v>16</v>
      </c>
    </row>
    <row r="240" spans="1:29" x14ac:dyDescent="0.2">
      <c r="B240" s="1">
        <f>+B249+1</f>
        <v>179</v>
      </c>
      <c r="C240" s="5" t="s">
        <v>995</v>
      </c>
      <c r="D240" t="s">
        <v>996</v>
      </c>
      <c r="E240" s="3">
        <v>1.91</v>
      </c>
      <c r="F240" s="6">
        <f>+E240*J240</f>
        <v>144.77073818</v>
      </c>
      <c r="G240" s="6">
        <f>+[131]Main!$K$5-[131]Main!$K$6</f>
        <v>78.481999999999999</v>
      </c>
      <c r="H240" s="6">
        <f>+F240-G240</f>
        <v>66.288738179999996</v>
      </c>
      <c r="I240" s="3" t="s">
        <v>1083</v>
      </c>
      <c r="J240" s="6">
        <f>+[131]Main!$K$3</f>
        <v>75.796198000000004</v>
      </c>
      <c r="K240" s="9">
        <v>45573</v>
      </c>
    </row>
    <row r="241" spans="1:29" x14ac:dyDescent="0.2">
      <c r="A241" t="s">
        <v>334</v>
      </c>
      <c r="B241" s="1">
        <f>+B239+1</f>
        <v>170</v>
      </c>
      <c r="C241" s="5" t="s">
        <v>321</v>
      </c>
      <c r="D241" t="s">
        <v>322</v>
      </c>
      <c r="E241" s="3">
        <v>3.23</v>
      </c>
      <c r="F241" s="6">
        <f>+E241*J241</f>
        <v>30.407559149999997</v>
      </c>
      <c r="G241" s="6">
        <f>+[132]Main!$N$5-[132]Main!$N$6</f>
        <v>-7.4640000000000004</v>
      </c>
      <c r="H241" s="6">
        <f>+F241-G241</f>
        <v>37.871559149999996</v>
      </c>
      <c r="I241" s="3" t="s">
        <v>301</v>
      </c>
      <c r="J241" s="6">
        <f>+[132]Main!$N$3</f>
        <v>9.4141049999999993</v>
      </c>
      <c r="K241" s="9">
        <v>44780</v>
      </c>
    </row>
    <row r="242" spans="1:29" x14ac:dyDescent="0.2">
      <c r="A242" t="s">
        <v>334</v>
      </c>
      <c r="B242" s="1">
        <f t="shared" si="24"/>
        <v>171</v>
      </c>
      <c r="C242" s="5" t="s">
        <v>242</v>
      </c>
      <c r="D242" s="1" t="s">
        <v>243</v>
      </c>
      <c r="E242" s="3">
        <v>1.98</v>
      </c>
      <c r="F242" s="6">
        <f>E242*[133]Main!$N$3</f>
        <v>39.757463459999997</v>
      </c>
      <c r="G242" s="6">
        <f>[133]Main!$N$5-[133]Main!$N$6</f>
        <v>15.942</v>
      </c>
      <c r="H242" s="8">
        <f t="shared" si="26"/>
        <v>23.815463459999997</v>
      </c>
      <c r="I242" s="3" t="s">
        <v>16</v>
      </c>
    </row>
    <row r="243" spans="1:29" x14ac:dyDescent="0.2">
      <c r="B243" s="1">
        <f t="shared" si="24"/>
        <v>172</v>
      </c>
      <c r="C243" s="5" t="s">
        <v>244</v>
      </c>
      <c r="D243" s="1" t="s">
        <v>245</v>
      </c>
      <c r="E243" s="3">
        <v>0.62</v>
      </c>
      <c r="F243" s="6">
        <f>E243*[134]Main!$L$3</f>
        <v>30.1881658</v>
      </c>
      <c r="G243" s="6">
        <f>[134]Main!$L$5-[134]Main!$L$6</f>
        <v>13.262999999999998</v>
      </c>
      <c r="H243" s="8">
        <f t="shared" si="26"/>
        <v>16.925165800000002</v>
      </c>
      <c r="I243" s="3" t="s">
        <v>16</v>
      </c>
    </row>
    <row r="244" spans="1:29" x14ac:dyDescent="0.2">
      <c r="B244" s="1">
        <f t="shared" si="24"/>
        <v>173</v>
      </c>
      <c r="C244" s="5" t="s">
        <v>246</v>
      </c>
      <c r="D244" s="1" t="s">
        <v>247</v>
      </c>
      <c r="E244" s="3">
        <v>6.12</v>
      </c>
      <c r="F244" s="6">
        <f>E244*[135]Main!$M$3</f>
        <v>125.46108324000001</v>
      </c>
      <c r="G244" s="6">
        <f>[135]Main!$M$5-[135]Main!$M$6</f>
        <v>131.17699999999999</v>
      </c>
      <c r="H244" s="8">
        <f t="shared" si="26"/>
        <v>-5.7159167599999847</v>
      </c>
      <c r="I244" s="3" t="s">
        <v>16</v>
      </c>
    </row>
    <row r="245" spans="1:29" x14ac:dyDescent="0.2">
      <c r="B245" s="1">
        <f t="shared" si="24"/>
        <v>174</v>
      </c>
      <c r="C245" s="5" t="s">
        <v>248</v>
      </c>
      <c r="D245" s="1" t="s">
        <v>249</v>
      </c>
      <c r="E245" s="3">
        <v>0.98</v>
      </c>
      <c r="F245" s="6">
        <f>E245*[136]Main!$M$3</f>
        <v>20.935517539999999</v>
      </c>
      <c r="G245" s="6">
        <f>[136]Main!$M$5-[136]Main!$M$6</f>
        <v>55.28</v>
      </c>
      <c r="H245" s="8">
        <f t="shared" si="26"/>
        <v>-34.344482460000002</v>
      </c>
      <c r="I245" s="3" t="s">
        <v>16</v>
      </c>
    </row>
    <row r="246" spans="1:29" x14ac:dyDescent="0.2">
      <c r="B246" s="1">
        <f t="shared" si="24"/>
        <v>175</v>
      </c>
      <c r="C246" s="5" t="s">
        <v>1341</v>
      </c>
      <c r="D246" t="s">
        <v>1204</v>
      </c>
      <c r="E246" s="7">
        <v>5</v>
      </c>
      <c r="F246" s="6">
        <f>+E246*J246</f>
        <v>596.75561000000005</v>
      </c>
      <c r="G246" s="6">
        <f>+[137]Main!$J$5-[137]Main!$J$6</f>
        <v>35.484999999999999</v>
      </c>
      <c r="H246" s="8">
        <f t="shared" si="26"/>
        <v>561.27061000000003</v>
      </c>
      <c r="I246" s="3" t="s">
        <v>1083</v>
      </c>
      <c r="J246" s="6">
        <f>+[137]Main!$J$3</f>
        <v>119.351122</v>
      </c>
    </row>
    <row r="247" spans="1:29" x14ac:dyDescent="0.2">
      <c r="B247" s="1">
        <f t="shared" si="24"/>
        <v>176</v>
      </c>
      <c r="C247" s="5" t="s">
        <v>545</v>
      </c>
      <c r="D247" t="s">
        <v>546</v>
      </c>
      <c r="E247" s="3">
        <v>0.94</v>
      </c>
      <c r="F247" s="6">
        <f>+E247*J247</f>
        <v>56.676359999999995</v>
      </c>
      <c r="G247" s="6">
        <f>+[138]Main!$K$5-[138]Main!$K$6</f>
        <v>136.64599999999999</v>
      </c>
      <c r="H247" s="6">
        <f>+F247-G247</f>
        <v>-79.969639999999998</v>
      </c>
      <c r="I247" s="3" t="s">
        <v>1083</v>
      </c>
      <c r="J247" s="6">
        <f>+[138]Main!$K$3</f>
        <v>60.293999999999997</v>
      </c>
      <c r="K247" s="9">
        <v>45550</v>
      </c>
      <c r="AC247" s="1">
        <v>2017</v>
      </c>
    </row>
    <row r="248" spans="1:29" x14ac:dyDescent="0.2">
      <c r="B248" s="1">
        <f t="shared" si="24"/>
        <v>177</v>
      </c>
      <c r="C248" s="1" t="s">
        <v>250</v>
      </c>
      <c r="D248" s="1" t="s">
        <v>251</v>
      </c>
      <c r="E248" s="3">
        <v>0.61</v>
      </c>
    </row>
    <row r="249" spans="1:29" x14ac:dyDescent="0.2">
      <c r="B249" s="1">
        <f t="shared" si="24"/>
        <v>178</v>
      </c>
      <c r="C249" s="1" t="s">
        <v>252</v>
      </c>
      <c r="D249" s="1" t="s">
        <v>253</v>
      </c>
      <c r="E249" s="3">
        <v>1.75</v>
      </c>
      <c r="F249" s="3">
        <v>96</v>
      </c>
    </row>
    <row r="250" spans="1:29" x14ac:dyDescent="0.2">
      <c r="B250" s="1">
        <f t="shared" si="24"/>
        <v>179</v>
      </c>
      <c r="C250" s="1" t="s">
        <v>348</v>
      </c>
      <c r="D250" t="s">
        <v>349</v>
      </c>
      <c r="E250" s="7">
        <v>0.96</v>
      </c>
      <c r="F250" s="3">
        <v>52</v>
      </c>
    </row>
    <row r="251" spans="1:29" x14ac:dyDescent="0.2">
      <c r="B251" s="1">
        <f t="shared" si="24"/>
        <v>180</v>
      </c>
      <c r="C251" s="1" t="s">
        <v>332</v>
      </c>
      <c r="D251" t="s">
        <v>333</v>
      </c>
      <c r="E251" s="7">
        <v>4.0999999999999996</v>
      </c>
      <c r="F251" s="3">
        <v>380</v>
      </c>
    </row>
    <row r="252" spans="1:29" x14ac:dyDescent="0.2">
      <c r="B252" s="1">
        <f t="shared" si="24"/>
        <v>181</v>
      </c>
      <c r="C252" t="s">
        <v>1342</v>
      </c>
      <c r="D252" t="s">
        <v>1343</v>
      </c>
      <c r="E252" s="7">
        <v>14.68</v>
      </c>
      <c r="F252" s="3">
        <v>396</v>
      </c>
    </row>
    <row r="253" spans="1:29" x14ac:dyDescent="0.2">
      <c r="B253" s="1">
        <f t="shared" si="24"/>
        <v>182</v>
      </c>
      <c r="C253" s="1" t="s">
        <v>379</v>
      </c>
      <c r="D253" s="1" t="s">
        <v>380</v>
      </c>
      <c r="E253" s="3">
        <v>25.85</v>
      </c>
    </row>
    <row r="254" spans="1:29" x14ac:dyDescent="0.2">
      <c r="B254" s="1">
        <f t="shared" si="24"/>
        <v>183</v>
      </c>
      <c r="C254" t="s">
        <v>385</v>
      </c>
      <c r="D254" t="s">
        <v>386</v>
      </c>
      <c r="E254" s="3">
        <v>9.26</v>
      </c>
      <c r="F254" s="3">
        <v>204</v>
      </c>
    </row>
    <row r="255" spans="1:29" x14ac:dyDescent="0.2">
      <c r="B255" s="1">
        <f t="shared" si="24"/>
        <v>184</v>
      </c>
      <c r="C255" s="25" t="s">
        <v>1396</v>
      </c>
      <c r="D255" t="s">
        <v>1397</v>
      </c>
      <c r="E255" s="3">
        <v>30.21</v>
      </c>
    </row>
    <row r="256" spans="1:29" x14ac:dyDescent="0.2">
      <c r="B256" s="1">
        <f t="shared" si="24"/>
        <v>185</v>
      </c>
      <c r="C256" t="s">
        <v>429</v>
      </c>
      <c r="D256" t="s">
        <v>430</v>
      </c>
      <c r="E256" s="7">
        <v>17.55</v>
      </c>
      <c r="F256" s="3">
        <v>593</v>
      </c>
    </row>
    <row r="257" spans="1:6" x14ac:dyDescent="0.2">
      <c r="B257" s="1">
        <f t="shared" si="24"/>
        <v>186</v>
      </c>
      <c r="C257" s="1" t="s">
        <v>395</v>
      </c>
      <c r="D257" s="1" t="s">
        <v>396</v>
      </c>
      <c r="E257" s="3">
        <v>4.09</v>
      </c>
      <c r="F257" s="3">
        <v>4</v>
      </c>
    </row>
    <row r="258" spans="1:6" x14ac:dyDescent="0.2">
      <c r="B258" s="1">
        <f t="shared" si="24"/>
        <v>187</v>
      </c>
      <c r="C258" t="s">
        <v>741</v>
      </c>
      <c r="D258" t="s">
        <v>742</v>
      </c>
      <c r="E258" s="7">
        <v>30.7</v>
      </c>
      <c r="F258" s="3">
        <v>1800</v>
      </c>
    </row>
    <row r="259" spans="1:6" x14ac:dyDescent="0.2">
      <c r="B259" s="1">
        <f t="shared" si="24"/>
        <v>188</v>
      </c>
      <c r="C259" t="s">
        <v>745</v>
      </c>
      <c r="D259" t="s">
        <v>746</v>
      </c>
    </row>
    <row r="260" spans="1:6" x14ac:dyDescent="0.2">
      <c r="B260" s="1">
        <f t="shared" si="24"/>
        <v>189</v>
      </c>
      <c r="C260" t="s">
        <v>748</v>
      </c>
      <c r="D260" t="s">
        <v>749</v>
      </c>
    </row>
    <row r="261" spans="1:6" x14ac:dyDescent="0.2">
      <c r="A261"/>
      <c r="B261" s="1">
        <f t="shared" si="24"/>
        <v>190</v>
      </c>
      <c r="C261" t="s">
        <v>750</v>
      </c>
      <c r="D261" t="s">
        <v>751</v>
      </c>
      <c r="E261" s="3">
        <v>6.62</v>
      </c>
      <c r="F261" s="3">
        <v>1800</v>
      </c>
    </row>
    <row r="262" spans="1:6" x14ac:dyDescent="0.2">
      <c r="B262" s="1">
        <f t="shared" si="24"/>
        <v>191</v>
      </c>
      <c r="C262" t="s">
        <v>743</v>
      </c>
      <c r="D262" t="s">
        <v>744</v>
      </c>
    </row>
    <row r="263" spans="1:6" x14ac:dyDescent="0.2">
      <c r="B263" s="1">
        <f t="shared" si="24"/>
        <v>192</v>
      </c>
      <c r="C263" t="s">
        <v>739</v>
      </c>
      <c r="D263" t="s">
        <v>740</v>
      </c>
      <c r="E263" s="3">
        <v>4.08</v>
      </c>
      <c r="F263" s="3">
        <v>908</v>
      </c>
    </row>
    <row r="264" spans="1:6" x14ac:dyDescent="0.2">
      <c r="B264" s="1">
        <f t="shared" si="24"/>
        <v>193</v>
      </c>
      <c r="C264" t="s">
        <v>423</v>
      </c>
      <c r="D264" t="s">
        <v>424</v>
      </c>
      <c r="E264" s="3">
        <v>20.32</v>
      </c>
    </row>
    <row r="265" spans="1:6" x14ac:dyDescent="0.2">
      <c r="B265" s="1">
        <f t="shared" si="24"/>
        <v>194</v>
      </c>
      <c r="C265" t="s">
        <v>504</v>
      </c>
      <c r="D265" t="s">
        <v>505</v>
      </c>
    </row>
    <row r="266" spans="1:6" x14ac:dyDescent="0.2">
      <c r="B266" s="1">
        <f t="shared" si="24"/>
        <v>195</v>
      </c>
      <c r="C266" t="s">
        <v>733</v>
      </c>
      <c r="D266" t="s">
        <v>734</v>
      </c>
    </row>
    <row r="267" spans="1:6" x14ac:dyDescent="0.2">
      <c r="B267" s="1">
        <f t="shared" si="24"/>
        <v>196</v>
      </c>
      <c r="C267" t="s">
        <v>729</v>
      </c>
      <c r="D267" t="s">
        <v>730</v>
      </c>
    </row>
    <row r="268" spans="1:6" x14ac:dyDescent="0.2">
      <c r="B268" s="1">
        <f t="shared" si="24"/>
        <v>197</v>
      </c>
      <c r="C268" s="1" t="s">
        <v>515</v>
      </c>
      <c r="D268" s="1" t="s">
        <v>516</v>
      </c>
    </row>
    <row r="269" spans="1:6" x14ac:dyDescent="0.2">
      <c r="B269" s="1">
        <f t="shared" si="24"/>
        <v>198</v>
      </c>
      <c r="C269" t="s">
        <v>520</v>
      </c>
      <c r="D269" t="s">
        <v>1320</v>
      </c>
      <c r="E269" s="3">
        <v>13.13</v>
      </c>
    </row>
    <row r="270" spans="1:6" x14ac:dyDescent="0.2">
      <c r="B270" s="1">
        <f t="shared" si="24"/>
        <v>199</v>
      </c>
      <c r="C270" s="1" t="s">
        <v>523</v>
      </c>
      <c r="D270" s="1" t="s">
        <v>524</v>
      </c>
      <c r="E270" s="3">
        <v>7.08</v>
      </c>
    </row>
    <row r="271" spans="1:6" x14ac:dyDescent="0.2">
      <c r="B271" s="1">
        <f t="shared" si="24"/>
        <v>200</v>
      </c>
      <c r="C271" t="s">
        <v>526</v>
      </c>
      <c r="D271" t="s">
        <v>525</v>
      </c>
      <c r="E271" s="7">
        <v>20.3</v>
      </c>
    </row>
    <row r="272" spans="1:6" x14ac:dyDescent="0.2">
      <c r="B272" s="1">
        <f t="shared" si="24"/>
        <v>201</v>
      </c>
      <c r="C272" t="s">
        <v>527</v>
      </c>
      <c r="D272" t="s">
        <v>528</v>
      </c>
      <c r="E272" s="3">
        <v>0.38</v>
      </c>
    </row>
    <row r="273" spans="1:5" x14ac:dyDescent="0.2">
      <c r="B273" s="1">
        <f t="shared" si="24"/>
        <v>202</v>
      </c>
      <c r="C273" t="s">
        <v>529</v>
      </c>
      <c r="D273" t="s">
        <v>530</v>
      </c>
      <c r="E273" s="3">
        <v>4.24</v>
      </c>
    </row>
    <row r="274" spans="1:5" x14ac:dyDescent="0.2">
      <c r="A274" s="1" t="s">
        <v>334</v>
      </c>
      <c r="B274" s="1">
        <f t="shared" si="24"/>
        <v>203</v>
      </c>
      <c r="C274" t="s">
        <v>531</v>
      </c>
      <c r="D274" t="s">
        <v>532</v>
      </c>
      <c r="E274" s="3">
        <v>13.74</v>
      </c>
    </row>
    <row r="275" spans="1:5" x14ac:dyDescent="0.2">
      <c r="B275" s="1">
        <f t="shared" si="24"/>
        <v>204</v>
      </c>
      <c r="C275" t="s">
        <v>533</v>
      </c>
      <c r="D275" t="s">
        <v>534</v>
      </c>
      <c r="E275" s="3">
        <v>4.3600000000000003</v>
      </c>
    </row>
    <row r="276" spans="1:5" x14ac:dyDescent="0.2">
      <c r="B276" s="1">
        <f t="shared" si="24"/>
        <v>205</v>
      </c>
      <c r="C276" t="s">
        <v>535</v>
      </c>
      <c r="D276" t="s">
        <v>536</v>
      </c>
      <c r="E276" s="3">
        <v>7.06</v>
      </c>
    </row>
    <row r="277" spans="1:5" x14ac:dyDescent="0.2">
      <c r="B277" s="1">
        <f t="shared" si="24"/>
        <v>206</v>
      </c>
      <c r="C277" t="s">
        <v>787</v>
      </c>
      <c r="D277" t="s">
        <v>788</v>
      </c>
    </row>
    <row r="278" spans="1:5" x14ac:dyDescent="0.2">
      <c r="A278" s="1" t="s">
        <v>334</v>
      </c>
      <c r="B278" s="1">
        <f t="shared" si="24"/>
        <v>207</v>
      </c>
      <c r="C278" t="s">
        <v>537</v>
      </c>
      <c r="D278" t="s">
        <v>538</v>
      </c>
      <c r="E278" s="3">
        <v>1.04</v>
      </c>
    </row>
    <row r="279" spans="1:5" x14ac:dyDescent="0.2">
      <c r="B279" s="1">
        <f t="shared" si="24"/>
        <v>208</v>
      </c>
      <c r="C279" s="34" t="s">
        <v>539</v>
      </c>
      <c r="D279" s="34" t="s">
        <v>540</v>
      </c>
    </row>
    <row r="280" spans="1:5" x14ac:dyDescent="0.2">
      <c r="B280" s="1">
        <f t="shared" si="24"/>
        <v>209</v>
      </c>
      <c r="C280" t="s">
        <v>541</v>
      </c>
      <c r="D280" t="s">
        <v>542</v>
      </c>
      <c r="E280" s="3">
        <v>2.97</v>
      </c>
    </row>
    <row r="281" spans="1:5" x14ac:dyDescent="0.2">
      <c r="B281" s="1">
        <f t="shared" si="24"/>
        <v>210</v>
      </c>
      <c r="C281" t="s">
        <v>543</v>
      </c>
      <c r="D281" t="s">
        <v>544</v>
      </c>
      <c r="E281" s="3">
        <v>3.28</v>
      </c>
    </row>
    <row r="282" spans="1:5" x14ac:dyDescent="0.2">
      <c r="B282" s="1">
        <f t="shared" si="24"/>
        <v>211</v>
      </c>
      <c r="C282" t="s">
        <v>547</v>
      </c>
      <c r="D282" t="s">
        <v>548</v>
      </c>
    </row>
    <row r="283" spans="1:5" x14ac:dyDescent="0.2">
      <c r="B283" s="1">
        <f t="shared" si="24"/>
        <v>212</v>
      </c>
      <c r="C283" t="s">
        <v>549</v>
      </c>
      <c r="D283" t="s">
        <v>550</v>
      </c>
      <c r="E283" s="3">
        <v>18.07</v>
      </c>
    </row>
    <row r="284" spans="1:5" x14ac:dyDescent="0.2">
      <c r="B284" s="1">
        <f t="shared" si="24"/>
        <v>213</v>
      </c>
      <c r="C284" t="s">
        <v>551</v>
      </c>
      <c r="D284" t="s">
        <v>552</v>
      </c>
      <c r="E284" s="3">
        <v>2.68</v>
      </c>
    </row>
    <row r="285" spans="1:5" x14ac:dyDescent="0.2">
      <c r="B285" s="1">
        <f t="shared" si="24"/>
        <v>214</v>
      </c>
      <c r="C285" t="s">
        <v>553</v>
      </c>
      <c r="D285" t="s">
        <v>554</v>
      </c>
      <c r="E285" s="7">
        <v>7</v>
      </c>
    </row>
    <row r="286" spans="1:5" x14ac:dyDescent="0.2">
      <c r="B286" s="1">
        <f t="shared" si="24"/>
        <v>215</v>
      </c>
      <c r="C286" t="s">
        <v>555</v>
      </c>
      <c r="D286" t="s">
        <v>556</v>
      </c>
      <c r="E286" s="3">
        <v>1.76</v>
      </c>
    </row>
    <row r="287" spans="1:5" x14ac:dyDescent="0.2">
      <c r="B287" s="1">
        <f t="shared" si="24"/>
        <v>216</v>
      </c>
      <c r="C287" t="s">
        <v>992</v>
      </c>
      <c r="D287" t="s">
        <v>993</v>
      </c>
    </row>
    <row r="288" spans="1:5" x14ac:dyDescent="0.2">
      <c r="B288" s="1">
        <f t="shared" si="24"/>
        <v>217</v>
      </c>
      <c r="C288" t="s">
        <v>557</v>
      </c>
      <c r="D288" t="s">
        <v>558</v>
      </c>
      <c r="E288" s="3">
        <v>0.61</v>
      </c>
    </row>
    <row r="289" spans="1:5" x14ac:dyDescent="0.2">
      <c r="B289" s="1">
        <f t="shared" si="24"/>
        <v>218</v>
      </c>
      <c r="C289" t="s">
        <v>559</v>
      </c>
      <c r="D289" t="s">
        <v>560</v>
      </c>
      <c r="E289" s="3">
        <v>0.68</v>
      </c>
    </row>
    <row r="290" spans="1:5" x14ac:dyDescent="0.2">
      <c r="B290" s="1">
        <f t="shared" si="24"/>
        <v>219</v>
      </c>
      <c r="C290" t="s">
        <v>561</v>
      </c>
      <c r="D290" t="s">
        <v>562</v>
      </c>
      <c r="E290" s="3">
        <v>11.86</v>
      </c>
    </row>
    <row r="291" spans="1:5" x14ac:dyDescent="0.2">
      <c r="B291" s="1">
        <f t="shared" si="24"/>
        <v>220</v>
      </c>
      <c r="C291" t="s">
        <v>563</v>
      </c>
      <c r="D291" t="s">
        <v>564</v>
      </c>
      <c r="E291" s="3">
        <v>1.86</v>
      </c>
    </row>
    <row r="292" spans="1:5" x14ac:dyDescent="0.2">
      <c r="B292" s="1">
        <f t="shared" si="24"/>
        <v>221</v>
      </c>
      <c r="C292" t="s">
        <v>565</v>
      </c>
      <c r="D292" t="s">
        <v>566</v>
      </c>
      <c r="E292" s="3">
        <v>1.87</v>
      </c>
    </row>
    <row r="293" spans="1:5" x14ac:dyDescent="0.2">
      <c r="B293" s="1">
        <f t="shared" si="24"/>
        <v>222</v>
      </c>
      <c r="C293" s="34" t="s">
        <v>567</v>
      </c>
      <c r="D293" s="34" t="s">
        <v>568</v>
      </c>
      <c r="E293"/>
    </row>
    <row r="294" spans="1:5" x14ac:dyDescent="0.2">
      <c r="B294" s="1">
        <f t="shared" ref="B294:B357" si="27">+B293+1</f>
        <v>223</v>
      </c>
      <c r="C294" t="s">
        <v>570</v>
      </c>
      <c r="D294" t="s">
        <v>569</v>
      </c>
      <c r="E294" s="3">
        <v>7.46</v>
      </c>
    </row>
    <row r="295" spans="1:5" x14ac:dyDescent="0.2">
      <c r="B295" s="1">
        <f t="shared" si="27"/>
        <v>224</v>
      </c>
      <c r="C295" t="s">
        <v>802</v>
      </c>
      <c r="D295" t="s">
        <v>803</v>
      </c>
    </row>
    <row r="296" spans="1:5" x14ac:dyDescent="0.2">
      <c r="B296" s="1">
        <f t="shared" si="27"/>
        <v>225</v>
      </c>
      <c r="C296" t="s">
        <v>800</v>
      </c>
      <c r="D296" t="s">
        <v>801</v>
      </c>
      <c r="E296" s="3">
        <v>8.77</v>
      </c>
    </row>
    <row r="297" spans="1:5" x14ac:dyDescent="0.2">
      <c r="B297" s="1">
        <f t="shared" si="27"/>
        <v>226</v>
      </c>
      <c r="C297" t="s">
        <v>571</v>
      </c>
      <c r="D297" t="s">
        <v>572</v>
      </c>
      <c r="E297" s="3">
        <v>2.77</v>
      </c>
    </row>
    <row r="298" spans="1:5" x14ac:dyDescent="0.2">
      <c r="B298" s="1">
        <f t="shared" si="27"/>
        <v>227</v>
      </c>
      <c r="C298" t="s">
        <v>348</v>
      </c>
      <c r="D298" t="s">
        <v>349</v>
      </c>
      <c r="E298" s="3">
        <v>2.67</v>
      </c>
    </row>
    <row r="299" spans="1:5" x14ac:dyDescent="0.2">
      <c r="A299" s="1" t="s">
        <v>334</v>
      </c>
      <c r="B299" s="1">
        <f t="shared" si="27"/>
        <v>228</v>
      </c>
      <c r="C299" t="s">
        <v>980</v>
      </c>
      <c r="D299" t="s">
        <v>981</v>
      </c>
    </row>
    <row r="300" spans="1:5" x14ac:dyDescent="0.2">
      <c r="A300" s="1" t="s">
        <v>334</v>
      </c>
      <c r="B300" s="1">
        <f t="shared" si="27"/>
        <v>229</v>
      </c>
      <c r="C300" t="s">
        <v>978</v>
      </c>
      <c r="D300" t="s">
        <v>979</v>
      </c>
    </row>
    <row r="301" spans="1:5" x14ac:dyDescent="0.2">
      <c r="A301" t="s">
        <v>334</v>
      </c>
      <c r="B301" s="1">
        <f t="shared" si="27"/>
        <v>230</v>
      </c>
      <c r="C301" t="s">
        <v>984</v>
      </c>
      <c r="D301" t="s">
        <v>985</v>
      </c>
    </row>
    <row r="302" spans="1:5" x14ac:dyDescent="0.2">
      <c r="A302"/>
      <c r="B302" s="1">
        <f t="shared" si="27"/>
        <v>231</v>
      </c>
      <c r="C302" t="s">
        <v>986</v>
      </c>
      <c r="D302" t="s">
        <v>987</v>
      </c>
    </row>
    <row r="303" spans="1:5" x14ac:dyDescent="0.2">
      <c r="A303" t="s">
        <v>334</v>
      </c>
      <c r="B303" s="1">
        <f t="shared" si="27"/>
        <v>232</v>
      </c>
      <c r="C303" t="s">
        <v>988</v>
      </c>
      <c r="D303" t="s">
        <v>989</v>
      </c>
    </row>
    <row r="304" spans="1:5" x14ac:dyDescent="0.2">
      <c r="A304" t="s">
        <v>334</v>
      </c>
      <c r="B304" s="1">
        <f t="shared" si="27"/>
        <v>233</v>
      </c>
      <c r="C304" t="s">
        <v>990</v>
      </c>
      <c r="D304" t="s">
        <v>991</v>
      </c>
    </row>
    <row r="305" spans="1:29" x14ac:dyDescent="0.2">
      <c r="A305" t="s">
        <v>334</v>
      </c>
      <c r="B305" s="1">
        <f t="shared" si="27"/>
        <v>234</v>
      </c>
      <c r="C305" t="s">
        <v>982</v>
      </c>
      <c r="D305" t="s">
        <v>983</v>
      </c>
    </row>
    <row r="306" spans="1:29" x14ac:dyDescent="0.2">
      <c r="A306" s="1" t="s">
        <v>334</v>
      </c>
      <c r="B306" s="1">
        <f t="shared" si="27"/>
        <v>235</v>
      </c>
      <c r="C306" t="s">
        <v>976</v>
      </c>
      <c r="D306" t="s">
        <v>977</v>
      </c>
    </row>
    <row r="307" spans="1:29" x14ac:dyDescent="0.2">
      <c r="A307" s="1" t="s">
        <v>334</v>
      </c>
      <c r="B307" s="1">
        <f t="shared" si="27"/>
        <v>236</v>
      </c>
      <c r="C307" t="s">
        <v>573</v>
      </c>
      <c r="D307" t="s">
        <v>574</v>
      </c>
      <c r="E307" s="7">
        <v>2.2000000000000002</v>
      </c>
    </row>
    <row r="308" spans="1:29" x14ac:dyDescent="0.2">
      <c r="A308" s="1" t="s">
        <v>334</v>
      </c>
      <c r="B308" s="1">
        <f t="shared" si="27"/>
        <v>237</v>
      </c>
      <c r="C308" t="s">
        <v>577</v>
      </c>
      <c r="D308" t="s">
        <v>578</v>
      </c>
      <c r="E308" s="3">
        <v>0.92</v>
      </c>
    </row>
    <row r="309" spans="1:29" x14ac:dyDescent="0.2">
      <c r="A309" s="1" t="s">
        <v>334</v>
      </c>
      <c r="B309" s="1">
        <f t="shared" si="27"/>
        <v>238</v>
      </c>
      <c r="C309" t="s">
        <v>579</v>
      </c>
      <c r="D309" t="s">
        <v>580</v>
      </c>
      <c r="E309" s="3">
        <v>2.94</v>
      </c>
    </row>
    <row r="310" spans="1:29" x14ac:dyDescent="0.2">
      <c r="A310" s="1" t="s">
        <v>334</v>
      </c>
      <c r="B310" s="1">
        <f t="shared" si="27"/>
        <v>239</v>
      </c>
      <c r="C310" t="s">
        <v>581</v>
      </c>
      <c r="D310" t="s">
        <v>582</v>
      </c>
      <c r="E310" s="3">
        <v>5.88</v>
      </c>
    </row>
    <row r="311" spans="1:29" x14ac:dyDescent="0.2">
      <c r="A311" s="1" t="s">
        <v>334</v>
      </c>
      <c r="B311" s="1">
        <f t="shared" si="27"/>
        <v>240</v>
      </c>
      <c r="C311" t="s">
        <v>583</v>
      </c>
      <c r="D311" t="s">
        <v>584</v>
      </c>
      <c r="E311" s="7">
        <v>3.46</v>
      </c>
    </row>
    <row r="312" spans="1:29" x14ac:dyDescent="0.2">
      <c r="A312" t="s">
        <v>334</v>
      </c>
      <c r="B312" s="1">
        <f t="shared" si="27"/>
        <v>241</v>
      </c>
      <c r="C312" s="5" t="s">
        <v>886</v>
      </c>
      <c r="D312" t="s">
        <v>887</v>
      </c>
      <c r="E312" s="7">
        <v>13.21</v>
      </c>
      <c r="F312" s="6">
        <f>+E312*J312</f>
        <v>588.73448214000007</v>
      </c>
      <c r="G312" s="6">
        <f>+[139]Main!$M$5-[139]Main!$M$6</f>
        <v>99.997</v>
      </c>
      <c r="H312" s="6">
        <f>+F312-G312</f>
        <v>488.73748214000005</v>
      </c>
      <c r="I312" s="3" t="s">
        <v>1083</v>
      </c>
      <c r="J312" s="6">
        <f>+[139]Main!$M$3</f>
        <v>44.567334000000002</v>
      </c>
      <c r="K312" s="9">
        <v>45568</v>
      </c>
    </row>
    <row r="313" spans="1:29" x14ac:dyDescent="0.2">
      <c r="A313" t="s">
        <v>334</v>
      </c>
      <c r="B313" s="1">
        <f t="shared" si="27"/>
        <v>242</v>
      </c>
      <c r="C313" s="5" t="s">
        <v>870</v>
      </c>
      <c r="D313" t="s">
        <v>871</v>
      </c>
      <c r="E313" s="7">
        <v>11.39</v>
      </c>
      <c r="F313" s="6">
        <f>+E313*J313</f>
        <v>492.22422607999999</v>
      </c>
      <c r="G313" s="6">
        <f>+[140]Main!$K$5-[140]Main!$K$6</f>
        <v>174.27199999999999</v>
      </c>
      <c r="H313" s="6">
        <f>+F313-G313</f>
        <v>317.95222608</v>
      </c>
      <c r="I313" s="3" t="s">
        <v>1083</v>
      </c>
      <c r="J313" s="6">
        <f>+[140]Main!$K$3</f>
        <v>43.215471999999998</v>
      </c>
      <c r="K313" s="9">
        <v>45567</v>
      </c>
    </row>
    <row r="314" spans="1:29" x14ac:dyDescent="0.2">
      <c r="A314" s="1" t="s">
        <v>334</v>
      </c>
      <c r="B314" s="1">
        <f t="shared" si="27"/>
        <v>243</v>
      </c>
      <c r="C314" s="5" t="s">
        <v>585</v>
      </c>
      <c r="D314" t="s">
        <v>586</v>
      </c>
      <c r="E314" s="7">
        <v>33</v>
      </c>
      <c r="F314" s="6">
        <f>E314*J314</f>
        <v>653.378781</v>
      </c>
      <c r="G314" s="6">
        <f>[141]Main!$M$5-[141]Main!$M$6</f>
        <v>236.422</v>
      </c>
      <c r="H314" s="6">
        <f>F314-G314</f>
        <v>416.95678099999998</v>
      </c>
      <c r="I314" s="9">
        <v>45063</v>
      </c>
      <c r="J314" s="6">
        <f>[141]Main!$M$3</f>
        <v>19.799357000000001</v>
      </c>
      <c r="AC314" s="1">
        <v>2017</v>
      </c>
    </row>
    <row r="315" spans="1:29" x14ac:dyDescent="0.2">
      <c r="A315"/>
      <c r="B315" s="1">
        <f t="shared" si="27"/>
        <v>244</v>
      </c>
      <c r="C315" s="5" t="s">
        <v>940</v>
      </c>
      <c r="D315" t="s">
        <v>941</v>
      </c>
      <c r="E315" s="3">
        <v>8.91</v>
      </c>
      <c r="F315" s="6">
        <f>+E315*J315</f>
        <v>476.84725110000005</v>
      </c>
      <c r="G315" s="6">
        <f>+[142]Main!$K$5-[142]Main!$K$6</f>
        <v>280.24800000000005</v>
      </c>
      <c r="H315" s="6">
        <f>+F315-G315</f>
        <v>196.5992511</v>
      </c>
      <c r="I315" s="3" t="s">
        <v>1083</v>
      </c>
      <c r="J315" s="6">
        <f>+[142]Main!$K$3</f>
        <v>53.518210000000003</v>
      </c>
      <c r="K315" s="9">
        <v>45557</v>
      </c>
    </row>
    <row r="316" spans="1:29" x14ac:dyDescent="0.2">
      <c r="A316" s="1" t="s">
        <v>334</v>
      </c>
      <c r="B316" s="1">
        <f t="shared" si="27"/>
        <v>245</v>
      </c>
      <c r="C316" s="5" t="s">
        <v>575</v>
      </c>
      <c r="D316" t="s">
        <v>576</v>
      </c>
      <c r="E316" s="3">
        <v>3.34</v>
      </c>
      <c r="F316" s="6">
        <f>+E316*J316</f>
        <v>242.45700277999998</v>
      </c>
      <c r="G316" s="6">
        <f>+[143]Main!$J$5-[143]Main!$J$6</f>
        <v>69.49499999999999</v>
      </c>
      <c r="H316" s="6">
        <f>+F316-G316</f>
        <v>172.96200277999998</v>
      </c>
      <c r="I316" s="3" t="s">
        <v>1083</v>
      </c>
      <c r="J316" s="6">
        <f>+[143]Main!$J$3</f>
        <v>72.591916999999995</v>
      </c>
      <c r="K316" s="9">
        <v>45548</v>
      </c>
    </row>
    <row r="317" spans="1:29" x14ac:dyDescent="0.2">
      <c r="A317"/>
      <c r="B317" s="1">
        <f t="shared" si="27"/>
        <v>246</v>
      </c>
      <c r="C317" s="5" t="s">
        <v>1180</v>
      </c>
      <c r="D317" t="s">
        <v>1181</v>
      </c>
      <c r="E317" s="7">
        <v>1.28</v>
      </c>
      <c r="F317" s="6">
        <f>+E317*J317</f>
        <v>95.674332159999992</v>
      </c>
      <c r="G317" s="6">
        <f>+[144]Main!$K$5-[144]Main!$K$6</f>
        <v>29.36</v>
      </c>
      <c r="H317" s="6">
        <f>+F317-G317</f>
        <v>66.314332159999992</v>
      </c>
      <c r="I317" s="3" t="s">
        <v>1083</v>
      </c>
      <c r="J317" s="6">
        <f>+[144]Main!$K$3</f>
        <v>74.745571999999996</v>
      </c>
      <c r="K317" s="9">
        <v>45554</v>
      </c>
    </row>
    <row r="318" spans="1:29" x14ac:dyDescent="0.2">
      <c r="A318"/>
      <c r="B318" s="1">
        <f t="shared" si="27"/>
        <v>247</v>
      </c>
      <c r="C318" s="5" t="s">
        <v>1187</v>
      </c>
      <c r="D318" t="s">
        <v>1188</v>
      </c>
      <c r="E318" s="3">
        <v>0.85</v>
      </c>
      <c r="F318" s="6">
        <f>+E318*J318</f>
        <v>30.110729799999998</v>
      </c>
      <c r="G318" s="6">
        <f>+[145]Main!$L$5-[145]Main!$L$6</f>
        <v>33.298999999999999</v>
      </c>
      <c r="H318" s="6">
        <f>+F318-G318</f>
        <v>-3.1882702000000016</v>
      </c>
      <c r="I318" s="3" t="s">
        <v>1083</v>
      </c>
      <c r="J318" s="6">
        <f>+[145]Main!$L$3</f>
        <v>35.424388</v>
      </c>
      <c r="K318" s="9">
        <v>45558</v>
      </c>
    </row>
    <row r="319" spans="1:29" x14ac:dyDescent="0.2">
      <c r="B319" s="1">
        <f t="shared" si="27"/>
        <v>248</v>
      </c>
      <c r="C319" s="5" t="s">
        <v>587</v>
      </c>
      <c r="D319" t="s">
        <v>588</v>
      </c>
      <c r="E319" s="3">
        <f>0.35</f>
        <v>0.35</v>
      </c>
      <c r="F319" s="6">
        <f>E319*J319</f>
        <v>12.513184599999999</v>
      </c>
      <c r="G319" s="6">
        <f>[146]Main!$K$5-[146]Main!$K$6</f>
        <v>54.983000000000004</v>
      </c>
      <c r="H319" s="6">
        <f>F319-G319</f>
        <v>-42.469815400000002</v>
      </c>
      <c r="I319" s="9">
        <v>45063</v>
      </c>
      <c r="J319" s="6">
        <f>[146]Main!$K$3</f>
        <v>35.751956</v>
      </c>
    </row>
    <row r="320" spans="1:29" x14ac:dyDescent="0.2">
      <c r="A320"/>
      <c r="B320" s="1">
        <f t="shared" si="27"/>
        <v>249</v>
      </c>
      <c r="C320" s="5" t="s">
        <v>936</v>
      </c>
      <c r="D320" t="s">
        <v>937</v>
      </c>
      <c r="E320" s="7">
        <v>4.63</v>
      </c>
      <c r="F320" s="6">
        <f>+E320*J320</f>
        <v>326.68703101999995</v>
      </c>
      <c r="G320" s="6">
        <f>+[147]Main!$K$5-[147]Main!$K$6</f>
        <v>426.65000000000003</v>
      </c>
      <c r="H320" s="6">
        <f>+F320-G320</f>
        <v>-99.962968980000085</v>
      </c>
      <c r="I320" s="3" t="s">
        <v>1083</v>
      </c>
      <c r="J320" s="6">
        <f>+[147]Main!$K$3</f>
        <v>70.558753999999993</v>
      </c>
      <c r="K320" s="9">
        <v>45564</v>
      </c>
      <c r="AC320" s="1">
        <v>2015</v>
      </c>
    </row>
    <row r="321" spans="1:4" x14ac:dyDescent="0.2">
      <c r="A321" s="1" t="s">
        <v>334</v>
      </c>
      <c r="B321" s="1">
        <f t="shared" si="27"/>
        <v>250</v>
      </c>
      <c r="C321" s="1" t="s">
        <v>589</v>
      </c>
      <c r="D321" s="1" t="s">
        <v>590</v>
      </c>
    </row>
    <row r="322" spans="1:4" x14ac:dyDescent="0.2">
      <c r="B322" s="1">
        <f t="shared" si="27"/>
        <v>251</v>
      </c>
      <c r="C322" t="s">
        <v>591</v>
      </c>
      <c r="D322" t="s">
        <v>592</v>
      </c>
    </row>
    <row r="323" spans="1:4" x14ac:dyDescent="0.2">
      <c r="A323" s="1" t="s">
        <v>334</v>
      </c>
      <c r="B323" s="1">
        <f t="shared" si="27"/>
        <v>252</v>
      </c>
      <c r="C323" t="s">
        <v>593</v>
      </c>
      <c r="D323" t="s">
        <v>594</v>
      </c>
    </row>
    <row r="324" spans="1:4" x14ac:dyDescent="0.2">
      <c r="A324" s="1" t="s">
        <v>334</v>
      </c>
      <c r="B324" s="1">
        <f t="shared" si="27"/>
        <v>253</v>
      </c>
      <c r="C324" s="1" t="s">
        <v>449</v>
      </c>
      <c r="D324" s="1" t="s">
        <v>662</v>
      </c>
    </row>
    <row r="325" spans="1:4" x14ac:dyDescent="0.2">
      <c r="B325" s="1">
        <f t="shared" si="27"/>
        <v>254</v>
      </c>
      <c r="C325" t="s">
        <v>1182</v>
      </c>
      <c r="D325" t="s">
        <v>1183</v>
      </c>
    </row>
    <row r="326" spans="1:4" x14ac:dyDescent="0.2">
      <c r="A326" s="1" t="s">
        <v>334</v>
      </c>
      <c r="B326" s="1">
        <f t="shared" si="27"/>
        <v>255</v>
      </c>
      <c r="C326" t="s">
        <v>775</v>
      </c>
      <c r="D326" t="s">
        <v>776</v>
      </c>
    </row>
    <row r="327" spans="1:4" x14ac:dyDescent="0.2">
      <c r="A327" s="1" t="s">
        <v>334</v>
      </c>
      <c r="B327" s="1">
        <f t="shared" si="27"/>
        <v>256</v>
      </c>
      <c r="C327" t="s">
        <v>665</v>
      </c>
      <c r="D327" t="s">
        <v>666</v>
      </c>
    </row>
    <row r="328" spans="1:4" x14ac:dyDescent="0.2">
      <c r="A328" t="s">
        <v>334</v>
      </c>
      <c r="B328" s="1">
        <f t="shared" si="27"/>
        <v>257</v>
      </c>
      <c r="C328" t="s">
        <v>667</v>
      </c>
      <c r="D328" t="s">
        <v>668</v>
      </c>
    </row>
    <row r="329" spans="1:4" x14ac:dyDescent="0.2">
      <c r="A329" t="s">
        <v>334</v>
      </c>
      <c r="B329" s="1">
        <f t="shared" si="27"/>
        <v>258</v>
      </c>
      <c r="C329" t="s">
        <v>669</v>
      </c>
      <c r="D329" t="s">
        <v>670</v>
      </c>
    </row>
    <row r="330" spans="1:4" x14ac:dyDescent="0.2">
      <c r="B330" s="1">
        <f t="shared" si="27"/>
        <v>259</v>
      </c>
      <c r="C330" t="s">
        <v>671</v>
      </c>
      <c r="D330" t="s">
        <v>672</v>
      </c>
    </row>
    <row r="331" spans="1:4" x14ac:dyDescent="0.2">
      <c r="A331" s="1" t="s">
        <v>334</v>
      </c>
      <c r="B331" s="1">
        <f t="shared" si="27"/>
        <v>260</v>
      </c>
      <c r="C331" t="s">
        <v>808</v>
      </c>
      <c r="D331" t="s">
        <v>809</v>
      </c>
    </row>
    <row r="332" spans="1:4" x14ac:dyDescent="0.2">
      <c r="A332" s="1" t="s">
        <v>334</v>
      </c>
      <c r="B332" s="1">
        <f t="shared" si="27"/>
        <v>261</v>
      </c>
      <c r="C332" t="s">
        <v>812</v>
      </c>
      <c r="D332" t="s">
        <v>813</v>
      </c>
    </row>
    <row r="333" spans="1:4" x14ac:dyDescent="0.2">
      <c r="A333" t="s">
        <v>334</v>
      </c>
      <c r="B333" s="1">
        <f t="shared" si="27"/>
        <v>262</v>
      </c>
      <c r="C333" t="s">
        <v>818</v>
      </c>
      <c r="D333" t="s">
        <v>819</v>
      </c>
    </row>
    <row r="334" spans="1:4" x14ac:dyDescent="0.2">
      <c r="A334" t="s">
        <v>334</v>
      </c>
      <c r="B334" s="1">
        <f t="shared" si="27"/>
        <v>263</v>
      </c>
      <c r="C334" t="s">
        <v>822</v>
      </c>
      <c r="D334" t="s">
        <v>823</v>
      </c>
    </row>
    <row r="335" spans="1:4" x14ac:dyDescent="0.2">
      <c r="A335" t="s">
        <v>334</v>
      </c>
      <c r="B335" s="1">
        <f t="shared" si="27"/>
        <v>264</v>
      </c>
      <c r="C335" t="s">
        <v>820</v>
      </c>
      <c r="D335" t="s">
        <v>821</v>
      </c>
    </row>
    <row r="336" spans="1:4" x14ac:dyDescent="0.2">
      <c r="A336" t="s">
        <v>334</v>
      </c>
      <c r="B336" s="1">
        <f t="shared" si="27"/>
        <v>265</v>
      </c>
      <c r="C336" t="s">
        <v>816</v>
      </c>
      <c r="D336" t="s">
        <v>817</v>
      </c>
    </row>
    <row r="337" spans="1:4" x14ac:dyDescent="0.2">
      <c r="A337" t="s">
        <v>334</v>
      </c>
      <c r="B337" s="1">
        <f t="shared" si="27"/>
        <v>266</v>
      </c>
      <c r="C337" t="s">
        <v>814</v>
      </c>
      <c r="D337" t="s">
        <v>815</v>
      </c>
    </row>
    <row r="338" spans="1:4" x14ac:dyDescent="0.2">
      <c r="A338" s="1" t="s">
        <v>334</v>
      </c>
      <c r="B338" s="1">
        <f t="shared" si="27"/>
        <v>267</v>
      </c>
      <c r="C338" t="s">
        <v>810</v>
      </c>
      <c r="D338" t="s">
        <v>811</v>
      </c>
    </row>
    <row r="339" spans="1:4" x14ac:dyDescent="0.2">
      <c r="A339" s="1" t="s">
        <v>334</v>
      </c>
      <c r="B339" s="1">
        <f t="shared" si="27"/>
        <v>268</v>
      </c>
      <c r="C339" t="s">
        <v>804</v>
      </c>
      <c r="D339" t="s">
        <v>805</v>
      </c>
    </row>
    <row r="340" spans="1:4" x14ac:dyDescent="0.2">
      <c r="A340" s="1" t="s">
        <v>334</v>
      </c>
      <c r="B340" s="1">
        <f t="shared" si="27"/>
        <v>269</v>
      </c>
      <c r="C340" t="s">
        <v>673</v>
      </c>
      <c r="D340" t="s">
        <v>674</v>
      </c>
    </row>
    <row r="341" spans="1:4" x14ac:dyDescent="0.2">
      <c r="A341" s="1" t="s">
        <v>334</v>
      </c>
      <c r="B341" s="1">
        <f t="shared" si="27"/>
        <v>270</v>
      </c>
      <c r="C341" t="s">
        <v>737</v>
      </c>
      <c r="D341" t="s">
        <v>738</v>
      </c>
    </row>
    <row r="342" spans="1:4" x14ac:dyDescent="0.2">
      <c r="A342" s="1" t="s">
        <v>334</v>
      </c>
      <c r="B342" s="1">
        <f t="shared" si="27"/>
        <v>271</v>
      </c>
      <c r="C342" t="s">
        <v>735</v>
      </c>
      <c r="D342" t="s">
        <v>736</v>
      </c>
    </row>
    <row r="343" spans="1:4" x14ac:dyDescent="0.2">
      <c r="A343" s="1" t="s">
        <v>334</v>
      </c>
      <c r="B343" s="1">
        <f t="shared" si="27"/>
        <v>272</v>
      </c>
      <c r="C343" t="s">
        <v>675</v>
      </c>
      <c r="D343" t="s">
        <v>676</v>
      </c>
    </row>
    <row r="344" spans="1:4" x14ac:dyDescent="0.2">
      <c r="A344" t="s">
        <v>334</v>
      </c>
      <c r="B344" s="1">
        <f t="shared" si="27"/>
        <v>273</v>
      </c>
      <c r="C344" t="s">
        <v>722</v>
      </c>
      <c r="D344" t="s">
        <v>723</v>
      </c>
    </row>
    <row r="345" spans="1:4" x14ac:dyDescent="0.2">
      <c r="A345" s="1" t="s">
        <v>334</v>
      </c>
      <c r="B345" s="1">
        <f t="shared" si="27"/>
        <v>274</v>
      </c>
      <c r="C345" t="s">
        <v>677</v>
      </c>
      <c r="D345" t="s">
        <v>678</v>
      </c>
    </row>
    <row r="346" spans="1:4" x14ac:dyDescent="0.2">
      <c r="A346" s="1" t="s">
        <v>334</v>
      </c>
      <c r="B346" s="1">
        <f t="shared" si="27"/>
        <v>275</v>
      </c>
      <c r="C346" s="1" t="s">
        <v>696</v>
      </c>
      <c r="D346" s="1" t="s">
        <v>697</v>
      </c>
    </row>
    <row r="347" spans="1:4" x14ac:dyDescent="0.2">
      <c r="A347" t="s">
        <v>334</v>
      </c>
      <c r="B347" s="1">
        <f t="shared" si="27"/>
        <v>276</v>
      </c>
      <c r="C347" t="s">
        <v>700</v>
      </c>
      <c r="D347" t="s">
        <v>701</v>
      </c>
    </row>
    <row r="348" spans="1:4" x14ac:dyDescent="0.2">
      <c r="A348" t="s">
        <v>334</v>
      </c>
      <c r="B348" s="1">
        <f t="shared" si="27"/>
        <v>277</v>
      </c>
      <c r="C348" t="s">
        <v>702</v>
      </c>
      <c r="D348" t="s">
        <v>703</v>
      </c>
    </row>
    <row r="349" spans="1:4" x14ac:dyDescent="0.2">
      <c r="A349" t="s">
        <v>334</v>
      </c>
      <c r="B349" s="1">
        <f t="shared" si="27"/>
        <v>278</v>
      </c>
      <c r="C349" t="s">
        <v>824</v>
      </c>
      <c r="D349" t="s">
        <v>825</v>
      </c>
    </row>
    <row r="350" spans="1:4" x14ac:dyDescent="0.2">
      <c r="A350" t="s">
        <v>334</v>
      </c>
      <c r="B350" s="1">
        <f t="shared" si="27"/>
        <v>279</v>
      </c>
      <c r="C350" t="s">
        <v>828</v>
      </c>
      <c r="D350" t="s">
        <v>829</v>
      </c>
    </row>
    <row r="351" spans="1:4" x14ac:dyDescent="0.2">
      <c r="A351" t="s">
        <v>334</v>
      </c>
      <c r="B351" s="1">
        <f t="shared" si="27"/>
        <v>280</v>
      </c>
      <c r="C351" t="s">
        <v>830</v>
      </c>
      <c r="D351" t="s">
        <v>831</v>
      </c>
    </row>
    <row r="352" spans="1:4" x14ac:dyDescent="0.2">
      <c r="A352"/>
      <c r="B352" s="1">
        <f t="shared" si="27"/>
        <v>281</v>
      </c>
      <c r="C352" t="s">
        <v>832</v>
      </c>
      <c r="D352" t="s">
        <v>833</v>
      </c>
    </row>
    <row r="353" spans="1:5" x14ac:dyDescent="0.2">
      <c r="A353" t="s">
        <v>334</v>
      </c>
      <c r="B353" s="1">
        <f t="shared" si="27"/>
        <v>282</v>
      </c>
      <c r="C353" s="5" t="s">
        <v>834</v>
      </c>
      <c r="D353" t="s">
        <v>835</v>
      </c>
      <c r="E353" s="3">
        <v>1.73</v>
      </c>
    </row>
    <row r="354" spans="1:5" x14ac:dyDescent="0.2">
      <c r="A354" t="s">
        <v>334</v>
      </c>
      <c r="B354" s="1">
        <f t="shared" si="27"/>
        <v>283</v>
      </c>
      <c r="C354" t="s">
        <v>836</v>
      </c>
      <c r="D354" t="s">
        <v>837</v>
      </c>
    </row>
    <row r="355" spans="1:5" x14ac:dyDescent="0.2">
      <c r="A355" t="s">
        <v>334</v>
      </c>
      <c r="B355" s="1">
        <f t="shared" si="27"/>
        <v>284</v>
      </c>
      <c r="C355" t="s">
        <v>838</v>
      </c>
      <c r="D355" t="s">
        <v>839</v>
      </c>
    </row>
    <row r="356" spans="1:5" x14ac:dyDescent="0.2">
      <c r="A356"/>
      <c r="B356" s="1">
        <f t="shared" si="27"/>
        <v>285</v>
      </c>
      <c r="C356" t="s">
        <v>840</v>
      </c>
      <c r="D356" t="s">
        <v>841</v>
      </c>
    </row>
    <row r="357" spans="1:5" x14ac:dyDescent="0.2">
      <c r="A357"/>
      <c r="B357" s="1">
        <f t="shared" si="27"/>
        <v>286</v>
      </c>
      <c r="C357" t="s">
        <v>842</v>
      </c>
      <c r="D357" t="s">
        <v>843</v>
      </c>
    </row>
    <row r="358" spans="1:5" x14ac:dyDescent="0.2">
      <c r="A358" t="s">
        <v>334</v>
      </c>
      <c r="B358" s="1">
        <f t="shared" ref="B358:B421" si="28">+B357+1</f>
        <v>287</v>
      </c>
      <c r="C358" t="s">
        <v>844</v>
      </c>
      <c r="D358" t="s">
        <v>845</v>
      </c>
    </row>
    <row r="359" spans="1:5" x14ac:dyDescent="0.2">
      <c r="A359" t="s">
        <v>334</v>
      </c>
      <c r="B359" s="1">
        <f t="shared" si="28"/>
        <v>288</v>
      </c>
      <c r="C359" t="s">
        <v>846</v>
      </c>
      <c r="D359" t="s">
        <v>847</v>
      </c>
    </row>
    <row r="360" spans="1:5" x14ac:dyDescent="0.2">
      <c r="A360" t="s">
        <v>334</v>
      </c>
      <c r="B360" s="1">
        <f t="shared" si="28"/>
        <v>289</v>
      </c>
      <c r="C360" t="s">
        <v>848</v>
      </c>
      <c r="D360" t="s">
        <v>849</v>
      </c>
    </row>
    <row r="361" spans="1:5" x14ac:dyDescent="0.2">
      <c r="A361" t="s">
        <v>334</v>
      </c>
      <c r="B361" s="1">
        <f t="shared" si="28"/>
        <v>290</v>
      </c>
      <c r="C361" s="5" t="s">
        <v>852</v>
      </c>
      <c r="D361" t="s">
        <v>853</v>
      </c>
      <c r="E361" s="3">
        <v>0.32</v>
      </c>
    </row>
    <row r="362" spans="1:5" x14ac:dyDescent="0.2">
      <c r="A362" t="s">
        <v>334</v>
      </c>
      <c r="B362" s="1">
        <f t="shared" si="28"/>
        <v>291</v>
      </c>
      <c r="C362" t="s">
        <v>854</v>
      </c>
      <c r="D362" t="s">
        <v>855</v>
      </c>
      <c r="E362" s="3">
        <v>14.25</v>
      </c>
    </row>
    <row r="363" spans="1:5" x14ac:dyDescent="0.2">
      <c r="A363"/>
      <c r="B363" s="1">
        <f t="shared" si="28"/>
        <v>292</v>
      </c>
      <c r="C363" t="s">
        <v>856</v>
      </c>
      <c r="D363" t="s">
        <v>857</v>
      </c>
    </row>
    <row r="364" spans="1:5" x14ac:dyDescent="0.2">
      <c r="A364" t="s">
        <v>334</v>
      </c>
      <c r="B364" s="1">
        <f t="shared" si="28"/>
        <v>293</v>
      </c>
      <c r="C364" t="s">
        <v>858</v>
      </c>
      <c r="D364" t="s">
        <v>859</v>
      </c>
    </row>
    <row r="365" spans="1:5" x14ac:dyDescent="0.2">
      <c r="A365" t="s">
        <v>334</v>
      </c>
      <c r="B365" s="1">
        <f t="shared" si="28"/>
        <v>294</v>
      </c>
      <c r="C365" t="s">
        <v>860</v>
      </c>
      <c r="D365" t="s">
        <v>861</v>
      </c>
    </row>
    <row r="366" spans="1:5" x14ac:dyDescent="0.2">
      <c r="A366" t="s">
        <v>334</v>
      </c>
      <c r="B366" s="1">
        <f t="shared" si="28"/>
        <v>295</v>
      </c>
      <c r="C366" t="s">
        <v>862</v>
      </c>
      <c r="D366" t="s">
        <v>863</v>
      </c>
    </row>
    <row r="367" spans="1:5" x14ac:dyDescent="0.2">
      <c r="A367" t="s">
        <v>334</v>
      </c>
      <c r="B367" s="1">
        <f t="shared" si="28"/>
        <v>296</v>
      </c>
      <c r="C367" t="s">
        <v>864</v>
      </c>
      <c r="D367" t="s">
        <v>865</v>
      </c>
    </row>
    <row r="368" spans="1:5" x14ac:dyDescent="0.2">
      <c r="A368" t="s">
        <v>334</v>
      </c>
      <c r="B368" s="1">
        <f t="shared" si="28"/>
        <v>297</v>
      </c>
      <c r="C368" t="s">
        <v>866</v>
      </c>
      <c r="D368" t="s">
        <v>867</v>
      </c>
    </row>
    <row r="369" spans="1:5" x14ac:dyDescent="0.2">
      <c r="A369" t="s">
        <v>334</v>
      </c>
      <c r="B369" s="1">
        <f t="shared" si="28"/>
        <v>298</v>
      </c>
      <c r="C369" t="s">
        <v>868</v>
      </c>
      <c r="D369" t="s">
        <v>869</v>
      </c>
    </row>
    <row r="370" spans="1:5" x14ac:dyDescent="0.2">
      <c r="A370" t="s">
        <v>334</v>
      </c>
      <c r="B370" s="1">
        <f t="shared" si="28"/>
        <v>299</v>
      </c>
      <c r="C370" t="s">
        <v>872</v>
      </c>
      <c r="D370" t="s">
        <v>873</v>
      </c>
      <c r="E370" s="7">
        <v>2.8</v>
      </c>
    </row>
    <row r="371" spans="1:5" x14ac:dyDescent="0.2">
      <c r="A371" t="s">
        <v>334</v>
      </c>
      <c r="B371" s="1">
        <f t="shared" si="28"/>
        <v>300</v>
      </c>
      <c r="C371" t="s">
        <v>874</v>
      </c>
      <c r="D371" t="s">
        <v>875</v>
      </c>
      <c r="E371" s="7">
        <v>2.02</v>
      </c>
    </row>
    <row r="372" spans="1:5" x14ac:dyDescent="0.2">
      <c r="A372" t="s">
        <v>334</v>
      </c>
      <c r="B372" s="1">
        <f t="shared" si="28"/>
        <v>301</v>
      </c>
      <c r="C372" t="s">
        <v>876</v>
      </c>
      <c r="D372" t="s">
        <v>877</v>
      </c>
      <c r="E372" s="7">
        <v>2</v>
      </c>
    </row>
    <row r="373" spans="1:5" x14ac:dyDescent="0.2">
      <c r="A373" t="s">
        <v>334</v>
      </c>
      <c r="B373" s="1">
        <f t="shared" si="28"/>
        <v>302</v>
      </c>
      <c r="C373" t="s">
        <v>878</v>
      </c>
      <c r="D373" t="s">
        <v>879</v>
      </c>
      <c r="E373" s="7">
        <v>0.94</v>
      </c>
    </row>
    <row r="374" spans="1:5" x14ac:dyDescent="0.2">
      <c r="A374" t="s">
        <v>334</v>
      </c>
      <c r="B374" s="1">
        <f t="shared" si="28"/>
        <v>303</v>
      </c>
      <c r="C374" t="s">
        <v>880</v>
      </c>
      <c r="D374" t="s">
        <v>881</v>
      </c>
      <c r="E374" s="7">
        <v>2.36</v>
      </c>
    </row>
    <row r="375" spans="1:5" x14ac:dyDescent="0.2">
      <c r="A375" t="s">
        <v>334</v>
      </c>
      <c r="B375" s="1">
        <f t="shared" si="28"/>
        <v>304</v>
      </c>
      <c r="C375" t="s">
        <v>882</v>
      </c>
      <c r="D375" t="s">
        <v>883</v>
      </c>
      <c r="E375" s="7"/>
    </row>
    <row r="376" spans="1:5" x14ac:dyDescent="0.2">
      <c r="A376" t="s">
        <v>334</v>
      </c>
      <c r="B376" s="1">
        <f t="shared" si="28"/>
        <v>305</v>
      </c>
      <c r="C376" t="s">
        <v>884</v>
      </c>
      <c r="D376" t="s">
        <v>885</v>
      </c>
      <c r="E376" s="7">
        <v>7.3</v>
      </c>
    </row>
    <row r="377" spans="1:5" x14ac:dyDescent="0.2">
      <c r="A377" t="s">
        <v>334</v>
      </c>
      <c r="B377" s="1">
        <f t="shared" si="28"/>
        <v>306</v>
      </c>
      <c r="C377" t="s">
        <v>888</v>
      </c>
      <c r="D377" t="s">
        <v>889</v>
      </c>
      <c r="E377" s="7">
        <v>14.5</v>
      </c>
    </row>
    <row r="378" spans="1:5" x14ac:dyDescent="0.2">
      <c r="A378" t="s">
        <v>334</v>
      </c>
      <c r="B378" s="1">
        <f t="shared" si="28"/>
        <v>307</v>
      </c>
      <c r="C378" t="s">
        <v>890</v>
      </c>
      <c r="D378" t="s">
        <v>891</v>
      </c>
      <c r="E378" s="7">
        <v>16.95</v>
      </c>
    </row>
    <row r="379" spans="1:5" x14ac:dyDescent="0.2">
      <c r="A379" t="s">
        <v>334</v>
      </c>
      <c r="B379" s="1">
        <f t="shared" si="28"/>
        <v>308</v>
      </c>
      <c r="C379" t="s">
        <v>893</v>
      </c>
      <c r="D379" t="s">
        <v>892</v>
      </c>
      <c r="E379" s="7">
        <v>1.03</v>
      </c>
    </row>
    <row r="380" spans="1:5" x14ac:dyDescent="0.2">
      <c r="A380" t="s">
        <v>334</v>
      </c>
      <c r="B380" s="1">
        <f t="shared" si="28"/>
        <v>309</v>
      </c>
      <c r="C380" t="s">
        <v>894</v>
      </c>
      <c r="D380" t="s">
        <v>895</v>
      </c>
      <c r="E380" s="7">
        <v>2.4</v>
      </c>
    </row>
    <row r="381" spans="1:5" x14ac:dyDescent="0.2">
      <c r="A381" t="s">
        <v>334</v>
      </c>
      <c r="B381" s="1">
        <f t="shared" si="28"/>
        <v>310</v>
      </c>
      <c r="C381" t="s">
        <v>896</v>
      </c>
      <c r="D381" t="s">
        <v>897</v>
      </c>
      <c r="E381" s="7">
        <v>6.26</v>
      </c>
    </row>
    <row r="382" spans="1:5" x14ac:dyDescent="0.2">
      <c r="A382" t="s">
        <v>334</v>
      </c>
      <c r="B382" s="1">
        <f t="shared" si="28"/>
        <v>311</v>
      </c>
      <c r="C382" t="s">
        <v>898</v>
      </c>
      <c r="D382" t="s">
        <v>899</v>
      </c>
      <c r="E382" s="7">
        <v>17.100000000000001</v>
      </c>
    </row>
    <row r="383" spans="1:5" x14ac:dyDescent="0.2">
      <c r="A383" t="s">
        <v>334</v>
      </c>
      <c r="B383" s="1">
        <f t="shared" si="28"/>
        <v>312</v>
      </c>
      <c r="C383" t="s">
        <v>900</v>
      </c>
      <c r="D383" t="s">
        <v>901</v>
      </c>
      <c r="E383" s="3">
        <v>0.65</v>
      </c>
    </row>
    <row r="384" spans="1:5" x14ac:dyDescent="0.2">
      <c r="A384" t="s">
        <v>334</v>
      </c>
      <c r="B384" s="1">
        <f t="shared" si="28"/>
        <v>313</v>
      </c>
      <c r="C384" t="s">
        <v>902</v>
      </c>
      <c r="D384" t="s">
        <v>903</v>
      </c>
    </row>
    <row r="385" spans="1:5" x14ac:dyDescent="0.2">
      <c r="A385" t="s">
        <v>334</v>
      </c>
      <c r="B385" s="1">
        <f t="shared" si="28"/>
        <v>314</v>
      </c>
      <c r="C385" t="s">
        <v>904</v>
      </c>
      <c r="D385" t="s">
        <v>905</v>
      </c>
    </row>
    <row r="386" spans="1:5" x14ac:dyDescent="0.2">
      <c r="A386" t="s">
        <v>334</v>
      </c>
      <c r="B386" s="1">
        <f t="shared" si="28"/>
        <v>315</v>
      </c>
      <c r="C386" t="s">
        <v>906</v>
      </c>
      <c r="D386" t="s">
        <v>907</v>
      </c>
    </row>
    <row r="387" spans="1:5" x14ac:dyDescent="0.2">
      <c r="A387" t="s">
        <v>334</v>
      </c>
      <c r="B387" s="1">
        <f t="shared" si="28"/>
        <v>316</v>
      </c>
      <c r="C387" t="s">
        <v>908</v>
      </c>
      <c r="D387" t="s">
        <v>909</v>
      </c>
    </row>
    <row r="388" spans="1:5" x14ac:dyDescent="0.2">
      <c r="A388" t="s">
        <v>334</v>
      </c>
      <c r="B388" s="1">
        <f t="shared" si="28"/>
        <v>317</v>
      </c>
      <c r="C388" t="s">
        <v>910</v>
      </c>
      <c r="D388" t="s">
        <v>911</v>
      </c>
    </row>
    <row r="389" spans="1:5" x14ac:dyDescent="0.2">
      <c r="A389"/>
      <c r="B389" s="1">
        <f t="shared" si="28"/>
        <v>318</v>
      </c>
      <c r="C389" t="s">
        <v>912</v>
      </c>
      <c r="D389" t="s">
        <v>913</v>
      </c>
    </row>
    <row r="390" spans="1:5" x14ac:dyDescent="0.2">
      <c r="A390"/>
      <c r="B390" s="1">
        <f t="shared" si="28"/>
        <v>319</v>
      </c>
      <c r="C390" t="s">
        <v>914</v>
      </c>
      <c r="D390" t="s">
        <v>915</v>
      </c>
    </row>
    <row r="391" spans="1:5" x14ac:dyDescent="0.2">
      <c r="A391"/>
      <c r="B391" s="1">
        <f t="shared" si="28"/>
        <v>320</v>
      </c>
      <c r="C391" t="s">
        <v>916</v>
      </c>
      <c r="D391" t="s">
        <v>917</v>
      </c>
    </row>
    <row r="392" spans="1:5" x14ac:dyDescent="0.2">
      <c r="A392"/>
      <c r="B392" s="1">
        <f t="shared" si="28"/>
        <v>321</v>
      </c>
      <c r="C392" t="s">
        <v>918</v>
      </c>
      <c r="D392" t="s">
        <v>919</v>
      </c>
    </row>
    <row r="393" spans="1:5" x14ac:dyDescent="0.2">
      <c r="A393"/>
      <c r="B393" s="1">
        <f t="shared" si="28"/>
        <v>322</v>
      </c>
      <c r="C393" t="s">
        <v>920</v>
      </c>
      <c r="D393" t="s">
        <v>921</v>
      </c>
    </row>
    <row r="394" spans="1:5" x14ac:dyDescent="0.2">
      <c r="A394"/>
      <c r="B394" s="1">
        <f t="shared" si="28"/>
        <v>323</v>
      </c>
      <c r="C394" t="s">
        <v>922</v>
      </c>
      <c r="D394" t="s">
        <v>923</v>
      </c>
    </row>
    <row r="395" spans="1:5" x14ac:dyDescent="0.2">
      <c r="A395"/>
      <c r="B395" s="1">
        <f t="shared" si="28"/>
        <v>324</v>
      </c>
      <c r="C395" s="5" t="s">
        <v>1315</v>
      </c>
      <c r="D395" t="s">
        <v>1316</v>
      </c>
      <c r="E395" s="7">
        <v>1</v>
      </c>
    </row>
    <row r="396" spans="1:5" x14ac:dyDescent="0.2">
      <c r="A396"/>
      <c r="B396" s="1">
        <f>+B394+1</f>
        <v>324</v>
      </c>
      <c r="C396" t="s">
        <v>924</v>
      </c>
      <c r="D396" t="s">
        <v>925</v>
      </c>
    </row>
    <row r="397" spans="1:5" x14ac:dyDescent="0.2">
      <c r="A397"/>
      <c r="B397" s="1">
        <f t="shared" si="28"/>
        <v>325</v>
      </c>
      <c r="C397" t="s">
        <v>926</v>
      </c>
      <c r="D397" t="s">
        <v>927</v>
      </c>
    </row>
    <row r="398" spans="1:5" x14ac:dyDescent="0.2">
      <c r="A398"/>
      <c r="B398" s="1">
        <f t="shared" si="28"/>
        <v>326</v>
      </c>
      <c r="C398" t="s">
        <v>928</v>
      </c>
      <c r="D398" t="s">
        <v>929</v>
      </c>
    </row>
    <row r="399" spans="1:5" x14ac:dyDescent="0.2">
      <c r="A399"/>
      <c r="B399" s="1">
        <f t="shared" si="28"/>
        <v>327</v>
      </c>
      <c r="C399" t="s">
        <v>930</v>
      </c>
      <c r="D399" t="s">
        <v>931</v>
      </c>
    </row>
    <row r="400" spans="1:5" x14ac:dyDescent="0.2">
      <c r="A400"/>
      <c r="B400" s="1">
        <f t="shared" si="28"/>
        <v>328</v>
      </c>
      <c r="C400" t="s">
        <v>932</v>
      </c>
      <c r="D400" t="s">
        <v>935</v>
      </c>
    </row>
    <row r="401" spans="1:5" x14ac:dyDescent="0.2">
      <c r="A401"/>
      <c r="B401" s="1">
        <f t="shared" si="28"/>
        <v>329</v>
      </c>
      <c r="C401" t="s">
        <v>933</v>
      </c>
      <c r="D401" t="s">
        <v>934</v>
      </c>
    </row>
    <row r="402" spans="1:5" x14ac:dyDescent="0.2">
      <c r="A402"/>
      <c r="B402" s="1">
        <f t="shared" si="28"/>
        <v>330</v>
      </c>
      <c r="C402" t="s">
        <v>938</v>
      </c>
      <c r="D402" t="s">
        <v>939</v>
      </c>
    </row>
    <row r="403" spans="1:5" x14ac:dyDescent="0.2">
      <c r="A403"/>
      <c r="B403" s="1">
        <f t="shared" si="28"/>
        <v>331</v>
      </c>
      <c r="C403" s="25" t="s">
        <v>1394</v>
      </c>
      <c r="D403" t="s">
        <v>1395</v>
      </c>
      <c r="E403" s="3">
        <v>2.84</v>
      </c>
    </row>
    <row r="404" spans="1:5" x14ac:dyDescent="0.2">
      <c r="A404"/>
      <c r="B404" s="1">
        <f t="shared" si="28"/>
        <v>332</v>
      </c>
      <c r="C404" t="s">
        <v>942</v>
      </c>
      <c r="D404" t="s">
        <v>943</v>
      </c>
    </row>
    <row r="405" spans="1:5" x14ac:dyDescent="0.2">
      <c r="A405"/>
      <c r="B405" s="1">
        <f t="shared" si="28"/>
        <v>333</v>
      </c>
      <c r="C405" t="s">
        <v>944</v>
      </c>
      <c r="D405" t="s">
        <v>945</v>
      </c>
    </row>
    <row r="406" spans="1:5" x14ac:dyDescent="0.2">
      <c r="A406"/>
      <c r="B406" s="1">
        <f t="shared" si="28"/>
        <v>334</v>
      </c>
      <c r="C406" t="s">
        <v>946</v>
      </c>
      <c r="D406" t="s">
        <v>947</v>
      </c>
    </row>
    <row r="407" spans="1:5" x14ac:dyDescent="0.2">
      <c r="A407"/>
      <c r="B407" s="1">
        <f t="shared" si="28"/>
        <v>335</v>
      </c>
      <c r="C407" t="s">
        <v>948</v>
      </c>
      <c r="D407" t="s">
        <v>949</v>
      </c>
    </row>
    <row r="408" spans="1:5" x14ac:dyDescent="0.2">
      <c r="A408"/>
      <c r="B408" s="1">
        <f t="shared" si="28"/>
        <v>336</v>
      </c>
      <c r="C408" t="s">
        <v>950</v>
      </c>
      <c r="D408" t="s">
        <v>951</v>
      </c>
    </row>
    <row r="409" spans="1:5" x14ac:dyDescent="0.2">
      <c r="A409"/>
      <c r="B409" s="1">
        <f t="shared" si="28"/>
        <v>337</v>
      </c>
      <c r="C409" t="s">
        <v>954</v>
      </c>
      <c r="D409" t="s">
        <v>955</v>
      </c>
    </row>
    <row r="410" spans="1:5" x14ac:dyDescent="0.2">
      <c r="A410"/>
      <c r="B410" s="1">
        <f t="shared" si="28"/>
        <v>338</v>
      </c>
      <c r="C410" t="s">
        <v>956</v>
      </c>
      <c r="D410" t="s">
        <v>957</v>
      </c>
    </row>
    <row r="411" spans="1:5" x14ac:dyDescent="0.2">
      <c r="A411"/>
      <c r="B411" s="1">
        <f t="shared" si="28"/>
        <v>339</v>
      </c>
      <c r="C411" t="s">
        <v>958</v>
      </c>
      <c r="D411" t="s">
        <v>959</v>
      </c>
    </row>
    <row r="412" spans="1:5" x14ac:dyDescent="0.2">
      <c r="A412"/>
      <c r="B412" s="1">
        <f t="shared" si="28"/>
        <v>340</v>
      </c>
      <c r="C412" t="s">
        <v>960</v>
      </c>
      <c r="D412" t="s">
        <v>961</v>
      </c>
    </row>
    <row r="413" spans="1:5" x14ac:dyDescent="0.2">
      <c r="A413"/>
      <c r="B413" s="1">
        <f t="shared" si="28"/>
        <v>341</v>
      </c>
      <c r="C413" t="s">
        <v>962</v>
      </c>
      <c r="D413" t="s">
        <v>963</v>
      </c>
    </row>
    <row r="414" spans="1:5" x14ac:dyDescent="0.2">
      <c r="A414"/>
      <c r="B414" s="1">
        <f t="shared" si="28"/>
        <v>342</v>
      </c>
      <c r="C414" t="s">
        <v>964</v>
      </c>
      <c r="D414" t="s">
        <v>965</v>
      </c>
    </row>
    <row r="415" spans="1:5" x14ac:dyDescent="0.2">
      <c r="A415"/>
      <c r="B415" s="1">
        <f t="shared" si="28"/>
        <v>343</v>
      </c>
      <c r="C415" t="s">
        <v>966</v>
      </c>
      <c r="D415" t="s">
        <v>967</v>
      </c>
    </row>
    <row r="416" spans="1:5" x14ac:dyDescent="0.2">
      <c r="A416"/>
      <c r="B416" s="1">
        <f t="shared" si="28"/>
        <v>344</v>
      </c>
      <c r="C416" t="s">
        <v>968</v>
      </c>
      <c r="D416" t="s">
        <v>969</v>
      </c>
    </row>
    <row r="417" spans="1:11" x14ac:dyDescent="0.2">
      <c r="A417"/>
      <c r="B417" s="1">
        <f t="shared" si="28"/>
        <v>345</v>
      </c>
      <c r="C417" t="s">
        <v>970</v>
      </c>
      <c r="D417" t="s">
        <v>971</v>
      </c>
    </row>
    <row r="418" spans="1:11" x14ac:dyDescent="0.2">
      <c r="A418"/>
      <c r="B418" s="1">
        <f t="shared" si="28"/>
        <v>346</v>
      </c>
      <c r="C418" t="s">
        <v>972</v>
      </c>
      <c r="D418" t="s">
        <v>973</v>
      </c>
    </row>
    <row r="419" spans="1:11" x14ac:dyDescent="0.2">
      <c r="A419"/>
      <c r="B419" s="1">
        <f t="shared" si="28"/>
        <v>347</v>
      </c>
      <c r="C419" t="s">
        <v>974</v>
      </c>
      <c r="D419" t="s">
        <v>975</v>
      </c>
    </row>
    <row r="420" spans="1:11" x14ac:dyDescent="0.2">
      <c r="B420" s="1">
        <f t="shared" si="28"/>
        <v>348</v>
      </c>
      <c r="C420" s="1" t="s">
        <v>1106</v>
      </c>
      <c r="D420" s="1" t="s">
        <v>1107</v>
      </c>
      <c r="E420" s="3">
        <v>8.11</v>
      </c>
      <c r="F420" s="3">
        <v>123</v>
      </c>
    </row>
    <row r="421" spans="1:11" x14ac:dyDescent="0.2">
      <c r="B421" s="1">
        <f t="shared" si="28"/>
        <v>349</v>
      </c>
      <c r="C421" s="5" t="s">
        <v>1108</v>
      </c>
      <c r="D421" t="s">
        <v>1109</v>
      </c>
      <c r="E421" s="7">
        <v>5</v>
      </c>
      <c r="F421" s="6">
        <f>+E421*J421</f>
        <v>216.57198499999998</v>
      </c>
      <c r="G421" s="6">
        <f>+[148]Main!$J$5-[148]Main!$J$6</f>
        <v>104.35299999999999</v>
      </c>
      <c r="H421" s="6">
        <f>+F421-G421</f>
        <v>112.21898499999999</v>
      </c>
      <c r="I421" s="3" t="s">
        <v>1083</v>
      </c>
      <c r="J421" s="6">
        <f>+[148]Main!$J$3</f>
        <v>43.314397</v>
      </c>
      <c r="K421" s="9">
        <v>45525</v>
      </c>
    </row>
    <row r="422" spans="1:11" x14ac:dyDescent="0.2">
      <c r="B422" s="1">
        <f t="shared" ref="B422:B428" si="29">+B421+1</f>
        <v>350</v>
      </c>
      <c r="C422" s="41" t="s">
        <v>1139</v>
      </c>
      <c r="D422" s="1" t="s">
        <v>1140</v>
      </c>
      <c r="E422" s="7">
        <v>10.54</v>
      </c>
      <c r="F422" s="6">
        <f>+E422*J422</f>
        <v>295.11496187999995</v>
      </c>
      <c r="G422" s="6">
        <f>+[149]Main!$K$5-[149]Main!$K$6</f>
        <v>15.414999999999999</v>
      </c>
      <c r="H422" s="6">
        <f>+F422-G422</f>
        <v>279.69996187999993</v>
      </c>
      <c r="I422" s="3" t="s">
        <v>1083</v>
      </c>
      <c r="J422" s="6">
        <f>+[149]Main!$K$3</f>
        <v>27.999521999999999</v>
      </c>
      <c r="K422" s="9">
        <v>45474</v>
      </c>
    </row>
    <row r="423" spans="1:11" x14ac:dyDescent="0.2">
      <c r="B423" s="1">
        <f t="shared" si="29"/>
        <v>351</v>
      </c>
      <c r="C423" s="5" t="s">
        <v>1172</v>
      </c>
      <c r="D423" t="s">
        <v>1173</v>
      </c>
      <c r="E423" s="7">
        <v>3.6</v>
      </c>
      <c r="F423" s="6">
        <f>+E423*J423</f>
        <v>132.55131599999999</v>
      </c>
      <c r="G423" s="6">
        <f>+[150]Main!$L$5-[150]Main!$L$6</f>
        <v>33.507724000000003</v>
      </c>
      <c r="H423" s="6">
        <f>+F423-G423</f>
        <v>99.04359199999999</v>
      </c>
      <c r="I423" s="3" t="s">
        <v>1083</v>
      </c>
      <c r="J423" s="6">
        <f>+[150]Main!$L$3</f>
        <v>36.819809999999997</v>
      </c>
      <c r="K423" s="9">
        <v>45567</v>
      </c>
    </row>
    <row r="424" spans="1:11" x14ac:dyDescent="0.2">
      <c r="B424" s="1">
        <f t="shared" si="29"/>
        <v>352</v>
      </c>
      <c r="C424" s="1" t="s">
        <v>1210</v>
      </c>
      <c r="D424" s="1" t="s">
        <v>1211</v>
      </c>
      <c r="E424" s="3">
        <v>0.28999999999999998</v>
      </c>
    </row>
    <row r="425" spans="1:11" x14ac:dyDescent="0.2">
      <c r="B425" s="1">
        <f t="shared" si="29"/>
        <v>353</v>
      </c>
      <c r="C425" s="1" t="s">
        <v>1293</v>
      </c>
      <c r="D425" t="s">
        <v>1294</v>
      </c>
    </row>
    <row r="426" spans="1:11" x14ac:dyDescent="0.2">
      <c r="B426" s="1">
        <f t="shared" si="29"/>
        <v>354</v>
      </c>
      <c r="C426" s="1" t="s">
        <v>1333</v>
      </c>
      <c r="D426" s="1" t="s">
        <v>1334</v>
      </c>
    </row>
    <row r="427" spans="1:11" x14ac:dyDescent="0.2">
      <c r="B427" s="1">
        <f t="shared" si="29"/>
        <v>355</v>
      </c>
      <c r="C427" t="s">
        <v>1335</v>
      </c>
      <c r="D427" t="s">
        <v>1336</v>
      </c>
    </row>
    <row r="428" spans="1:11" x14ac:dyDescent="0.2">
      <c r="B428" s="1">
        <f t="shared" si="29"/>
        <v>356</v>
      </c>
      <c r="C428" s="1" t="s">
        <v>1398</v>
      </c>
    </row>
    <row r="429" spans="1:11" x14ac:dyDescent="0.2">
      <c r="D429" t="s">
        <v>1405</v>
      </c>
    </row>
  </sheetData>
  <sortState xmlns:xlrd2="http://schemas.microsoft.com/office/spreadsheetml/2017/richdata2" ref="A156:AC204">
    <sortCondition descending="1" ref="F156:F204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4" r:id="rId4" xr:uid="{686D20FF-3704-45CC-8366-56508FB00F00}"/>
    <hyperlink ref="C12" r:id="rId5" xr:uid="{8513C491-1620-4390-AB90-9384BB1A043B}"/>
    <hyperlink ref="C4" r:id="rId6" xr:uid="{615921E7-8A8A-4F41-A8F3-1AF78A43F1AC}"/>
    <hyperlink ref="C26" r:id="rId7" xr:uid="{A38EC1E4-9170-422B-A9F5-3B6EB77DF40A}"/>
    <hyperlink ref="C5" r:id="rId8" xr:uid="{CCC45DFB-BF73-4A15-8527-F4C3C617F472}"/>
    <hyperlink ref="C23" r:id="rId9" xr:uid="{FC86E1B4-4BA7-43A8-8FCA-CC27867A7922}"/>
    <hyperlink ref="C19" r:id="rId10" xr:uid="{F9D09B0D-FACB-4CCA-872E-286E56965815}"/>
    <hyperlink ref="C17" r:id="rId11" xr:uid="{5A59EF45-A9EA-44F3-BECB-EFED8413DCF6}"/>
    <hyperlink ref="C8" r:id="rId12" xr:uid="{0888F4DA-9569-4326-990C-43015A33BD61}"/>
    <hyperlink ref="C21" r:id="rId13" xr:uid="{C2959A9B-7367-43D7-934F-562A915DC4DD}"/>
    <hyperlink ref="C22" r:id="rId14" xr:uid="{A069369A-FB97-4A4A-A581-321FA79E4250}"/>
    <hyperlink ref="C58" r:id="rId15" xr:uid="{6EF35D30-7113-4CE8-9077-C5BE97F74D36}"/>
    <hyperlink ref="C20" r:id="rId16" xr:uid="{1F769FA7-6B90-4B6B-9BCC-7D6679675B06}"/>
    <hyperlink ref="C27" r:id="rId17" xr:uid="{61277D68-67DC-475B-9B61-B7E2F3017110}"/>
    <hyperlink ref="C237" r:id="rId18" xr:uid="{14A63DAF-63A6-4B91-A2AF-AE28EA251457}"/>
    <hyperlink ref="C242" r:id="rId19" xr:uid="{4ACA7C7F-E42A-4687-A776-AB8065DB40FF}"/>
    <hyperlink ref="C236" r:id="rId20" xr:uid="{B3421391-7EC0-4253-8F62-5ED45A5BFA02}"/>
    <hyperlink ref="C243" r:id="rId21" xr:uid="{F6A45FC7-B73C-4143-9CAB-B3ADA19B5FD7}"/>
    <hyperlink ref="C238" r:id="rId22" xr:uid="{BBD267CB-7407-4913-9D05-6A6AA380019F}"/>
    <hyperlink ref="C245" r:id="rId23" xr:uid="{85368858-6D0F-4ABE-975C-AE5530342445}"/>
    <hyperlink ref="C234" r:id="rId24" xr:uid="{8B5BC1F5-14D4-45A0-B224-31FAF227EAF3}"/>
    <hyperlink ref="C244" r:id="rId25" xr:uid="{D5FB3BFE-F0A8-4C09-90A1-9F506EF0ADE4}"/>
    <hyperlink ref="C239" r:id="rId26" xr:uid="{11598046-2AED-42E7-ACA5-251A20A59427}"/>
    <hyperlink ref="C52" r:id="rId27" xr:uid="{A1C90F9B-FBBF-4C72-9A11-3798F692A0D2}"/>
    <hyperlink ref="C88" r:id="rId28" xr:uid="{F7B6503D-1F84-47C4-B87E-BDA7159D1B9F}"/>
    <hyperlink ref="C45" r:id="rId29" xr:uid="{D0EE43E7-C3F5-4256-99AE-DDCA9EC11DCF}"/>
    <hyperlink ref="C37" r:id="rId30" xr:uid="{1C25970A-A568-4869-A34A-5C6C7551D812}"/>
    <hyperlink ref="C206" r:id="rId31" xr:uid="{C3A06396-38CD-486E-9F4F-233A79292B4F}"/>
    <hyperlink ref="C118" r:id="rId32" xr:uid="{B83625D8-44D2-4842-9139-F29C8D5F2D8E}"/>
    <hyperlink ref="C211" r:id="rId33" xr:uid="{5FF32E6A-C6C7-4793-8271-BD230B9C7641}"/>
    <hyperlink ref="C71" r:id="rId34" xr:uid="{E5739E03-9FE4-4D05-90C8-36ABF7D078CB}"/>
    <hyperlink ref="C85" r:id="rId35" xr:uid="{25285F59-771C-40DB-8B78-E1E454C61406}"/>
    <hyperlink ref="C241" r:id="rId36" xr:uid="{C000061C-001D-4088-90A4-B672D181D3C5}"/>
    <hyperlink ref="C59" r:id="rId37" xr:uid="{6A1F812B-EA91-4B3C-B4DC-88F792A7D0DE}"/>
    <hyperlink ref="C96" r:id="rId38" xr:uid="{6930A656-C59A-465F-8634-B30B4FEF47BC}"/>
    <hyperlink ref="C91" r:id="rId39" xr:uid="{559FAD8A-D620-4B93-BE14-CC22630BD57E}"/>
    <hyperlink ref="C6" r:id="rId40" xr:uid="{467EEBCD-6BD7-4E71-B2C9-FCF3DB57F059}"/>
    <hyperlink ref="C235" r:id="rId41" xr:uid="{6A576FDB-A573-4A00-8381-4BECF13B35A1}"/>
    <hyperlink ref="C25" r:id="rId42" xr:uid="{994E2867-C411-41E7-8332-43A0B3B0CC2B}"/>
    <hyperlink ref="C152" r:id="rId43" xr:uid="{51C9506E-5D60-43F8-BADA-7F72A25DAFF6}"/>
    <hyperlink ref="C110" r:id="rId44" xr:uid="{9E4325F2-98CF-4735-96D0-66A9DC5A8E86}"/>
    <hyperlink ref="C212" r:id="rId45" xr:uid="{6D062383-838D-42C7-BFCD-E5C9DC258548}"/>
    <hyperlink ref="C30" r:id="rId46" xr:uid="{3F36D809-73FC-441C-88D2-EEB42A40734A}"/>
    <hyperlink ref="C31" r:id="rId47" xr:uid="{5D73AAA9-EBCA-4613-83CF-E75D37F58B6D}"/>
    <hyperlink ref="C33" r:id="rId48" xr:uid="{203E18C7-425E-49E1-9AA5-204AFBE41E2D}"/>
    <hyperlink ref="C29" r:id="rId49" xr:uid="{5670E9A9-D014-4D7B-962A-54CBDC766969}"/>
    <hyperlink ref="C65" r:id="rId50" xr:uid="{04E7711A-AB14-45D0-B73B-7EA804EC5564}"/>
    <hyperlink ref="C39" r:id="rId51" xr:uid="{76CA7CFE-7B9B-4C27-8561-3A158A30ED77}"/>
    <hyperlink ref="C11" r:id="rId52" xr:uid="{B0ABAFBD-FFC1-42E3-AFB4-259F4DD19FEC}"/>
    <hyperlink ref="C46" r:id="rId53" xr:uid="{F5D5A68A-4783-46B8-B717-79A0E802B6C4}"/>
    <hyperlink ref="C36" r:id="rId54" xr:uid="{DD930D2F-20A9-46C3-8AA4-5E62A88271DB}"/>
    <hyperlink ref="C38" r:id="rId55" xr:uid="{E248BEED-DD02-463E-BFAC-D02D5521E787}"/>
    <hyperlink ref="C41" r:id="rId56" xr:uid="{01444C35-CEE7-41B7-B694-AE47417B7019}"/>
    <hyperlink ref="C13" r:id="rId57" xr:uid="{57B03CDA-0325-4BAB-BDE9-EF73BAB7F2FB}"/>
    <hyperlink ref="C43" r:id="rId58" xr:uid="{BC97A7B7-8716-48D0-BA90-60A75E6A24CE}"/>
    <hyperlink ref="C40" r:id="rId59" xr:uid="{AD16E898-B1E4-4F25-8E21-E2BC1C6FE9AD}"/>
    <hyperlink ref="C61" r:id="rId60" xr:uid="{E9207892-DA1F-48D2-B2C3-EFA59FCA8A47}"/>
    <hyperlink ref="C84" r:id="rId61" xr:uid="{DE2D1DDB-B5B7-4055-B885-0CD9E7670070}"/>
    <hyperlink ref="C32" r:id="rId62" xr:uid="{9DD12163-063E-4F73-89A5-34D8E8AC0534}"/>
    <hyperlink ref="C89" r:id="rId63" xr:uid="{1D3A6A47-22C9-4CC1-94BD-20DE3BB08016}"/>
    <hyperlink ref="C50" r:id="rId64" xr:uid="{27FB3DB4-8430-405F-9558-F31A0B69ED5F}"/>
    <hyperlink ref="C42" r:id="rId65" xr:uid="{144D13FD-59BD-499B-A0B4-B06985623C68}"/>
    <hyperlink ref="C208" r:id="rId66" xr:uid="{E48CD1EB-CFA1-47B1-BD8B-09F09CDD4FA4}"/>
    <hyperlink ref="C111" r:id="rId67" xr:uid="{6E9AFF81-F520-4A86-9FC2-D5CFE68E7EB7}"/>
    <hyperlink ref="C70" r:id="rId68" xr:uid="{ED527D70-0B51-4151-8378-8C40B68FF19D}"/>
    <hyperlink ref="C44" r:id="rId69" xr:uid="{A902B26E-CA39-4DC5-9F23-4459D8D315E8}"/>
    <hyperlink ref="C51" r:id="rId70" xr:uid="{5F0313F8-3376-4F67-9822-E1412CAA5959}"/>
    <hyperlink ref="C103" r:id="rId71" xr:uid="{AE3A3FD9-E651-4A72-81DB-B29CC61B516B}"/>
    <hyperlink ref="C66" r:id="rId72" xr:uid="{6FA4EBE7-4729-4097-A12F-CAD4CB58FFA6}"/>
    <hyperlink ref="C115" r:id="rId73" xr:uid="{C6F461C3-F385-4BE1-8914-0B22F9A9FF52}"/>
    <hyperlink ref="C48" r:id="rId74" xr:uid="{98D02B7D-F218-457E-B156-7FE773CF515A}"/>
    <hyperlink ref="C47" r:id="rId75" xr:uid="{02CB6FD9-C55D-44A1-9F2E-6A96A222EE6B}"/>
    <hyperlink ref="C77" r:id="rId76" xr:uid="{C691BA46-1169-4CAF-84E5-2A83E1B5404A}"/>
    <hyperlink ref="C49" r:id="rId77" xr:uid="{425EA3DE-2A59-4B96-B380-B688A4EDE233}"/>
    <hyperlink ref="C60" r:id="rId78" xr:uid="{1F24E207-02BC-4A1F-B083-69F8E95AC067}"/>
    <hyperlink ref="C64" r:id="rId79" xr:uid="{CE56D1ED-1CAA-4667-A3D9-82426599D26C}"/>
    <hyperlink ref="C28" r:id="rId80" xr:uid="{A79848CD-7CC3-4C10-B9EC-DDD33362E673}"/>
    <hyperlink ref="C100" r:id="rId81" xr:uid="{ED810682-5208-4265-9E0E-6746A399EA34}"/>
    <hyperlink ref="C155" r:id="rId82" xr:uid="{44DEB74A-F098-4876-A279-D1E6237DF8DB}"/>
    <hyperlink ref="C69" r:id="rId83" xr:uid="{ADF59BEC-B8D8-4144-ADEB-041425B69409}"/>
    <hyperlink ref="C319" r:id="rId84" xr:uid="{69AB4316-2FED-44FC-B108-3CD00D6F57B9}"/>
    <hyperlink ref="C314" r:id="rId85" xr:uid="{172C358D-5501-4447-9FDE-DA046F6FED55}"/>
    <hyperlink ref="C109" r:id="rId86" xr:uid="{D181F941-FF02-423B-9F90-890B434046DD}"/>
    <hyperlink ref="C153" r:id="rId87" xr:uid="{1924D31B-B6B9-4CB2-936E-0F68E40FA2F5}"/>
    <hyperlink ref="C154" r:id="rId88" xr:uid="{8E97DA51-E6CD-4B11-B6F8-BD0A3CC93541}"/>
    <hyperlink ref="C92" r:id="rId89" xr:uid="{BACD6400-1341-654E-A5B2-576C65F8052B}"/>
    <hyperlink ref="C353" r:id="rId90" xr:uid="{C4CF7488-CAF7-4516-AB24-0FC50F0916A3}"/>
    <hyperlink ref="C95" r:id="rId91" xr:uid="{2B6C4E35-2657-4D1A-8D80-C54F892964F4}"/>
    <hyperlink ref="C10" r:id="rId92" xr:uid="{D4CC8F9A-CC3B-EE41-860B-629E01D90BFD}"/>
    <hyperlink ref="C421" r:id="rId93" xr:uid="{C4EB2FD5-19C2-4B46-A645-6A4B58B3BF48}"/>
    <hyperlink ref="C18" r:id="rId94" xr:uid="{29212F29-BB24-1048-9B2F-FC0168C49234}"/>
    <hyperlink ref="C205" r:id="rId95" xr:uid="{E2D5EE7E-5721-5749-A98C-474C4C00D036}"/>
    <hyperlink ref="C24" r:id="rId96" xr:uid="{AA34EED3-260C-48F6-B18F-9CB2123B2DB8}"/>
    <hyperlink ref="C34" r:id="rId97" xr:uid="{3556B95F-6CC1-4165-90C0-F95B358B441D}"/>
    <hyperlink ref="C422" r:id="rId98" xr:uid="{E9466C79-B428-4906-B5D4-8A65E345C46A}"/>
    <hyperlink ref="C76" r:id="rId99" xr:uid="{0F64F384-8187-4F0A-B6D5-472BB2A5904F}"/>
    <hyperlink ref="C102" r:id="rId100" xr:uid="{5475D411-362D-4662-900D-6279A7227B29}"/>
    <hyperlink ref="C56" r:id="rId101" xr:uid="{6DB2BB02-C4A0-49AF-BAFF-B0F94FD8A18F}"/>
    <hyperlink ref="C55" r:id="rId102" xr:uid="{207C989E-621C-4033-9CCE-48EE8FC87164}"/>
    <hyperlink ref="C35" r:id="rId103" xr:uid="{EAE06527-C521-4E27-80DB-BF20330157C9}"/>
    <hyperlink ref="C67" r:id="rId104" xr:uid="{5E221389-B42A-4ECC-B5CE-DEA05F90F52F}"/>
    <hyperlink ref="C104" r:id="rId105" xr:uid="{50F9FE65-F347-4AD5-8CB3-AEF68BBB9AA8}"/>
    <hyperlink ref="C112" r:id="rId106" xr:uid="{75D04E08-C11D-42F6-A0B8-9E185A6BA249}"/>
    <hyperlink ref="C113" r:id="rId107" xr:uid="{DD06A32A-D1AE-4DFA-957F-7E5F6848399D}"/>
    <hyperlink ref="C53" r:id="rId108" xr:uid="{A9CCEE93-948C-4958-9273-229E876026E5}"/>
    <hyperlink ref="C62" r:id="rId109" xr:uid="{8A039020-76D6-4648-8559-2E66BD4069E8}"/>
    <hyperlink ref="C74" r:id="rId110" xr:uid="{57A317C3-FCD5-4B9D-9890-302872D6263D}"/>
    <hyperlink ref="C106" r:id="rId111" xr:uid="{7DEB18EF-0653-42AE-848B-1CD34B6185B1}"/>
    <hyperlink ref="C316" r:id="rId112" xr:uid="{500E1EB4-5BFA-41DA-B498-9CADDCBC3BD8}"/>
    <hyperlink ref="C218" r:id="rId113" xr:uid="{DA843767-B487-45EC-B6B6-4CAF3C575C50}"/>
    <hyperlink ref="C79" r:id="rId114" xr:uid="{5DA9C2AA-A278-4FF3-A2FD-E53617E5E8B8}"/>
    <hyperlink ref="C247" r:id="rId115" xr:uid="{91A036B5-0E03-4930-B738-BF1C076ACF18}"/>
    <hyperlink ref="C101" r:id="rId116" xr:uid="{8068ED1A-3B17-4C79-9022-B1BEE306CC58}"/>
    <hyperlink ref="C99" r:id="rId117" xr:uid="{DEB94AB7-6F89-44AE-9C77-B3E2D1E51B70}"/>
    <hyperlink ref="C317" r:id="rId118" xr:uid="{C5AE6E9D-13C3-40F4-80F9-EB86590BF332}"/>
    <hyperlink ref="C209" r:id="rId119" xr:uid="{47C928EF-242B-4B5F-9296-FA878004232C}"/>
    <hyperlink ref="C361" r:id="rId120" xr:uid="{B0C9190D-D136-462D-B004-BE374B10A4F0}"/>
    <hyperlink ref="C83" r:id="rId121" xr:uid="{1C0EAF20-C59C-4E14-90E0-E67EED291627}"/>
    <hyperlink ref="C315" r:id="rId122" xr:uid="{820E74E5-32AF-43AF-A75C-37305E58D952}"/>
    <hyperlink ref="C207" r:id="rId123" xr:uid="{C2EF7A04-6E03-432E-AE39-F9FC0944E6B7}"/>
    <hyperlink ref="C87" r:id="rId124" xr:uid="{4A53B476-D8D4-4433-B5B3-B626DD5ECAA5}"/>
    <hyperlink ref="C318" r:id="rId125" xr:uid="{0E69FC1D-F608-42EA-B683-C53C409C70F7}"/>
    <hyperlink ref="C156" r:id="rId126" xr:uid="{058DC54B-6F58-47B5-B00D-CB85499F0661}"/>
    <hyperlink ref="C157" r:id="rId127" xr:uid="{E3F91124-A68C-481A-9F88-5F0B403E12FC}"/>
    <hyperlink ref="C222" r:id="rId128" xr:uid="{879666A1-6AD0-495B-B29D-1523E9F3BF37}"/>
    <hyperlink ref="C54" r:id="rId129" xr:uid="{3E4416C1-24BA-4833-B8A9-810255675E01}"/>
    <hyperlink ref="C117" r:id="rId130" xr:uid="{CEEF1ECE-36B3-482E-AA72-8B9DAE4D2730}"/>
    <hyperlink ref="C114" r:id="rId131" xr:uid="{80739158-DB58-4D0E-8015-4407904D5E4C}"/>
    <hyperlink ref="C63" r:id="rId132" xr:uid="{FAC64BC1-A38C-4704-8DED-7AC1F6D784BD}"/>
    <hyperlink ref="C320" r:id="rId133" xr:uid="{B8FF6BDF-ECF2-42BA-996C-B33320BF3BB8}"/>
    <hyperlink ref="C116" r:id="rId134" xr:uid="{3C9F7D37-C376-486A-BD65-0A06F1A1BA4E}"/>
    <hyperlink ref="C73" r:id="rId135" xr:uid="{A739B306-7AF4-4BC1-B603-405E1AD42DA9}"/>
    <hyperlink ref="C68" r:id="rId136" xr:uid="{D16D1630-A1AE-4CF8-B35B-01F574ECC4EC}"/>
    <hyperlink ref="C81" r:id="rId137" xr:uid="{A96FF32D-8546-4297-AE3C-E279BBEB2988}"/>
    <hyperlink ref="C72" r:id="rId138" xr:uid="{B2C89E35-9AED-4A34-8767-FB6CD96F1DF7}"/>
    <hyperlink ref="C108" r:id="rId139" xr:uid="{7A0C9405-40F2-4CD9-999B-9032EC028C8E}"/>
    <hyperlink ref="C313" r:id="rId140" xr:uid="{F79A5FA4-445D-4428-8347-8E6CA8EBA325}"/>
    <hyperlink ref="C423" r:id="rId141" xr:uid="{C5162717-DEF1-45A6-BAF5-F5909C72945C}"/>
    <hyperlink ref="C210" r:id="rId142" xr:uid="{DCA25E80-5EA2-4E2F-B5AD-7E00734C912A}"/>
    <hyperlink ref="C312" r:id="rId143" xr:uid="{6E543356-A92B-4C40-A4D8-0039FD9CF30E}"/>
    <hyperlink ref="C214" r:id="rId144" xr:uid="{18B5F0EF-CE16-458F-B2EC-C055E9592268}"/>
    <hyperlink ref="C213" r:id="rId145" xr:uid="{8452EEB1-E3C6-4709-93A8-E45683AE4BD4}"/>
    <hyperlink ref="C75" r:id="rId146" xr:uid="{8515586A-C9D5-4B3A-AB81-567CAF8711D8}"/>
    <hyperlink ref="C93" r:id="rId147" xr:uid="{05112419-511E-40D9-B365-E7FC8328F3E3}"/>
    <hyperlink ref="C395" r:id="rId148" xr:uid="{42ED5909-2E52-452C-9738-284A43C46BA0}"/>
    <hyperlink ref="C107" r:id="rId149" xr:uid="{7B9292BF-8007-4C13-92AA-E4F48B407B78}"/>
    <hyperlink ref="C94" r:id="rId150" xr:uid="{4455E1D2-0A06-49CD-B578-A39396AB2276}"/>
    <hyperlink ref="C97" r:id="rId151" xr:uid="{9DBA9CB6-4FFE-4633-8913-39BE132E7E63}"/>
    <hyperlink ref="C15" r:id="rId152" xr:uid="{60368EA6-8CB5-4BF4-AD11-2511F2B2CC10}"/>
    <hyperlink ref="C240" r:id="rId153" xr:uid="{909F79D0-EDBD-44C4-8C45-548124C5C81A}"/>
    <hyperlink ref="C167" r:id="rId154" xr:uid="{0A7AB162-5181-4ECD-BE39-067356A9A255}"/>
    <hyperlink ref="C98" r:id="rId155" xr:uid="{A780315D-7EE1-43B1-808B-CA1A9B40DACC}"/>
    <hyperlink ref="C105" r:id="rId156" xr:uid="{6EE007AF-F0B0-4EED-9CDD-3FC2319822A5}"/>
    <hyperlink ref="C246" r:id="rId157" xr:uid="{ED761473-51F4-41BF-8401-76685055518C}"/>
    <hyperlink ref="C78" r:id="rId158" xr:uid="{7F559409-F96D-4010-8F92-37C722C2B828}"/>
    <hyperlink ref="C90" r:id="rId159" xr:uid="{C48A4FCA-0630-EF43-9EEC-B6CAB37EFE4F}"/>
    <hyperlink ref="C86" r:id="rId160" xr:uid="{96899701-8AB6-4B30-9017-19357666F340}"/>
    <hyperlink ref="C80" r:id="rId161" xr:uid="{CFB41F62-0690-4C3D-B6CD-811E3E94C4EE}"/>
    <hyperlink ref="C125" r:id="rId162" xr:uid="{82A44C16-0029-4130-9750-D08BCC5182B4}"/>
    <hyperlink ref="C57" r:id="rId163" xr:uid="{C35461B3-E679-4CC0-9362-2A53FE04533B}"/>
    <hyperlink ref="C82" r:id="rId164" xr:uid="{31B2FC14-DD5D-4E0C-A012-B1FDA85DBE36}"/>
  </hyperlinks>
  <pageMargins left="0.7" right="0.7" top="0.75" bottom="0.75" header="0.3" footer="0.3"/>
  <pageSetup paperSize="9" orientation="portrait" r:id="rId1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649</v>
      </c>
      <c r="D2" s="28" t="s">
        <v>1310</v>
      </c>
      <c r="E2" s="28" t="s">
        <v>1311</v>
      </c>
      <c r="F2" s="28" t="s">
        <v>1126</v>
      </c>
      <c r="G2" s="28" t="s">
        <v>1053</v>
      </c>
      <c r="H2" s="28" t="s">
        <v>1083</v>
      </c>
      <c r="I2" s="28" t="s">
        <v>1298</v>
      </c>
      <c r="J2" s="28" t="s">
        <v>1299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1273</v>
      </c>
      <c r="C6" s="30"/>
      <c r="D6" s="30"/>
      <c r="G6" s="30">
        <v>8768</v>
      </c>
      <c r="H6" s="30">
        <v>11303</v>
      </c>
    </row>
    <row r="7" spans="1:10" x14ac:dyDescent="0.2">
      <c r="B7" t="s">
        <v>1307</v>
      </c>
      <c r="C7" s="30"/>
      <c r="D7" s="30"/>
      <c r="G7" s="30">
        <f>65349/DKK</f>
        <v>9739.0461997019374</v>
      </c>
      <c r="H7" s="30">
        <f>68060/DKK</f>
        <v>10143.07004470939</v>
      </c>
    </row>
    <row r="8" spans="1:10" s="25" customFormat="1" x14ac:dyDescent="0.2">
      <c r="B8" s="25" t="s">
        <v>1300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67974.04619970193</v>
      </c>
      <c r="H8" s="27">
        <f>SUM(H3:H7)</f>
        <v>74473.070044709384</v>
      </c>
      <c r="I8" s="26"/>
      <c r="J8" s="26"/>
    </row>
    <row r="9" spans="1:10" s="25" customFormat="1" hidden="1" outlineLevel="1" x14ac:dyDescent="0.2">
      <c r="B9" t="s">
        <v>1302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1303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1301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1309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1308</v>
      </c>
      <c r="C13" s="30"/>
      <c r="D13" s="30"/>
      <c r="G13" s="30">
        <f>9916/DKK</f>
        <v>1477.7943368107303</v>
      </c>
      <c r="H13" s="30">
        <f>10274/DKK</f>
        <v>1531.1475409836066</v>
      </c>
    </row>
    <row r="14" spans="1:10" collapsed="1" x14ac:dyDescent="0.2">
      <c r="B14" t="s">
        <v>1304</v>
      </c>
      <c r="C14" s="30"/>
      <c r="D14" s="30"/>
      <c r="G14" s="30">
        <f>SUM(G9:G13)</f>
        <v>13485.19433681073</v>
      </c>
      <c r="H14" s="30">
        <f>SUM(H9:H13)</f>
        <v>15639.247540983608</v>
      </c>
    </row>
    <row r="15" spans="1:10" x14ac:dyDescent="0.2">
      <c r="B15" t="s">
        <v>1305</v>
      </c>
      <c r="C15" s="30"/>
      <c r="D15" s="30"/>
      <c r="G15" s="30">
        <f>+G8-G14</f>
        <v>54488.851862891199</v>
      </c>
      <c r="H15" s="30">
        <f>+H8-H14</f>
        <v>58833.82250372578</v>
      </c>
    </row>
    <row r="26" spans="2:8" x14ac:dyDescent="0.2">
      <c r="B26" t="s">
        <v>1306</v>
      </c>
      <c r="C26" s="54" t="e">
        <f>+C15/C8</f>
        <v>#DIV/0!</v>
      </c>
      <c r="D26" s="54" t="e">
        <f>+D15/D8</f>
        <v>#DIV/0!</v>
      </c>
      <c r="G26" s="54">
        <f>+G15/G8</f>
        <v>0.80161259935604856</v>
      </c>
      <c r="H26" s="54">
        <f>+H15/H8</f>
        <v>0.79000130474553165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1141</v>
      </c>
    </row>
    <row r="3" spans="2:2" x14ac:dyDescent="0.2">
      <c r="B3" t="s">
        <v>1142</v>
      </c>
    </row>
    <row r="4" spans="2:2" x14ac:dyDescent="0.2">
      <c r="B4" t="s">
        <v>1155</v>
      </c>
    </row>
    <row r="5" spans="2:2" x14ac:dyDescent="0.2">
      <c r="B5" t="s">
        <v>1167</v>
      </c>
    </row>
    <row r="6" spans="2:2" x14ac:dyDescent="0.2">
      <c r="B6" t="s">
        <v>1164</v>
      </c>
    </row>
    <row r="7" spans="2:2" x14ac:dyDescent="0.2">
      <c r="B7" t="s">
        <v>1165</v>
      </c>
    </row>
    <row r="8" spans="2:2" x14ac:dyDescent="0.2">
      <c r="B8" t="s">
        <v>1157</v>
      </c>
    </row>
    <row r="9" spans="2:2" x14ac:dyDescent="0.2">
      <c r="B9" t="s">
        <v>1169</v>
      </c>
    </row>
    <row r="10" spans="2:2" x14ac:dyDescent="0.2">
      <c r="B10" t="s">
        <v>1166</v>
      </c>
    </row>
    <row r="11" spans="2:2" x14ac:dyDescent="0.2">
      <c r="B11" t="s">
        <v>1168</v>
      </c>
    </row>
    <row r="12" spans="2:2" x14ac:dyDescent="0.2">
      <c r="B12" t="s">
        <v>1143</v>
      </c>
    </row>
    <row r="13" spans="2:2" x14ac:dyDescent="0.2">
      <c r="B13" t="s">
        <v>235</v>
      </c>
    </row>
    <row r="14" spans="2:2" x14ac:dyDescent="0.2">
      <c r="B14" t="s">
        <v>1144</v>
      </c>
    </row>
    <row r="15" spans="2:2" x14ac:dyDescent="0.2">
      <c r="B15" t="s">
        <v>1145</v>
      </c>
    </row>
    <row r="16" spans="2:2" x14ac:dyDescent="0.2">
      <c r="B16" t="s">
        <v>1146</v>
      </c>
    </row>
    <row r="17" spans="2:2" x14ac:dyDescent="0.2">
      <c r="B17" t="s">
        <v>1147</v>
      </c>
    </row>
    <row r="18" spans="2:2" x14ac:dyDescent="0.2">
      <c r="B18" t="s">
        <v>1148</v>
      </c>
    </row>
    <row r="19" spans="2:2" x14ac:dyDescent="0.2">
      <c r="B19" t="s">
        <v>1149</v>
      </c>
    </row>
    <row r="20" spans="2:2" x14ac:dyDescent="0.2">
      <c r="B20" t="s">
        <v>1150</v>
      </c>
    </row>
    <row r="21" spans="2:2" x14ac:dyDescent="0.2">
      <c r="B21" t="s">
        <v>1151</v>
      </c>
    </row>
    <row r="22" spans="2:2" x14ac:dyDescent="0.2">
      <c r="B22" t="s">
        <v>1156</v>
      </c>
    </row>
    <row r="23" spans="2:2" x14ac:dyDescent="0.2">
      <c r="B23" t="s">
        <v>1177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J63"/>
  <sheetViews>
    <sheetView zoomScale="250" zoomScaleNormal="250" workbookViewId="0">
      <pane xSplit="2" ySplit="2" topLeftCell="C57" activePane="bottomRight" state="frozen"/>
      <selection pane="topRight" activeCell="C1" sqref="C1"/>
      <selection pane="bottomLeft" activeCell="A3" sqref="A3"/>
      <selection pane="bottomRight" activeCell="B63" sqref="B63"/>
    </sheetView>
  </sheetViews>
  <sheetFormatPr defaultColWidth="8.85546875" defaultRowHeight="12.75" x14ac:dyDescent="0.2"/>
  <cols>
    <col min="1" max="1" width="5" bestFit="1" customWidth="1"/>
    <col min="3" max="3" width="10.42578125" bestFit="1" customWidth="1"/>
    <col min="6" max="6" width="5.5703125" customWidth="1"/>
    <col min="7" max="7" width="11.85546875" bestFit="1" customWidth="1"/>
  </cols>
  <sheetData>
    <row r="1" spans="1:8" x14ac:dyDescent="0.2">
      <c r="A1" s="5" t="s">
        <v>286</v>
      </c>
    </row>
    <row r="2" spans="1:8" x14ac:dyDescent="0.2">
      <c r="B2" t="s">
        <v>1020</v>
      </c>
      <c r="C2" t="s">
        <v>330</v>
      </c>
      <c r="D2" t="s">
        <v>1025</v>
      </c>
      <c r="E2" t="s">
        <v>9</v>
      </c>
      <c r="F2" t="s">
        <v>1022</v>
      </c>
      <c r="G2" t="s">
        <v>1030</v>
      </c>
      <c r="H2" t="s">
        <v>427</v>
      </c>
    </row>
    <row r="3" spans="1:8" x14ac:dyDescent="0.2">
      <c r="B3" t="s">
        <v>1021</v>
      </c>
      <c r="D3" t="s">
        <v>1023</v>
      </c>
    </row>
    <row r="4" spans="1:8" x14ac:dyDescent="0.2">
      <c r="B4" t="s">
        <v>237</v>
      </c>
      <c r="D4" t="s">
        <v>1023</v>
      </c>
    </row>
    <row r="5" spans="1:8" x14ac:dyDescent="0.2">
      <c r="B5" t="s">
        <v>146</v>
      </c>
      <c r="C5" s="13">
        <v>45079</v>
      </c>
      <c r="D5" s="13" t="s">
        <v>1023</v>
      </c>
      <c r="E5">
        <v>40.96</v>
      </c>
      <c r="F5">
        <v>8</v>
      </c>
      <c r="G5">
        <v>20</v>
      </c>
    </row>
    <row r="6" spans="1:8" x14ac:dyDescent="0.2">
      <c r="B6" t="s">
        <v>1018</v>
      </c>
      <c r="C6" s="13">
        <v>45079</v>
      </c>
      <c r="D6" s="13" t="s">
        <v>1023</v>
      </c>
      <c r="E6">
        <v>14.37</v>
      </c>
      <c r="F6">
        <v>3</v>
      </c>
      <c r="G6">
        <v>31.26</v>
      </c>
      <c r="H6" t="s">
        <v>1386</v>
      </c>
    </row>
    <row r="7" spans="1:8" x14ac:dyDescent="0.2">
      <c r="B7" t="s">
        <v>1019</v>
      </c>
      <c r="C7" s="13">
        <v>45079</v>
      </c>
      <c r="D7" s="13" t="s">
        <v>1023</v>
      </c>
      <c r="E7">
        <v>63.96</v>
      </c>
      <c r="F7">
        <v>3</v>
      </c>
      <c r="G7" s="42">
        <v>79.5</v>
      </c>
    </row>
    <row r="8" spans="1:8" x14ac:dyDescent="0.2">
      <c r="B8" t="s">
        <v>783</v>
      </c>
      <c r="C8" s="13">
        <v>45079</v>
      </c>
      <c r="D8" s="13" t="s">
        <v>1024</v>
      </c>
      <c r="E8">
        <v>25.18</v>
      </c>
      <c r="F8">
        <v>3</v>
      </c>
      <c r="G8">
        <v>3.25</v>
      </c>
    </row>
    <row r="9" spans="1:8" s="25" customFormat="1" x14ac:dyDescent="0.2">
      <c r="B9" s="25" t="s">
        <v>774</v>
      </c>
      <c r="C9" s="55">
        <v>45538</v>
      </c>
      <c r="D9" s="55" t="s">
        <v>1024</v>
      </c>
      <c r="E9" s="25">
        <v>29.52</v>
      </c>
      <c r="F9" s="25">
        <v>10</v>
      </c>
      <c r="G9" s="25">
        <v>28.96</v>
      </c>
    </row>
    <row r="10" spans="1:8" x14ac:dyDescent="0.2">
      <c r="A10" s="25"/>
      <c r="B10" s="25" t="s">
        <v>1199</v>
      </c>
      <c r="C10" s="25"/>
      <c r="D10" s="55" t="s">
        <v>1023</v>
      </c>
      <c r="E10" s="25"/>
      <c r="F10" s="25">
        <v>6</v>
      </c>
      <c r="G10">
        <v>37.04</v>
      </c>
    </row>
    <row r="11" spans="1:8" x14ac:dyDescent="0.2">
      <c r="B11" t="s">
        <v>215</v>
      </c>
      <c r="D11" s="13" t="s">
        <v>1023</v>
      </c>
      <c r="F11">
        <v>3</v>
      </c>
      <c r="G11">
        <v>10.51</v>
      </c>
    </row>
    <row r="12" spans="1:8" x14ac:dyDescent="0.2">
      <c r="B12" t="s">
        <v>92</v>
      </c>
      <c r="D12" s="13" t="s">
        <v>1023</v>
      </c>
      <c r="F12">
        <v>4</v>
      </c>
      <c r="G12" s="42">
        <v>118.4</v>
      </c>
    </row>
    <row r="13" spans="1:8" x14ac:dyDescent="0.2">
      <c r="B13" t="s">
        <v>1200</v>
      </c>
      <c r="C13" s="13">
        <v>45550</v>
      </c>
      <c r="D13" s="13" t="s">
        <v>1023</v>
      </c>
      <c r="F13">
        <v>5</v>
      </c>
      <c r="G13">
        <v>1.53</v>
      </c>
    </row>
    <row r="14" spans="1:8" x14ac:dyDescent="0.2">
      <c r="B14" t="s">
        <v>756</v>
      </c>
      <c r="C14" s="13"/>
      <c r="D14" s="13" t="s">
        <v>1023</v>
      </c>
      <c r="G14" s="42">
        <v>14.94</v>
      </c>
    </row>
    <row r="15" spans="1:8" x14ac:dyDescent="0.2">
      <c r="B15" t="s">
        <v>1312</v>
      </c>
      <c r="C15" s="13"/>
      <c r="D15" s="13" t="s">
        <v>1023</v>
      </c>
      <c r="F15">
        <v>3</v>
      </c>
      <c r="G15" s="42">
        <v>193.34</v>
      </c>
    </row>
    <row r="16" spans="1:8" x14ac:dyDescent="0.2">
      <c r="B16" t="s">
        <v>1201</v>
      </c>
      <c r="D16" s="13" t="s">
        <v>1023</v>
      </c>
      <c r="F16">
        <v>4</v>
      </c>
      <c r="G16">
        <v>70.400000000000006</v>
      </c>
    </row>
    <row r="17" spans="1:8" x14ac:dyDescent="0.2">
      <c r="B17" t="s">
        <v>1202</v>
      </c>
      <c r="D17" s="13" t="s">
        <v>1023</v>
      </c>
      <c r="F17">
        <v>4</v>
      </c>
      <c r="G17">
        <v>11.35</v>
      </c>
    </row>
    <row r="18" spans="1:8" x14ac:dyDescent="0.2">
      <c r="B18" t="s">
        <v>1203</v>
      </c>
      <c r="D18" t="s">
        <v>1023</v>
      </c>
      <c r="F18">
        <v>1</v>
      </c>
      <c r="G18">
        <v>101.87</v>
      </c>
    </row>
    <row r="19" spans="1:8" x14ac:dyDescent="0.2">
      <c r="B19" t="s">
        <v>94</v>
      </c>
      <c r="D19" t="s">
        <v>1023</v>
      </c>
      <c r="F19">
        <v>4</v>
      </c>
      <c r="G19">
        <v>114.59</v>
      </c>
    </row>
    <row r="20" spans="1:8" x14ac:dyDescent="0.2">
      <c r="B20" t="s">
        <v>1194</v>
      </c>
      <c r="D20" t="s">
        <v>1024</v>
      </c>
      <c r="F20">
        <v>3</v>
      </c>
      <c r="G20">
        <v>1.24</v>
      </c>
    </row>
    <row r="21" spans="1:8" x14ac:dyDescent="0.2">
      <c r="B21" t="s">
        <v>1204</v>
      </c>
      <c r="D21" t="s">
        <v>1024</v>
      </c>
      <c r="F21">
        <v>1</v>
      </c>
      <c r="G21">
        <v>5.82</v>
      </c>
    </row>
    <row r="22" spans="1:8" x14ac:dyDescent="0.2">
      <c r="B22" t="s">
        <v>1205</v>
      </c>
      <c r="D22" t="s">
        <v>1023</v>
      </c>
      <c r="F22">
        <v>3</v>
      </c>
      <c r="G22" s="42">
        <v>10</v>
      </c>
    </row>
    <row r="23" spans="1:8" x14ac:dyDescent="0.2">
      <c r="B23" t="s">
        <v>1206</v>
      </c>
      <c r="D23" t="s">
        <v>1023</v>
      </c>
      <c r="F23">
        <v>3</v>
      </c>
      <c r="G23" s="42">
        <v>21.32</v>
      </c>
    </row>
    <row r="24" spans="1:8" x14ac:dyDescent="0.2">
      <c r="B24" t="s">
        <v>1207</v>
      </c>
      <c r="D24" t="s">
        <v>1023</v>
      </c>
      <c r="F24">
        <v>3</v>
      </c>
      <c r="G24" s="42">
        <v>26.75</v>
      </c>
    </row>
    <row r="25" spans="1:8" x14ac:dyDescent="0.2">
      <c r="B25" t="s">
        <v>1329</v>
      </c>
      <c r="C25" s="13">
        <v>45566</v>
      </c>
      <c r="D25" t="s">
        <v>1024</v>
      </c>
      <c r="E25">
        <v>194.08</v>
      </c>
      <c r="F25">
        <v>1</v>
      </c>
      <c r="G25" s="42">
        <v>200</v>
      </c>
      <c r="H25" s="56">
        <f t="shared" ref="H25:H50" si="0">+G25/E25-1</f>
        <v>3.0502885408079106E-2</v>
      </c>
    </row>
    <row r="26" spans="1:8" x14ac:dyDescent="0.2">
      <c r="B26" t="s">
        <v>1181</v>
      </c>
      <c r="C26" s="13">
        <v>45566</v>
      </c>
      <c r="D26" t="s">
        <v>1328</v>
      </c>
      <c r="E26">
        <v>1.34</v>
      </c>
      <c r="F26">
        <v>0</v>
      </c>
      <c r="G26" s="42">
        <v>1.1499999999999999</v>
      </c>
      <c r="H26" s="56">
        <f t="shared" si="0"/>
        <v>-0.14179104477611948</v>
      </c>
    </row>
    <row r="27" spans="1:8" x14ac:dyDescent="0.2">
      <c r="B27" t="s">
        <v>774</v>
      </c>
      <c r="C27" s="13">
        <v>45567</v>
      </c>
      <c r="D27" t="s">
        <v>1024</v>
      </c>
      <c r="E27">
        <v>26.94</v>
      </c>
      <c r="F27" s="25">
        <v>10</v>
      </c>
      <c r="G27">
        <v>29.04</v>
      </c>
      <c r="H27" s="56">
        <f t="shared" si="0"/>
        <v>7.795100222717144E-2</v>
      </c>
    </row>
    <row r="28" spans="1:8" x14ac:dyDescent="0.2">
      <c r="B28" t="s">
        <v>1213</v>
      </c>
      <c r="C28" s="13">
        <v>45567</v>
      </c>
      <c r="D28" t="s">
        <v>1328</v>
      </c>
      <c r="E28">
        <v>8.39</v>
      </c>
      <c r="F28">
        <v>0</v>
      </c>
      <c r="G28">
        <v>8.84</v>
      </c>
      <c r="H28" s="56">
        <f t="shared" si="0"/>
        <v>5.3635280095351456E-2</v>
      </c>
    </row>
    <row r="29" spans="1:8" x14ac:dyDescent="0.2">
      <c r="B29" t="s">
        <v>1194</v>
      </c>
      <c r="C29" s="13">
        <v>45567</v>
      </c>
      <c r="D29" t="s">
        <v>1024</v>
      </c>
      <c r="E29">
        <v>1.24</v>
      </c>
      <c r="F29">
        <v>3</v>
      </c>
      <c r="G29" s="42">
        <v>1.27</v>
      </c>
      <c r="H29" s="56">
        <f t="shared" si="0"/>
        <v>2.4193548387096753E-2</v>
      </c>
    </row>
    <row r="30" spans="1:8" x14ac:dyDescent="0.2">
      <c r="A30" s="25"/>
      <c r="B30" s="25" t="s">
        <v>807</v>
      </c>
      <c r="C30" s="55">
        <v>45567</v>
      </c>
      <c r="D30" s="25" t="s">
        <v>1023</v>
      </c>
      <c r="E30" s="25">
        <v>19.57</v>
      </c>
      <c r="F30" s="25">
        <v>5</v>
      </c>
      <c r="G30" s="57">
        <v>15.93</v>
      </c>
      <c r="H30" s="56">
        <f t="shared" si="0"/>
        <v>-0.18599897802759324</v>
      </c>
    </row>
    <row r="31" spans="1:8" x14ac:dyDescent="0.2">
      <c r="A31" s="25"/>
      <c r="B31" t="s">
        <v>871</v>
      </c>
      <c r="C31" s="13">
        <v>45567</v>
      </c>
      <c r="D31" t="s">
        <v>1023</v>
      </c>
      <c r="E31">
        <v>11.84</v>
      </c>
      <c r="F31">
        <v>1</v>
      </c>
      <c r="G31">
        <v>12.22</v>
      </c>
      <c r="H31" s="56">
        <f t="shared" si="0"/>
        <v>3.2094594594594739E-2</v>
      </c>
    </row>
    <row r="32" spans="1:8" x14ac:dyDescent="0.2">
      <c r="B32" t="s">
        <v>1194</v>
      </c>
      <c r="C32" s="13">
        <v>45568</v>
      </c>
      <c r="D32" t="s">
        <v>1024</v>
      </c>
      <c r="E32">
        <v>1.24</v>
      </c>
      <c r="F32">
        <v>3</v>
      </c>
      <c r="G32" s="42">
        <v>1.27</v>
      </c>
      <c r="H32" s="56">
        <f t="shared" si="0"/>
        <v>2.4193548387096753E-2</v>
      </c>
    </row>
    <row r="33" spans="1:10" s="25" customFormat="1" x14ac:dyDescent="0.2">
      <c r="B33" s="25" t="s">
        <v>774</v>
      </c>
      <c r="C33" s="55">
        <v>45568</v>
      </c>
      <c r="D33" s="25" t="s">
        <v>1024</v>
      </c>
      <c r="E33" s="25">
        <v>26.96</v>
      </c>
      <c r="F33" s="25">
        <v>10</v>
      </c>
      <c r="G33" s="57">
        <v>29.04</v>
      </c>
      <c r="H33" s="58">
        <f t="shared" si="0"/>
        <v>7.71513353115727E-2</v>
      </c>
    </row>
    <row r="34" spans="1:10" x14ac:dyDescent="0.2">
      <c r="B34" t="s">
        <v>1214</v>
      </c>
      <c r="C34" s="13">
        <v>45568</v>
      </c>
      <c r="D34" t="s">
        <v>1023</v>
      </c>
      <c r="E34">
        <v>27.88</v>
      </c>
      <c r="F34">
        <v>3</v>
      </c>
      <c r="G34" s="42">
        <v>30.46</v>
      </c>
      <c r="H34" s="56">
        <f t="shared" si="0"/>
        <v>9.253945480631276E-2</v>
      </c>
    </row>
    <row r="35" spans="1:10" x14ac:dyDescent="0.2">
      <c r="B35" t="s">
        <v>1327</v>
      </c>
      <c r="C35" s="13">
        <v>45568</v>
      </c>
      <c r="D35" t="s">
        <v>1323</v>
      </c>
      <c r="E35">
        <v>0.83</v>
      </c>
      <c r="F35">
        <v>3</v>
      </c>
      <c r="G35" s="42">
        <v>0.84</v>
      </c>
      <c r="H35" s="56">
        <f t="shared" si="0"/>
        <v>1.2048192771084265E-2</v>
      </c>
    </row>
    <row r="36" spans="1:10" x14ac:dyDescent="0.2">
      <c r="B36" t="s">
        <v>887</v>
      </c>
      <c r="C36" s="13">
        <v>45568</v>
      </c>
      <c r="D36" t="s">
        <v>1023</v>
      </c>
      <c r="E36">
        <v>13.52</v>
      </c>
      <c r="F36">
        <v>2</v>
      </c>
      <c r="G36" s="42">
        <v>14.35</v>
      </c>
      <c r="H36" s="56">
        <f t="shared" si="0"/>
        <v>6.1390532544378651E-2</v>
      </c>
    </row>
    <row r="37" spans="1:10" x14ac:dyDescent="0.2">
      <c r="A37" s="25"/>
      <c r="B37" t="s">
        <v>1204</v>
      </c>
      <c r="C37" s="13">
        <v>45568</v>
      </c>
      <c r="D37" t="s">
        <v>1024</v>
      </c>
      <c r="E37">
        <v>5.28</v>
      </c>
      <c r="F37">
        <v>2</v>
      </c>
      <c r="G37">
        <v>5.22</v>
      </c>
      <c r="H37" s="56">
        <f t="shared" si="0"/>
        <v>-1.1363636363636465E-2</v>
      </c>
    </row>
    <row r="38" spans="1:10" x14ac:dyDescent="0.2">
      <c r="B38" s="25" t="s">
        <v>1218</v>
      </c>
      <c r="C38" s="55">
        <v>45569</v>
      </c>
      <c r="D38" s="25" t="s">
        <v>1023</v>
      </c>
      <c r="E38" s="25">
        <v>5.64</v>
      </c>
      <c r="F38" s="25">
        <v>3</v>
      </c>
      <c r="G38" s="25">
        <v>7.57</v>
      </c>
      <c r="H38" s="58">
        <f t="shared" si="0"/>
        <v>0.34219858156028371</v>
      </c>
    </row>
    <row r="39" spans="1:10" x14ac:dyDescent="0.2">
      <c r="B39" t="s">
        <v>1326</v>
      </c>
      <c r="C39" s="13">
        <v>45569</v>
      </c>
      <c r="D39" t="s">
        <v>1323</v>
      </c>
      <c r="E39">
        <v>2.68</v>
      </c>
      <c r="F39">
        <v>3</v>
      </c>
      <c r="G39">
        <v>3.02</v>
      </c>
      <c r="H39" s="56">
        <f t="shared" si="0"/>
        <v>0.12686567164179108</v>
      </c>
    </row>
    <row r="40" spans="1:10" x14ac:dyDescent="0.2">
      <c r="B40" t="s">
        <v>1325</v>
      </c>
      <c r="C40" s="13">
        <v>45569</v>
      </c>
      <c r="D40" t="s">
        <v>1023</v>
      </c>
      <c r="E40">
        <v>7.84</v>
      </c>
      <c r="F40">
        <v>3</v>
      </c>
      <c r="G40" s="42">
        <v>8.0299999999999994</v>
      </c>
      <c r="H40" s="56">
        <f t="shared" si="0"/>
        <v>2.4234693877551061E-2</v>
      </c>
    </row>
    <row r="41" spans="1:10" x14ac:dyDescent="0.2">
      <c r="B41" t="s">
        <v>149</v>
      </c>
      <c r="C41" s="13">
        <v>45571</v>
      </c>
      <c r="D41" t="s">
        <v>1023</v>
      </c>
      <c r="E41">
        <v>53.79</v>
      </c>
      <c r="F41">
        <v>2</v>
      </c>
      <c r="G41" s="42">
        <v>56.41</v>
      </c>
      <c r="H41" s="56">
        <f t="shared" si="0"/>
        <v>4.8707938278490293E-2</v>
      </c>
    </row>
    <row r="42" spans="1:10" x14ac:dyDescent="0.2">
      <c r="B42" t="s">
        <v>1314</v>
      </c>
      <c r="C42" s="13">
        <v>45572</v>
      </c>
      <c r="D42" t="s">
        <v>1023</v>
      </c>
      <c r="E42" s="42">
        <v>25</v>
      </c>
      <c r="F42">
        <v>5</v>
      </c>
      <c r="G42" s="42">
        <v>31</v>
      </c>
      <c r="H42" s="56">
        <f t="shared" si="0"/>
        <v>0.24</v>
      </c>
      <c r="I42" t="s">
        <v>1338</v>
      </c>
    </row>
    <row r="43" spans="1:10" x14ac:dyDescent="0.2">
      <c r="A43" s="25"/>
      <c r="B43" t="s">
        <v>92</v>
      </c>
      <c r="C43" s="13">
        <v>45572</v>
      </c>
      <c r="D43" t="s">
        <v>1023</v>
      </c>
      <c r="E43">
        <v>112.16</v>
      </c>
      <c r="F43">
        <v>5</v>
      </c>
      <c r="G43" s="42">
        <v>118.29</v>
      </c>
      <c r="H43" s="56">
        <f t="shared" si="0"/>
        <v>5.4654065620542092E-2</v>
      </c>
    </row>
    <row r="44" spans="1:10" x14ac:dyDescent="0.2">
      <c r="B44" s="25" t="s">
        <v>664</v>
      </c>
      <c r="C44" s="55">
        <v>45572</v>
      </c>
      <c r="D44" s="25" t="s">
        <v>1023</v>
      </c>
      <c r="E44" s="25">
        <v>40.380000000000003</v>
      </c>
      <c r="F44" s="25">
        <v>4</v>
      </c>
      <c r="G44" s="57">
        <v>40</v>
      </c>
      <c r="H44" s="58">
        <f t="shared" si="0"/>
        <v>-9.4105993065874971E-3</v>
      </c>
      <c r="I44" s="25"/>
      <c r="J44" s="25"/>
    </row>
    <row r="45" spans="1:10" x14ac:dyDescent="0.2">
      <c r="B45" t="s">
        <v>532</v>
      </c>
      <c r="C45" s="13">
        <v>45572</v>
      </c>
      <c r="D45" t="s">
        <v>1324</v>
      </c>
      <c r="E45" s="42">
        <v>8.1999999999999993</v>
      </c>
      <c r="F45">
        <v>1</v>
      </c>
      <c r="G45">
        <v>8.91</v>
      </c>
      <c r="H45" s="56">
        <f t="shared" si="0"/>
        <v>8.6585365853658613E-2</v>
      </c>
    </row>
    <row r="46" spans="1:10" x14ac:dyDescent="0.2">
      <c r="B46" t="s">
        <v>1319</v>
      </c>
      <c r="C46" s="13">
        <v>45573</v>
      </c>
      <c r="D46" t="s">
        <v>1321</v>
      </c>
      <c r="E46">
        <v>14.49</v>
      </c>
      <c r="F46">
        <v>3</v>
      </c>
      <c r="G46">
        <v>16.940000000000001</v>
      </c>
      <c r="H46" s="56">
        <f t="shared" si="0"/>
        <v>0.16908212560386482</v>
      </c>
    </row>
    <row r="47" spans="1:10" x14ac:dyDescent="0.2">
      <c r="B47" s="25" t="s">
        <v>98</v>
      </c>
      <c r="C47" s="55">
        <v>45573</v>
      </c>
      <c r="D47" s="25" t="s">
        <v>1023</v>
      </c>
      <c r="E47" s="25">
        <v>17.25</v>
      </c>
      <c r="F47" s="25">
        <v>3</v>
      </c>
      <c r="G47" s="25">
        <v>18.63</v>
      </c>
      <c r="H47" s="58">
        <f t="shared" si="0"/>
        <v>7.9999999999999849E-2</v>
      </c>
    </row>
    <row r="48" spans="1:10" x14ac:dyDescent="0.2">
      <c r="B48" s="25" t="s">
        <v>54</v>
      </c>
      <c r="C48" s="55">
        <v>45573</v>
      </c>
      <c r="D48" s="25" t="s">
        <v>1023</v>
      </c>
      <c r="E48" s="25">
        <v>58.39</v>
      </c>
      <c r="F48" s="25">
        <v>2</v>
      </c>
      <c r="G48" s="57">
        <v>53.82</v>
      </c>
      <c r="H48" s="58">
        <f t="shared" si="0"/>
        <v>-7.8266826511388943E-2</v>
      </c>
      <c r="I48" s="25"/>
      <c r="J48" s="25"/>
    </row>
    <row r="49" spans="2:9" x14ac:dyDescent="0.2">
      <c r="B49" t="s">
        <v>1322</v>
      </c>
      <c r="C49" s="13">
        <v>45573</v>
      </c>
      <c r="D49" t="s">
        <v>1024</v>
      </c>
      <c r="E49" s="42">
        <v>613</v>
      </c>
      <c r="F49">
        <v>1</v>
      </c>
      <c r="G49" s="42">
        <v>613.30999999999995</v>
      </c>
      <c r="H49" s="56">
        <f t="shared" si="0"/>
        <v>5.0570962479601356E-4</v>
      </c>
    </row>
    <row r="50" spans="2:9" x14ac:dyDescent="0.2">
      <c r="B50" s="25" t="s">
        <v>119</v>
      </c>
      <c r="C50" s="55">
        <v>45574</v>
      </c>
      <c r="D50" s="25" t="s">
        <v>1023</v>
      </c>
      <c r="E50" s="25">
        <v>48.57</v>
      </c>
      <c r="F50" s="25">
        <v>3</v>
      </c>
      <c r="G50" s="25">
        <v>42.35</v>
      </c>
      <c r="H50" s="58">
        <f t="shared" si="0"/>
        <v>-0.12806259007617871</v>
      </c>
    </row>
    <row r="51" spans="2:9" x14ac:dyDescent="0.2">
      <c r="B51" s="25" t="s">
        <v>807</v>
      </c>
      <c r="C51" s="55">
        <v>45575</v>
      </c>
      <c r="D51" s="25" t="s">
        <v>1023</v>
      </c>
      <c r="E51" s="25">
        <v>17.88</v>
      </c>
      <c r="F51" s="25">
        <v>10</v>
      </c>
      <c r="G51" s="57">
        <v>15.92</v>
      </c>
      <c r="H51" s="58">
        <f t="shared" ref="H51:H60" si="1">+G51/E51-1</f>
        <v>-0.10961968680089484</v>
      </c>
      <c r="I51" s="25"/>
    </row>
    <row r="52" spans="2:9" x14ac:dyDescent="0.2">
      <c r="B52" t="s">
        <v>1332</v>
      </c>
      <c r="C52" s="13">
        <v>45575</v>
      </c>
      <c r="D52" t="s">
        <v>1023</v>
      </c>
      <c r="E52" s="42">
        <v>2.7</v>
      </c>
      <c r="F52">
        <v>1</v>
      </c>
      <c r="G52" s="42">
        <v>2.9</v>
      </c>
      <c r="H52" s="56">
        <f>+G52/E52-1</f>
        <v>7.4074074074073959E-2</v>
      </c>
    </row>
    <row r="53" spans="2:9" x14ac:dyDescent="0.2">
      <c r="B53" t="s">
        <v>1337</v>
      </c>
      <c r="C53" s="13">
        <v>45576</v>
      </c>
      <c r="D53" t="s">
        <v>1023</v>
      </c>
      <c r="E53" s="42">
        <v>109</v>
      </c>
      <c r="F53">
        <v>1</v>
      </c>
      <c r="G53" s="42">
        <v>108</v>
      </c>
      <c r="H53" s="56">
        <f t="shared" si="1"/>
        <v>-9.1743119266054496E-3</v>
      </c>
    </row>
    <row r="54" spans="2:9" x14ac:dyDescent="0.2">
      <c r="B54" t="s">
        <v>1339</v>
      </c>
      <c r="C54" s="13">
        <v>45576</v>
      </c>
      <c r="D54" t="s">
        <v>1023</v>
      </c>
      <c r="E54" s="42">
        <v>41.74</v>
      </c>
      <c r="F54">
        <v>1</v>
      </c>
      <c r="G54" s="42">
        <v>41.94</v>
      </c>
      <c r="H54" s="56">
        <f t="shared" si="1"/>
        <v>4.7915668423572644E-3</v>
      </c>
    </row>
    <row r="55" spans="2:9" x14ac:dyDescent="0.2">
      <c r="B55" t="s">
        <v>1350</v>
      </c>
      <c r="C55" s="13">
        <v>45580</v>
      </c>
      <c r="D55" t="s">
        <v>1023</v>
      </c>
      <c r="E55" s="42">
        <v>377.18</v>
      </c>
      <c r="F55">
        <v>1</v>
      </c>
      <c r="G55" s="42">
        <v>371</v>
      </c>
      <c r="H55" s="56">
        <f t="shared" si="1"/>
        <v>-1.6384749986743774E-2</v>
      </c>
    </row>
    <row r="56" spans="2:9" x14ac:dyDescent="0.2">
      <c r="B56" t="s">
        <v>1387</v>
      </c>
      <c r="C56" s="13">
        <v>45580</v>
      </c>
      <c r="D56" t="s">
        <v>1023</v>
      </c>
      <c r="E56" s="42">
        <v>34.39</v>
      </c>
      <c r="F56">
        <v>1</v>
      </c>
      <c r="G56" s="42">
        <v>34.85</v>
      </c>
      <c r="H56" s="56">
        <f t="shared" si="1"/>
        <v>1.3375981389939007E-2</v>
      </c>
    </row>
    <row r="57" spans="2:9" x14ac:dyDescent="0.2">
      <c r="B57" t="s">
        <v>1388</v>
      </c>
      <c r="C57" s="13">
        <v>45580</v>
      </c>
      <c r="D57" t="s">
        <v>1024</v>
      </c>
      <c r="E57" s="42">
        <v>116</v>
      </c>
      <c r="F57">
        <v>3</v>
      </c>
      <c r="G57" s="42">
        <v>116</v>
      </c>
      <c r="H57" s="56">
        <f t="shared" si="1"/>
        <v>0</v>
      </c>
    </row>
    <row r="58" spans="2:9" x14ac:dyDescent="0.2">
      <c r="B58" t="s">
        <v>1389</v>
      </c>
      <c r="C58" s="13">
        <v>45581</v>
      </c>
      <c r="D58" t="s">
        <v>1024</v>
      </c>
      <c r="E58" s="42">
        <v>67.209999999999994</v>
      </c>
      <c r="F58">
        <v>3</v>
      </c>
      <c r="G58" s="42">
        <v>64.87</v>
      </c>
      <c r="H58" s="56">
        <f t="shared" si="1"/>
        <v>-3.4816247582204918E-2</v>
      </c>
    </row>
    <row r="59" spans="2:9" x14ac:dyDescent="0.2">
      <c r="B59" t="s">
        <v>1392</v>
      </c>
      <c r="C59" s="13">
        <v>45581</v>
      </c>
      <c r="D59" t="s">
        <v>1024</v>
      </c>
      <c r="E59" s="42">
        <v>13.44</v>
      </c>
      <c r="F59">
        <v>2</v>
      </c>
      <c r="G59" s="42">
        <v>13.51</v>
      </c>
      <c r="H59" s="56">
        <f t="shared" si="1"/>
        <v>5.2083333333332593E-3</v>
      </c>
    </row>
    <row r="60" spans="2:9" x14ac:dyDescent="0.2">
      <c r="B60" t="s">
        <v>1390</v>
      </c>
      <c r="C60" s="13">
        <v>45581</v>
      </c>
      <c r="D60" t="s">
        <v>1024</v>
      </c>
      <c r="E60" s="42">
        <v>7.09</v>
      </c>
      <c r="F60">
        <v>2</v>
      </c>
      <c r="G60" s="42">
        <v>7.18</v>
      </c>
      <c r="H60" s="56">
        <f t="shared" si="1"/>
        <v>1.2693935119887145E-2</v>
      </c>
    </row>
    <row r="61" spans="2:9" x14ac:dyDescent="0.2">
      <c r="B61" t="s">
        <v>1391</v>
      </c>
      <c r="C61" s="13">
        <v>45581</v>
      </c>
      <c r="D61" t="s">
        <v>1323</v>
      </c>
      <c r="E61">
        <v>3.45</v>
      </c>
      <c r="F61">
        <v>1</v>
      </c>
      <c r="G61">
        <v>4.3899999999999997</v>
      </c>
      <c r="H61" s="56">
        <f t="shared" ref="H61:H63" si="2">+G61/E61-1</f>
        <v>0.27246376811594186</v>
      </c>
    </row>
    <row r="62" spans="2:9" x14ac:dyDescent="0.2">
      <c r="B62" t="s">
        <v>1393</v>
      </c>
      <c r="C62" s="13">
        <v>45581</v>
      </c>
      <c r="D62" t="s">
        <v>1024</v>
      </c>
      <c r="E62" s="42">
        <v>6.2</v>
      </c>
      <c r="F62">
        <v>1</v>
      </c>
      <c r="G62" s="42">
        <v>6.43</v>
      </c>
      <c r="H62" s="56">
        <f t="shared" si="2"/>
        <v>3.7096774193548399E-2</v>
      </c>
    </row>
    <row r="63" spans="2:9" x14ac:dyDescent="0.2">
      <c r="B63" t="s">
        <v>88</v>
      </c>
      <c r="C63" s="13">
        <v>45583</v>
      </c>
      <c r="D63" t="s">
        <v>1023</v>
      </c>
      <c r="E63" s="42">
        <v>51.84</v>
      </c>
      <c r="F63">
        <v>5</v>
      </c>
      <c r="G63" s="42">
        <v>51.84</v>
      </c>
      <c r="H63" s="56">
        <f t="shared" si="2"/>
        <v>0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79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5" sqref="D15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5703125" customWidth="1"/>
    <col min="9" max="18" width="7.42578125" style="28" customWidth="1"/>
    <col min="19" max="27" width="7.42578125" customWidth="1"/>
    <col min="28" max="28" width="10.42578125" customWidth="1"/>
    <col min="29" max="31" width="9.140625" style="28"/>
  </cols>
  <sheetData>
    <row r="1" spans="1:140" x14ac:dyDescent="0.2">
      <c r="A1" s="5" t="s">
        <v>286</v>
      </c>
    </row>
    <row r="2" spans="1:140" x14ac:dyDescent="0.2">
      <c r="A2" s="28" t="s">
        <v>1433</v>
      </c>
      <c r="B2" t="s">
        <v>1104</v>
      </c>
      <c r="C2" t="s">
        <v>635</v>
      </c>
      <c r="D2" t="s">
        <v>1424</v>
      </c>
      <c r="E2" t="s">
        <v>1434</v>
      </c>
      <c r="F2" t="s">
        <v>632</v>
      </c>
      <c r="G2" s="28" t="s">
        <v>1416</v>
      </c>
      <c r="H2" s="28"/>
      <c r="I2" s="28" t="s">
        <v>1097</v>
      </c>
      <c r="J2" s="28" t="s">
        <v>1098</v>
      </c>
      <c r="K2" s="28" t="s">
        <v>1099</v>
      </c>
      <c r="L2" s="28" t="s">
        <v>1100</v>
      </c>
      <c r="M2" s="28" t="s">
        <v>1101</v>
      </c>
      <c r="N2" s="28" t="s">
        <v>1102</v>
      </c>
      <c r="O2" s="28" t="s">
        <v>1103</v>
      </c>
      <c r="P2" s="28" t="s">
        <v>1219</v>
      </c>
      <c r="Q2" s="28" t="s">
        <v>1438</v>
      </c>
      <c r="R2" s="28" t="s">
        <v>1439</v>
      </c>
      <c r="S2" s="28" t="s">
        <v>1440</v>
      </c>
      <c r="T2" s="28" t="s">
        <v>1441</v>
      </c>
      <c r="U2" s="28" t="s">
        <v>1446</v>
      </c>
      <c r="V2" s="28" t="s">
        <v>1447</v>
      </c>
      <c r="W2" s="28" t="s">
        <v>1448</v>
      </c>
      <c r="X2" s="28" t="s">
        <v>1449</v>
      </c>
      <c r="Y2" s="28" t="s">
        <v>1463</v>
      </c>
      <c r="Z2" s="28" t="s">
        <v>1464</v>
      </c>
      <c r="AA2" s="28" t="s">
        <v>1465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1054</v>
      </c>
      <c r="AJ2" s="28" t="s">
        <v>1055</v>
      </c>
      <c r="AK2" s="28" t="s">
        <v>1056</v>
      </c>
      <c r="AL2" s="28" t="s">
        <v>1057</v>
      </c>
      <c r="AM2" s="28" t="s">
        <v>1058</v>
      </c>
      <c r="AN2" s="28" t="s">
        <v>1059</v>
      </c>
      <c r="AO2" s="28" t="s">
        <v>1063</v>
      </c>
      <c r="AP2" s="28" t="s">
        <v>1064</v>
      </c>
      <c r="AQ2" s="28" t="s">
        <v>1065</v>
      </c>
      <c r="AR2" s="28" t="s">
        <v>1066</v>
      </c>
      <c r="AS2" s="28" t="s">
        <v>1084</v>
      </c>
      <c r="AT2" s="28" t="s">
        <v>1085</v>
      </c>
      <c r="AU2" s="28" t="s">
        <v>1086</v>
      </c>
      <c r="AV2" s="28" t="s">
        <v>1087</v>
      </c>
      <c r="AW2" s="28" t="s">
        <v>1088</v>
      </c>
      <c r="AX2" s="28" t="s">
        <v>1089</v>
      </c>
      <c r="AY2" s="28" t="s">
        <v>1090</v>
      </c>
      <c r="AZ2" s="28" t="s">
        <v>1091</v>
      </c>
      <c r="BA2" s="28" t="s">
        <v>1092</v>
      </c>
      <c r="BB2" s="28" t="s">
        <v>1093</v>
      </c>
      <c r="BC2" s="28" t="s">
        <v>1094</v>
      </c>
      <c r="BD2" s="28" t="s">
        <v>1095</v>
      </c>
      <c r="BE2" s="28" t="s">
        <v>1096</v>
      </c>
    </row>
    <row r="3" spans="1:140" x14ac:dyDescent="0.2">
      <c r="A3" s="28">
        <v>1</v>
      </c>
      <c r="B3" t="s">
        <v>1454</v>
      </c>
      <c r="C3" t="s">
        <v>18</v>
      </c>
      <c r="D3" t="s">
        <v>1428</v>
      </c>
      <c r="E3">
        <v>3</v>
      </c>
      <c r="F3" t="s">
        <v>1455</v>
      </c>
      <c r="G3" s="61">
        <f t="shared" ref="G3:G4" si="0">SUM(AC3:FZ3)</f>
        <v>233470</v>
      </c>
      <c r="H3" s="61"/>
      <c r="I3" s="63">
        <v>942</v>
      </c>
      <c r="J3" s="63">
        <v>3774</v>
      </c>
      <c r="K3" s="63">
        <v>4948</v>
      </c>
      <c r="L3" s="63">
        <v>6735</v>
      </c>
      <c r="M3" s="63">
        <v>7204</v>
      </c>
      <c r="N3" s="63">
        <v>6992</v>
      </c>
      <c r="O3" s="63">
        <v>7523</v>
      </c>
      <c r="P3" s="63">
        <f t="shared" ref="P3" si="1">SUM(BE3:BH3)</f>
        <v>6548</v>
      </c>
      <c r="Q3" s="63">
        <f t="shared" ref="Q3" si="2">SUM(BI3:BL3)</f>
        <v>7932</v>
      </c>
      <c r="R3" s="63">
        <f t="shared" ref="R3" si="3">SUM(BM3:BP3)</f>
        <v>9266</v>
      </c>
      <c r="S3" s="63">
        <f t="shared" ref="S3" si="4">SUM(BQ3:BT3)</f>
        <v>10659</v>
      </c>
      <c r="T3" s="63">
        <f t="shared" ref="T3" si="5">SUM(BU3:BX3)</f>
        <v>12543</v>
      </c>
      <c r="U3" s="63">
        <f t="shared" ref="U3" si="6">SUM(BY3:CB3)</f>
        <v>14012</v>
      </c>
      <c r="V3" s="63">
        <f t="shared" ref="V3" si="7">SUM(CC3:CF3)</f>
        <v>16078</v>
      </c>
      <c r="W3" s="63">
        <f t="shared" ref="W3" si="8">SUM(CG3:CJ3)</f>
        <v>18427</v>
      </c>
      <c r="X3" s="63">
        <f t="shared" ref="X3" si="9">SUM(CK3:CN3)</f>
        <v>19936</v>
      </c>
      <c r="Y3" s="63"/>
      <c r="Z3" s="63"/>
      <c r="AA3" s="63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s="62" customFormat="1" x14ac:dyDescent="0.2">
      <c r="A4" s="64">
        <v>2</v>
      </c>
      <c r="B4" s="62" t="s">
        <v>1444</v>
      </c>
      <c r="C4" s="62" t="s">
        <v>24</v>
      </c>
      <c r="D4" s="62" t="s">
        <v>1427</v>
      </c>
      <c r="F4" s="62" t="s">
        <v>1445</v>
      </c>
      <c r="G4" s="61">
        <f t="shared" si="0"/>
        <v>146735</v>
      </c>
      <c r="H4" s="61"/>
      <c r="I4" s="63">
        <v>942</v>
      </c>
      <c r="J4" s="63">
        <v>3774</v>
      </c>
      <c r="K4" s="63">
        <v>4948</v>
      </c>
      <c r="L4" s="63">
        <v>6735</v>
      </c>
      <c r="M4" s="63">
        <v>7204</v>
      </c>
      <c r="N4" s="63">
        <v>6992</v>
      </c>
      <c r="O4" s="63">
        <v>7523</v>
      </c>
      <c r="P4" s="63">
        <f t="shared" ref="P4" si="10">SUM(BE4:BH4)</f>
        <v>10862</v>
      </c>
      <c r="Q4" s="63">
        <f t="shared" ref="Q4" si="11">SUM(BI4:BL4)</f>
        <v>12187</v>
      </c>
      <c r="R4" s="63">
        <f t="shared" ref="R4" si="12">SUM(BM4:BP4)</f>
        <v>12886</v>
      </c>
      <c r="S4" s="63">
        <f t="shared" ref="S4" si="13">SUM(BQ4:BT4)</f>
        <v>12675</v>
      </c>
      <c r="T4" s="63">
        <f>SUM(BU4:BX4)</f>
        <v>12401</v>
      </c>
      <c r="U4" s="63">
        <f>SUM(BY4:CB4)</f>
        <v>11434</v>
      </c>
      <c r="V4" s="63">
        <f>SUM(CC4:CF4)</f>
        <v>10733</v>
      </c>
      <c r="W4" s="63">
        <f>SUM(CG4:CJ4)</f>
        <v>9577</v>
      </c>
      <c r="X4" s="63">
        <f>SUM(CK4:CN4)</f>
        <v>3948</v>
      </c>
      <c r="Y4" s="63"/>
      <c r="Z4" s="63"/>
      <c r="AA4" s="63"/>
      <c r="AB4" s="64"/>
      <c r="AC4" s="64">
        <v>49</v>
      </c>
      <c r="AD4" s="64">
        <v>151</v>
      </c>
      <c r="AE4" s="64">
        <v>257</v>
      </c>
      <c r="AF4" s="64">
        <v>408</v>
      </c>
      <c r="AG4" s="64">
        <v>375</v>
      </c>
      <c r="AH4" s="64">
        <v>536</v>
      </c>
      <c r="AI4" s="64">
        <v>578</v>
      </c>
      <c r="AJ4" s="64">
        <v>719</v>
      </c>
      <c r="AK4" s="64">
        <v>767</v>
      </c>
      <c r="AL4" s="64">
        <v>900</v>
      </c>
      <c r="AM4" s="64">
        <v>995</v>
      </c>
      <c r="AN4" s="64">
        <v>1134</v>
      </c>
      <c r="AO4" s="64">
        <v>1119</v>
      </c>
      <c r="AP4" s="64">
        <v>1262</v>
      </c>
      <c r="AQ4" s="64">
        <v>1216</v>
      </c>
      <c r="AR4" s="64">
        <v>1434</v>
      </c>
      <c r="AS4" s="64">
        <v>1467</v>
      </c>
      <c r="AT4" s="64">
        <v>1439</v>
      </c>
      <c r="AU4" s="64">
        <v>1660</v>
      </c>
      <c r="AV4" s="64">
        <v>1883</v>
      </c>
      <c r="AW4" s="64">
        <v>1852</v>
      </c>
      <c r="AX4" s="64">
        <v>1783</v>
      </c>
      <c r="AY4" s="64">
        <v>2020</v>
      </c>
      <c r="AZ4" s="64">
        <v>2317</v>
      </c>
      <c r="BA4" s="64">
        <v>2099</v>
      </c>
      <c r="BB4" s="64">
        <v>2015</v>
      </c>
      <c r="BC4" s="64">
        <v>2468</v>
      </c>
      <c r="BD4" s="64">
        <v>2648</v>
      </c>
      <c r="BE4" s="64">
        <v>2497</v>
      </c>
      <c r="BF4" s="62">
        <v>2363</v>
      </c>
      <c r="BG4" s="62">
        <v>2738</v>
      </c>
      <c r="BH4" s="62">
        <v>3264</v>
      </c>
      <c r="BI4" s="62">
        <v>3075</v>
      </c>
      <c r="BJ4" s="62">
        <v>2858</v>
      </c>
      <c r="BK4" s="62">
        <v>2897</v>
      </c>
      <c r="BL4" s="62">
        <v>3357</v>
      </c>
      <c r="BM4" s="62">
        <v>3107</v>
      </c>
      <c r="BN4" s="62">
        <v>3123</v>
      </c>
      <c r="BO4" s="62">
        <v>3321</v>
      </c>
      <c r="BP4" s="62">
        <v>3335</v>
      </c>
      <c r="BQ4" s="62">
        <v>3358</v>
      </c>
      <c r="BR4" s="62">
        <v>2719</v>
      </c>
      <c r="BS4" s="62">
        <v>3170</v>
      </c>
      <c r="BT4" s="62">
        <v>3428</v>
      </c>
      <c r="BU4" s="62">
        <v>3137</v>
      </c>
      <c r="BV4" s="62">
        <v>2976</v>
      </c>
      <c r="BW4" s="62">
        <v>3142</v>
      </c>
      <c r="BX4" s="62">
        <v>3146</v>
      </c>
      <c r="BY4" s="62">
        <v>2721</v>
      </c>
      <c r="BZ4" s="62">
        <v>2685</v>
      </c>
      <c r="CA4" s="62">
        <v>2853</v>
      </c>
      <c r="CB4" s="62">
        <v>3175</v>
      </c>
      <c r="CC4" s="62">
        <v>2757</v>
      </c>
      <c r="CD4" s="62">
        <v>2813</v>
      </c>
      <c r="CE4" s="62">
        <v>2534</v>
      </c>
      <c r="CF4" s="62">
        <v>2629</v>
      </c>
      <c r="CG4" s="62">
        <v>2385</v>
      </c>
      <c r="CH4" s="62">
        <v>2591</v>
      </c>
      <c r="CI4" s="62">
        <v>2602</v>
      </c>
      <c r="CJ4" s="62">
        <v>1999</v>
      </c>
      <c r="CK4" s="62">
        <v>1395</v>
      </c>
      <c r="CL4" s="62">
        <v>1220</v>
      </c>
      <c r="CM4" s="62">
        <v>749</v>
      </c>
      <c r="CN4" s="62">
        <v>584</v>
      </c>
      <c r="CO4" s="62">
        <v>626</v>
      </c>
      <c r="CP4" s="62">
        <v>545</v>
      </c>
      <c r="CQ4" s="62">
        <v>533</v>
      </c>
      <c r="CR4" s="62">
        <v>611</v>
      </c>
      <c r="CS4" s="62">
        <v>457</v>
      </c>
      <c r="CT4" s="62">
        <v>543</v>
      </c>
      <c r="CU4" s="62">
        <v>490</v>
      </c>
      <c r="CV4" s="62">
        <v>572</v>
      </c>
      <c r="CW4" s="62">
        <v>441</v>
      </c>
      <c r="CX4" s="62">
        <v>509</v>
      </c>
      <c r="CY4" s="62">
        <v>454</v>
      </c>
      <c r="CZ4" s="62">
        <v>456</v>
      </c>
      <c r="DA4" s="62">
        <v>411</v>
      </c>
      <c r="DB4" s="62">
        <v>461</v>
      </c>
      <c r="DC4" s="62">
        <v>422</v>
      </c>
      <c r="DD4" s="62">
        <v>464</v>
      </c>
      <c r="DE4" s="62">
        <v>404</v>
      </c>
      <c r="DF4" s="62">
        <v>445</v>
      </c>
      <c r="DG4" s="62">
        <v>491</v>
      </c>
      <c r="DH4" s="62">
        <v>574</v>
      </c>
      <c r="DI4" s="62">
        <v>511</v>
      </c>
      <c r="DJ4" s="62">
        <v>521</v>
      </c>
      <c r="DK4" s="62">
        <v>507</v>
      </c>
      <c r="DL4" s="62">
        <v>524</v>
      </c>
      <c r="DM4" s="62">
        <v>622</v>
      </c>
      <c r="DN4" s="62">
        <v>107</v>
      </c>
      <c r="DO4" s="62">
        <v>476</v>
      </c>
      <c r="DP4" s="62">
        <v>468</v>
      </c>
      <c r="DQ4" s="62">
        <v>405</v>
      </c>
      <c r="DR4" s="62">
        <v>431</v>
      </c>
    </row>
    <row r="5" spans="1:140" x14ac:dyDescent="0.2">
      <c r="A5" s="28">
        <v>3</v>
      </c>
      <c r="B5" t="s">
        <v>1435</v>
      </c>
      <c r="C5" t="s">
        <v>1436</v>
      </c>
      <c r="D5" t="s">
        <v>1427</v>
      </c>
      <c r="E5">
        <v>2</v>
      </c>
      <c r="F5" t="s">
        <v>1437</v>
      </c>
      <c r="G5" s="30">
        <f>+G76+G77</f>
        <v>118779</v>
      </c>
      <c r="H5" s="30"/>
      <c r="I5" s="30">
        <f>+I76+I77</f>
        <v>412</v>
      </c>
      <c r="J5" s="30">
        <f>+J76+J77</f>
        <v>1562</v>
      </c>
      <c r="K5" s="30">
        <f>+K76+K77</f>
        <v>3260</v>
      </c>
      <c r="L5" s="30">
        <f>+L76+L77</f>
        <v>5005</v>
      </c>
      <c r="M5" s="30">
        <f>+M76+M77</f>
        <v>7395</v>
      </c>
      <c r="N5" s="30">
        <f>+N76+N77</f>
        <v>9872</v>
      </c>
      <c r="O5" s="30">
        <f>+O76+O77</f>
        <v>12149</v>
      </c>
      <c r="P5" s="30">
        <f>+P76+P77</f>
        <v>13881</v>
      </c>
      <c r="Q5" s="30">
        <f>+Q76+Q77</f>
        <v>16330</v>
      </c>
      <c r="R5" s="30">
        <f>+R76+R77</f>
        <v>18253</v>
      </c>
      <c r="S5" s="30">
        <f>+S76+S77</f>
        <v>18766</v>
      </c>
      <c r="T5" s="30">
        <f>+T76+T77</f>
        <v>13927</v>
      </c>
      <c r="U5" s="30">
        <f>+U76+U77</f>
        <v>0</v>
      </c>
      <c r="V5" s="30">
        <f>+V76+V77</f>
        <v>0</v>
      </c>
      <c r="W5" s="30"/>
      <c r="X5" s="30"/>
      <c r="Y5" s="30"/>
      <c r="Z5" s="30"/>
      <c r="AA5" s="30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</row>
    <row r="6" spans="1:140" x14ac:dyDescent="0.2">
      <c r="A6">
        <f>+A5+1</f>
        <v>4</v>
      </c>
      <c r="B6" t="s">
        <v>1467</v>
      </c>
      <c r="C6" t="s">
        <v>15</v>
      </c>
      <c r="D6" t="s">
        <v>1428</v>
      </c>
      <c r="E6">
        <v>1</v>
      </c>
      <c r="G6" s="61">
        <f t="shared" ref="G6:G12" si="14">SUM(AC6:FZ6)</f>
        <v>92404</v>
      </c>
      <c r="H6" s="61"/>
      <c r="I6" s="30">
        <f>SUM(AC6:AF6)</f>
        <v>115</v>
      </c>
      <c r="J6" s="30">
        <f>SUM(AG6:AJ6)</f>
        <v>370</v>
      </c>
      <c r="K6" s="30">
        <f>SUM(AK6:AN6)</f>
        <v>721</v>
      </c>
      <c r="L6" s="30">
        <f>SUM(AO6:AR6)</f>
        <v>1297</v>
      </c>
      <c r="M6" s="30">
        <f>SUM(AS6:AV6)</f>
        <v>1730</v>
      </c>
      <c r="N6" s="30">
        <f>SUM(AW6:AZ6)</f>
        <v>2146</v>
      </c>
      <c r="O6" s="30">
        <f>SUM(BA6:BD6)</f>
        <v>2535</v>
      </c>
      <c r="P6" s="30">
        <f>SUM(BE6:BH6)</f>
        <v>3014</v>
      </c>
      <c r="Q6" s="30">
        <f>SUM(BI6:BL6)</f>
        <v>3327</v>
      </c>
      <c r="R6" s="30">
        <f>SUM(BM6:BP6)</f>
        <v>3748</v>
      </c>
      <c r="S6" s="30">
        <f>SUM(BQ6:BT6)</f>
        <v>4304</v>
      </c>
      <c r="T6" s="30">
        <f>SUM(BU6:BX6)</f>
        <v>4610</v>
      </c>
      <c r="U6" s="30">
        <f>SUM(BY6:CB6)</f>
        <v>5492</v>
      </c>
      <c r="V6" s="30">
        <f>SUM(CC6:CF6)</f>
        <v>6139</v>
      </c>
      <c r="W6" s="30"/>
      <c r="X6" s="30"/>
      <c r="Y6" s="30"/>
      <c r="Z6" s="30"/>
      <c r="AA6" s="30"/>
      <c r="AC6" s="28">
        <v>21</v>
      </c>
      <c r="AD6" s="28">
        <v>26</v>
      </c>
      <c r="AE6" s="28">
        <v>27</v>
      </c>
      <c r="AF6">
        <v>41</v>
      </c>
      <c r="AG6">
        <v>49</v>
      </c>
      <c r="AH6" s="31">
        <v>91.2</v>
      </c>
      <c r="AI6" s="31">
        <v>90.8</v>
      </c>
      <c r="AJ6" s="31">
        <v>139</v>
      </c>
      <c r="AK6" s="31">
        <v>131</v>
      </c>
      <c r="AL6" s="31">
        <v>171</v>
      </c>
      <c r="AM6">
        <v>209</v>
      </c>
      <c r="AN6">
        <v>210</v>
      </c>
      <c r="AO6">
        <v>245</v>
      </c>
      <c r="AP6">
        <v>332</v>
      </c>
      <c r="AQ6">
        <v>341</v>
      </c>
      <c r="AR6">
        <v>379</v>
      </c>
      <c r="AS6">
        <v>409</v>
      </c>
      <c r="AT6">
        <v>421</v>
      </c>
      <c r="AU6">
        <v>444</v>
      </c>
      <c r="AV6">
        <v>456</v>
      </c>
      <c r="AW6">
        <v>464</v>
      </c>
      <c r="AX6">
        <v>539</v>
      </c>
      <c r="AY6">
        <v>545</v>
      </c>
      <c r="AZ6">
        <v>598</v>
      </c>
      <c r="BA6">
        <v>577</v>
      </c>
      <c r="BB6">
        <v>642</v>
      </c>
      <c r="BC6">
        <v>624</v>
      </c>
      <c r="BD6">
        <v>692</v>
      </c>
      <c r="BE6">
        <v>681</v>
      </c>
      <c r="BF6">
        <v>777</v>
      </c>
      <c r="BG6">
        <v>776</v>
      </c>
      <c r="BH6">
        <v>780</v>
      </c>
      <c r="BI6">
        <v>731</v>
      </c>
      <c r="BJ6">
        <v>869</v>
      </c>
      <c r="BK6">
        <v>819</v>
      </c>
      <c r="BL6">
        <v>908</v>
      </c>
      <c r="BM6">
        <v>998</v>
      </c>
      <c r="BN6">
        <v>886</v>
      </c>
      <c r="BO6">
        <v>978</v>
      </c>
      <c r="BP6">
        <v>886</v>
      </c>
      <c r="BQ6">
        <v>1028</v>
      </c>
      <c r="BR6">
        <v>1102</v>
      </c>
      <c r="BS6">
        <v>1036</v>
      </c>
      <c r="BT6">
        <v>1138</v>
      </c>
      <c r="BU6">
        <v>1186</v>
      </c>
      <c r="BV6">
        <v>1130</v>
      </c>
      <c r="BW6">
        <v>1229</v>
      </c>
      <c r="BX6">
        <v>1065</v>
      </c>
      <c r="BY6">
        <v>1285</v>
      </c>
      <c r="BZ6">
        <v>1371</v>
      </c>
      <c r="CA6">
        <v>1408</v>
      </c>
      <c r="CB6">
        <v>1428</v>
      </c>
      <c r="CC6">
        <v>1521</v>
      </c>
      <c r="CD6">
        <v>1523</v>
      </c>
      <c r="CE6">
        <v>1591</v>
      </c>
      <c r="CF6">
        <v>1504</v>
      </c>
      <c r="CG6">
        <v>1600</v>
      </c>
      <c r="CH6">
        <v>1672</v>
      </c>
      <c r="CI6">
        <v>1689</v>
      </c>
      <c r="CJ6">
        <v>1712</v>
      </c>
      <c r="CK6">
        <v>1610</v>
      </c>
      <c r="CL6">
        <v>1804</v>
      </c>
      <c r="CM6">
        <v>1782</v>
      </c>
      <c r="CN6">
        <v>1672</v>
      </c>
      <c r="CO6">
        <v>1600</v>
      </c>
      <c r="CP6">
        <v>1668</v>
      </c>
      <c r="CQ6">
        <v>1613</v>
      </c>
      <c r="CR6">
        <v>1680</v>
      </c>
      <c r="CS6">
        <v>1779</v>
      </c>
      <c r="CT6">
        <v>1780</v>
      </c>
      <c r="CU6">
        <v>1783</v>
      </c>
      <c r="CV6">
        <v>1624</v>
      </c>
      <c r="CW6">
        <v>1672</v>
      </c>
      <c r="CX6">
        <v>1530</v>
      </c>
      <c r="CY6">
        <v>1647</v>
      </c>
      <c r="CZ6">
        <v>1466</v>
      </c>
      <c r="DA6">
        <v>1389</v>
      </c>
      <c r="DB6">
        <v>1320</v>
      </c>
      <c r="DC6">
        <v>1379</v>
      </c>
      <c r="DD6">
        <v>1238</v>
      </c>
      <c r="DE6">
        <v>1102</v>
      </c>
      <c r="DF6">
        <v>1107</v>
      </c>
      <c r="DG6">
        <v>1136</v>
      </c>
      <c r="DH6">
        <v>1035</v>
      </c>
      <c r="DI6">
        <v>990</v>
      </c>
      <c r="DJ6">
        <v>935</v>
      </c>
      <c r="DK6">
        <v>921</v>
      </c>
      <c r="DL6">
        <v>901</v>
      </c>
      <c r="DM6">
        <v>777</v>
      </c>
      <c r="DN6">
        <v>888</v>
      </c>
      <c r="DO6">
        <v>761</v>
      </c>
      <c r="DP6">
        <v>764</v>
      </c>
      <c r="DQ6">
        <v>663</v>
      </c>
      <c r="DR6">
        <v>647</v>
      </c>
      <c r="DS6">
        <v>558</v>
      </c>
      <c r="DT6">
        <v>475</v>
      </c>
      <c r="DU6">
        <v>487</v>
      </c>
    </row>
    <row r="7" spans="1:140" x14ac:dyDescent="0.2">
      <c r="A7">
        <f>+A6+1</f>
        <v>5</v>
      </c>
      <c r="B7" t="s">
        <v>1420</v>
      </c>
      <c r="C7" t="s">
        <v>24</v>
      </c>
      <c r="D7" t="s">
        <v>1425</v>
      </c>
      <c r="G7" s="61">
        <f t="shared" si="14"/>
        <v>86510</v>
      </c>
      <c r="H7" s="61"/>
      <c r="I7" s="30">
        <f>SUM(AC7:AF7)</f>
        <v>24431</v>
      </c>
      <c r="J7" s="30">
        <f>SUM(AG7:AJ7)</f>
        <v>38981</v>
      </c>
      <c r="K7" s="30">
        <f>SUM(AK7:AN7)</f>
        <v>17188</v>
      </c>
      <c r="L7" s="30">
        <f>SUM(AO7:AR7)</f>
        <v>5910</v>
      </c>
      <c r="M7" s="30">
        <f>SUM(AS7:AV7)</f>
        <v>0</v>
      </c>
      <c r="N7" s="30">
        <f>SUM(AW7:AZ7)</f>
        <v>0</v>
      </c>
      <c r="O7" s="30">
        <f>SUM(BA7:BD7)</f>
        <v>0</v>
      </c>
      <c r="P7" s="30">
        <f t="shared" ref="P7:P12" si="15">SUM(BE7:BH7)</f>
        <v>0</v>
      </c>
      <c r="Q7" s="30">
        <f t="shared" ref="Q7:Q12" si="16">SUM(BI7:BL7)</f>
        <v>0</v>
      </c>
      <c r="R7" s="30">
        <f t="shared" ref="R7:R12" si="17">SUM(BM7:BP7)</f>
        <v>0</v>
      </c>
      <c r="S7" s="30">
        <f t="shared" ref="S7:S12" si="18">SUM(BQ7:BT7)</f>
        <v>0</v>
      </c>
      <c r="T7" s="30">
        <f t="shared" ref="T7:T12" si="19">SUM(BU7:BX7)</f>
        <v>0</v>
      </c>
      <c r="U7" s="30">
        <f t="shared" ref="U7:U34" si="20">SUM(BY7:CB7)</f>
        <v>0</v>
      </c>
      <c r="V7" s="30">
        <f t="shared" ref="V7:V34" si="21">SUM(CC7:CF7)</f>
        <v>0</v>
      </c>
      <c r="W7" s="30"/>
      <c r="X7" s="30"/>
      <c r="Y7" s="30"/>
      <c r="Z7" s="30"/>
      <c r="AA7" s="30"/>
      <c r="AC7" s="28">
        <v>154</v>
      </c>
      <c r="AD7" s="28">
        <v>3462</v>
      </c>
      <c r="AE7" s="28">
        <v>7838</v>
      </c>
      <c r="AF7">
        <v>12977</v>
      </c>
      <c r="AG7">
        <v>12504</v>
      </c>
      <c r="AH7" s="31">
        <v>13227</v>
      </c>
      <c r="AI7" s="31">
        <v>8848</v>
      </c>
      <c r="AJ7" s="31">
        <v>4402</v>
      </c>
      <c r="AK7" s="31">
        <v>11329</v>
      </c>
      <c r="AL7" s="31">
        <v>3064</v>
      </c>
      <c r="AM7">
        <v>1488</v>
      </c>
      <c r="AN7">
        <v>1307</v>
      </c>
      <c r="AO7">
        <v>5361</v>
      </c>
      <c r="AP7">
        <v>354</v>
      </c>
      <c r="AQ7">
        <v>195</v>
      </c>
    </row>
    <row r="8" spans="1:140" s="25" customFormat="1" x14ac:dyDescent="0.2">
      <c r="A8" s="62">
        <f>+A7+1</f>
        <v>6</v>
      </c>
      <c r="B8" s="62" t="s">
        <v>654</v>
      </c>
      <c r="C8" s="62" t="s">
        <v>28</v>
      </c>
      <c r="D8" s="62" t="s">
        <v>1426</v>
      </c>
      <c r="E8" s="62">
        <v>2</v>
      </c>
      <c r="G8" s="61">
        <f t="shared" si="14"/>
        <v>76589</v>
      </c>
      <c r="H8" s="61"/>
      <c r="I8" s="27">
        <f>SUM(AC8:AF8)</f>
        <v>247</v>
      </c>
      <c r="J8" s="27">
        <f>SUM(AG8:AJ8)</f>
        <v>936</v>
      </c>
      <c r="K8" s="27">
        <f>SUM(AK8:AN8)</f>
        <v>2304</v>
      </c>
      <c r="L8" s="27">
        <f>SUM(AO8:AR8)</f>
        <v>5475</v>
      </c>
      <c r="M8" s="27">
        <f>SUM(AS8:AV8)</f>
        <v>8943</v>
      </c>
      <c r="N8" s="27">
        <f>SUM(AW8:AZ8)</f>
        <v>12853</v>
      </c>
      <c r="O8" s="27">
        <f>SUM(BA8:BD8)</f>
        <v>15783</v>
      </c>
      <c r="P8" s="27">
        <f t="shared" si="15"/>
        <v>19172</v>
      </c>
      <c r="Q8" s="30">
        <f t="shared" si="16"/>
        <v>10876</v>
      </c>
      <c r="R8" s="30">
        <f t="shared" si="17"/>
        <v>0</v>
      </c>
      <c r="S8" s="30">
        <f t="shared" si="18"/>
        <v>0</v>
      </c>
      <c r="T8" s="30">
        <f t="shared" si="19"/>
        <v>0</v>
      </c>
      <c r="U8" s="30">
        <f t="shared" si="20"/>
        <v>0</v>
      </c>
      <c r="V8" s="30">
        <f t="shared" si="21"/>
        <v>0</v>
      </c>
      <c r="W8" s="30"/>
      <c r="X8" s="30"/>
      <c r="Y8" s="30"/>
      <c r="Z8" s="30"/>
      <c r="AA8" s="30"/>
      <c r="AC8" s="27">
        <v>4</v>
      </c>
      <c r="AD8" s="27">
        <v>50</v>
      </c>
      <c r="AE8" s="27">
        <v>83</v>
      </c>
      <c r="AF8" s="25">
        <v>110</v>
      </c>
      <c r="AG8" s="25">
        <v>159</v>
      </c>
      <c r="AH8" s="35">
        <v>214</v>
      </c>
      <c r="AI8" s="35">
        <v>249</v>
      </c>
      <c r="AJ8" s="35">
        <v>314</v>
      </c>
      <c r="AK8" s="35">
        <v>356</v>
      </c>
      <c r="AL8" s="35">
        <v>483</v>
      </c>
      <c r="AM8" s="25">
        <v>584</v>
      </c>
      <c r="AN8" s="25">
        <v>881</v>
      </c>
      <c r="AO8" s="35">
        <v>1047</v>
      </c>
      <c r="AP8" s="35">
        <v>1297</v>
      </c>
      <c r="AQ8" s="35">
        <v>1464</v>
      </c>
      <c r="AR8" s="35">
        <v>1667</v>
      </c>
      <c r="AS8" s="35">
        <v>1889</v>
      </c>
      <c r="AT8" s="35">
        <v>2151</v>
      </c>
      <c r="AU8" s="35">
        <v>2269</v>
      </c>
      <c r="AV8" s="35">
        <v>2634</v>
      </c>
      <c r="AW8" s="35">
        <v>3070</v>
      </c>
      <c r="AX8" s="35">
        <v>3111</v>
      </c>
      <c r="AY8" s="35">
        <v>3284</v>
      </c>
      <c r="AZ8" s="35">
        <v>3388</v>
      </c>
      <c r="BA8" s="35">
        <v>3715</v>
      </c>
      <c r="BB8" s="35">
        <v>3993</v>
      </c>
      <c r="BC8" s="35">
        <v>3899</v>
      </c>
      <c r="BD8" s="35">
        <v>4176</v>
      </c>
      <c r="BE8" s="35">
        <v>4534</v>
      </c>
      <c r="BF8" s="35">
        <v>4577</v>
      </c>
      <c r="BG8" s="35">
        <v>4809</v>
      </c>
      <c r="BH8" s="35">
        <v>5252</v>
      </c>
      <c r="BI8" s="35">
        <v>5426</v>
      </c>
      <c r="BJ8" s="35">
        <v>5450</v>
      </c>
    </row>
    <row r="9" spans="1:140" x14ac:dyDescent="0.2">
      <c r="A9" s="62">
        <f>+A8+1</f>
        <v>7</v>
      </c>
      <c r="B9" t="s">
        <v>658</v>
      </c>
      <c r="C9" t="s">
        <v>28</v>
      </c>
      <c r="D9" t="s">
        <v>1430</v>
      </c>
      <c r="E9">
        <v>1</v>
      </c>
      <c r="G9" s="61">
        <f>SUM(AC9:FZ9)</f>
        <v>74776.5</v>
      </c>
      <c r="H9" s="61"/>
      <c r="I9" s="30">
        <f>SUM(AC9:AF9)</f>
        <v>589</v>
      </c>
      <c r="J9" s="30">
        <f>SUM(AG9:AJ9)</f>
        <v>1600.5</v>
      </c>
      <c r="K9" s="30">
        <f>SUM(AK9:AN9)</f>
        <v>2095</v>
      </c>
      <c r="L9" s="30">
        <f>SUM(AO9:AR9)</f>
        <v>3327</v>
      </c>
      <c r="M9" s="30">
        <f>SUM(AS9:AV9)</f>
        <v>4488</v>
      </c>
      <c r="N9" s="30">
        <f>SUM(AW9:AZ9)</f>
        <v>5589</v>
      </c>
      <c r="O9" s="30">
        <f>SUM(BA9:BD9)</f>
        <v>5912</v>
      </c>
      <c r="P9" s="30">
        <f>SUM(BE9:BH9)</f>
        <v>6073</v>
      </c>
      <c r="Q9" s="30">
        <f>SUM(BI9:BL9)</f>
        <v>6172</v>
      </c>
      <c r="R9" s="30">
        <f>SUM(BM9:BP9)</f>
        <v>6087</v>
      </c>
      <c r="S9" s="30">
        <f>SUM(BQ9:BT9)</f>
        <v>5937</v>
      </c>
      <c r="T9" s="30">
        <f>SUM(BU9:BX9)</f>
        <v>5907</v>
      </c>
      <c r="U9" s="30">
        <f>SUM(BY9:CB9)</f>
        <v>5483</v>
      </c>
      <c r="V9" s="30">
        <f>SUM(CC9:CF9)</f>
        <v>5346</v>
      </c>
      <c r="W9" s="30"/>
      <c r="X9" s="30"/>
      <c r="Y9" s="30"/>
      <c r="Z9" s="30"/>
      <c r="AA9" s="30"/>
      <c r="AC9" s="30">
        <f>AC78+AC79</f>
        <v>66</v>
      </c>
      <c r="AD9" s="30">
        <f>AD78+AD79</f>
        <v>106</v>
      </c>
      <c r="AE9" s="30">
        <f>AE78+AE79</f>
        <v>174</v>
      </c>
      <c r="AF9" s="30">
        <f>AF78+AF79</f>
        <v>243</v>
      </c>
      <c r="AG9" s="30">
        <f>AG78+AG79</f>
        <v>272</v>
      </c>
      <c r="AH9" s="30">
        <f>AH78+AH79</f>
        <v>373</v>
      </c>
      <c r="AI9" s="30">
        <f>AI78+AI79</f>
        <v>448.5</v>
      </c>
      <c r="AJ9" s="30">
        <f>AJ78+AJ79</f>
        <v>507</v>
      </c>
      <c r="AK9" s="30">
        <f>AK78+AK79</f>
        <v>155</v>
      </c>
      <c r="AL9" s="30">
        <f>AL78+AL79</f>
        <v>584</v>
      </c>
      <c r="AM9" s="30">
        <f>AM78+AM79</f>
        <v>664</v>
      </c>
      <c r="AN9" s="30">
        <f>AN78+AN79</f>
        <v>692</v>
      </c>
      <c r="AO9" s="30">
        <f>AO78+AO79</f>
        <v>776</v>
      </c>
      <c r="AP9" s="30">
        <f>AP78+AP79</f>
        <v>758</v>
      </c>
      <c r="AQ9" s="30">
        <f>AQ78+AQ79</f>
        <v>888</v>
      </c>
      <c r="AR9" s="30">
        <f>AR78+AR79</f>
        <v>905</v>
      </c>
      <c r="AS9" s="30">
        <f>AS78+AS79</f>
        <v>996</v>
      </c>
      <c r="AT9" s="30">
        <f>AT78+AT79</f>
        <v>1089</v>
      </c>
      <c r="AU9" s="30">
        <f>AU78+AU79</f>
        <v>1165</v>
      </c>
      <c r="AV9" s="30">
        <f>AV78+AV79</f>
        <v>1238</v>
      </c>
      <c r="AW9" s="30">
        <f>AW78+AW79</f>
        <v>1371</v>
      </c>
      <c r="AX9" s="30">
        <f>AX78+AX79</f>
        <v>1324</v>
      </c>
      <c r="AY9" s="30">
        <f>AY78+AY79</f>
        <v>1510</v>
      </c>
      <c r="AZ9" s="30">
        <f>AZ78+AZ79</f>
        <v>1384</v>
      </c>
      <c r="BA9" s="30">
        <f>BA78+BA79</f>
        <v>1608</v>
      </c>
      <c r="BB9" s="30">
        <f>BB78+BB79</f>
        <v>1326</v>
      </c>
      <c r="BC9" s="30">
        <f>BC78+BC79</f>
        <v>1575</v>
      </c>
      <c r="BD9" s="30">
        <f>BD78+BD79</f>
        <v>1403</v>
      </c>
      <c r="BE9" s="30">
        <f>BE78+BE79</f>
        <v>1640</v>
      </c>
      <c r="BF9" s="30">
        <f>BF78+BF79</f>
        <v>1363</v>
      </c>
      <c r="BG9" s="30">
        <f>BG78+BG79</f>
        <v>1628</v>
      </c>
      <c r="BH9" s="30">
        <f>BH78+BH79</f>
        <v>1442</v>
      </c>
      <c r="BI9" s="30">
        <f>BI78+BI79</f>
        <v>1636</v>
      </c>
      <c r="BJ9" s="30">
        <f>BJ78+BJ79</f>
        <v>1446</v>
      </c>
      <c r="BK9" s="30">
        <f>BK78+BK79</f>
        <v>1570</v>
      </c>
      <c r="BL9" s="30">
        <f>BL78+BL79</f>
        <v>1520</v>
      </c>
      <c r="BM9" s="30">
        <f>BM78+BM79</f>
        <v>1490</v>
      </c>
      <c r="BN9" s="30">
        <f>BN78+BN79</f>
        <v>1454</v>
      </c>
      <c r="BO9" s="30">
        <f>BO78+BO79</f>
        <v>1641</v>
      </c>
      <c r="BP9" s="30">
        <f>BP78+BP79</f>
        <v>1502</v>
      </c>
      <c r="BQ9" s="30">
        <f>BQ78+BQ79</f>
        <v>1495</v>
      </c>
      <c r="BR9" s="30">
        <f>BR78+BR79</f>
        <v>1352</v>
      </c>
      <c r="BS9" s="30">
        <f>BS78+BS79</f>
        <v>1534</v>
      </c>
      <c r="BT9" s="30">
        <f>BT78+BT79</f>
        <v>1556</v>
      </c>
      <c r="BU9" s="30">
        <f>BU78+BU79</f>
        <v>1523</v>
      </c>
      <c r="BV9" s="30">
        <f>BV78+BV79</f>
        <v>1443</v>
      </c>
      <c r="BW9" s="30">
        <f>BW78+BW79</f>
        <v>1484</v>
      </c>
      <c r="BX9" s="30">
        <f>BX78+BX79</f>
        <v>1457</v>
      </c>
      <c r="BY9" s="30">
        <f>BY78+BY79</f>
        <v>1463</v>
      </c>
      <c r="BZ9" s="30">
        <f>BZ78+BZ79</f>
        <v>1327</v>
      </c>
      <c r="CA9" s="30">
        <f>CA78+CA79</f>
        <v>1383</v>
      </c>
      <c r="CB9" s="30">
        <f>CB78+CB79</f>
        <v>1310</v>
      </c>
      <c r="CC9" s="30">
        <f>CC78+CC79</f>
        <v>1433</v>
      </c>
      <c r="CD9" s="30">
        <f>CD78+CD79</f>
        <v>1280</v>
      </c>
      <c r="CE9" s="30">
        <f>CE78+CE79</f>
        <v>1326</v>
      </c>
      <c r="CF9" s="30">
        <f>CF78+CF79</f>
        <v>1307</v>
      </c>
      <c r="CG9" s="30">
        <f>CG78+CG79</f>
        <v>1334</v>
      </c>
      <c r="CH9" s="30">
        <f>CH78+CH79</f>
        <v>1296</v>
      </c>
      <c r="CI9" s="30">
        <f>CI78+CI79</f>
        <v>1298</v>
      </c>
      <c r="CJ9" s="30">
        <f>CJ78+CJ79</f>
        <v>1306</v>
      </c>
      <c r="CK9" s="30">
        <f>CK78+CK79</f>
        <v>1354</v>
      </c>
      <c r="CL9" s="30">
        <f>CL78+CL79</f>
        <v>1196</v>
      </c>
      <c r="CM9" s="30">
        <f>CM78+CM79</f>
        <v>1109</v>
      </c>
      <c r="CN9" s="30">
        <f>CN78+CN79</f>
        <v>717</v>
      </c>
      <c r="CO9" s="30">
        <f>CO78+CO79</f>
        <v>561</v>
      </c>
      <c r="CP9" s="30">
        <f>CP78+CP79</f>
        <v>0</v>
      </c>
      <c r="CQ9" s="30">
        <f>CQ78+CQ79</f>
        <v>0</v>
      </c>
      <c r="CR9" s="30">
        <f>CR78+CR79</f>
        <v>0</v>
      </c>
    </row>
    <row r="10" spans="1:140" s="25" customFormat="1" x14ac:dyDescent="0.2">
      <c r="A10" s="62">
        <f>+A9+1</f>
        <v>8</v>
      </c>
      <c r="B10" s="62" t="s">
        <v>1458</v>
      </c>
      <c r="C10" s="62" t="s">
        <v>20</v>
      </c>
      <c r="D10" s="62" t="s">
        <v>1432</v>
      </c>
      <c r="E10"/>
      <c r="F10"/>
      <c r="G10" s="61">
        <f t="shared" si="14"/>
        <v>63086.7</v>
      </c>
      <c r="H10" s="61"/>
      <c r="I10" s="30">
        <f t="shared" ref="I10" si="22">SUM(AC10:AF10)</f>
        <v>550.20000000000005</v>
      </c>
      <c r="J10" s="30">
        <f t="shared" ref="J10" si="23">SUM(AG10:AJ10)</f>
        <v>1278</v>
      </c>
      <c r="K10" s="30">
        <f t="shared" ref="K10" si="24">SUM(AK10:AN10)</f>
        <v>1726.1</v>
      </c>
      <c r="L10" s="30">
        <f t="shared" ref="L10" si="25">SUM(AO10:AR10)</f>
        <v>2246.6</v>
      </c>
      <c r="M10" s="30">
        <f t="shared" ref="M10" si="26">SUM(AS10:AV10)</f>
        <v>2882.3999999999996</v>
      </c>
      <c r="N10" s="30">
        <f t="shared" ref="N10" si="27">SUM(AW10:AZ10)</f>
        <v>3604.1000000000004</v>
      </c>
      <c r="O10" s="30">
        <f t="shared" ref="O10" si="28">SUM(BA10:BD10)</f>
        <v>4128.1000000000004</v>
      </c>
      <c r="P10" s="30">
        <f t="shared" ref="P10" si="29">SUM(BE10:BH10)</f>
        <v>4479.8</v>
      </c>
      <c r="Q10" s="30">
        <f t="shared" ref="Q10" si="30">SUM(BI10:BL10)</f>
        <v>4255.6000000000004</v>
      </c>
      <c r="R10" s="30">
        <f t="shared" ref="R10" si="31">SUM(BM10:BP10)</f>
        <v>4239.3</v>
      </c>
      <c r="S10" s="30">
        <f t="shared" ref="S10" si="32">SUM(BQ10:BT10)</f>
        <v>4643.6000000000004</v>
      </c>
      <c r="T10" s="30">
        <f t="shared" ref="T10" si="33">SUM(BU10:BX10)</f>
        <v>4823.3</v>
      </c>
      <c r="U10" s="30">
        <f t="shared" ref="U10" si="34">SUM(BY10:CB10)</f>
        <v>4695.8999999999996</v>
      </c>
      <c r="V10" s="30">
        <f t="shared" ref="V10" si="35">SUM(CC10:CF10)</f>
        <v>5057.1000000000004</v>
      </c>
      <c r="W10" s="30"/>
      <c r="X10" s="30"/>
      <c r="Y10" s="30"/>
      <c r="Z10" s="30"/>
      <c r="AA10" s="30"/>
      <c r="AB10"/>
      <c r="AC10" s="30">
        <v>87</v>
      </c>
      <c r="AD10" s="30">
        <v>105.4</v>
      </c>
      <c r="AE10" s="30">
        <v>156</v>
      </c>
      <c r="AF10" s="31">
        <v>201.8</v>
      </c>
      <c r="AG10">
        <v>267.00000000000011</v>
      </c>
      <c r="AH10">
        <v>287</v>
      </c>
      <c r="AI10">
        <v>328</v>
      </c>
      <c r="AJ10">
        <v>396</v>
      </c>
      <c r="AK10">
        <v>429</v>
      </c>
      <c r="AL10">
        <v>401.2</v>
      </c>
      <c r="AM10">
        <v>393</v>
      </c>
      <c r="AN10">
        <v>502.9</v>
      </c>
      <c r="AO10">
        <v>592.89999999999986</v>
      </c>
      <c r="AP10">
        <v>458.1</v>
      </c>
      <c r="AQ10">
        <v>550.70000000000005</v>
      </c>
      <c r="AR10">
        <v>644.9</v>
      </c>
      <c r="AS10">
        <v>696.29999999999984</v>
      </c>
      <c r="AT10">
        <v>637</v>
      </c>
      <c r="AU10">
        <v>736.6</v>
      </c>
      <c r="AV10">
        <v>812.5</v>
      </c>
      <c r="AW10">
        <v>903.90000000000009</v>
      </c>
      <c r="AX10">
        <v>819.4</v>
      </c>
      <c r="AY10">
        <v>906.8</v>
      </c>
      <c r="AZ10">
        <v>974</v>
      </c>
      <c r="BA10">
        <v>989.80000000000007</v>
      </c>
      <c r="BB10">
        <v>958.3</v>
      </c>
      <c r="BC10">
        <v>1050</v>
      </c>
      <c r="BD10">
        <v>1130</v>
      </c>
      <c r="BE10">
        <v>1145.5</v>
      </c>
      <c r="BF10">
        <v>1098.3</v>
      </c>
      <c r="BG10">
        <v>1212.3</v>
      </c>
      <c r="BH10">
        <v>1023.7</v>
      </c>
      <c r="BI10">
        <v>1085.5</v>
      </c>
      <c r="BJ10">
        <v>1038.2</v>
      </c>
      <c r="BK10">
        <v>1096.8</v>
      </c>
      <c r="BL10">
        <v>1035.0999999999999</v>
      </c>
      <c r="BM10">
        <v>1032.2</v>
      </c>
      <c r="BN10">
        <v>1007.4</v>
      </c>
      <c r="BO10">
        <v>1115</v>
      </c>
      <c r="BP10">
        <v>1084.7</v>
      </c>
      <c r="BQ10">
        <v>1156.5</v>
      </c>
      <c r="BR10">
        <v>1108</v>
      </c>
      <c r="BS10">
        <v>1213</v>
      </c>
      <c r="BT10">
        <v>1166.0999999999999</v>
      </c>
      <c r="BU10">
        <v>1273.9000000000001</v>
      </c>
      <c r="BV10">
        <v>1120.2</v>
      </c>
      <c r="BW10">
        <v>1239.7</v>
      </c>
      <c r="BX10">
        <v>1189.5</v>
      </c>
      <c r="BY10">
        <v>1146.7</v>
      </c>
      <c r="BZ10">
        <v>1123</v>
      </c>
      <c r="CA10">
        <v>1203.2</v>
      </c>
      <c r="CB10">
        <v>1223</v>
      </c>
      <c r="CC10">
        <v>1366.5</v>
      </c>
      <c r="CD10">
        <v>1215</v>
      </c>
      <c r="CE10">
        <v>1262.9000000000001</v>
      </c>
      <c r="CF10">
        <v>1212.7</v>
      </c>
      <c r="CG10">
        <v>1335.8</v>
      </c>
      <c r="CH10">
        <v>1281.9000000000001</v>
      </c>
      <c r="CI10">
        <v>1408.3</v>
      </c>
      <c r="CJ10">
        <v>1182.3</v>
      </c>
      <c r="CK10">
        <v>749.6</v>
      </c>
      <c r="CL10">
        <v>562.70000000000005</v>
      </c>
      <c r="CM10">
        <v>379.5</v>
      </c>
      <c r="CN10">
        <v>374.5</v>
      </c>
      <c r="CO10">
        <v>384.8</v>
      </c>
      <c r="CP10">
        <v>284.8</v>
      </c>
      <c r="CQ10">
        <v>283.2</v>
      </c>
      <c r="CR10">
        <v>278.7</v>
      </c>
      <c r="CS10">
        <v>348.2</v>
      </c>
      <c r="CT10">
        <v>283.10000000000002</v>
      </c>
      <c r="CU10">
        <v>243.8</v>
      </c>
      <c r="CV10">
        <v>257.39999999999998</v>
      </c>
      <c r="CW10">
        <v>253.1</v>
      </c>
      <c r="CX10">
        <v>219.5</v>
      </c>
      <c r="CY10">
        <v>253.7</v>
      </c>
      <c r="CZ10">
        <v>237.9</v>
      </c>
      <c r="DA10">
        <v>229.1</v>
      </c>
      <c r="DB10">
        <v>212.8</v>
      </c>
      <c r="DC10">
        <v>210.7</v>
      </c>
      <c r="DD10">
        <v>148.9</v>
      </c>
      <c r="DE10">
        <v>153</v>
      </c>
      <c r="DF10">
        <v>147.5</v>
      </c>
      <c r="DG10">
        <v>140.80000000000001</v>
      </c>
      <c r="DH10">
        <v>140.6</v>
      </c>
      <c r="DI10">
        <v>152.19999999999999</v>
      </c>
      <c r="DJ10">
        <v>122.6</v>
      </c>
      <c r="DK10">
        <v>128</v>
      </c>
      <c r="DL10">
        <v>109.9</v>
      </c>
      <c r="DM10">
        <v>110.8</v>
      </c>
      <c r="DN10">
        <v>107.2</v>
      </c>
      <c r="DO10">
        <v>104.3</v>
      </c>
      <c r="DP10">
        <v>105.4</v>
      </c>
      <c r="DQ10">
        <v>101.79999999999994</v>
      </c>
      <c r="DR10">
        <v>98.4</v>
      </c>
      <c r="DS10">
        <v>96.6</v>
      </c>
      <c r="DT10">
        <v>112.7</v>
      </c>
      <c r="DU10">
        <v>98.900000000000034</v>
      </c>
      <c r="DV10" s="25">
        <v>95.8</v>
      </c>
      <c r="DW10" s="25">
        <v>95.4</v>
      </c>
      <c r="DX10" s="25">
        <v>101.7</v>
      </c>
      <c r="DY10" s="25">
        <v>137.40000000000003</v>
      </c>
      <c r="DZ10" s="25">
        <v>93.1</v>
      </c>
      <c r="EA10" s="25">
        <v>87.3</v>
      </c>
      <c r="EB10" s="25">
        <v>81.400000000000006</v>
      </c>
      <c r="EC10" s="25">
        <v>75.099999999999994</v>
      </c>
      <c r="ED10" s="25">
        <v>106.5</v>
      </c>
      <c r="EE10" s="25">
        <v>106.5</v>
      </c>
      <c r="EF10" s="25">
        <v>61.400000000000091</v>
      </c>
      <c r="EG10" s="25">
        <v>0</v>
      </c>
      <c r="EH10" s="25">
        <v>0</v>
      </c>
      <c r="EI10" s="25">
        <v>0</v>
      </c>
    </row>
    <row r="11" spans="1:140" s="25" customFormat="1" x14ac:dyDescent="0.2">
      <c r="A11" s="62">
        <f>+A10+1</f>
        <v>9</v>
      </c>
      <c r="B11" s="62" t="s">
        <v>1105</v>
      </c>
      <c r="C11" s="62" t="s">
        <v>32</v>
      </c>
      <c r="D11" s="62" t="s">
        <v>1426</v>
      </c>
      <c r="E11" s="62">
        <v>1</v>
      </c>
      <c r="G11" s="61">
        <f t="shared" si="14"/>
        <v>59847</v>
      </c>
      <c r="H11" s="61"/>
      <c r="I11" s="27">
        <v>942</v>
      </c>
      <c r="J11" s="27">
        <v>3774</v>
      </c>
      <c r="K11" s="27">
        <v>4948</v>
      </c>
      <c r="L11" s="27">
        <v>6735</v>
      </c>
      <c r="M11" s="27">
        <v>7204</v>
      </c>
      <c r="N11" s="27">
        <v>6992</v>
      </c>
      <c r="O11" s="27">
        <v>7523</v>
      </c>
      <c r="P11" s="27">
        <f t="shared" si="15"/>
        <v>7879</v>
      </c>
      <c r="Q11" s="30">
        <f t="shared" si="16"/>
        <v>8610</v>
      </c>
      <c r="R11" s="30">
        <f t="shared" si="17"/>
        <v>9127</v>
      </c>
      <c r="S11" s="30">
        <f t="shared" si="18"/>
        <v>0</v>
      </c>
      <c r="T11" s="30">
        <f t="shared" si="19"/>
        <v>0</v>
      </c>
      <c r="U11" s="30">
        <f t="shared" si="20"/>
        <v>0</v>
      </c>
      <c r="V11" s="30">
        <f t="shared" si="21"/>
        <v>0</v>
      </c>
      <c r="W11" s="30"/>
      <c r="X11" s="30"/>
      <c r="Y11" s="30"/>
      <c r="Z11" s="30"/>
      <c r="AA11" s="30"/>
      <c r="AC11" s="27">
        <v>1</v>
      </c>
      <c r="AD11" s="27">
        <v>5</v>
      </c>
      <c r="AE11" s="27">
        <v>40</v>
      </c>
      <c r="AF11" s="27">
        <v>122</v>
      </c>
      <c r="AG11" s="27">
        <v>305</v>
      </c>
      <c r="AH11" s="27">
        <v>475</v>
      </c>
      <c r="AI11" s="27">
        <v>704</v>
      </c>
      <c r="AJ11" s="27">
        <v>840</v>
      </c>
      <c r="AK11" s="27">
        <v>920</v>
      </c>
      <c r="AL11" s="27">
        <v>1310</v>
      </c>
      <c r="AM11" s="27">
        <v>1127</v>
      </c>
      <c r="AN11" s="27">
        <v>1195</v>
      </c>
      <c r="AO11" s="27">
        <v>1265</v>
      </c>
      <c r="AP11" s="27">
        <v>1361</v>
      </c>
      <c r="AQ11" s="27">
        <v>1511</v>
      </c>
      <c r="AR11" s="27">
        <v>1627</v>
      </c>
      <c r="AS11" s="27">
        <v>1793</v>
      </c>
      <c r="AT11" s="27">
        <v>1804</v>
      </c>
      <c r="AU11" s="27">
        <v>1801</v>
      </c>
      <c r="AV11" s="27">
        <v>1823</v>
      </c>
      <c r="AW11" s="27">
        <v>1817</v>
      </c>
      <c r="AX11" s="27">
        <v>1763</v>
      </c>
      <c r="AY11" s="27">
        <v>1766</v>
      </c>
      <c r="AZ11" s="27">
        <v>1653</v>
      </c>
      <c r="BA11" s="27">
        <v>1780</v>
      </c>
      <c r="BB11" s="27">
        <v>1793</v>
      </c>
      <c r="BC11" s="27">
        <v>1720</v>
      </c>
      <c r="BD11" s="27">
        <v>1910</v>
      </c>
      <c r="BE11" s="27">
        <v>1905</v>
      </c>
      <c r="BF11" s="27">
        <v>1988</v>
      </c>
      <c r="BG11" s="27">
        <v>1923</v>
      </c>
      <c r="BH11" s="27">
        <v>2063</v>
      </c>
      <c r="BI11" s="27">
        <v>2047</v>
      </c>
      <c r="BJ11" s="27">
        <v>2216</v>
      </c>
      <c r="BK11" s="27">
        <v>2202</v>
      </c>
      <c r="BL11" s="27">
        <v>2145</v>
      </c>
      <c r="BM11" s="27">
        <v>2275</v>
      </c>
      <c r="BN11" s="27">
        <v>2387</v>
      </c>
      <c r="BO11" s="27">
        <v>2078</v>
      </c>
      <c r="BP11" s="27">
        <v>2387</v>
      </c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</row>
    <row r="12" spans="1:140" s="25" customFormat="1" x14ac:dyDescent="0.2">
      <c r="A12" s="62">
        <f>+A11+1</f>
        <v>10</v>
      </c>
      <c r="B12" t="s">
        <v>1414</v>
      </c>
      <c r="C12" t="s">
        <v>46</v>
      </c>
      <c r="D12" t="s">
        <v>1429</v>
      </c>
      <c r="E12"/>
      <c r="F12"/>
      <c r="G12" s="61">
        <f t="shared" si="14"/>
        <v>50224</v>
      </c>
      <c r="H12" s="61"/>
      <c r="I12" s="30">
        <f>SUM(AC12:AF12)</f>
        <v>1184</v>
      </c>
      <c r="J12" s="30">
        <f>SUM(AG12:AJ12)</f>
        <v>4738</v>
      </c>
      <c r="K12" s="30">
        <f>SUM(AK12:AN12)</f>
        <v>7259</v>
      </c>
      <c r="L12" s="30">
        <f>SUM(AO12:AR12)</f>
        <v>8624</v>
      </c>
      <c r="M12" s="30">
        <f>SUM(AS12:AV12)</f>
        <v>10391</v>
      </c>
      <c r="N12" s="30">
        <f>SUM(AW12:AZ12)</f>
        <v>11850</v>
      </c>
      <c r="O12" s="30">
        <f>SUM(BA12:BD12)</f>
        <v>6178</v>
      </c>
      <c r="P12" s="30">
        <f t="shared" si="15"/>
        <v>0</v>
      </c>
      <c r="Q12" s="30">
        <f t="shared" si="16"/>
        <v>0</v>
      </c>
      <c r="R12" s="30">
        <f t="shared" si="17"/>
        <v>0</v>
      </c>
      <c r="S12" s="30">
        <f t="shared" si="18"/>
        <v>0</v>
      </c>
      <c r="T12" s="30">
        <f t="shared" si="19"/>
        <v>0</v>
      </c>
      <c r="U12" s="30">
        <f t="shared" si="20"/>
        <v>0</v>
      </c>
      <c r="V12" s="30">
        <f t="shared" si="21"/>
        <v>0</v>
      </c>
      <c r="W12" s="30"/>
      <c r="X12" s="30"/>
      <c r="Y12" s="30"/>
      <c r="Z12" s="30"/>
      <c r="AA12" s="30"/>
      <c r="AB12"/>
      <c r="AC12" s="30">
        <v>35</v>
      </c>
      <c r="AD12" s="30">
        <v>185</v>
      </c>
      <c r="AE12" s="30">
        <v>386</v>
      </c>
      <c r="AF12" s="31">
        <v>578</v>
      </c>
      <c r="AG12">
        <v>793</v>
      </c>
      <c r="AH12">
        <v>1116</v>
      </c>
      <c r="AI12">
        <v>1259</v>
      </c>
      <c r="AJ12">
        <v>1570</v>
      </c>
      <c r="AK12">
        <v>1693</v>
      </c>
      <c r="AL12">
        <v>1604</v>
      </c>
      <c r="AM12">
        <v>1891</v>
      </c>
      <c r="AN12">
        <v>2071</v>
      </c>
      <c r="AO12">
        <v>1824</v>
      </c>
      <c r="AP12">
        <v>1994</v>
      </c>
      <c r="AQ12">
        <v>2276</v>
      </c>
      <c r="AR12">
        <v>2530</v>
      </c>
      <c r="AS12">
        <v>2151</v>
      </c>
      <c r="AT12">
        <v>2556</v>
      </c>
      <c r="AU12">
        <v>2766</v>
      </c>
      <c r="AV12">
        <v>2918</v>
      </c>
      <c r="AW12">
        <v>2677</v>
      </c>
      <c r="AX12">
        <v>2979</v>
      </c>
      <c r="AY12">
        <v>3085</v>
      </c>
      <c r="AZ12">
        <v>3109</v>
      </c>
      <c r="BA12">
        <v>2946</v>
      </c>
      <c r="BB12">
        <v>3232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</row>
    <row r="13" spans="1:140" x14ac:dyDescent="0.2">
      <c r="A13" s="62">
        <f>+A12+1</f>
        <v>11</v>
      </c>
      <c r="B13" t="s">
        <v>1462</v>
      </c>
      <c r="C13" t="s">
        <v>20</v>
      </c>
      <c r="D13" t="s">
        <v>1430</v>
      </c>
      <c r="G13" s="61">
        <f>SUM(AC13:FZ13)</f>
        <v>48471.866666666661</v>
      </c>
      <c r="H13" s="61"/>
      <c r="I13" s="30">
        <f t="shared" ref="I13" si="36">SUM(AC13:AF13)</f>
        <v>11</v>
      </c>
      <c r="J13" s="30">
        <f t="shared" ref="J13" si="37">SUM(AG13:AJ13)</f>
        <v>80</v>
      </c>
      <c r="K13" s="30">
        <f t="shared" ref="K13" si="38">SUM(AK13:AN13)</f>
        <v>167.5</v>
      </c>
      <c r="L13" s="30">
        <f t="shared" ref="L13" si="39">SUM(AO13:AR13)</f>
        <v>280.40000000000003</v>
      </c>
      <c r="M13" s="30">
        <f t="shared" ref="M13" si="40">SUM(AS13:AV13)</f>
        <v>472.20000000000005</v>
      </c>
      <c r="N13" s="30">
        <f t="shared" ref="N13" si="41">SUM(AW13:AZ13)</f>
        <v>739.2</v>
      </c>
      <c r="O13" s="30">
        <f t="shared" ref="O13" si="42">SUM(BA13:BD13)</f>
        <v>954.9</v>
      </c>
      <c r="P13" s="30">
        <f t="shared" ref="P13" si="43">SUM(BE13:BH13)</f>
        <v>1069.5999999999999</v>
      </c>
      <c r="Q13" s="30">
        <f t="shared" ref="Q13" si="44">SUM(BI13:BL13)</f>
        <v>1131.6000000000001</v>
      </c>
      <c r="R13" s="30">
        <f t="shared" ref="R13" si="45">SUM(BM13:BP13)</f>
        <v>1241.7666666666667</v>
      </c>
      <c r="S13" s="30">
        <f t="shared" ref="S13" si="46">SUM(BQ13:BT13)</f>
        <v>1372.1</v>
      </c>
      <c r="T13" s="30">
        <f t="shared" ref="T13" si="47">SUM(BU13:BX13)</f>
        <v>1622</v>
      </c>
      <c r="U13" s="30">
        <f t="shared" ref="U13" si="48">SUM(BY13:CB13)</f>
        <v>1818.6</v>
      </c>
      <c r="V13" s="30">
        <f t="shared" ref="V13" si="49">SUM(CC13:CF13)</f>
        <v>2042</v>
      </c>
      <c r="W13" s="30">
        <f>SUM(CG13:CJ13)</f>
        <v>2155.4</v>
      </c>
      <c r="X13" s="30">
        <f>SUM(CK13:CN13)</f>
        <v>2458.9</v>
      </c>
      <c r="Y13" s="30">
        <f>SUM(CO13:CR13)</f>
        <v>2453.1</v>
      </c>
      <c r="Z13" s="30">
        <f>SUM(CS13:CV13)</f>
        <v>2700</v>
      </c>
      <c r="AA13" s="30">
        <f>SUM(CW13:CZ13)</f>
        <v>2773.5</v>
      </c>
      <c r="AC13" s="30">
        <v>1</v>
      </c>
      <c r="AD13" s="30">
        <v>2</v>
      </c>
      <c r="AE13" s="30">
        <v>3</v>
      </c>
      <c r="AF13">
        <v>5</v>
      </c>
      <c r="AG13">
        <v>10</v>
      </c>
      <c r="AH13">
        <v>15</v>
      </c>
      <c r="AI13">
        <v>25</v>
      </c>
      <c r="AJ13">
        <v>30</v>
      </c>
      <c r="AK13">
        <v>32</v>
      </c>
      <c r="AL13">
        <v>42.599999999999994</v>
      </c>
      <c r="AM13">
        <v>42.5</v>
      </c>
      <c r="AN13">
        <v>50.4</v>
      </c>
      <c r="AO13">
        <v>58.7</v>
      </c>
      <c r="AP13">
        <v>72.900000000000006</v>
      </c>
      <c r="AQ13">
        <v>72.099999999999994</v>
      </c>
      <c r="AR13">
        <v>76.7</v>
      </c>
      <c r="AS13">
        <v>90.6</v>
      </c>
      <c r="AT13">
        <v>110.80000000000004</v>
      </c>
      <c r="AU13">
        <v>125.2</v>
      </c>
      <c r="AV13">
        <v>145.6</v>
      </c>
      <c r="AW13">
        <v>164.3</v>
      </c>
      <c r="AX13">
        <v>192.7</v>
      </c>
      <c r="AY13">
        <v>177.4</v>
      </c>
      <c r="AZ13">
        <v>204.8</v>
      </c>
      <c r="BA13">
        <v>214.1</v>
      </c>
      <c r="BB13">
        <v>237.9</v>
      </c>
      <c r="BC13">
        <v>248.8</v>
      </c>
      <c r="BD13">
        <v>254.1</v>
      </c>
      <c r="BE13">
        <v>240.2</v>
      </c>
      <c r="BF13">
        <v>276.89999999999992</v>
      </c>
      <c r="BG13">
        <v>267.2</v>
      </c>
      <c r="BH13">
        <v>285.3</v>
      </c>
      <c r="BI13">
        <v>264.60000000000002</v>
      </c>
      <c r="BJ13">
        <v>284.60000000000002</v>
      </c>
      <c r="BK13">
        <v>286.2</v>
      </c>
      <c r="BL13">
        <v>296.2</v>
      </c>
      <c r="BM13">
        <v>306.66666666666663</v>
      </c>
      <c r="BN13">
        <v>309.10000000000002</v>
      </c>
      <c r="BO13">
        <v>305</v>
      </c>
      <c r="BP13">
        <v>321</v>
      </c>
      <c r="BQ13">
        <v>322</v>
      </c>
      <c r="BR13">
        <v>352.2</v>
      </c>
      <c r="BS13">
        <v>339.5</v>
      </c>
      <c r="BT13">
        <v>358.4</v>
      </c>
      <c r="BU13">
        <v>362.5</v>
      </c>
      <c r="BV13">
        <v>414.2</v>
      </c>
      <c r="BW13">
        <v>407.4</v>
      </c>
      <c r="BX13">
        <v>437.9</v>
      </c>
      <c r="BY13">
        <v>432.6</v>
      </c>
      <c r="BZ13">
        <v>457.9</v>
      </c>
      <c r="CA13">
        <v>450.6</v>
      </c>
      <c r="CB13">
        <v>477.5</v>
      </c>
      <c r="CC13">
        <v>500.2</v>
      </c>
      <c r="CD13">
        <v>530.79999999999995</v>
      </c>
      <c r="CE13">
        <v>506.4</v>
      </c>
      <c r="CF13">
        <v>504.6</v>
      </c>
      <c r="CG13">
        <v>494</v>
      </c>
      <c r="CH13">
        <v>549.1</v>
      </c>
      <c r="CI13">
        <v>525.4</v>
      </c>
      <c r="CJ13">
        <v>586.9</v>
      </c>
      <c r="CK13">
        <v>593.20000000000005</v>
      </c>
      <c r="CL13">
        <v>662</v>
      </c>
      <c r="CM13">
        <v>590.29999999999995</v>
      </c>
      <c r="CN13">
        <v>613.4</v>
      </c>
      <c r="CO13">
        <v>575.79999999999995</v>
      </c>
      <c r="CP13">
        <v>616</v>
      </c>
      <c r="CQ13">
        <v>632.70000000000005</v>
      </c>
      <c r="CR13">
        <v>628.6</v>
      </c>
      <c r="CS13">
        <v>616</v>
      </c>
      <c r="CT13">
        <v>733.9</v>
      </c>
      <c r="CU13">
        <v>650</v>
      </c>
      <c r="CV13">
        <v>700.1</v>
      </c>
      <c r="CW13">
        <v>706.1</v>
      </c>
      <c r="CX13">
        <v>729.1</v>
      </c>
      <c r="CY13">
        <v>684</v>
      </c>
      <c r="CZ13">
        <v>654.29999999999995</v>
      </c>
      <c r="DA13">
        <v>705</v>
      </c>
      <c r="DB13">
        <v>798.7</v>
      </c>
      <c r="DC13">
        <v>606.29999999999995</v>
      </c>
      <c r="DD13">
        <v>701.9</v>
      </c>
      <c r="DE13">
        <v>640.79999999999995</v>
      </c>
      <c r="DF13">
        <v>819.8</v>
      </c>
      <c r="DG13">
        <v>708.4</v>
      </c>
      <c r="DH13">
        <v>678.4</v>
      </c>
      <c r="DI13">
        <v>696.2</v>
      </c>
      <c r="DJ13">
        <v>782.2</v>
      </c>
      <c r="DK13">
        <v>791.7</v>
      </c>
      <c r="DL13">
        <v>769.8</v>
      </c>
      <c r="DM13">
        <v>664.6</v>
      </c>
      <c r="DN13">
        <v>770.4</v>
      </c>
      <c r="DO13">
        <v>730.8</v>
      </c>
      <c r="DP13">
        <v>677.6</v>
      </c>
      <c r="DQ13">
        <v>648.9</v>
      </c>
      <c r="DR13">
        <v>763.4</v>
      </c>
      <c r="DS13">
        <v>695.8</v>
      </c>
      <c r="DT13">
        <v>555.1</v>
      </c>
      <c r="DU13">
        <v>656.9</v>
      </c>
      <c r="DV13">
        <v>718.1</v>
      </c>
      <c r="DW13">
        <v>617.09999999999991</v>
      </c>
      <c r="DX13">
        <v>607.6</v>
      </c>
      <c r="DY13">
        <v>626.70000000000005</v>
      </c>
      <c r="DZ13">
        <v>601.70000000000005</v>
      </c>
      <c r="EA13">
        <v>618.20000000000005</v>
      </c>
      <c r="EB13">
        <v>447.1</v>
      </c>
      <c r="EC13">
        <v>447</v>
      </c>
      <c r="ED13">
        <v>548.29999999999995</v>
      </c>
      <c r="EE13">
        <v>460.9</v>
      </c>
      <c r="EF13">
        <v>440.4</v>
      </c>
      <c r="EG13">
        <v>395.4</v>
      </c>
      <c r="EH13">
        <v>366.6</v>
      </c>
      <c r="EI13">
        <v>538.70000000000005</v>
      </c>
      <c r="EJ13">
        <v>631.6</v>
      </c>
    </row>
    <row r="14" spans="1:140" s="25" customFormat="1" x14ac:dyDescent="0.2">
      <c r="A14" s="62">
        <f>+A13+1</f>
        <v>12</v>
      </c>
      <c r="B14" t="s">
        <v>652</v>
      </c>
      <c r="C14" t="s">
        <v>15</v>
      </c>
      <c r="D14" t="s">
        <v>1426</v>
      </c>
      <c r="E14">
        <v>1</v>
      </c>
      <c r="F14"/>
      <c r="G14" s="61">
        <f>SUM(AC14:FZ14)</f>
        <v>43368</v>
      </c>
      <c r="H14" s="61"/>
      <c r="I14" s="30">
        <f>SUM(AC14:AF14)</f>
        <v>383</v>
      </c>
      <c r="J14" s="30">
        <f>SUM(AG14:AJ14)</f>
        <v>1071</v>
      </c>
      <c r="K14" s="30">
        <f>SUM(AK14:AN14)</f>
        <v>1812</v>
      </c>
      <c r="L14" s="30">
        <f>SUM(AO14:AR14)</f>
        <v>2752</v>
      </c>
      <c r="M14" s="30">
        <f>SUM(AS14:AV14)</f>
        <v>3767</v>
      </c>
      <c r="N14" s="30">
        <f>SUM(AW14:AZ14)</f>
        <v>5631</v>
      </c>
      <c r="O14" s="30">
        <f>SUM(BA14:BD14)</f>
        <v>7539</v>
      </c>
      <c r="P14" s="30">
        <f>SUM(BE14:BH14)</f>
        <v>9277</v>
      </c>
      <c r="Q14" s="30">
        <f>SUM(BI14:BL14)</f>
        <v>11136</v>
      </c>
      <c r="R14" s="30">
        <f>SUM(BM14:BP14)</f>
        <v>0</v>
      </c>
      <c r="S14" s="30">
        <f>SUM(BQ14:BT14)</f>
        <v>0</v>
      </c>
      <c r="T14" s="30">
        <f>SUM(BU14:BX14)</f>
        <v>0</v>
      </c>
      <c r="U14" s="30">
        <f>SUM(BY14:CB14)</f>
        <v>0</v>
      </c>
      <c r="V14" s="30">
        <f>SUM(CC14:CF14)</f>
        <v>0</v>
      </c>
      <c r="W14" s="30"/>
      <c r="X14" s="30"/>
      <c r="Y14" s="30"/>
      <c r="Z14" s="30"/>
      <c r="AA14" s="30"/>
      <c r="AB14"/>
      <c r="AC14" s="30">
        <v>20</v>
      </c>
      <c r="AD14" s="30">
        <v>101</v>
      </c>
      <c r="AE14" s="30">
        <v>108</v>
      </c>
      <c r="AF14" s="34">
        <f>AVERAGE(AE14,AG14)</f>
        <v>154</v>
      </c>
      <c r="AG14">
        <v>200</v>
      </c>
      <c r="AH14">
        <v>255</v>
      </c>
      <c r="AI14">
        <v>299</v>
      </c>
      <c r="AJ14">
        <v>317</v>
      </c>
      <c r="AK14">
        <v>371</v>
      </c>
      <c r="AL14">
        <v>432</v>
      </c>
      <c r="AM14">
        <v>511</v>
      </c>
      <c r="AN14">
        <v>498</v>
      </c>
      <c r="AO14">
        <v>584</v>
      </c>
      <c r="AP14">
        <v>629</v>
      </c>
      <c r="AQ14">
        <v>774</v>
      </c>
      <c r="AR14">
        <v>765</v>
      </c>
      <c r="AS14">
        <v>830</v>
      </c>
      <c r="AT14">
        <v>937</v>
      </c>
      <c r="AU14">
        <v>901</v>
      </c>
      <c r="AV14">
        <v>1099</v>
      </c>
      <c r="AW14">
        <v>1253</v>
      </c>
      <c r="AX14">
        <v>1365</v>
      </c>
      <c r="AY14">
        <v>1433</v>
      </c>
      <c r="AZ14">
        <v>1580</v>
      </c>
      <c r="BA14">
        <v>1645</v>
      </c>
      <c r="BB14">
        <v>1856</v>
      </c>
      <c r="BC14">
        <v>1986</v>
      </c>
      <c r="BD14">
        <v>2052</v>
      </c>
      <c r="BE14">
        <v>2083</v>
      </c>
      <c r="BF14">
        <v>2264</v>
      </c>
      <c r="BG14" s="30">
        <v>2431</v>
      </c>
      <c r="BH14" s="30">
        <v>2499</v>
      </c>
      <c r="BI14" s="30">
        <v>2550</v>
      </c>
      <c r="BJ14" s="30">
        <v>2692</v>
      </c>
      <c r="BK14" s="30">
        <v>2878</v>
      </c>
      <c r="BL14" s="30">
        <v>3016</v>
      </c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</row>
    <row r="15" spans="1:140" x14ac:dyDescent="0.2">
      <c r="A15" s="62">
        <f>+A14+1</f>
        <v>13</v>
      </c>
      <c r="B15" t="s">
        <v>655</v>
      </c>
      <c r="C15" t="s">
        <v>28</v>
      </c>
      <c r="D15" s="62" t="s">
        <v>1431</v>
      </c>
      <c r="E15" s="25">
        <v>1</v>
      </c>
      <c r="G15" s="61">
        <f t="shared" ref="G15:G64" si="50">SUM(AC15:FZ15)</f>
        <v>41658</v>
      </c>
      <c r="H15" s="61"/>
      <c r="I15" s="30">
        <f>SUM(AC15:AF15)</f>
        <v>600</v>
      </c>
      <c r="J15" s="30">
        <f>SUM(AG15:AJ15)</f>
        <v>1616</v>
      </c>
      <c r="K15" s="30">
        <f>SUM(AK15:AN15)</f>
        <v>1400</v>
      </c>
      <c r="L15" s="30">
        <f>SUM(AO15:AR15)</f>
        <v>1089</v>
      </c>
      <c r="M15" s="30">
        <f>SUM(AS15:AV15)</f>
        <v>970</v>
      </c>
      <c r="N15" s="30">
        <f>SUM(AW15:AZ15)</f>
        <v>1280</v>
      </c>
      <c r="O15" s="30">
        <f>SUM(BA15:BD15)</f>
        <v>1737</v>
      </c>
      <c r="P15" s="30">
        <f>SUM(BE15:BH15)</f>
        <v>1825</v>
      </c>
      <c r="Q15" s="30">
        <f>SUM(BI15:BL15)</f>
        <v>1714</v>
      </c>
      <c r="R15" s="30">
        <f>SUM(BM15:BP15)</f>
        <v>1927</v>
      </c>
      <c r="S15" s="30">
        <f>SUM(BQ15:BT15)</f>
        <v>2327</v>
      </c>
      <c r="T15" s="30">
        <f>SUM(BU15:BX15)</f>
        <v>2437</v>
      </c>
      <c r="U15" s="30">
        <f>SUM(BY15:CB15)</f>
        <v>3329</v>
      </c>
      <c r="V15" s="30">
        <f>SUM(CC15:CF15)</f>
        <v>3996</v>
      </c>
      <c r="W15" s="30"/>
      <c r="X15" s="30"/>
      <c r="Y15" s="30"/>
      <c r="Z15" s="30"/>
      <c r="AA15" s="30"/>
      <c r="AC15" s="30">
        <v>10</v>
      </c>
      <c r="AD15" s="30">
        <v>70</v>
      </c>
      <c r="AE15" s="30">
        <v>155</v>
      </c>
      <c r="AF15">
        <v>365</v>
      </c>
      <c r="AG15">
        <v>358</v>
      </c>
      <c r="AH15">
        <v>418</v>
      </c>
      <c r="AI15">
        <v>450</v>
      </c>
      <c r="AJ15">
        <v>390</v>
      </c>
      <c r="AK15">
        <v>326</v>
      </c>
      <c r="AL15">
        <v>401</v>
      </c>
      <c r="AM15">
        <v>411</v>
      </c>
      <c r="AN15">
        <v>262</v>
      </c>
      <c r="AO15">
        <v>268</v>
      </c>
      <c r="AP15">
        <v>311</v>
      </c>
      <c r="AQ15">
        <v>277</v>
      </c>
      <c r="AR15">
        <v>233</v>
      </c>
      <c r="AS15">
        <v>219</v>
      </c>
      <c r="AT15">
        <v>316</v>
      </c>
      <c r="AU15">
        <v>221</v>
      </c>
      <c r="AV15">
        <v>214</v>
      </c>
      <c r="AW15">
        <v>277</v>
      </c>
      <c r="AX15">
        <v>445</v>
      </c>
      <c r="AY15">
        <v>274</v>
      </c>
      <c r="AZ15">
        <v>284</v>
      </c>
      <c r="BA15">
        <v>324</v>
      </c>
      <c r="BB15">
        <v>581</v>
      </c>
      <c r="BC15">
        <v>442</v>
      </c>
      <c r="BD15">
        <v>390</v>
      </c>
      <c r="BE15">
        <v>383</v>
      </c>
      <c r="BF15">
        <v>665</v>
      </c>
      <c r="BG15">
        <v>394</v>
      </c>
      <c r="BH15">
        <v>383</v>
      </c>
      <c r="BI15">
        <v>409</v>
      </c>
      <c r="BJ15">
        <v>590</v>
      </c>
      <c r="BK15">
        <v>356</v>
      </c>
      <c r="BL15">
        <v>359</v>
      </c>
      <c r="BM15">
        <v>427</v>
      </c>
      <c r="BN15">
        <v>625</v>
      </c>
      <c r="BO15">
        <v>497</v>
      </c>
      <c r="BP15">
        <v>378</v>
      </c>
      <c r="BQ15">
        <v>393</v>
      </c>
      <c r="BR15">
        <v>860</v>
      </c>
      <c r="BS15">
        <v>542</v>
      </c>
      <c r="BT15">
        <v>532</v>
      </c>
      <c r="BU15">
        <v>469</v>
      </c>
      <c r="BV15">
        <v>675</v>
      </c>
      <c r="BW15">
        <v>633</v>
      </c>
      <c r="BX15">
        <v>660</v>
      </c>
      <c r="BY15">
        <v>608</v>
      </c>
      <c r="BZ15">
        <v>1048</v>
      </c>
      <c r="CA15">
        <v>835</v>
      </c>
      <c r="CB15">
        <v>838</v>
      </c>
      <c r="CC15">
        <v>886</v>
      </c>
      <c r="CD15">
        <v>1320</v>
      </c>
      <c r="CE15">
        <v>693</v>
      </c>
      <c r="CF15">
        <v>1097</v>
      </c>
      <c r="CG15">
        <v>656</v>
      </c>
      <c r="CH15">
        <v>1187</v>
      </c>
      <c r="CI15">
        <v>998</v>
      </c>
      <c r="CJ15">
        <v>917</v>
      </c>
      <c r="CK15">
        <v>1234</v>
      </c>
      <c r="CL15">
        <v>1993</v>
      </c>
      <c r="CM15">
        <v>1528</v>
      </c>
      <c r="CN15">
        <v>1460</v>
      </c>
      <c r="CO15">
        <v>1674</v>
      </c>
      <c r="CP15">
        <v>2294</v>
      </c>
      <c r="CQ15">
        <v>1470</v>
      </c>
    </row>
    <row r="16" spans="1:140" x14ac:dyDescent="0.2">
      <c r="A16" s="62">
        <f>+A15+1</f>
        <v>14</v>
      </c>
      <c r="B16" t="s">
        <v>1423</v>
      </c>
      <c r="C16" t="s">
        <v>24</v>
      </c>
      <c r="D16" t="s">
        <v>1426</v>
      </c>
      <c r="E16">
        <v>1</v>
      </c>
      <c r="G16" s="61">
        <f t="shared" si="50"/>
        <v>37946</v>
      </c>
      <c r="H16" s="61"/>
      <c r="I16" s="30">
        <f t="shared" ref="I16:I43" si="51">SUM(AC16:AF16)</f>
        <v>723</v>
      </c>
      <c r="J16" s="30">
        <f t="shared" ref="J16:J43" si="52">SUM(AG16:AJ16)</f>
        <v>2136</v>
      </c>
      <c r="K16" s="30">
        <f t="shared" ref="K16:K43" si="53">SUM(AK16:AN16)</f>
        <v>3126</v>
      </c>
      <c r="L16" s="30">
        <f t="shared" ref="L16:L43" si="54">SUM(AO16:AR16)</f>
        <v>4118</v>
      </c>
      <c r="M16" s="30">
        <f t="shared" ref="M16:M43" si="55">SUM(AS16:AV16)</f>
        <v>4960</v>
      </c>
      <c r="N16" s="30">
        <f t="shared" ref="N16:N43" si="56">SUM(AW16:AZ16)</f>
        <v>5390</v>
      </c>
      <c r="O16" s="30">
        <f t="shared" ref="O16:O43" si="57">SUM(BA16:BD16)</f>
        <v>5437</v>
      </c>
      <c r="P16" s="30">
        <f t="shared" ref="P16:P43" si="58">SUM(BE16:BH16)</f>
        <v>5119</v>
      </c>
      <c r="Q16" s="30">
        <f t="shared" ref="Q16:Q43" si="59">SUM(BI16:BL16)</f>
        <v>4753</v>
      </c>
      <c r="R16" s="30">
        <f t="shared" ref="R16:R43" si="60">SUM(BM16:BP16)</f>
        <v>2184</v>
      </c>
      <c r="S16" s="30">
        <f t="shared" ref="S16:S43" si="61">SUM(BQ16:BT16)</f>
        <v>0</v>
      </c>
      <c r="T16" s="30">
        <f t="shared" ref="T16:T43" si="62">SUM(BU16:BX16)</f>
        <v>0</v>
      </c>
      <c r="U16" s="30">
        <f t="shared" si="20"/>
        <v>0</v>
      </c>
      <c r="V16" s="30">
        <f t="shared" si="21"/>
        <v>0</v>
      </c>
      <c r="W16" s="30"/>
      <c r="X16" s="30"/>
      <c r="Y16" s="30"/>
      <c r="Z16" s="30"/>
      <c r="AA16" s="30"/>
      <c r="AC16" s="30">
        <v>38</v>
      </c>
      <c r="AD16" s="30">
        <v>140</v>
      </c>
      <c r="AE16" s="30">
        <v>230</v>
      </c>
      <c r="AF16" s="30">
        <v>315</v>
      </c>
      <c r="AG16" s="30">
        <v>429</v>
      </c>
      <c r="AH16" s="30">
        <v>514</v>
      </c>
      <c r="AI16" s="30">
        <v>550</v>
      </c>
      <c r="AJ16" s="30">
        <v>643</v>
      </c>
      <c r="AK16" s="30">
        <v>679</v>
      </c>
      <c r="AL16" s="30">
        <v>853</v>
      </c>
      <c r="AM16" s="30">
        <v>878</v>
      </c>
      <c r="AN16" s="30">
        <v>716</v>
      </c>
      <c r="AO16" s="30">
        <v>933</v>
      </c>
      <c r="AP16" s="30">
        <v>1027</v>
      </c>
      <c r="AQ16" s="30">
        <v>1025</v>
      </c>
      <c r="AR16" s="30">
        <v>1133</v>
      </c>
      <c r="AS16" s="30">
        <v>1133</v>
      </c>
      <c r="AT16" s="30">
        <v>1261</v>
      </c>
      <c r="AU16" s="30">
        <v>1283</v>
      </c>
      <c r="AV16" s="30">
        <v>1283</v>
      </c>
      <c r="AW16" s="30">
        <v>1248</v>
      </c>
      <c r="AX16" s="30">
        <v>1349</v>
      </c>
      <c r="AY16" s="30">
        <v>1357</v>
      </c>
      <c r="AZ16" s="30">
        <v>1436</v>
      </c>
      <c r="BA16" s="30">
        <v>1254</v>
      </c>
      <c r="BB16" s="30">
        <v>1404</v>
      </c>
      <c r="BC16" s="30">
        <v>1381</v>
      </c>
      <c r="BD16" s="30">
        <v>1398</v>
      </c>
      <c r="BE16" s="30">
        <v>1237</v>
      </c>
      <c r="BF16" s="30">
        <v>1320</v>
      </c>
      <c r="BG16" s="30">
        <v>1283</v>
      </c>
      <c r="BH16" s="30">
        <v>1279</v>
      </c>
      <c r="BI16" s="30">
        <v>1144</v>
      </c>
      <c r="BJ16" s="30">
        <v>1247</v>
      </c>
      <c r="BK16" s="30">
        <v>1244</v>
      </c>
      <c r="BL16" s="30">
        <v>1118</v>
      </c>
      <c r="BM16" s="30">
        <v>1054</v>
      </c>
      <c r="BN16" s="30">
        <v>1130</v>
      </c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</row>
    <row r="17" spans="1:117" x14ac:dyDescent="0.2">
      <c r="A17" s="62">
        <f>+A16+1</f>
        <v>15</v>
      </c>
      <c r="B17" t="s">
        <v>1450</v>
      </c>
      <c r="C17" t="s">
        <v>24</v>
      </c>
      <c r="D17" s="62" t="s">
        <v>1427</v>
      </c>
      <c r="E17" s="62">
        <v>1</v>
      </c>
      <c r="G17" s="61">
        <f t="shared" si="50"/>
        <v>34660</v>
      </c>
      <c r="H17" s="61"/>
      <c r="I17" s="30">
        <f t="shared" ref="I17" si="63">SUM(AC17:AF17)</f>
        <v>963</v>
      </c>
      <c r="J17" s="30">
        <f t="shared" ref="J17" si="64">SUM(AG17:AJ17)</f>
        <v>1155</v>
      </c>
      <c r="K17" s="30">
        <f t="shared" ref="K17" si="65">SUM(AK17:AN17)</f>
        <v>1393</v>
      </c>
      <c r="L17" s="30">
        <f t="shared" ref="L17" si="66">SUM(AO17:AR17)</f>
        <v>1563</v>
      </c>
      <c r="M17" s="30">
        <f t="shared" ref="M17" si="67">SUM(AS17:AV17)</f>
        <v>1788</v>
      </c>
      <c r="N17" s="30">
        <f t="shared" ref="N17" si="68">SUM(AW17:AZ17)</f>
        <v>1820</v>
      </c>
      <c r="O17" s="30">
        <f t="shared" ref="O17" si="69">SUM(BA17:BD17)</f>
        <v>1699</v>
      </c>
      <c r="P17" s="30">
        <f t="shared" ref="P17" si="70">SUM(BE17:BH17)</f>
        <v>1597</v>
      </c>
      <c r="Q17" s="30">
        <f t="shared" ref="Q17" si="71">SUM(BI17:BL17)</f>
        <v>1701</v>
      </c>
      <c r="R17" s="30">
        <f t="shared" ref="R17" si="72">SUM(BM17:BP17)</f>
        <v>1790</v>
      </c>
      <c r="S17" s="30">
        <f t="shared" ref="S17" si="73">SUM(BQ17:BT17)</f>
        <v>1928</v>
      </c>
      <c r="T17" s="30">
        <f t="shared" ref="T17" si="74">SUM(BU17:BX17)</f>
        <v>1917</v>
      </c>
      <c r="U17" s="30">
        <f t="shared" ref="U17" si="75">SUM(BY17:CB17)</f>
        <v>1919</v>
      </c>
      <c r="V17" s="30">
        <f t="shared" ref="V17" si="76">SUM(CC17:CF17)</f>
        <v>2007</v>
      </c>
      <c r="W17" s="30">
        <f>SUM(CG17:CJ17)</f>
        <v>2016</v>
      </c>
      <c r="X17" s="30">
        <f>SUM(CK17:CN17)</f>
        <v>2130</v>
      </c>
      <c r="Y17" s="30"/>
      <c r="Z17" s="30"/>
      <c r="AA17" s="30"/>
      <c r="AC17" s="30">
        <v>402</v>
      </c>
      <c r="AD17" s="30">
        <v>138</v>
      </c>
      <c r="AE17" s="30">
        <v>233</v>
      </c>
      <c r="AF17">
        <v>190</v>
      </c>
      <c r="AG17">
        <v>305</v>
      </c>
      <c r="AH17">
        <v>245</v>
      </c>
      <c r="AI17">
        <v>277</v>
      </c>
      <c r="AJ17">
        <v>328</v>
      </c>
      <c r="AK17">
        <v>304</v>
      </c>
      <c r="AL17">
        <v>332</v>
      </c>
      <c r="AM17">
        <v>380</v>
      </c>
      <c r="AN17">
        <v>377</v>
      </c>
      <c r="AO17">
        <v>351</v>
      </c>
      <c r="AP17">
        <v>375</v>
      </c>
      <c r="AQ17">
        <v>415</v>
      </c>
      <c r="AR17">
        <v>422</v>
      </c>
      <c r="AS17">
        <v>385</v>
      </c>
      <c r="AT17">
        <v>437</v>
      </c>
      <c r="AU17">
        <v>491</v>
      </c>
      <c r="AV17">
        <v>475</v>
      </c>
      <c r="AW17">
        <v>419</v>
      </c>
      <c r="AX17">
        <v>476</v>
      </c>
      <c r="AY17">
        <v>509</v>
      </c>
      <c r="AZ17">
        <v>416</v>
      </c>
      <c r="BA17">
        <v>389</v>
      </c>
      <c r="BB17">
        <v>403</v>
      </c>
      <c r="BC17">
        <v>469</v>
      </c>
      <c r="BD17">
        <v>438</v>
      </c>
      <c r="BE17">
        <v>391</v>
      </c>
      <c r="BF17">
        <v>386</v>
      </c>
      <c r="BG17">
        <v>430</v>
      </c>
      <c r="BH17">
        <v>390</v>
      </c>
      <c r="BI17">
        <v>394</v>
      </c>
      <c r="BJ17">
        <v>423</v>
      </c>
      <c r="BK17">
        <v>450</v>
      </c>
      <c r="BL17">
        <v>434</v>
      </c>
      <c r="BM17">
        <v>382</v>
      </c>
      <c r="BN17">
        <v>450</v>
      </c>
      <c r="BO17">
        <v>498</v>
      </c>
      <c r="BP17">
        <v>460</v>
      </c>
      <c r="BQ17">
        <v>463</v>
      </c>
      <c r="BR17">
        <v>509</v>
      </c>
      <c r="BS17">
        <v>502</v>
      </c>
      <c r="BT17">
        <v>454</v>
      </c>
      <c r="BU17">
        <v>423</v>
      </c>
      <c r="BV17">
        <v>466</v>
      </c>
      <c r="BW17">
        <v>549</v>
      </c>
      <c r="BX17">
        <v>479</v>
      </c>
      <c r="BY17">
        <v>491</v>
      </c>
      <c r="BZ17">
        <v>459</v>
      </c>
      <c r="CA17">
        <v>499</v>
      </c>
      <c r="CB17">
        <v>470</v>
      </c>
      <c r="CC17">
        <v>495</v>
      </c>
      <c r="CD17">
        <v>493</v>
      </c>
      <c r="CE17">
        <v>523</v>
      </c>
      <c r="CF17">
        <v>496</v>
      </c>
      <c r="CG17">
        <v>485</v>
      </c>
      <c r="CH17">
        <v>517</v>
      </c>
      <c r="CI17">
        <v>553</v>
      </c>
      <c r="CJ17">
        <v>461</v>
      </c>
      <c r="CK17">
        <v>484</v>
      </c>
      <c r="CL17">
        <v>460</v>
      </c>
      <c r="CM17">
        <v>812</v>
      </c>
      <c r="CN17">
        <v>374</v>
      </c>
      <c r="CO17">
        <v>427</v>
      </c>
      <c r="CP17">
        <v>427</v>
      </c>
      <c r="CQ17">
        <v>464</v>
      </c>
      <c r="CR17">
        <v>396</v>
      </c>
      <c r="CS17">
        <v>448</v>
      </c>
      <c r="CT17">
        <v>430</v>
      </c>
      <c r="CU17">
        <v>434</v>
      </c>
      <c r="CV17">
        <v>396</v>
      </c>
      <c r="CW17">
        <v>401</v>
      </c>
      <c r="CX17">
        <v>386</v>
      </c>
      <c r="CY17">
        <v>381</v>
      </c>
      <c r="CZ17">
        <v>338</v>
      </c>
      <c r="DA17">
        <v>348</v>
      </c>
      <c r="DB17">
        <v>308</v>
      </c>
      <c r="DC17">
        <v>265</v>
      </c>
      <c r="DD17">
        <v>249</v>
      </c>
      <c r="DE17">
        <v>193</v>
      </c>
      <c r="DF17">
        <v>137</v>
      </c>
      <c r="DG17">
        <v>127</v>
      </c>
      <c r="DH17">
        <v>145</v>
      </c>
      <c r="DI17">
        <v>114</v>
      </c>
      <c r="DJ17">
        <v>120</v>
      </c>
      <c r="DK17">
        <v>119</v>
      </c>
      <c r="DL17">
        <v>127</v>
      </c>
      <c r="DM17">
        <v>94</v>
      </c>
    </row>
    <row r="18" spans="1:117" x14ac:dyDescent="0.2">
      <c r="A18">
        <f>+A17+1</f>
        <v>16</v>
      </c>
      <c r="B18" t="s">
        <v>647</v>
      </c>
      <c r="C18" t="s">
        <v>20</v>
      </c>
      <c r="D18" t="s">
        <v>1426</v>
      </c>
      <c r="G18" s="61">
        <f t="shared" si="50"/>
        <v>34155.5</v>
      </c>
      <c r="H18" s="61"/>
      <c r="I18" s="30">
        <f>SUM(AC18:AF18)</f>
        <v>142.5</v>
      </c>
      <c r="J18" s="30">
        <f>SUM(AG18:AJ18)</f>
        <v>463.20000000000005</v>
      </c>
      <c r="K18" s="30">
        <f>SUM(AK18:AN18)</f>
        <v>611.4</v>
      </c>
      <c r="L18" s="30">
        <f>SUM(AO18:AR18)</f>
        <v>854</v>
      </c>
      <c r="M18" s="30">
        <f>SUM(AS18:AV18)</f>
        <v>1154.8</v>
      </c>
      <c r="N18" s="30">
        <f>SUM(AW18:AZ18)</f>
        <v>1706.1</v>
      </c>
      <c r="O18" s="30">
        <f>SUM(BA18:BD18)</f>
        <v>2208.5</v>
      </c>
      <c r="P18" s="30">
        <f>SUM(BE18:BH18)</f>
        <v>2461.1</v>
      </c>
      <c r="Q18" s="30">
        <f>SUM(BI18:BL18)</f>
        <v>2594.1999999999998</v>
      </c>
      <c r="R18" s="30">
        <f>SUM(BM18:BP18)</f>
        <v>2702.8999999999996</v>
      </c>
      <c r="S18" s="30">
        <f>SUM(BQ18:BT18)</f>
        <v>2792</v>
      </c>
      <c r="T18" s="30">
        <f>SUM(BU18:BX18)</f>
        <v>2493</v>
      </c>
      <c r="U18" s="30">
        <f>SUM(BY18:CB18)</f>
        <v>2283.3000000000002</v>
      </c>
      <c r="V18" s="30">
        <f>SUM(CC18:CF18)</f>
        <v>2062.5</v>
      </c>
      <c r="W18" s="30"/>
      <c r="X18" s="30"/>
      <c r="Y18" s="30"/>
      <c r="Z18" s="30"/>
      <c r="AA18" s="30"/>
      <c r="AC18" s="30">
        <v>11.6</v>
      </c>
      <c r="AD18" s="30">
        <v>17.8</v>
      </c>
      <c r="AE18" s="30">
        <v>40</v>
      </c>
      <c r="AF18" s="30">
        <v>73.099999999999994</v>
      </c>
      <c r="AG18" s="30">
        <v>93.9</v>
      </c>
      <c r="AH18" s="30">
        <v>111.2</v>
      </c>
      <c r="AI18" s="30">
        <v>122.3</v>
      </c>
      <c r="AJ18" s="30">
        <v>135.80000000000001</v>
      </c>
      <c r="AK18" s="30">
        <v>130</v>
      </c>
      <c r="AL18" s="30">
        <v>153</v>
      </c>
      <c r="AM18" s="30">
        <v>157</v>
      </c>
      <c r="AN18" s="30">
        <v>171.4</v>
      </c>
      <c r="AO18" s="30">
        <v>187.8</v>
      </c>
      <c r="AP18" s="30">
        <v>207.1</v>
      </c>
      <c r="AQ18" s="30">
        <v>215</v>
      </c>
      <c r="AR18" s="30">
        <v>244.1</v>
      </c>
      <c r="AS18" s="30">
        <v>247.2</v>
      </c>
      <c r="AT18" s="30">
        <v>275</v>
      </c>
      <c r="AU18" s="30">
        <v>313.89999999999998</v>
      </c>
      <c r="AV18" s="30">
        <v>318.7</v>
      </c>
      <c r="AW18" s="30">
        <v>335.3</v>
      </c>
      <c r="AX18" s="30">
        <v>385.3</v>
      </c>
      <c r="AY18" s="30">
        <v>461.9</v>
      </c>
      <c r="AZ18" s="30">
        <v>523.6</v>
      </c>
      <c r="BA18" s="30">
        <v>527.4</v>
      </c>
      <c r="BB18" s="30">
        <v>551.79999999999995</v>
      </c>
      <c r="BC18" s="30">
        <v>560.29999999999995</v>
      </c>
      <c r="BD18" s="30">
        <v>569</v>
      </c>
      <c r="BE18" s="30">
        <v>579.9</v>
      </c>
      <c r="BF18" s="30">
        <v>613.4</v>
      </c>
      <c r="BG18" s="30">
        <v>629.70000000000005</v>
      </c>
      <c r="BH18" s="30">
        <v>638.1</v>
      </c>
      <c r="BI18" s="30">
        <v>606.79999999999995</v>
      </c>
      <c r="BJ18" s="30">
        <v>659.5</v>
      </c>
      <c r="BK18" s="30">
        <v>643.6</v>
      </c>
      <c r="BL18" s="30">
        <v>684.3</v>
      </c>
      <c r="BM18" s="30">
        <v>616.79999999999995</v>
      </c>
      <c r="BN18" s="30">
        <v>669.4</v>
      </c>
      <c r="BO18" s="30">
        <v>690.5</v>
      </c>
      <c r="BP18" s="30">
        <v>726.2</v>
      </c>
      <c r="BQ18" s="30">
        <v>632</v>
      </c>
      <c r="BR18" s="30">
        <v>711.6</v>
      </c>
      <c r="BS18" s="30">
        <v>723.4</v>
      </c>
      <c r="BT18" s="30">
        <v>725</v>
      </c>
      <c r="BU18" s="30">
        <v>573</v>
      </c>
      <c r="BV18" s="30">
        <v>664.3</v>
      </c>
      <c r="BW18" s="30">
        <v>628.5</v>
      </c>
      <c r="BX18" s="30">
        <v>627.20000000000005</v>
      </c>
      <c r="BY18" s="30">
        <v>564.20000000000005</v>
      </c>
      <c r="BZ18" s="30">
        <v>607.1</v>
      </c>
      <c r="CA18" s="30">
        <v>570.4</v>
      </c>
      <c r="CB18" s="30">
        <v>541.6</v>
      </c>
      <c r="CC18" s="30">
        <v>489.9</v>
      </c>
      <c r="CD18" s="30">
        <v>532.9</v>
      </c>
      <c r="CE18" s="30">
        <v>514.5</v>
      </c>
      <c r="CF18" s="30">
        <v>525.20000000000005</v>
      </c>
      <c r="CG18" s="30">
        <v>499.6</v>
      </c>
      <c r="CH18" s="30">
        <v>555.9</v>
      </c>
      <c r="CI18" s="30">
        <v>520.5</v>
      </c>
      <c r="CJ18" s="30">
        <v>556.9</v>
      </c>
      <c r="CK18" s="30">
        <v>499.2</v>
      </c>
      <c r="CL18" s="30">
        <v>577.79999999999995</v>
      </c>
      <c r="CM18" s="30">
        <v>508.2</v>
      </c>
      <c r="CN18" s="30">
        <v>530.70000000000005</v>
      </c>
      <c r="CO18" s="30">
        <v>560.1</v>
      </c>
      <c r="CP18" s="30">
        <v>539.1</v>
      </c>
      <c r="CQ18" s="30">
        <v>578</v>
      </c>
      <c r="CR18" s="30">
        <v>652.70000000000005</v>
      </c>
      <c r="CS18" s="30">
        <v>559</v>
      </c>
      <c r="CT18" s="30">
        <v>610.6</v>
      </c>
      <c r="CU18" s="30">
        <v>457</v>
      </c>
      <c r="CV18" s="30">
        <v>434.9</v>
      </c>
      <c r="CW18" s="30">
        <v>343.9</v>
      </c>
      <c r="CX18" s="30">
        <v>227.7</v>
      </c>
      <c r="CY18" s="30">
        <v>119.4</v>
      </c>
      <c r="CZ18" s="30">
        <v>236.6</v>
      </c>
      <c r="DA18" s="30">
        <v>58.2</v>
      </c>
    </row>
    <row r="19" spans="1:117" x14ac:dyDescent="0.2">
      <c r="A19">
        <f t="shared" ref="A19:A26" si="77">+A18+1</f>
        <v>17</v>
      </c>
      <c r="B19" t="s">
        <v>648</v>
      </c>
      <c r="C19" t="s">
        <v>20</v>
      </c>
      <c r="D19" t="s">
        <v>1432</v>
      </c>
      <c r="E19">
        <v>2</v>
      </c>
      <c r="G19" s="61">
        <f t="shared" si="50"/>
        <v>32887.399999999994</v>
      </c>
      <c r="H19" s="61"/>
      <c r="I19" s="30">
        <f t="shared" si="51"/>
        <v>362</v>
      </c>
      <c r="J19" s="30">
        <f t="shared" si="52"/>
        <v>954.6</v>
      </c>
      <c r="K19" s="30">
        <f t="shared" si="53"/>
        <v>1734.4</v>
      </c>
      <c r="L19" s="30">
        <f t="shared" si="54"/>
        <v>2401</v>
      </c>
      <c r="M19" s="30">
        <f t="shared" si="55"/>
        <v>2891.2999999999997</v>
      </c>
      <c r="N19" s="30">
        <f t="shared" si="56"/>
        <v>3291.8999999999996</v>
      </c>
      <c r="O19" s="30">
        <f t="shared" si="57"/>
        <v>3722.1</v>
      </c>
      <c r="P19" s="30">
        <f t="shared" si="58"/>
        <v>4587.3</v>
      </c>
      <c r="Q19" s="30">
        <f t="shared" si="59"/>
        <v>5481.5999999999995</v>
      </c>
      <c r="R19" s="30">
        <f t="shared" si="60"/>
        <v>3138.5</v>
      </c>
      <c r="S19" s="30">
        <f t="shared" si="61"/>
        <v>1296.4000000000001</v>
      </c>
      <c r="T19" s="30">
        <f t="shared" si="62"/>
        <v>901.7</v>
      </c>
      <c r="U19" s="30">
        <f t="shared" si="20"/>
        <v>876.5</v>
      </c>
      <c r="V19" s="30">
        <f t="shared" si="21"/>
        <v>727.5</v>
      </c>
      <c r="W19" s="30"/>
      <c r="X19" s="30"/>
      <c r="Y19" s="30"/>
      <c r="Z19" s="30"/>
      <c r="AA19" s="30"/>
      <c r="AC19" s="30">
        <v>32.5</v>
      </c>
      <c r="AD19" s="30">
        <v>61.3</v>
      </c>
      <c r="AE19" s="30">
        <v>106.8</v>
      </c>
      <c r="AF19" s="30">
        <v>161.4</v>
      </c>
      <c r="AG19" s="30">
        <v>182.8</v>
      </c>
      <c r="AH19" s="30">
        <v>228.8</v>
      </c>
      <c r="AI19" s="30">
        <v>233</v>
      </c>
      <c r="AJ19" s="30">
        <v>310</v>
      </c>
      <c r="AK19" s="30">
        <v>349</v>
      </c>
      <c r="AL19" s="30">
        <v>424.1</v>
      </c>
      <c r="AM19" s="30">
        <v>441.8</v>
      </c>
      <c r="AN19" s="30">
        <v>519.5</v>
      </c>
      <c r="AO19" s="30">
        <v>513.20000000000005</v>
      </c>
      <c r="AP19" s="30">
        <v>628.29999999999995</v>
      </c>
      <c r="AQ19" s="30">
        <v>605.1</v>
      </c>
      <c r="AR19" s="30">
        <v>654.4</v>
      </c>
      <c r="AS19" s="30">
        <v>716.4</v>
      </c>
      <c r="AT19" s="30">
        <v>721.2</v>
      </c>
      <c r="AU19" s="30">
        <v>709.3</v>
      </c>
      <c r="AV19" s="30">
        <v>744.4</v>
      </c>
      <c r="AW19" s="30">
        <v>790.2</v>
      </c>
      <c r="AX19" s="30">
        <v>830.8</v>
      </c>
      <c r="AY19" s="30">
        <v>803.2</v>
      </c>
      <c r="AZ19" s="30">
        <v>867.7</v>
      </c>
      <c r="BA19" s="30">
        <v>825.3</v>
      </c>
      <c r="BB19" s="30">
        <v>984.6</v>
      </c>
      <c r="BC19" s="30">
        <v>908.8</v>
      </c>
      <c r="BD19" s="30">
        <v>1003.4</v>
      </c>
      <c r="BE19" s="30">
        <v>1068.5999999999999</v>
      </c>
      <c r="BF19" s="30">
        <v>1180.7</v>
      </c>
      <c r="BG19" s="30">
        <v>1114.9000000000001</v>
      </c>
      <c r="BH19" s="30">
        <v>1223.0999999999999</v>
      </c>
      <c r="BI19" s="30">
        <v>1235.8</v>
      </c>
      <c r="BJ19" s="30">
        <v>1420.4</v>
      </c>
      <c r="BK19" s="30">
        <v>1328.2</v>
      </c>
      <c r="BL19" s="30">
        <v>1497.2</v>
      </c>
      <c r="BM19" s="30">
        <v>1375.8</v>
      </c>
      <c r="BN19" s="30">
        <v>883.2</v>
      </c>
      <c r="BO19" s="30">
        <v>478.2</v>
      </c>
      <c r="BP19" s="30">
        <v>401.3</v>
      </c>
      <c r="BQ19" s="30">
        <v>368</v>
      </c>
      <c r="BR19" s="30">
        <v>367.3</v>
      </c>
      <c r="BS19" s="30">
        <v>287</v>
      </c>
      <c r="BT19" s="30">
        <v>274.10000000000002</v>
      </c>
      <c r="BU19" s="30">
        <v>242.9</v>
      </c>
      <c r="BV19" s="30">
        <v>223.6</v>
      </c>
      <c r="BW19" s="30">
        <v>198.7</v>
      </c>
      <c r="BX19" s="30">
        <v>236.5</v>
      </c>
      <c r="BY19" s="30">
        <v>313.5</v>
      </c>
      <c r="BZ19" s="30">
        <v>181.8</v>
      </c>
      <c r="CA19" s="30">
        <v>174.6</v>
      </c>
      <c r="CB19" s="30">
        <v>206.6</v>
      </c>
      <c r="CC19" s="30">
        <v>183.2</v>
      </c>
      <c r="CD19" s="30">
        <v>192.8</v>
      </c>
      <c r="CE19" s="30">
        <v>169.6</v>
      </c>
      <c r="CF19" s="30">
        <v>181.9</v>
      </c>
      <c r="CG19" s="30">
        <v>172</v>
      </c>
      <c r="CH19" s="30">
        <v>184.5</v>
      </c>
      <c r="CI19" s="30">
        <v>164.1</v>
      </c>
    </row>
    <row r="20" spans="1:117" x14ac:dyDescent="0.2">
      <c r="A20">
        <f t="shared" si="77"/>
        <v>18</v>
      </c>
      <c r="B20" t="s">
        <v>1060</v>
      </c>
      <c r="C20" t="s">
        <v>1061</v>
      </c>
      <c r="D20" t="s">
        <v>1430</v>
      </c>
      <c r="G20" s="61">
        <f t="shared" si="50"/>
        <v>32529.591836734697</v>
      </c>
      <c r="H20" s="61"/>
      <c r="I20" s="30">
        <f t="shared" si="51"/>
        <v>769.97084548104954</v>
      </c>
      <c r="J20" s="30">
        <f t="shared" si="52"/>
        <v>2489.5043731778424</v>
      </c>
      <c r="K20" s="30">
        <f t="shared" si="53"/>
        <v>3748.8338192419824</v>
      </c>
      <c r="L20" s="30">
        <f t="shared" si="54"/>
        <v>6704.3731778425645</v>
      </c>
      <c r="M20" s="30">
        <f t="shared" si="55"/>
        <v>10948.542274052477</v>
      </c>
      <c r="N20" s="30">
        <f t="shared" si="56"/>
        <v>7868.367346938775</v>
      </c>
      <c r="O20" s="30">
        <f t="shared" si="57"/>
        <v>0</v>
      </c>
      <c r="P20" s="30">
        <f t="shared" si="58"/>
        <v>0</v>
      </c>
      <c r="Q20" s="30">
        <f t="shared" si="59"/>
        <v>0</v>
      </c>
      <c r="R20" s="30">
        <f t="shared" si="60"/>
        <v>0</v>
      </c>
      <c r="S20" s="30">
        <f t="shared" si="61"/>
        <v>0</v>
      </c>
      <c r="T20" s="30">
        <f t="shared" si="62"/>
        <v>0</v>
      </c>
      <c r="U20" s="30">
        <f t="shared" si="20"/>
        <v>0</v>
      </c>
      <c r="V20" s="30">
        <f t="shared" si="21"/>
        <v>0</v>
      </c>
      <c r="W20" s="30"/>
      <c r="X20" s="30"/>
      <c r="Y20" s="30"/>
      <c r="Z20" s="30"/>
      <c r="AA20" s="30"/>
      <c r="AC20" s="30">
        <f>540/$C$69</f>
        <v>78.717201166180757</v>
      </c>
      <c r="AD20" s="30">
        <f>992/$C$69</f>
        <v>144.60641399416909</v>
      </c>
      <c r="AE20" s="31">
        <f>1425/$C$69</f>
        <v>207.72594752186589</v>
      </c>
      <c r="AF20" s="31">
        <f>2325/$C$69</f>
        <v>338.92128279883383</v>
      </c>
      <c r="AG20" s="31">
        <f>3122/$C$69</f>
        <v>455.10204081632651</v>
      </c>
      <c r="AH20" s="31">
        <f>4365/$C$69</f>
        <v>636.29737609329447</v>
      </c>
      <c r="AI20" s="31">
        <f>4755/$C$69</f>
        <v>693.14868804664718</v>
      </c>
      <c r="AJ20" s="31">
        <f>4836/$C$69</f>
        <v>704.95626822157431</v>
      </c>
      <c r="AK20" s="31">
        <f>5432/$C$69</f>
        <v>791.83673469387747</v>
      </c>
      <c r="AL20" s="31">
        <f>6188/$C$69</f>
        <v>902.0408163265306</v>
      </c>
      <c r="AM20" s="31">
        <f>6662/$C$69</f>
        <v>971.13702623906704</v>
      </c>
      <c r="AN20" s="31">
        <f>7435/$C$69</f>
        <v>1083.8192419825073</v>
      </c>
      <c r="AO20" s="31">
        <f>8892/$C$69</f>
        <v>1296.2099125364432</v>
      </c>
      <c r="AP20" s="31">
        <f>10716/$C$69</f>
        <v>1562.0991253644313</v>
      </c>
      <c r="AQ20" s="31">
        <f>12035/$C$69</f>
        <v>1754.3731778425656</v>
      </c>
      <c r="AR20" s="31">
        <f>14349/$C$69</f>
        <v>2091.690962099125</v>
      </c>
      <c r="AS20" s="31">
        <f>16390/$C$69</f>
        <v>2389.2128279883382</v>
      </c>
      <c r="AT20" s="31">
        <f>16976/$C$69</f>
        <v>2474.6355685131193</v>
      </c>
      <c r="AU20" s="31">
        <f>19640/$C$69</f>
        <v>2862.9737609329445</v>
      </c>
      <c r="AV20" s="31">
        <f>22101/C69</f>
        <v>3221.7201166180757</v>
      </c>
      <c r="AW20" s="31">
        <f>23912/C69</f>
        <v>3485.7142857142853</v>
      </c>
      <c r="AX20" s="31">
        <f>30065/C69</f>
        <v>4382.6530612244896</v>
      </c>
    </row>
    <row r="21" spans="1:117" x14ac:dyDescent="0.2">
      <c r="A21">
        <f t="shared" si="77"/>
        <v>19</v>
      </c>
      <c r="B21" t="s">
        <v>1419</v>
      </c>
      <c r="C21" t="s">
        <v>46</v>
      </c>
      <c r="D21" t="s">
        <v>1451</v>
      </c>
      <c r="G21" s="61">
        <f t="shared" si="50"/>
        <v>31975</v>
      </c>
      <c r="H21" s="61"/>
      <c r="I21" s="30">
        <f t="shared" si="51"/>
        <v>9314</v>
      </c>
      <c r="J21" s="30">
        <f t="shared" si="52"/>
        <v>12258</v>
      </c>
      <c r="K21" s="30">
        <f t="shared" si="53"/>
        <v>6253</v>
      </c>
      <c r="L21" s="30">
        <f t="shared" si="54"/>
        <v>2296</v>
      </c>
      <c r="M21" s="30">
        <f t="shared" si="55"/>
        <v>961</v>
      </c>
      <c r="N21" s="30">
        <f t="shared" si="56"/>
        <v>404</v>
      </c>
      <c r="O21" s="30">
        <f t="shared" si="57"/>
        <v>211</v>
      </c>
      <c r="P21" s="30">
        <f t="shared" si="58"/>
        <v>152</v>
      </c>
      <c r="Q21" s="30">
        <f t="shared" si="59"/>
        <v>86</v>
      </c>
      <c r="R21" s="30">
        <f t="shared" si="60"/>
        <v>40</v>
      </c>
      <c r="S21" s="30">
        <f t="shared" si="61"/>
        <v>0</v>
      </c>
      <c r="T21" s="30">
        <f t="shared" si="62"/>
        <v>0</v>
      </c>
      <c r="U21" s="30">
        <f t="shared" si="20"/>
        <v>0</v>
      </c>
      <c r="V21" s="30">
        <f t="shared" si="21"/>
        <v>0</v>
      </c>
      <c r="W21" s="30"/>
      <c r="X21" s="30"/>
      <c r="Y21" s="30"/>
      <c r="Z21" s="30"/>
      <c r="AA21" s="30"/>
      <c r="AC21" s="30">
        <v>20</v>
      </c>
      <c r="AD21" s="30">
        <v>2107</v>
      </c>
      <c r="AE21" s="30">
        <v>3579</v>
      </c>
      <c r="AF21">
        <v>3608</v>
      </c>
      <c r="AG21">
        <v>3332</v>
      </c>
      <c r="AH21">
        <v>3345</v>
      </c>
      <c r="AI21">
        <v>3017</v>
      </c>
      <c r="AJ21">
        <v>2564</v>
      </c>
      <c r="AK21">
        <v>1860</v>
      </c>
      <c r="AL21">
        <v>1640</v>
      </c>
      <c r="AM21">
        <v>1371</v>
      </c>
      <c r="AN21">
        <v>1382</v>
      </c>
      <c r="AO21">
        <v>973</v>
      </c>
      <c r="AP21">
        <v>644</v>
      </c>
      <c r="AQ21">
        <v>348</v>
      </c>
      <c r="AR21">
        <v>331</v>
      </c>
      <c r="AS21">
        <v>311</v>
      </c>
      <c r="AT21">
        <v>232</v>
      </c>
      <c r="AU21">
        <v>225</v>
      </c>
      <c r="AV21">
        <v>193</v>
      </c>
      <c r="AW21">
        <v>124</v>
      </c>
      <c r="AX21">
        <v>101</v>
      </c>
      <c r="AY21">
        <v>112</v>
      </c>
      <c r="AZ21">
        <v>67</v>
      </c>
      <c r="BA21">
        <v>84</v>
      </c>
      <c r="BB21">
        <v>9</v>
      </c>
      <c r="BC21">
        <v>56</v>
      </c>
      <c r="BD21">
        <v>62</v>
      </c>
      <c r="BE21">
        <v>45</v>
      </c>
      <c r="BF21">
        <v>49</v>
      </c>
      <c r="BG21">
        <v>35</v>
      </c>
      <c r="BH21">
        <v>23</v>
      </c>
      <c r="BI21">
        <v>25</v>
      </c>
      <c r="BJ21">
        <v>31</v>
      </c>
      <c r="BK21">
        <v>15</v>
      </c>
      <c r="BL21">
        <v>15</v>
      </c>
      <c r="BM21">
        <v>23</v>
      </c>
      <c r="BN21">
        <v>17</v>
      </c>
    </row>
    <row r="22" spans="1:117" x14ac:dyDescent="0.2">
      <c r="A22">
        <f t="shared" si="77"/>
        <v>20</v>
      </c>
      <c r="B22" t="s">
        <v>642</v>
      </c>
      <c r="C22" t="s">
        <v>20</v>
      </c>
      <c r="D22" t="s">
        <v>1430</v>
      </c>
      <c r="G22" s="61">
        <f t="shared" si="50"/>
        <v>31498</v>
      </c>
      <c r="H22" s="61"/>
      <c r="I22" s="30">
        <f t="shared" si="51"/>
        <v>146.5</v>
      </c>
      <c r="J22" s="30">
        <f t="shared" si="52"/>
        <v>701</v>
      </c>
      <c r="K22" s="30">
        <f t="shared" si="53"/>
        <v>1717.8</v>
      </c>
      <c r="L22" s="30">
        <f t="shared" si="54"/>
        <v>2923.3</v>
      </c>
      <c r="M22" s="30">
        <f t="shared" si="55"/>
        <v>3844.4</v>
      </c>
      <c r="N22" s="30">
        <f t="shared" si="56"/>
        <v>4773.8999999999996</v>
      </c>
      <c r="O22" s="30">
        <f t="shared" si="57"/>
        <v>6090.5</v>
      </c>
      <c r="P22" s="30">
        <f t="shared" si="58"/>
        <v>7387.2999999999993</v>
      </c>
      <c r="Q22" s="30">
        <f t="shared" si="59"/>
        <v>3913.3</v>
      </c>
      <c r="R22" s="30">
        <f t="shared" si="60"/>
        <v>0</v>
      </c>
      <c r="S22" s="30">
        <f t="shared" si="61"/>
        <v>0</v>
      </c>
      <c r="T22" s="30">
        <f t="shared" si="62"/>
        <v>0</v>
      </c>
      <c r="U22" s="30">
        <f t="shared" si="20"/>
        <v>0</v>
      </c>
      <c r="V22" s="30">
        <f t="shared" si="21"/>
        <v>0</v>
      </c>
      <c r="W22" s="30"/>
      <c r="X22" s="30"/>
      <c r="Y22" s="30"/>
      <c r="Z22" s="30"/>
      <c r="AA22" s="30"/>
      <c r="AC22" s="29">
        <v>10.199999999999999</v>
      </c>
      <c r="AD22" s="29">
        <v>18.3</v>
      </c>
      <c r="AE22" s="29">
        <v>44.3</v>
      </c>
      <c r="AF22" s="29">
        <v>73.7</v>
      </c>
      <c r="AG22" s="29">
        <v>112.5</v>
      </c>
      <c r="AH22" s="29">
        <v>143.6</v>
      </c>
      <c r="AI22" s="29">
        <v>201.3</v>
      </c>
      <c r="AJ22" s="29">
        <v>243.6</v>
      </c>
      <c r="AK22" s="29">
        <v>337</v>
      </c>
      <c r="AL22" s="29">
        <v>372.9</v>
      </c>
      <c r="AM22" s="29">
        <v>480.2</v>
      </c>
      <c r="AN22" s="29">
        <v>527.70000000000005</v>
      </c>
      <c r="AO22" s="29">
        <v>649</v>
      </c>
      <c r="AP22" s="29">
        <v>678.3</v>
      </c>
      <c r="AQ22" s="29">
        <v>779.8</v>
      </c>
      <c r="AR22" s="29">
        <v>816.2</v>
      </c>
      <c r="AS22" s="29">
        <v>924.7</v>
      </c>
      <c r="AT22" s="29">
        <v>879.7</v>
      </c>
      <c r="AU22" s="29">
        <v>1028.5</v>
      </c>
      <c r="AV22" s="29">
        <v>1011.5</v>
      </c>
      <c r="AW22" s="29">
        <v>1208.0999999999999</v>
      </c>
      <c r="AX22" s="29">
        <v>1229.4000000000001</v>
      </c>
      <c r="AY22" s="29">
        <v>1229.8</v>
      </c>
      <c r="AZ22" s="29">
        <v>1106.5999999999999</v>
      </c>
      <c r="BA22" s="29">
        <v>1502.4</v>
      </c>
      <c r="BB22" s="29">
        <v>1452.4</v>
      </c>
      <c r="BC22" s="29">
        <v>1535.6</v>
      </c>
      <c r="BD22" s="29">
        <v>1600.1</v>
      </c>
      <c r="BE22" s="29">
        <v>1883.7</v>
      </c>
      <c r="BF22" s="29">
        <v>1741.3</v>
      </c>
      <c r="BG22" s="29">
        <v>1911.9</v>
      </c>
      <c r="BH22" s="29">
        <v>1850.4</v>
      </c>
      <c r="BI22" s="29">
        <v>1936.2</v>
      </c>
      <c r="BJ22" s="29">
        <v>1977.1</v>
      </c>
    </row>
    <row r="23" spans="1:117" x14ac:dyDescent="0.2">
      <c r="A23">
        <f t="shared" si="77"/>
        <v>21</v>
      </c>
      <c r="B23" t="s">
        <v>1347</v>
      </c>
      <c r="C23" t="s">
        <v>30</v>
      </c>
      <c r="D23" t="s">
        <v>1428</v>
      </c>
      <c r="F23" t="s">
        <v>1344</v>
      </c>
      <c r="G23" s="61">
        <f t="shared" si="50"/>
        <v>31129</v>
      </c>
      <c r="H23" s="61"/>
      <c r="I23" s="30">
        <f t="shared" si="51"/>
        <v>209</v>
      </c>
      <c r="J23" s="30">
        <f t="shared" si="52"/>
        <v>1128</v>
      </c>
      <c r="K23" s="30">
        <f t="shared" si="53"/>
        <v>2071</v>
      </c>
      <c r="L23" s="30">
        <f t="shared" si="54"/>
        <v>2837</v>
      </c>
      <c r="M23" s="30">
        <f t="shared" si="55"/>
        <v>3551</v>
      </c>
      <c r="N23" s="30">
        <f t="shared" si="56"/>
        <v>3995</v>
      </c>
      <c r="O23" s="30">
        <f t="shared" si="57"/>
        <v>4718</v>
      </c>
      <c r="P23" s="30">
        <f t="shared" si="58"/>
        <v>4788</v>
      </c>
      <c r="Q23" s="30">
        <f t="shared" si="59"/>
        <v>4980</v>
      </c>
      <c r="R23" s="30">
        <f t="shared" si="60"/>
        <v>2852</v>
      </c>
      <c r="S23" s="30">
        <f t="shared" si="61"/>
        <v>0</v>
      </c>
      <c r="T23" s="30">
        <f t="shared" si="62"/>
        <v>0</v>
      </c>
      <c r="U23" s="30">
        <f t="shared" si="20"/>
        <v>0</v>
      </c>
      <c r="V23" s="30">
        <f t="shared" si="21"/>
        <v>0</v>
      </c>
      <c r="W23" s="30"/>
      <c r="X23" s="30"/>
      <c r="Y23" s="30"/>
      <c r="Z23" s="30"/>
      <c r="AA23" s="30"/>
      <c r="AC23" s="30" t="s">
        <v>1345</v>
      </c>
      <c r="AD23" s="30" t="s">
        <v>1346</v>
      </c>
      <c r="AE23" s="30">
        <v>88</v>
      </c>
      <c r="AF23">
        <v>121</v>
      </c>
      <c r="AG23">
        <v>176</v>
      </c>
      <c r="AH23">
        <v>260</v>
      </c>
      <c r="AI23">
        <v>301</v>
      </c>
      <c r="AJ23">
        <v>391</v>
      </c>
      <c r="AK23">
        <v>410</v>
      </c>
      <c r="AL23">
        <v>490</v>
      </c>
      <c r="AM23">
        <v>556</v>
      </c>
      <c r="AN23">
        <v>615</v>
      </c>
      <c r="AO23">
        <v>580</v>
      </c>
      <c r="AP23">
        <v>701</v>
      </c>
      <c r="AQ23">
        <v>750</v>
      </c>
      <c r="AR23">
        <v>806</v>
      </c>
      <c r="AS23">
        <v>791</v>
      </c>
      <c r="AT23">
        <v>858</v>
      </c>
      <c r="AU23">
        <v>937</v>
      </c>
      <c r="AV23">
        <v>965</v>
      </c>
      <c r="AW23">
        <v>930</v>
      </c>
      <c r="AX23">
        <v>944</v>
      </c>
      <c r="AY23">
        <v>1012</v>
      </c>
      <c r="AZ23">
        <v>1109</v>
      </c>
      <c r="BA23">
        <v>1053</v>
      </c>
      <c r="BB23">
        <v>1175</v>
      </c>
      <c r="BC23">
        <v>1247</v>
      </c>
      <c r="BD23">
        <v>1243</v>
      </c>
      <c r="BE23">
        <v>1159</v>
      </c>
      <c r="BF23">
        <v>1275</v>
      </c>
      <c r="BG23">
        <v>1274</v>
      </c>
      <c r="BH23">
        <v>1080</v>
      </c>
      <c r="BI23">
        <v>1076</v>
      </c>
      <c r="BJ23">
        <v>1272</v>
      </c>
      <c r="BK23">
        <v>1329</v>
      </c>
      <c r="BL23">
        <v>1303</v>
      </c>
      <c r="BM23">
        <v>1326</v>
      </c>
      <c r="BN23">
        <v>1526</v>
      </c>
    </row>
    <row r="24" spans="1:117" x14ac:dyDescent="0.2">
      <c r="A24">
        <f t="shared" si="77"/>
        <v>22</v>
      </c>
      <c r="B24" t="s">
        <v>1466</v>
      </c>
      <c r="C24" t="s">
        <v>20</v>
      </c>
      <c r="D24" t="s">
        <v>1427</v>
      </c>
      <c r="E24">
        <v>2</v>
      </c>
      <c r="G24" s="61">
        <f t="shared" si="50"/>
        <v>28918.500000000007</v>
      </c>
      <c r="H24" s="61"/>
      <c r="I24" s="30">
        <f t="shared" ref="I24" si="78">SUM(AC24:AF24)</f>
        <v>203.3</v>
      </c>
      <c r="J24" s="30">
        <f t="shared" ref="J24" si="79">SUM(AG24:AJ24)</f>
        <v>540.09999999999991</v>
      </c>
      <c r="K24" s="30">
        <f t="shared" ref="K24" si="80">SUM(AK24:AN24)</f>
        <v>690.4</v>
      </c>
      <c r="L24" s="30">
        <f t="shared" ref="L24" si="81">SUM(AO24:AR24)</f>
        <v>943.3</v>
      </c>
      <c r="M24" s="30">
        <f t="shared" ref="M24" si="82">SUM(AS24:AV24)</f>
        <v>1216.3</v>
      </c>
      <c r="N24" s="30">
        <f t="shared" ref="N24" si="83">SUM(AW24:AZ24)</f>
        <v>1444.4999999999998</v>
      </c>
      <c r="O24" s="30">
        <f t="shared" ref="O24" si="84">SUM(BA24:BD24)</f>
        <v>1559.1000000000001</v>
      </c>
      <c r="P24" s="30">
        <f t="shared" ref="P24" si="85">SUM(BE24:BH24)</f>
        <v>1699.4</v>
      </c>
      <c r="Q24" s="30">
        <f t="shared" ref="Q24" si="86">SUM(BI24:BL24)</f>
        <v>1875.6</v>
      </c>
      <c r="R24" s="30">
        <f t="shared" ref="R24" si="87">SUM(BM24:BP24)</f>
        <v>1926.8000000000002</v>
      </c>
      <c r="S24" s="30">
        <f t="shared" ref="S24" si="88">SUM(BQ24:BT24)</f>
        <v>2159.4</v>
      </c>
      <c r="T24" s="30">
        <f t="shared" ref="T24" si="89">SUM(BU24:BX24)</f>
        <v>2291</v>
      </c>
      <c r="U24" s="30">
        <f t="shared" ref="U24" si="90">SUM(BY24:CB24)</f>
        <v>2310.6999999999998</v>
      </c>
      <c r="V24" s="30">
        <f t="shared" ref="V24" si="91">SUM(CC24:CF24)</f>
        <v>2471.6999999999998</v>
      </c>
      <c r="W24" s="30"/>
      <c r="X24" s="30"/>
      <c r="Y24" s="30"/>
      <c r="Z24" s="30"/>
      <c r="AA24" s="30"/>
      <c r="AC24" s="30">
        <v>21.5</v>
      </c>
      <c r="AD24" s="30">
        <v>37.5</v>
      </c>
      <c r="AE24" s="30">
        <v>50.2</v>
      </c>
      <c r="AF24" s="30">
        <v>94.100000000000023</v>
      </c>
      <c r="AG24" s="30">
        <v>108.3</v>
      </c>
      <c r="AH24" s="30">
        <v>125</v>
      </c>
      <c r="AI24" s="30">
        <v>154.1</v>
      </c>
      <c r="AJ24" s="30">
        <v>152.69999999999999</v>
      </c>
      <c r="AK24" s="30">
        <v>150.1</v>
      </c>
      <c r="AL24" s="30">
        <v>165.1</v>
      </c>
      <c r="AM24" s="30">
        <v>180.1</v>
      </c>
      <c r="AN24" s="30">
        <v>195.1</v>
      </c>
      <c r="AO24" s="30">
        <v>210.1</v>
      </c>
      <c r="AP24" s="30">
        <v>225.1</v>
      </c>
      <c r="AQ24" s="30">
        <v>240.1</v>
      </c>
      <c r="AR24" s="30">
        <v>268</v>
      </c>
      <c r="AS24" s="30">
        <v>266</v>
      </c>
      <c r="AT24" s="30">
        <v>293.10000000000002</v>
      </c>
      <c r="AU24" s="30">
        <v>311</v>
      </c>
      <c r="AV24" s="30">
        <v>346.2</v>
      </c>
      <c r="AW24" s="30">
        <v>336.9</v>
      </c>
      <c r="AX24" s="28">
        <v>362.2</v>
      </c>
      <c r="AY24" s="28">
        <v>376.6</v>
      </c>
      <c r="AZ24" s="28">
        <v>368.8</v>
      </c>
      <c r="BA24" s="28">
        <v>358.8</v>
      </c>
      <c r="BB24" s="28">
        <v>363.6</v>
      </c>
      <c r="BC24" s="28">
        <v>397.2</v>
      </c>
      <c r="BD24" s="28">
        <v>439.5</v>
      </c>
      <c r="BE24" s="28">
        <v>408.3</v>
      </c>
      <c r="BF24" s="28">
        <v>418.7</v>
      </c>
      <c r="BG24" s="28">
        <v>406.5</v>
      </c>
      <c r="BH24" s="28">
        <v>465.9</v>
      </c>
      <c r="BI24" s="28">
        <v>434.4</v>
      </c>
      <c r="BJ24" s="28">
        <v>477.2</v>
      </c>
      <c r="BK24" s="28">
        <v>469.8</v>
      </c>
      <c r="BL24" s="28">
        <v>494.2</v>
      </c>
      <c r="BM24" s="28">
        <v>461.8</v>
      </c>
      <c r="BN24" s="28">
        <v>469.5</v>
      </c>
      <c r="BO24" s="28">
        <v>482.1</v>
      </c>
      <c r="BP24" s="28">
        <v>513.4</v>
      </c>
      <c r="BQ24" s="28">
        <v>515</v>
      </c>
      <c r="BR24" s="28">
        <v>529.4</v>
      </c>
      <c r="BS24" s="28">
        <v>526.70000000000005</v>
      </c>
      <c r="BT24" s="28">
        <v>588.29999999999995</v>
      </c>
      <c r="BU24" s="28">
        <v>532.4</v>
      </c>
      <c r="BV24" s="28">
        <v>567.79999999999995</v>
      </c>
      <c r="BW24" s="28">
        <v>568.4</v>
      </c>
      <c r="BX24" s="28">
        <v>622.4</v>
      </c>
      <c r="BY24" s="28">
        <v>538.29999999999995</v>
      </c>
      <c r="BZ24" s="28">
        <v>567.9</v>
      </c>
      <c r="CA24" s="28">
        <v>566.1</v>
      </c>
      <c r="CB24" s="28">
        <v>638.4</v>
      </c>
      <c r="CC24" s="28">
        <v>576.70000000000005</v>
      </c>
      <c r="CD24" s="28">
        <v>630.5</v>
      </c>
      <c r="CE24" s="28">
        <v>588.20000000000005</v>
      </c>
      <c r="CF24" s="28">
        <v>676.3</v>
      </c>
      <c r="CG24" s="28">
        <v>533.6</v>
      </c>
      <c r="CH24" s="28">
        <v>627.29999999999995</v>
      </c>
      <c r="CI24" s="28">
        <v>564.9</v>
      </c>
      <c r="CJ24" s="28">
        <v>597.4</v>
      </c>
      <c r="CK24" s="28">
        <v>495.4</v>
      </c>
      <c r="CL24" s="28">
        <v>538.70000000000005</v>
      </c>
      <c r="CM24" s="28">
        <v>467.1</v>
      </c>
      <c r="CN24">
        <v>350.7</v>
      </c>
      <c r="CO24">
        <v>308.2</v>
      </c>
      <c r="CP24">
        <v>200.2</v>
      </c>
      <c r="CQ24">
        <v>184.3</v>
      </c>
      <c r="CR24">
        <v>197.80000000000007</v>
      </c>
      <c r="CS24">
        <v>193</v>
      </c>
      <c r="CT24">
        <v>130.69999999999999</v>
      </c>
      <c r="CU24">
        <v>162.5</v>
      </c>
      <c r="CV24">
        <v>120.90000000000003</v>
      </c>
      <c r="CW24">
        <v>126.8</v>
      </c>
      <c r="CX24">
        <v>281</v>
      </c>
      <c r="CY24">
        <v>130.9</v>
      </c>
      <c r="CZ24">
        <v>179.7</v>
      </c>
      <c r="DA24">
        <v>217.7</v>
      </c>
      <c r="DB24">
        <v>147</v>
      </c>
      <c r="DC24">
        <v>115.7</v>
      </c>
      <c r="DD24">
        <v>106.89999999999998</v>
      </c>
      <c r="DE24">
        <v>100.3</v>
      </c>
      <c r="DF24">
        <v>115.6</v>
      </c>
      <c r="DG24">
        <v>86.8</v>
      </c>
      <c r="DH24">
        <v>78.8</v>
      </c>
      <c r="DI24">
        <v>139.30000000000001</v>
      </c>
      <c r="DJ24">
        <v>87.7</v>
      </c>
    </row>
    <row r="25" spans="1:117" x14ac:dyDescent="0.2">
      <c r="A25">
        <f t="shared" si="77"/>
        <v>23</v>
      </c>
      <c r="B25" t="s">
        <v>1417</v>
      </c>
      <c r="C25" t="s">
        <v>46</v>
      </c>
      <c r="D25" t="s">
        <v>1429</v>
      </c>
      <c r="G25" s="61">
        <f t="shared" si="50"/>
        <v>25283</v>
      </c>
      <c r="H25" s="61"/>
      <c r="I25" s="30">
        <f t="shared" si="51"/>
        <v>966</v>
      </c>
      <c r="J25" s="30">
        <f t="shared" si="52"/>
        <v>3177</v>
      </c>
      <c r="K25" s="30">
        <f t="shared" si="53"/>
        <v>4478</v>
      </c>
      <c r="L25" s="30">
        <f t="shared" si="54"/>
        <v>4179</v>
      </c>
      <c r="M25" s="30">
        <f t="shared" si="55"/>
        <v>3444</v>
      </c>
      <c r="N25" s="30">
        <f t="shared" si="56"/>
        <v>2975</v>
      </c>
      <c r="O25" s="30">
        <f t="shared" si="57"/>
        <v>2520</v>
      </c>
      <c r="P25" s="30">
        <f t="shared" si="58"/>
        <v>2184</v>
      </c>
      <c r="Q25" s="30">
        <f t="shared" si="59"/>
        <v>1360</v>
      </c>
      <c r="R25" s="30">
        <f t="shared" si="60"/>
        <v>0</v>
      </c>
      <c r="S25" s="30">
        <f t="shared" si="61"/>
        <v>0</v>
      </c>
      <c r="T25" s="30">
        <f t="shared" si="62"/>
        <v>0</v>
      </c>
      <c r="U25" s="30">
        <f t="shared" si="20"/>
        <v>0</v>
      </c>
      <c r="V25" s="30">
        <f t="shared" si="21"/>
        <v>0</v>
      </c>
      <c r="W25" s="30"/>
      <c r="X25" s="30"/>
      <c r="Y25" s="30"/>
      <c r="Z25" s="30"/>
      <c r="AA25" s="30"/>
      <c r="AC25" s="30">
        <v>45</v>
      </c>
      <c r="AD25" s="30">
        <v>158</v>
      </c>
      <c r="AE25" s="30">
        <v>302</v>
      </c>
      <c r="AF25">
        <v>461</v>
      </c>
      <c r="AG25">
        <v>563</v>
      </c>
      <c r="AH25">
        <v>769</v>
      </c>
      <c r="AI25">
        <v>857</v>
      </c>
      <c r="AJ25">
        <v>988</v>
      </c>
      <c r="AK25">
        <v>1060</v>
      </c>
      <c r="AL25">
        <v>1082</v>
      </c>
      <c r="AM25">
        <v>1160</v>
      </c>
      <c r="AN25">
        <v>1176</v>
      </c>
      <c r="AO25">
        <v>1206</v>
      </c>
      <c r="AP25">
        <v>1015</v>
      </c>
      <c r="AQ25">
        <v>980</v>
      </c>
      <c r="AR25">
        <v>978</v>
      </c>
      <c r="AS25">
        <v>958</v>
      </c>
      <c r="AT25">
        <v>824</v>
      </c>
      <c r="AU25">
        <v>816</v>
      </c>
      <c r="AV25">
        <v>846</v>
      </c>
      <c r="AW25">
        <v>852</v>
      </c>
      <c r="AX25">
        <v>673</v>
      </c>
      <c r="AY25">
        <v>706</v>
      </c>
      <c r="AZ25">
        <v>744</v>
      </c>
      <c r="BA25">
        <v>756</v>
      </c>
      <c r="BB25">
        <v>582</v>
      </c>
      <c r="BC25">
        <v>582</v>
      </c>
      <c r="BD25">
        <v>600</v>
      </c>
      <c r="BE25">
        <v>640</v>
      </c>
      <c r="BF25">
        <v>501</v>
      </c>
      <c r="BG25">
        <v>540</v>
      </c>
      <c r="BH25">
        <v>503</v>
      </c>
      <c r="BI25">
        <v>517</v>
      </c>
      <c r="BJ25">
        <v>403</v>
      </c>
      <c r="BK25">
        <v>440</v>
      </c>
    </row>
    <row r="26" spans="1:117" x14ac:dyDescent="0.2">
      <c r="A26">
        <f t="shared" si="77"/>
        <v>24</v>
      </c>
      <c r="B26" t="s">
        <v>650</v>
      </c>
      <c r="C26" t="s">
        <v>15</v>
      </c>
      <c r="D26" t="s">
        <v>1426</v>
      </c>
      <c r="E26">
        <v>1</v>
      </c>
      <c r="G26" s="61">
        <f t="shared" si="50"/>
        <v>25264.5</v>
      </c>
      <c r="H26" s="61"/>
      <c r="I26" s="30">
        <f t="shared" si="51"/>
        <v>297.5</v>
      </c>
      <c r="J26" s="30">
        <f t="shared" si="52"/>
        <v>961</v>
      </c>
      <c r="K26" s="30">
        <f t="shared" si="53"/>
        <v>1698</v>
      </c>
      <c r="L26" s="30">
        <f t="shared" si="54"/>
        <v>2237</v>
      </c>
      <c r="M26" s="30">
        <f t="shared" si="55"/>
        <v>2231</v>
      </c>
      <c r="N26" s="30">
        <f t="shared" si="56"/>
        <v>2260</v>
      </c>
      <c r="O26" s="30">
        <f t="shared" si="57"/>
        <v>2505</v>
      </c>
      <c r="P26" s="30">
        <f t="shared" si="58"/>
        <v>3498</v>
      </c>
      <c r="Q26" s="30">
        <f t="shared" si="59"/>
        <v>2795</v>
      </c>
      <c r="R26" s="30">
        <f t="shared" si="60"/>
        <v>2470</v>
      </c>
      <c r="S26" s="30">
        <f t="shared" si="61"/>
        <v>2297</v>
      </c>
      <c r="T26" s="30">
        <f t="shared" si="62"/>
        <v>1770</v>
      </c>
      <c r="U26" s="30">
        <f t="shared" si="20"/>
        <v>245</v>
      </c>
      <c r="V26" s="30">
        <f t="shared" si="21"/>
        <v>0</v>
      </c>
      <c r="W26" s="30"/>
      <c r="X26" s="30"/>
      <c r="Y26" s="30"/>
      <c r="Z26" s="30"/>
      <c r="AA26" s="30"/>
      <c r="AC26" s="30">
        <v>5</v>
      </c>
      <c r="AD26" s="37">
        <f>AVERAGE(AC26,AE26)</f>
        <v>50</v>
      </c>
      <c r="AE26" s="30">
        <v>95</v>
      </c>
      <c r="AF26" s="33">
        <f>AVERAGE(AE26,AG26)</f>
        <v>147.5</v>
      </c>
      <c r="AG26">
        <v>200</v>
      </c>
      <c r="AH26">
        <v>232</v>
      </c>
      <c r="AI26">
        <v>265</v>
      </c>
      <c r="AJ26">
        <v>264</v>
      </c>
      <c r="AK26">
        <v>344</v>
      </c>
      <c r="AL26">
        <v>395</v>
      </c>
      <c r="AM26">
        <v>464</v>
      </c>
      <c r="AN26">
        <v>495</v>
      </c>
      <c r="AO26">
        <v>512</v>
      </c>
      <c r="AP26">
        <v>562</v>
      </c>
      <c r="AQ26">
        <v>568</v>
      </c>
      <c r="AR26">
        <v>595</v>
      </c>
      <c r="AS26">
        <v>556</v>
      </c>
      <c r="AT26">
        <v>546</v>
      </c>
      <c r="AU26">
        <v>548</v>
      </c>
      <c r="AV26">
        <v>581</v>
      </c>
      <c r="AW26">
        <v>558</v>
      </c>
      <c r="AX26">
        <v>601</v>
      </c>
      <c r="AY26">
        <v>582</v>
      </c>
      <c r="AZ26">
        <v>519</v>
      </c>
      <c r="BA26">
        <v>523</v>
      </c>
      <c r="BB26">
        <v>558</v>
      </c>
      <c r="BC26">
        <v>669</v>
      </c>
      <c r="BD26">
        <v>755</v>
      </c>
      <c r="BE26">
        <v>845</v>
      </c>
      <c r="BF26">
        <v>909</v>
      </c>
      <c r="BG26">
        <v>958</v>
      </c>
      <c r="BH26">
        <v>786</v>
      </c>
      <c r="BI26">
        <v>679</v>
      </c>
      <c r="BJ26">
        <v>698</v>
      </c>
      <c r="BK26">
        <v>741</v>
      </c>
      <c r="BL26">
        <v>677</v>
      </c>
      <c r="BM26">
        <v>690</v>
      </c>
      <c r="BN26">
        <v>568</v>
      </c>
      <c r="BO26">
        <v>590</v>
      </c>
      <c r="BP26">
        <v>622</v>
      </c>
      <c r="BQ26">
        <v>638</v>
      </c>
      <c r="BR26">
        <v>563</v>
      </c>
      <c r="BS26">
        <v>548</v>
      </c>
      <c r="BT26">
        <v>548</v>
      </c>
      <c r="BU26">
        <v>539</v>
      </c>
      <c r="BV26">
        <v>505</v>
      </c>
      <c r="BW26">
        <v>456</v>
      </c>
      <c r="BX26">
        <v>270</v>
      </c>
      <c r="BY26">
        <v>245</v>
      </c>
    </row>
    <row r="27" spans="1:117" x14ac:dyDescent="0.2">
      <c r="A27">
        <f>+A26+1</f>
        <v>25</v>
      </c>
      <c r="B27" t="s">
        <v>1348</v>
      </c>
      <c r="C27" t="s">
        <v>30</v>
      </c>
      <c r="D27" t="s">
        <v>1427</v>
      </c>
      <c r="E27">
        <v>1</v>
      </c>
      <c r="G27" s="61">
        <f t="shared" si="50"/>
        <v>23953</v>
      </c>
      <c r="H27" s="61"/>
      <c r="I27" s="30">
        <f t="shared" si="51"/>
        <v>70</v>
      </c>
      <c r="J27" s="30">
        <f t="shared" si="52"/>
        <v>315</v>
      </c>
      <c r="K27" s="30">
        <f t="shared" si="53"/>
        <v>752</v>
      </c>
      <c r="L27" s="30">
        <f t="shared" si="54"/>
        <v>1367</v>
      </c>
      <c r="M27" s="30">
        <f t="shared" si="55"/>
        <v>2097</v>
      </c>
      <c r="N27" s="30">
        <f t="shared" si="56"/>
        <v>3023</v>
      </c>
      <c r="O27" s="30">
        <f t="shared" si="57"/>
        <v>4091</v>
      </c>
      <c r="P27" s="30">
        <f t="shared" si="58"/>
        <v>5341</v>
      </c>
      <c r="Q27" s="30">
        <f t="shared" si="59"/>
        <v>6897</v>
      </c>
      <c r="R27" s="30">
        <f t="shared" si="60"/>
        <v>0</v>
      </c>
      <c r="S27" s="30">
        <f t="shared" si="61"/>
        <v>0</v>
      </c>
      <c r="T27" s="30">
        <f t="shared" si="62"/>
        <v>0</v>
      </c>
      <c r="U27" s="30">
        <f t="shared" si="20"/>
        <v>0</v>
      </c>
      <c r="V27" s="30">
        <f t="shared" si="21"/>
        <v>0</v>
      </c>
      <c r="W27" s="30"/>
      <c r="X27" s="30"/>
      <c r="Y27" s="30"/>
      <c r="Z27" s="30"/>
      <c r="AA27" s="30"/>
      <c r="AC27" s="30">
        <v>16</v>
      </c>
      <c r="AD27" s="30">
        <v>5</v>
      </c>
      <c r="AE27" s="30">
        <v>17</v>
      </c>
      <c r="AF27">
        <v>32</v>
      </c>
      <c r="AG27">
        <v>53</v>
      </c>
      <c r="AH27">
        <v>68</v>
      </c>
      <c r="AI27">
        <v>84</v>
      </c>
      <c r="AJ27">
        <v>110</v>
      </c>
      <c r="AK27">
        <v>128</v>
      </c>
      <c r="AL27">
        <v>185</v>
      </c>
      <c r="AM27">
        <v>200</v>
      </c>
      <c r="AN27">
        <v>239</v>
      </c>
      <c r="AO27">
        <v>271</v>
      </c>
      <c r="AP27">
        <v>318</v>
      </c>
      <c r="AQ27">
        <v>357</v>
      </c>
      <c r="AR27">
        <v>421</v>
      </c>
      <c r="AS27">
        <v>430</v>
      </c>
      <c r="AT27">
        <v>518</v>
      </c>
      <c r="AU27">
        <v>569</v>
      </c>
      <c r="AV27">
        <v>580</v>
      </c>
      <c r="AW27">
        <v>632</v>
      </c>
      <c r="AX27">
        <v>716</v>
      </c>
      <c r="AY27">
        <v>789</v>
      </c>
      <c r="AZ27">
        <v>886</v>
      </c>
      <c r="BA27">
        <v>924</v>
      </c>
      <c r="BB27">
        <v>949</v>
      </c>
      <c r="BC27">
        <v>1093</v>
      </c>
      <c r="BD27">
        <v>1125</v>
      </c>
      <c r="BE27">
        <v>1135</v>
      </c>
      <c r="BF27">
        <v>1291</v>
      </c>
      <c r="BG27">
        <v>1399</v>
      </c>
      <c r="BH27">
        <v>1516</v>
      </c>
      <c r="BI27">
        <v>1485</v>
      </c>
      <c r="BJ27">
        <v>1635</v>
      </c>
      <c r="BK27">
        <v>1879</v>
      </c>
      <c r="BL27">
        <v>1898</v>
      </c>
    </row>
    <row r="28" spans="1:117" x14ac:dyDescent="0.2">
      <c r="A28">
        <f t="shared" ref="A26:A43" si="92">+A27+1</f>
        <v>26</v>
      </c>
      <c r="B28" t="s">
        <v>1421</v>
      </c>
      <c r="C28" t="s">
        <v>24</v>
      </c>
      <c r="D28" t="s">
        <v>1425</v>
      </c>
      <c r="E28">
        <v>1</v>
      </c>
      <c r="G28" s="61">
        <f t="shared" si="50"/>
        <v>22574</v>
      </c>
      <c r="H28" s="61"/>
      <c r="I28" s="30">
        <f t="shared" si="51"/>
        <v>17175</v>
      </c>
      <c r="J28" s="30">
        <f t="shared" si="52"/>
        <v>6248</v>
      </c>
      <c r="K28" s="30">
        <f t="shared" si="53"/>
        <v>-849</v>
      </c>
      <c r="L28" s="30">
        <f t="shared" si="54"/>
        <v>0</v>
      </c>
      <c r="M28" s="30">
        <f t="shared" si="55"/>
        <v>0</v>
      </c>
      <c r="N28" s="30">
        <f t="shared" si="56"/>
        <v>0</v>
      </c>
      <c r="O28" s="30">
        <f t="shared" si="57"/>
        <v>0</v>
      </c>
      <c r="P28" s="30">
        <f t="shared" si="58"/>
        <v>0</v>
      </c>
      <c r="Q28" s="30">
        <f t="shared" si="59"/>
        <v>0</v>
      </c>
      <c r="R28" s="30">
        <f t="shared" si="60"/>
        <v>0</v>
      </c>
      <c r="S28" s="30">
        <f t="shared" si="61"/>
        <v>0</v>
      </c>
      <c r="T28" s="30">
        <f t="shared" si="62"/>
        <v>0</v>
      </c>
      <c r="U28" s="30">
        <f t="shared" si="20"/>
        <v>0</v>
      </c>
      <c r="V28" s="30">
        <f t="shared" si="21"/>
        <v>0</v>
      </c>
      <c r="W28" s="30"/>
      <c r="X28" s="30"/>
      <c r="Y28" s="30"/>
      <c r="Z28" s="30"/>
      <c r="AA28" s="30"/>
      <c r="AC28" s="30">
        <v>76</v>
      </c>
      <c r="AD28" s="30">
        <v>1470</v>
      </c>
      <c r="AE28" s="30">
        <v>8115</v>
      </c>
      <c r="AF28">
        <v>7514</v>
      </c>
      <c r="AG28">
        <v>1834</v>
      </c>
      <c r="AH28">
        <v>4069</v>
      </c>
      <c r="AI28">
        <v>143</v>
      </c>
      <c r="AJ28">
        <v>202</v>
      </c>
      <c r="AK28">
        <v>-3135</v>
      </c>
      <c r="AL28">
        <v>2035</v>
      </c>
      <c r="AM28">
        <v>251</v>
      </c>
    </row>
    <row r="29" spans="1:117" x14ac:dyDescent="0.2">
      <c r="A29">
        <f>+A26+1</f>
        <v>25</v>
      </c>
      <c r="B29" t="s">
        <v>1456</v>
      </c>
      <c r="C29" t="s">
        <v>18</v>
      </c>
      <c r="D29" t="s">
        <v>1428</v>
      </c>
      <c r="G29" s="61">
        <f t="shared" si="50"/>
        <v>22547</v>
      </c>
      <c r="H29" s="61"/>
      <c r="I29" s="30">
        <f t="shared" ref="I29" si="93">SUM(AC29:AF29)</f>
        <v>655</v>
      </c>
      <c r="J29" s="30">
        <f t="shared" ref="J29" si="94">SUM(AG29:AJ29)</f>
        <v>1864</v>
      </c>
      <c r="K29" s="30">
        <f t="shared" ref="K29" si="95">SUM(AK29:AN29)</f>
        <v>3305</v>
      </c>
      <c r="L29" s="30">
        <f t="shared" ref="L29" si="96">SUM(AO29:AR29)</f>
        <v>5585</v>
      </c>
      <c r="M29" s="30">
        <f t="shared" ref="M29" si="97">SUM(AS29:AV29)</f>
        <v>8411</v>
      </c>
      <c r="N29" s="30">
        <f t="shared" ref="N29" si="98">SUM(AW29:AZ29)</f>
        <v>2727</v>
      </c>
      <c r="O29" s="30">
        <f t="shared" ref="O29" si="99">SUM(BA29:BD29)</f>
        <v>0</v>
      </c>
      <c r="P29" s="30">
        <f t="shared" ref="P29" si="100">SUM(BE29:BH29)</f>
        <v>0</v>
      </c>
      <c r="Q29" s="30">
        <f t="shared" ref="Q29" si="101">SUM(BI29:BL29)</f>
        <v>0</v>
      </c>
      <c r="R29" s="30">
        <f t="shared" ref="R29" si="102">SUM(BM29:BP29)</f>
        <v>0</v>
      </c>
      <c r="S29" s="30">
        <f t="shared" ref="S29" si="103">SUM(BQ29:BT29)</f>
        <v>0</v>
      </c>
      <c r="T29" s="30">
        <f t="shared" ref="T29" si="104">SUM(BU29:BX29)</f>
        <v>0</v>
      </c>
      <c r="U29" s="30">
        <f t="shared" ref="U29" si="105">SUM(BY29:CB29)</f>
        <v>0</v>
      </c>
      <c r="V29" s="30">
        <f t="shared" ref="V29" si="106">SUM(CC29:CF29)</f>
        <v>0</v>
      </c>
      <c r="W29" s="30"/>
      <c r="X29" s="30"/>
      <c r="Y29" s="30"/>
      <c r="Z29" s="30"/>
      <c r="AA29" s="30"/>
      <c r="AC29" s="30">
        <v>48</v>
      </c>
      <c r="AD29" s="37">
        <v>91</v>
      </c>
      <c r="AE29" s="30">
        <v>216</v>
      </c>
      <c r="AF29" s="33">
        <v>300</v>
      </c>
      <c r="AG29">
        <v>330</v>
      </c>
      <c r="AH29">
        <v>435</v>
      </c>
      <c r="AI29">
        <v>525</v>
      </c>
      <c r="AJ29">
        <v>574</v>
      </c>
      <c r="AK29">
        <v>674</v>
      </c>
      <c r="AL29">
        <v>796</v>
      </c>
      <c r="AM29">
        <v>895</v>
      </c>
      <c r="AN29">
        <v>940</v>
      </c>
      <c r="AO29">
        <v>1252</v>
      </c>
      <c r="AP29">
        <v>1397</v>
      </c>
      <c r="AQ29">
        <v>1576</v>
      </c>
      <c r="AR29">
        <v>1360</v>
      </c>
      <c r="AS29">
        <v>1883</v>
      </c>
      <c r="AT29">
        <v>2126</v>
      </c>
      <c r="AU29">
        <v>2394</v>
      </c>
      <c r="AV29">
        <v>2008</v>
      </c>
      <c r="AW29">
        <v>2727</v>
      </c>
    </row>
    <row r="30" spans="1:117" x14ac:dyDescent="0.2">
      <c r="A30">
        <f>+A28+1</f>
        <v>27</v>
      </c>
      <c r="B30" t="s">
        <v>651</v>
      </c>
      <c r="C30" t="s">
        <v>15</v>
      </c>
      <c r="D30" t="s">
        <v>1426</v>
      </c>
      <c r="E30">
        <v>1</v>
      </c>
      <c r="G30" s="61">
        <f t="shared" si="50"/>
        <v>23168</v>
      </c>
      <c r="H30" s="61"/>
      <c r="I30" s="30">
        <f t="shared" si="51"/>
        <v>200</v>
      </c>
      <c r="J30" s="30">
        <f t="shared" si="52"/>
        <v>689</v>
      </c>
      <c r="K30" s="30">
        <f t="shared" si="53"/>
        <v>1251</v>
      </c>
      <c r="L30" s="30">
        <f t="shared" si="54"/>
        <v>1893</v>
      </c>
      <c r="M30" s="30">
        <f t="shared" si="55"/>
        <v>2615</v>
      </c>
      <c r="N30" s="30">
        <f t="shared" si="56"/>
        <v>3411</v>
      </c>
      <c r="O30" s="30">
        <f t="shared" si="57"/>
        <v>4128</v>
      </c>
      <c r="P30" s="30">
        <f t="shared" si="58"/>
        <v>4369</v>
      </c>
      <c r="Q30" s="30">
        <f t="shared" si="59"/>
        <v>3785</v>
      </c>
      <c r="R30" s="30">
        <f t="shared" si="60"/>
        <v>827</v>
      </c>
      <c r="S30" s="30">
        <f t="shared" si="61"/>
        <v>0</v>
      </c>
      <c r="T30" s="30">
        <f t="shared" si="62"/>
        <v>0</v>
      </c>
      <c r="U30" s="30">
        <f t="shared" si="20"/>
        <v>0</v>
      </c>
      <c r="V30" s="30">
        <f t="shared" si="21"/>
        <v>0</v>
      </c>
      <c r="W30" s="30"/>
      <c r="X30" s="30"/>
      <c r="Y30" s="30"/>
      <c r="Z30" s="30"/>
      <c r="AA30" s="30"/>
      <c r="AC30" s="30">
        <v>10</v>
      </c>
      <c r="AD30" s="30">
        <v>42</v>
      </c>
      <c r="AE30" s="30">
        <v>56</v>
      </c>
      <c r="AF30">
        <v>92</v>
      </c>
      <c r="AG30">
        <v>116</v>
      </c>
      <c r="AH30">
        <v>154</v>
      </c>
      <c r="AI30">
        <v>184</v>
      </c>
      <c r="AJ30">
        <v>235</v>
      </c>
      <c r="AK30">
        <v>261</v>
      </c>
      <c r="AL30">
        <v>295</v>
      </c>
      <c r="AM30">
        <v>349</v>
      </c>
      <c r="AN30">
        <v>346</v>
      </c>
      <c r="AO30">
        <v>409</v>
      </c>
      <c r="AP30">
        <v>450</v>
      </c>
      <c r="AQ30">
        <v>512</v>
      </c>
      <c r="AR30">
        <v>522</v>
      </c>
      <c r="AS30">
        <v>587</v>
      </c>
      <c r="AT30">
        <v>620</v>
      </c>
      <c r="AU30">
        <v>705</v>
      </c>
      <c r="AV30">
        <v>703</v>
      </c>
      <c r="AW30">
        <v>784</v>
      </c>
      <c r="AX30">
        <v>831</v>
      </c>
      <c r="AY30">
        <v>921</v>
      </c>
      <c r="AZ30">
        <v>875</v>
      </c>
      <c r="BA30">
        <v>1031</v>
      </c>
      <c r="BB30">
        <v>949</v>
      </c>
      <c r="BC30">
        <v>1031</v>
      </c>
      <c r="BD30">
        <v>1117</v>
      </c>
      <c r="BE30">
        <v>1125</v>
      </c>
      <c r="BF30">
        <v>1116</v>
      </c>
      <c r="BG30">
        <v>1066</v>
      </c>
      <c r="BH30">
        <v>1062</v>
      </c>
      <c r="BI30">
        <v>1038</v>
      </c>
      <c r="BJ30">
        <v>970</v>
      </c>
      <c r="BK30">
        <v>911</v>
      </c>
      <c r="BL30">
        <v>866</v>
      </c>
      <c r="BM30">
        <v>827</v>
      </c>
    </row>
    <row r="31" spans="1:117" x14ac:dyDescent="0.2">
      <c r="A31">
        <f t="shared" si="92"/>
        <v>28</v>
      </c>
      <c r="B31" t="s">
        <v>1418</v>
      </c>
      <c r="C31" t="s">
        <v>46</v>
      </c>
      <c r="D31" t="s">
        <v>1451</v>
      </c>
      <c r="G31" s="61">
        <f t="shared" si="50"/>
        <v>20663.11</v>
      </c>
      <c r="H31" s="61"/>
      <c r="I31" s="30">
        <f t="shared" si="51"/>
        <v>8690.11</v>
      </c>
      <c r="J31" s="30">
        <f t="shared" si="52"/>
        <v>5461</v>
      </c>
      <c r="K31" s="30">
        <f t="shared" si="53"/>
        <v>5007</v>
      </c>
      <c r="L31" s="30">
        <f t="shared" si="54"/>
        <v>1388</v>
      </c>
      <c r="M31" s="30">
        <f t="shared" si="55"/>
        <v>117</v>
      </c>
      <c r="N31" s="30">
        <f t="shared" si="56"/>
        <v>0</v>
      </c>
      <c r="O31" s="30">
        <f t="shared" si="57"/>
        <v>0</v>
      </c>
      <c r="P31" s="30">
        <f t="shared" si="58"/>
        <v>0</v>
      </c>
      <c r="Q31" s="30">
        <f t="shared" si="59"/>
        <v>0</v>
      </c>
      <c r="R31" s="30">
        <f t="shared" si="60"/>
        <v>0</v>
      </c>
      <c r="S31" s="30">
        <f t="shared" si="61"/>
        <v>0</v>
      </c>
      <c r="T31" s="30">
        <f t="shared" si="62"/>
        <v>0</v>
      </c>
      <c r="U31" s="30">
        <f t="shared" si="20"/>
        <v>0</v>
      </c>
      <c r="V31" s="30">
        <f t="shared" si="21"/>
        <v>0</v>
      </c>
      <c r="W31" s="30"/>
      <c r="X31" s="30"/>
      <c r="Y31" s="30"/>
      <c r="Z31" s="30"/>
      <c r="AA31" s="30"/>
      <c r="AC31" s="30">
        <v>139.435</v>
      </c>
      <c r="AD31" s="30">
        <v>2274.3490000000002</v>
      </c>
      <c r="AE31" s="30">
        <v>3480.326</v>
      </c>
      <c r="AF31">
        <v>2796</v>
      </c>
      <c r="AG31">
        <v>1732</v>
      </c>
      <c r="AH31">
        <v>972</v>
      </c>
      <c r="AI31">
        <v>1291</v>
      </c>
      <c r="AJ31">
        <v>1466</v>
      </c>
      <c r="AK31">
        <v>1547</v>
      </c>
      <c r="AL31">
        <v>1277</v>
      </c>
      <c r="AM31">
        <v>1358</v>
      </c>
      <c r="AN31">
        <v>825</v>
      </c>
      <c r="AO31">
        <v>541</v>
      </c>
      <c r="AP31">
        <v>313</v>
      </c>
      <c r="AQ31">
        <v>315</v>
      </c>
      <c r="AR31">
        <v>219</v>
      </c>
      <c r="AS31">
        <v>117</v>
      </c>
    </row>
    <row r="32" spans="1:117" x14ac:dyDescent="0.2">
      <c r="A32">
        <f t="shared" si="92"/>
        <v>29</v>
      </c>
      <c r="B32" t="s">
        <v>661</v>
      </c>
      <c r="C32" t="s">
        <v>28</v>
      </c>
      <c r="D32" t="s">
        <v>1429</v>
      </c>
      <c r="G32" s="61">
        <f t="shared" si="50"/>
        <v>16856</v>
      </c>
      <c r="H32" s="61"/>
      <c r="I32" s="30">
        <f t="shared" si="51"/>
        <v>348</v>
      </c>
      <c r="J32" s="30">
        <f t="shared" si="52"/>
        <v>751</v>
      </c>
      <c r="K32" s="30">
        <f t="shared" si="53"/>
        <v>1090</v>
      </c>
      <c r="L32" s="30">
        <f t="shared" si="54"/>
        <v>1359</v>
      </c>
      <c r="M32" s="30">
        <f t="shared" si="55"/>
        <v>1515</v>
      </c>
      <c r="N32" s="30">
        <f t="shared" si="56"/>
        <v>1643</v>
      </c>
      <c r="O32" s="30">
        <f t="shared" si="57"/>
        <v>1673</v>
      </c>
      <c r="P32" s="30">
        <f t="shared" si="58"/>
        <v>1511</v>
      </c>
      <c r="Q32" s="30">
        <f t="shared" si="59"/>
        <v>1387</v>
      </c>
      <c r="R32" s="30">
        <f t="shared" si="60"/>
        <v>1205</v>
      </c>
      <c r="S32" s="30">
        <f t="shared" si="61"/>
        <v>1141</v>
      </c>
      <c r="T32" s="30">
        <f t="shared" si="62"/>
        <v>975</v>
      </c>
      <c r="U32" s="30">
        <f t="shared" si="20"/>
        <v>857</v>
      </c>
      <c r="V32" s="30">
        <f t="shared" si="21"/>
        <v>768</v>
      </c>
      <c r="W32" s="30"/>
      <c r="X32" s="30"/>
      <c r="Y32" s="30"/>
      <c r="Z32" s="30"/>
      <c r="AA32" s="30"/>
      <c r="AC32" s="30">
        <v>47</v>
      </c>
      <c r="AD32" s="30">
        <v>77</v>
      </c>
      <c r="AE32" s="30">
        <v>107</v>
      </c>
      <c r="AF32">
        <v>117</v>
      </c>
      <c r="AG32">
        <v>148</v>
      </c>
      <c r="AH32">
        <v>172</v>
      </c>
      <c r="AI32">
        <v>197</v>
      </c>
      <c r="AJ32">
        <v>234</v>
      </c>
      <c r="AK32">
        <v>232</v>
      </c>
      <c r="AL32">
        <v>267</v>
      </c>
      <c r="AM32">
        <v>278</v>
      </c>
      <c r="AN32">
        <v>313</v>
      </c>
      <c r="AO32">
        <v>292</v>
      </c>
      <c r="AP32">
        <v>337</v>
      </c>
      <c r="AQ32">
        <v>343</v>
      </c>
      <c r="AR32">
        <v>387</v>
      </c>
      <c r="AS32">
        <v>337</v>
      </c>
      <c r="AT32">
        <v>398</v>
      </c>
      <c r="AU32">
        <v>399</v>
      </c>
      <c r="AV32">
        <v>381</v>
      </c>
      <c r="AW32">
        <v>362</v>
      </c>
      <c r="AX32">
        <v>412</v>
      </c>
      <c r="AY32">
        <v>427</v>
      </c>
      <c r="AZ32">
        <v>442</v>
      </c>
      <c r="BA32">
        <v>390</v>
      </c>
      <c r="BB32">
        <v>453</v>
      </c>
      <c r="BC32">
        <v>412</v>
      </c>
      <c r="BD32">
        <v>418</v>
      </c>
      <c r="BE32">
        <v>385</v>
      </c>
      <c r="BF32">
        <v>375</v>
      </c>
      <c r="BG32">
        <v>377</v>
      </c>
      <c r="BH32">
        <v>374</v>
      </c>
      <c r="BI32">
        <v>340</v>
      </c>
      <c r="BJ32">
        <v>338</v>
      </c>
      <c r="BK32">
        <v>372</v>
      </c>
      <c r="BL32">
        <v>337</v>
      </c>
      <c r="BM32">
        <v>305</v>
      </c>
      <c r="BN32">
        <v>282</v>
      </c>
      <c r="BO32">
        <v>310</v>
      </c>
      <c r="BP32">
        <v>308</v>
      </c>
      <c r="BQ32">
        <v>281</v>
      </c>
      <c r="BR32">
        <v>305</v>
      </c>
      <c r="BS32">
        <v>275</v>
      </c>
      <c r="BT32">
        <v>280</v>
      </c>
      <c r="BU32">
        <v>255</v>
      </c>
      <c r="BV32">
        <v>247</v>
      </c>
      <c r="BW32">
        <v>250</v>
      </c>
      <c r="BX32">
        <v>223</v>
      </c>
      <c r="BY32">
        <v>245</v>
      </c>
      <c r="BZ32">
        <v>196</v>
      </c>
      <c r="CA32">
        <v>205</v>
      </c>
      <c r="CB32">
        <v>211</v>
      </c>
      <c r="CC32">
        <v>209</v>
      </c>
      <c r="CD32">
        <v>192</v>
      </c>
      <c r="CE32">
        <v>189</v>
      </c>
      <c r="CF32">
        <v>178</v>
      </c>
      <c r="CG32">
        <v>158</v>
      </c>
      <c r="CH32">
        <v>147</v>
      </c>
      <c r="CI32">
        <v>161</v>
      </c>
      <c r="CJ32">
        <v>167</v>
      </c>
    </row>
    <row r="33" spans="1:76" x14ac:dyDescent="0.2">
      <c r="A33">
        <f t="shared" si="92"/>
        <v>30</v>
      </c>
      <c r="B33" t="s">
        <v>1443</v>
      </c>
      <c r="C33" t="s">
        <v>24</v>
      </c>
      <c r="D33" t="s">
        <v>1428</v>
      </c>
      <c r="G33" s="61">
        <f t="shared" si="50"/>
        <v>16115</v>
      </c>
      <c r="H33" s="61"/>
      <c r="I33" s="30">
        <f t="shared" si="51"/>
        <v>63</v>
      </c>
      <c r="J33" s="30">
        <f t="shared" si="52"/>
        <v>251</v>
      </c>
      <c r="K33" s="30">
        <f t="shared" si="53"/>
        <v>455</v>
      </c>
      <c r="L33" s="30">
        <f t="shared" si="54"/>
        <v>821</v>
      </c>
      <c r="M33" s="30">
        <f t="shared" si="55"/>
        <v>1212</v>
      </c>
      <c r="N33" s="30">
        <f t="shared" si="56"/>
        <v>1631</v>
      </c>
      <c r="O33" s="30">
        <f t="shared" si="57"/>
        <v>2188</v>
      </c>
      <c r="P33" s="30">
        <f t="shared" si="58"/>
        <v>2347</v>
      </c>
      <c r="Q33" s="30">
        <f t="shared" si="59"/>
        <v>2430</v>
      </c>
      <c r="R33" s="30">
        <f t="shared" si="60"/>
        <v>2025</v>
      </c>
      <c r="S33" s="30">
        <f t="shared" si="61"/>
        <v>1702</v>
      </c>
      <c r="T33" s="30">
        <f t="shared" si="62"/>
        <v>990</v>
      </c>
      <c r="U33" s="30">
        <f t="shared" si="20"/>
        <v>0</v>
      </c>
      <c r="V33" s="30">
        <f t="shared" si="21"/>
        <v>0</v>
      </c>
      <c r="W33" s="30"/>
      <c r="X33" s="30"/>
      <c r="Y33" s="30"/>
      <c r="Z33" s="30"/>
      <c r="AA33" s="30"/>
      <c r="AC33" s="30">
        <v>6</v>
      </c>
      <c r="AD33" s="30">
        <v>0</v>
      </c>
      <c r="AE33" s="30">
        <v>22</v>
      </c>
      <c r="AF33">
        <v>35</v>
      </c>
      <c r="AG33">
        <v>46</v>
      </c>
      <c r="AH33">
        <v>52</v>
      </c>
      <c r="AI33">
        <v>68</v>
      </c>
      <c r="AJ33">
        <v>85</v>
      </c>
      <c r="AK33">
        <v>104</v>
      </c>
      <c r="AL33">
        <v>96</v>
      </c>
      <c r="AM33">
        <v>128</v>
      </c>
      <c r="AN33">
        <v>127</v>
      </c>
      <c r="AO33">
        <v>172</v>
      </c>
      <c r="AP33">
        <v>197</v>
      </c>
      <c r="AQ33">
        <v>217</v>
      </c>
      <c r="AR33">
        <v>235</v>
      </c>
      <c r="AS33">
        <v>278</v>
      </c>
      <c r="AT33">
        <v>250</v>
      </c>
      <c r="AU33">
        <v>336</v>
      </c>
      <c r="AV33">
        <v>348</v>
      </c>
      <c r="AW33">
        <v>410</v>
      </c>
      <c r="AX33">
        <v>326</v>
      </c>
      <c r="AY33">
        <v>463</v>
      </c>
      <c r="AZ33">
        <v>432</v>
      </c>
      <c r="BA33">
        <v>553</v>
      </c>
      <c r="BB33">
        <v>423</v>
      </c>
      <c r="BC33">
        <v>613</v>
      </c>
      <c r="BD33">
        <v>599</v>
      </c>
      <c r="BE33">
        <v>607</v>
      </c>
      <c r="BF33">
        <v>451</v>
      </c>
      <c r="BG33">
        <v>635</v>
      </c>
      <c r="BH33">
        <v>654</v>
      </c>
      <c r="BI33">
        <v>696</v>
      </c>
      <c r="BJ33">
        <v>538</v>
      </c>
      <c r="BK33">
        <v>586</v>
      </c>
      <c r="BL33">
        <v>610</v>
      </c>
      <c r="BM33">
        <v>721</v>
      </c>
      <c r="BN33">
        <v>372</v>
      </c>
      <c r="BO33">
        <v>430</v>
      </c>
      <c r="BP33">
        <v>502</v>
      </c>
      <c r="BQ33">
        <v>493</v>
      </c>
      <c r="BR33">
        <v>237</v>
      </c>
      <c r="BS33">
        <v>469</v>
      </c>
      <c r="BT33">
        <v>503</v>
      </c>
      <c r="BU33">
        <v>493</v>
      </c>
      <c r="BV33">
        <v>194</v>
      </c>
      <c r="BW33">
        <v>303</v>
      </c>
    </row>
    <row r="34" spans="1:76" x14ac:dyDescent="0.2">
      <c r="A34">
        <f>+A32+1</f>
        <v>30</v>
      </c>
      <c r="B34" t="s">
        <v>1415</v>
      </c>
      <c r="C34" t="s">
        <v>46</v>
      </c>
      <c r="D34" t="s">
        <v>1429</v>
      </c>
      <c r="G34" s="61">
        <f t="shared" si="50"/>
        <v>12925</v>
      </c>
      <c r="H34" s="61"/>
      <c r="I34" s="30">
        <f t="shared" si="51"/>
        <v>549</v>
      </c>
      <c r="J34" s="30">
        <f t="shared" si="52"/>
        <v>1328</v>
      </c>
      <c r="K34" s="30">
        <f t="shared" si="53"/>
        <v>1562</v>
      </c>
      <c r="L34" s="30">
        <f t="shared" si="54"/>
        <v>1616</v>
      </c>
      <c r="M34" s="30">
        <f t="shared" si="55"/>
        <v>1762</v>
      </c>
      <c r="N34" s="30">
        <f t="shared" si="56"/>
        <v>1715</v>
      </c>
      <c r="O34" s="30">
        <f t="shared" si="57"/>
        <v>1946</v>
      </c>
      <c r="P34" s="30">
        <f t="shared" si="58"/>
        <v>1962</v>
      </c>
      <c r="Q34" s="30">
        <f t="shared" si="59"/>
        <v>485</v>
      </c>
      <c r="R34" s="30">
        <f t="shared" si="60"/>
        <v>0</v>
      </c>
      <c r="S34" s="30">
        <f t="shared" si="61"/>
        <v>0</v>
      </c>
      <c r="T34" s="30">
        <f t="shared" si="62"/>
        <v>0</v>
      </c>
      <c r="U34" s="30">
        <f t="shared" si="20"/>
        <v>0</v>
      </c>
      <c r="V34" s="30">
        <f t="shared" si="21"/>
        <v>0</v>
      </c>
      <c r="W34" s="30"/>
      <c r="X34" s="30"/>
      <c r="Y34" s="30"/>
      <c r="Z34" s="30"/>
      <c r="AA34" s="30"/>
      <c r="AC34" s="30">
        <v>61</v>
      </c>
      <c r="AD34" s="30">
        <v>88</v>
      </c>
      <c r="AE34" s="30">
        <v>149</v>
      </c>
      <c r="AF34" s="30">
        <v>251</v>
      </c>
      <c r="AG34" s="30">
        <v>286</v>
      </c>
      <c r="AH34" s="30">
        <v>316</v>
      </c>
      <c r="AI34" s="30">
        <v>365</v>
      </c>
      <c r="AJ34" s="30">
        <v>361</v>
      </c>
      <c r="AK34" s="30">
        <v>403</v>
      </c>
      <c r="AL34" s="30">
        <v>406</v>
      </c>
      <c r="AM34" s="30">
        <v>411</v>
      </c>
      <c r="AN34" s="30">
        <v>342</v>
      </c>
      <c r="AO34" s="30">
        <v>358</v>
      </c>
      <c r="AP34" s="30">
        <v>363</v>
      </c>
      <c r="AQ34" s="30">
        <v>437</v>
      </c>
      <c r="AR34" s="30">
        <v>458</v>
      </c>
      <c r="AS34" s="30">
        <v>417</v>
      </c>
      <c r="AT34" s="30">
        <v>508</v>
      </c>
      <c r="AU34" s="30">
        <v>478</v>
      </c>
      <c r="AV34" s="30">
        <v>359</v>
      </c>
      <c r="AW34" s="30">
        <v>435</v>
      </c>
      <c r="AX34" s="30">
        <v>433</v>
      </c>
      <c r="AY34">
        <v>473</v>
      </c>
      <c r="AZ34">
        <v>374</v>
      </c>
      <c r="BA34">
        <v>460</v>
      </c>
      <c r="BB34">
        <v>500</v>
      </c>
      <c r="BC34">
        <v>537</v>
      </c>
      <c r="BD34">
        <v>449</v>
      </c>
      <c r="BE34">
        <v>516</v>
      </c>
      <c r="BF34">
        <v>511</v>
      </c>
      <c r="BG34">
        <v>509</v>
      </c>
      <c r="BH34">
        <v>426</v>
      </c>
      <c r="BI34">
        <v>485</v>
      </c>
    </row>
    <row r="35" spans="1:76" x14ac:dyDescent="0.2">
      <c r="A35">
        <f>+A33+1</f>
        <v>31</v>
      </c>
      <c r="B35" t="s">
        <v>1457</v>
      </c>
      <c r="C35" t="s">
        <v>18</v>
      </c>
      <c r="D35" t="s">
        <v>1428</v>
      </c>
      <c r="G35" s="61">
        <f t="shared" si="50"/>
        <v>11443</v>
      </c>
      <c r="H35" s="61"/>
      <c r="I35" s="30">
        <f t="shared" ref="I35" si="107">SUM(AC35:AF35)</f>
        <v>282</v>
      </c>
      <c r="J35" s="30">
        <f t="shared" ref="J35" si="108">SUM(AG35:AJ35)</f>
        <v>1177</v>
      </c>
      <c r="K35" s="30">
        <f t="shared" ref="K35" si="109">SUM(AK35:AN35)</f>
        <v>2027</v>
      </c>
      <c r="L35" s="30">
        <f t="shared" ref="L35" si="110">SUM(AO35:AR35)</f>
        <v>3069</v>
      </c>
      <c r="M35" s="30">
        <f t="shared" ref="M35" si="111">SUM(AS35:AV35)</f>
        <v>4888</v>
      </c>
      <c r="N35" s="30">
        <f t="shared" ref="N35" si="112">SUM(AW35:AZ35)</f>
        <v>0</v>
      </c>
      <c r="O35" s="30">
        <f t="shared" ref="O35" si="113">SUM(BA35:BD35)</f>
        <v>0</v>
      </c>
      <c r="P35" s="30">
        <f t="shared" ref="P35" si="114">SUM(BE35:BH35)</f>
        <v>0</v>
      </c>
      <c r="Q35" s="30">
        <f t="shared" ref="Q35" si="115">SUM(BI35:BL35)</f>
        <v>0</v>
      </c>
      <c r="R35" s="30">
        <f t="shared" ref="R35" si="116">SUM(BM35:BP35)</f>
        <v>0</v>
      </c>
      <c r="S35" s="30">
        <f t="shared" ref="S35" si="117">SUM(BQ35:BT35)</f>
        <v>0</v>
      </c>
      <c r="T35" s="30">
        <f t="shared" ref="T35" si="118">SUM(BU35:BX35)</f>
        <v>0</v>
      </c>
      <c r="U35" s="30">
        <f t="shared" ref="U35" si="119">SUM(BY35:CB35)</f>
        <v>0</v>
      </c>
      <c r="V35" s="30">
        <f t="shared" ref="V35" si="120">SUM(CC35:CF35)</f>
        <v>0</v>
      </c>
      <c r="W35" s="30"/>
      <c r="X35" s="30"/>
      <c r="Y35" s="30"/>
      <c r="Z35" s="30"/>
      <c r="AA35" s="30"/>
      <c r="AC35" s="30">
        <v>14</v>
      </c>
      <c r="AD35" s="30">
        <v>33</v>
      </c>
      <c r="AE35" s="30">
        <v>86</v>
      </c>
      <c r="AF35" s="30">
        <v>149</v>
      </c>
      <c r="AG35" s="30">
        <v>215</v>
      </c>
      <c r="AH35" s="30">
        <v>281</v>
      </c>
      <c r="AI35" s="30">
        <v>303</v>
      </c>
      <c r="AJ35" s="30">
        <v>378</v>
      </c>
      <c r="AK35" s="30">
        <v>453</v>
      </c>
      <c r="AL35" s="30">
        <v>517</v>
      </c>
      <c r="AM35" s="30">
        <v>465</v>
      </c>
      <c r="AN35" s="30">
        <v>592</v>
      </c>
      <c r="AO35" s="30">
        <v>695</v>
      </c>
      <c r="AP35" s="30">
        <v>770</v>
      </c>
      <c r="AQ35" s="30">
        <v>686</v>
      </c>
      <c r="AR35" s="30">
        <v>918</v>
      </c>
      <c r="AS35" s="30">
        <v>1110</v>
      </c>
      <c r="AT35" s="30">
        <v>1255</v>
      </c>
      <c r="AU35" s="30">
        <v>1093</v>
      </c>
      <c r="AV35" s="30">
        <v>1430</v>
      </c>
      <c r="AW35" s="30"/>
      <c r="AX35" s="30"/>
    </row>
    <row r="36" spans="1:76" x14ac:dyDescent="0.2">
      <c r="A36">
        <f>+A34+1</f>
        <v>31</v>
      </c>
      <c r="B36" t="s">
        <v>1422</v>
      </c>
      <c r="C36" t="s">
        <v>24</v>
      </c>
      <c r="D36" t="s">
        <v>1442</v>
      </c>
      <c r="E36">
        <v>1</v>
      </c>
      <c r="G36" s="61">
        <f t="shared" si="50"/>
        <v>12080</v>
      </c>
      <c r="H36" s="61"/>
      <c r="I36" s="30">
        <f t="shared" si="51"/>
        <v>180</v>
      </c>
      <c r="J36" s="30">
        <f t="shared" si="52"/>
        <v>877</v>
      </c>
      <c r="K36" s="30">
        <f t="shared" si="53"/>
        <v>1734</v>
      </c>
      <c r="L36" s="30">
        <f t="shared" si="54"/>
        <v>2226</v>
      </c>
      <c r="M36" s="30">
        <f t="shared" si="55"/>
        <v>2750</v>
      </c>
      <c r="N36" s="30">
        <f t="shared" si="56"/>
        <v>4313</v>
      </c>
      <c r="O36" s="30">
        <f t="shared" si="57"/>
        <v>0</v>
      </c>
      <c r="P36" s="30">
        <f t="shared" si="58"/>
        <v>0</v>
      </c>
      <c r="Q36" s="30">
        <f t="shared" si="59"/>
        <v>0</v>
      </c>
      <c r="R36" s="30">
        <f t="shared" si="60"/>
        <v>0</v>
      </c>
      <c r="S36" s="30">
        <f t="shared" si="61"/>
        <v>0</v>
      </c>
      <c r="T36" s="30">
        <f t="shared" si="62"/>
        <v>0</v>
      </c>
      <c r="U36" s="30"/>
      <c r="V36" s="30"/>
      <c r="W36" s="30"/>
      <c r="X36" s="30"/>
      <c r="Y36" s="30"/>
      <c r="Z36" s="30"/>
      <c r="AA36" s="30"/>
      <c r="AC36" s="30">
        <v>37</v>
      </c>
      <c r="AD36" s="30">
        <v>39</v>
      </c>
      <c r="AE36" s="30">
        <v>41</v>
      </c>
      <c r="AF36" s="30">
        <v>63</v>
      </c>
      <c r="AG36" s="30">
        <v>156</v>
      </c>
      <c r="AH36" s="30">
        <v>213</v>
      </c>
      <c r="AI36" s="30">
        <v>231</v>
      </c>
      <c r="AJ36" s="30">
        <v>277</v>
      </c>
      <c r="AK36" s="30">
        <v>351</v>
      </c>
      <c r="AL36" s="30">
        <v>429</v>
      </c>
      <c r="AM36" s="30">
        <v>453</v>
      </c>
      <c r="AN36" s="30">
        <v>501</v>
      </c>
      <c r="AO36" s="30">
        <v>501</v>
      </c>
      <c r="AP36" s="30">
        <v>561</v>
      </c>
      <c r="AQ36" s="30">
        <v>612</v>
      </c>
      <c r="AR36" s="30">
        <v>552</v>
      </c>
      <c r="AS36" s="30">
        <v>602</v>
      </c>
      <c r="AT36" s="30">
        <v>680</v>
      </c>
      <c r="AU36" s="30">
        <v>686</v>
      </c>
      <c r="AV36" s="30">
        <v>782</v>
      </c>
      <c r="AW36" s="30">
        <v>892</v>
      </c>
      <c r="AX36" s="30">
        <v>961</v>
      </c>
      <c r="AY36">
        <v>1137</v>
      </c>
      <c r="AZ36">
        <v>1323</v>
      </c>
    </row>
    <row r="37" spans="1:76" x14ac:dyDescent="0.2">
      <c r="A37">
        <f t="shared" si="92"/>
        <v>32</v>
      </c>
      <c r="B37" t="s">
        <v>640</v>
      </c>
      <c r="C37" t="s">
        <v>20</v>
      </c>
      <c r="D37" t="s">
        <v>1428</v>
      </c>
      <c r="G37" s="61">
        <f t="shared" si="50"/>
        <v>9986.4</v>
      </c>
      <c r="H37" s="61"/>
      <c r="I37" s="30">
        <f t="shared" si="51"/>
        <v>209.7</v>
      </c>
      <c r="J37" s="30">
        <f t="shared" si="52"/>
        <v>609</v>
      </c>
      <c r="K37" s="30">
        <f t="shared" si="53"/>
        <v>1043.5</v>
      </c>
      <c r="L37" s="30">
        <f t="shared" si="54"/>
        <v>1557.4</v>
      </c>
      <c r="M37" s="30">
        <f t="shared" si="55"/>
        <v>1748.2</v>
      </c>
      <c r="N37" s="30">
        <f t="shared" si="56"/>
        <v>2297.6999999999998</v>
      </c>
      <c r="O37" s="30">
        <f t="shared" si="57"/>
        <v>2520.8999999999996</v>
      </c>
      <c r="P37" s="30">
        <f t="shared" si="58"/>
        <v>0</v>
      </c>
      <c r="Q37" s="30">
        <f t="shared" si="59"/>
        <v>0</v>
      </c>
      <c r="R37" s="30">
        <f t="shared" si="60"/>
        <v>0</v>
      </c>
      <c r="S37" s="30">
        <f t="shared" si="61"/>
        <v>0</v>
      </c>
      <c r="T37" s="30">
        <f t="shared" si="62"/>
        <v>0</v>
      </c>
      <c r="U37" s="30"/>
      <c r="V37" s="30"/>
      <c r="W37" s="30"/>
      <c r="X37" s="30"/>
      <c r="Y37" s="30"/>
      <c r="Z37" s="30"/>
      <c r="AA37" s="30"/>
      <c r="AC37" s="29">
        <v>19.3</v>
      </c>
      <c r="AD37" s="29">
        <v>32.5</v>
      </c>
      <c r="AE37" s="29">
        <v>61.3</v>
      </c>
      <c r="AF37" s="29">
        <v>96.6</v>
      </c>
      <c r="AG37" s="29">
        <v>138.69999999999999</v>
      </c>
      <c r="AH37" s="29">
        <v>151.30000000000001</v>
      </c>
      <c r="AI37" s="29">
        <v>172.5</v>
      </c>
      <c r="AJ37" s="29">
        <v>146.5</v>
      </c>
      <c r="AK37" s="29">
        <v>220.1</v>
      </c>
      <c r="AL37" s="29">
        <v>263.89999999999998</v>
      </c>
      <c r="AM37" s="29">
        <v>307</v>
      </c>
      <c r="AN37" s="29">
        <v>252.5</v>
      </c>
      <c r="AO37" s="29">
        <v>353.8</v>
      </c>
      <c r="AP37" s="29">
        <v>340</v>
      </c>
      <c r="AQ37" s="29">
        <v>420.1</v>
      </c>
      <c r="AR37" s="29">
        <v>443.5</v>
      </c>
      <c r="AS37" s="29">
        <v>395.2</v>
      </c>
      <c r="AT37" s="29">
        <v>454.5</v>
      </c>
      <c r="AU37" s="29">
        <v>495.3</v>
      </c>
      <c r="AV37" s="29">
        <v>403.2</v>
      </c>
      <c r="AW37" s="29">
        <v>569.1</v>
      </c>
      <c r="AX37" s="29">
        <v>593.1</v>
      </c>
      <c r="AY37" s="29">
        <v>647.4</v>
      </c>
      <c r="AZ37" s="29">
        <v>488.1</v>
      </c>
      <c r="BA37" s="29">
        <v>606.20000000000005</v>
      </c>
      <c r="BB37" s="29">
        <v>679.9</v>
      </c>
      <c r="BC37" s="29">
        <v>707.8</v>
      </c>
      <c r="BD37" s="29">
        <v>527</v>
      </c>
    </row>
    <row r="38" spans="1:76" x14ac:dyDescent="0.2">
      <c r="A38">
        <f t="shared" si="92"/>
        <v>33</v>
      </c>
      <c r="B38" t="s">
        <v>659</v>
      </c>
      <c r="C38" t="s">
        <v>660</v>
      </c>
      <c r="G38" s="61">
        <f t="shared" si="50"/>
        <v>9091</v>
      </c>
      <c r="H38" s="61"/>
      <c r="I38" s="30">
        <f t="shared" si="51"/>
        <v>200</v>
      </c>
      <c r="J38" s="30">
        <f t="shared" si="52"/>
        <v>261</v>
      </c>
      <c r="K38" s="30">
        <f t="shared" si="53"/>
        <v>289</v>
      </c>
      <c r="L38" s="30">
        <f t="shared" si="54"/>
        <v>340</v>
      </c>
      <c r="M38" s="30">
        <f t="shared" si="55"/>
        <v>353</v>
      </c>
      <c r="N38" s="30">
        <f t="shared" si="56"/>
        <v>481</v>
      </c>
      <c r="O38" s="30">
        <f t="shared" si="57"/>
        <v>705</v>
      </c>
      <c r="P38" s="30">
        <f t="shared" si="58"/>
        <v>917</v>
      </c>
      <c r="Q38" s="30">
        <f t="shared" si="59"/>
        <v>1130</v>
      </c>
      <c r="R38" s="30">
        <f t="shared" si="60"/>
        <v>1198</v>
      </c>
      <c r="S38" s="30">
        <f t="shared" si="61"/>
        <v>1532</v>
      </c>
      <c r="T38" s="30">
        <f t="shared" si="62"/>
        <v>1685</v>
      </c>
      <c r="U38" s="30"/>
      <c r="V38" s="30"/>
      <c r="W38" s="30"/>
      <c r="X38" s="30"/>
      <c r="Y38" s="30"/>
      <c r="Z38" s="30"/>
      <c r="AA38" s="30"/>
      <c r="AC38" s="28">
        <v>41</v>
      </c>
      <c r="AD38" s="28">
        <v>47</v>
      </c>
      <c r="AE38" s="28">
        <v>52</v>
      </c>
      <c r="AF38">
        <v>60</v>
      </c>
      <c r="AG38">
        <v>58</v>
      </c>
      <c r="AH38">
        <v>60</v>
      </c>
      <c r="AI38">
        <v>68</v>
      </c>
      <c r="AJ38">
        <v>75</v>
      </c>
      <c r="AK38">
        <v>63</v>
      </c>
      <c r="AL38">
        <v>69</v>
      </c>
      <c r="AM38">
        <v>75</v>
      </c>
      <c r="AN38">
        <v>82</v>
      </c>
      <c r="AO38">
        <v>73</v>
      </c>
      <c r="AP38">
        <v>82</v>
      </c>
      <c r="AQ38">
        <v>90</v>
      </c>
      <c r="AR38">
        <v>95</v>
      </c>
      <c r="AS38">
        <v>85</v>
      </c>
      <c r="AT38">
        <v>87</v>
      </c>
      <c r="AU38">
        <v>89</v>
      </c>
      <c r="AV38">
        <v>92</v>
      </c>
      <c r="AW38">
        <v>90</v>
      </c>
      <c r="AX38">
        <v>113</v>
      </c>
      <c r="AY38">
        <v>139</v>
      </c>
      <c r="AZ38">
        <v>139</v>
      </c>
      <c r="BA38">
        <v>148</v>
      </c>
      <c r="BB38">
        <v>163</v>
      </c>
      <c r="BC38">
        <v>185</v>
      </c>
      <c r="BD38">
        <v>209</v>
      </c>
      <c r="BE38">
        <v>204</v>
      </c>
      <c r="BF38">
        <v>240</v>
      </c>
      <c r="BG38">
        <v>217</v>
      </c>
      <c r="BH38">
        <v>256</v>
      </c>
      <c r="BI38">
        <v>255</v>
      </c>
      <c r="BJ38">
        <v>278</v>
      </c>
      <c r="BK38">
        <v>284</v>
      </c>
      <c r="BL38">
        <v>313</v>
      </c>
      <c r="BM38">
        <v>299</v>
      </c>
      <c r="BN38">
        <v>224</v>
      </c>
      <c r="BO38">
        <v>320</v>
      </c>
      <c r="BP38">
        <v>355</v>
      </c>
      <c r="BQ38">
        <v>340</v>
      </c>
      <c r="BR38">
        <v>387</v>
      </c>
      <c r="BS38">
        <v>369</v>
      </c>
      <c r="BT38">
        <v>436</v>
      </c>
      <c r="BU38">
        <v>395</v>
      </c>
      <c r="BV38">
        <v>426</v>
      </c>
      <c r="BW38">
        <v>423</v>
      </c>
      <c r="BX38">
        <v>441</v>
      </c>
    </row>
    <row r="39" spans="1:76" x14ac:dyDescent="0.2">
      <c r="A39">
        <f t="shared" si="92"/>
        <v>34</v>
      </c>
      <c r="B39" t="s">
        <v>653</v>
      </c>
      <c r="C39" t="s">
        <v>15</v>
      </c>
      <c r="G39" s="61">
        <f t="shared" si="50"/>
        <v>8385</v>
      </c>
      <c r="H39" s="61"/>
      <c r="I39" s="30">
        <f t="shared" si="51"/>
        <v>416</v>
      </c>
      <c r="J39" s="30">
        <f t="shared" si="52"/>
        <v>917</v>
      </c>
      <c r="K39" s="30">
        <f t="shared" si="53"/>
        <v>1235</v>
      </c>
      <c r="L39" s="30">
        <f t="shared" si="54"/>
        <v>1816</v>
      </c>
      <c r="M39" s="30">
        <f t="shared" si="55"/>
        <v>2609</v>
      </c>
      <c r="N39" s="30">
        <f t="shared" si="56"/>
        <v>1392</v>
      </c>
      <c r="O39" s="30">
        <f t="shared" si="57"/>
        <v>0</v>
      </c>
      <c r="P39" s="30">
        <f t="shared" si="58"/>
        <v>0</v>
      </c>
      <c r="Q39" s="30">
        <f t="shared" si="59"/>
        <v>0</v>
      </c>
      <c r="R39" s="30">
        <f t="shared" si="60"/>
        <v>0</v>
      </c>
      <c r="S39" s="30">
        <f t="shared" si="61"/>
        <v>0</v>
      </c>
      <c r="T39" s="30">
        <f t="shared" si="62"/>
        <v>0</v>
      </c>
      <c r="U39" s="30"/>
      <c r="V39" s="30"/>
      <c r="W39" s="30"/>
      <c r="X39" s="30"/>
      <c r="Y39" s="30"/>
      <c r="Z39" s="30"/>
      <c r="AA39" s="30"/>
      <c r="AC39" s="30">
        <v>47</v>
      </c>
      <c r="AD39" s="30">
        <v>72</v>
      </c>
      <c r="AE39" s="30">
        <v>126</v>
      </c>
      <c r="AF39" s="30">
        <v>171</v>
      </c>
      <c r="AG39" s="30">
        <v>175</v>
      </c>
      <c r="AH39" s="30">
        <v>217</v>
      </c>
      <c r="AI39" s="30">
        <v>235</v>
      </c>
      <c r="AJ39" s="30">
        <v>290</v>
      </c>
      <c r="AK39" s="30">
        <v>270</v>
      </c>
      <c r="AL39" s="30">
        <v>296</v>
      </c>
      <c r="AM39" s="30">
        <v>342</v>
      </c>
      <c r="AN39" s="30">
        <v>327</v>
      </c>
      <c r="AO39" s="30">
        <v>382</v>
      </c>
      <c r="AP39" s="30">
        <v>418</v>
      </c>
      <c r="AQ39" s="30">
        <v>479</v>
      </c>
      <c r="AR39" s="30">
        <v>537</v>
      </c>
      <c r="AS39" s="30">
        <v>693</v>
      </c>
      <c r="AT39" s="30">
        <v>590</v>
      </c>
      <c r="AU39" s="30">
        <v>597</v>
      </c>
      <c r="AV39" s="30">
        <v>729</v>
      </c>
      <c r="AW39" s="30">
        <v>752</v>
      </c>
      <c r="AX39" s="30">
        <v>640</v>
      </c>
    </row>
    <row r="40" spans="1:76" x14ac:dyDescent="0.2">
      <c r="A40">
        <f t="shared" si="92"/>
        <v>35</v>
      </c>
      <c r="B40" t="s">
        <v>643</v>
      </c>
      <c r="C40" t="s">
        <v>20</v>
      </c>
      <c r="G40" s="61">
        <f t="shared" si="50"/>
        <v>7600.5999999999995</v>
      </c>
      <c r="H40" s="61"/>
      <c r="I40" s="30">
        <f t="shared" si="51"/>
        <v>60.4</v>
      </c>
      <c r="J40" s="30">
        <f t="shared" si="52"/>
        <v>201.9</v>
      </c>
      <c r="K40" s="30">
        <f t="shared" si="53"/>
        <v>447.59999999999997</v>
      </c>
      <c r="L40" s="30">
        <f t="shared" si="54"/>
        <v>658.3</v>
      </c>
      <c r="M40" s="30">
        <f t="shared" si="55"/>
        <v>944.2</v>
      </c>
      <c r="N40" s="30">
        <f t="shared" si="56"/>
        <v>1153.9000000000001</v>
      </c>
      <c r="O40" s="30">
        <f t="shared" si="57"/>
        <v>1490.8000000000002</v>
      </c>
      <c r="P40" s="30">
        <f t="shared" si="58"/>
        <v>2066</v>
      </c>
      <c r="Q40" s="30">
        <f t="shared" si="59"/>
        <v>577.5</v>
      </c>
      <c r="R40" s="30">
        <f t="shared" si="60"/>
        <v>0</v>
      </c>
      <c r="S40" s="30">
        <f t="shared" si="61"/>
        <v>0</v>
      </c>
      <c r="T40" s="30">
        <f t="shared" si="62"/>
        <v>0</v>
      </c>
      <c r="U40" s="30"/>
      <c r="V40" s="30"/>
      <c r="W40" s="30"/>
      <c r="X40" s="30"/>
      <c r="Y40" s="30"/>
      <c r="Z40" s="30"/>
      <c r="AA40" s="30"/>
      <c r="AC40" s="30">
        <v>19.3</v>
      </c>
      <c r="AD40" s="30">
        <v>11.1</v>
      </c>
      <c r="AE40" s="30">
        <v>15.4</v>
      </c>
      <c r="AF40" s="30">
        <v>14.6</v>
      </c>
      <c r="AG40" s="30">
        <v>38.200000000000003</v>
      </c>
      <c r="AH40" s="30">
        <v>40.1</v>
      </c>
      <c r="AI40" s="30">
        <v>47.5</v>
      </c>
      <c r="AJ40" s="30">
        <v>76.099999999999994</v>
      </c>
      <c r="AK40" s="30">
        <v>74</v>
      </c>
      <c r="AL40" s="30">
        <v>103.2</v>
      </c>
      <c r="AM40" s="30">
        <v>127.2</v>
      </c>
      <c r="AN40" s="30">
        <v>143.19999999999999</v>
      </c>
      <c r="AO40" s="30">
        <v>151</v>
      </c>
      <c r="AP40" s="30">
        <v>147.19999999999999</v>
      </c>
      <c r="AQ40" s="30">
        <v>166.9</v>
      </c>
      <c r="AR40" s="30">
        <v>193.2</v>
      </c>
      <c r="AS40" s="30">
        <v>203.6</v>
      </c>
      <c r="AT40" s="30">
        <v>231.9</v>
      </c>
      <c r="AU40" s="30">
        <v>240.7</v>
      </c>
      <c r="AV40" s="30">
        <v>268</v>
      </c>
      <c r="AW40" s="30">
        <v>267.5</v>
      </c>
      <c r="AX40" s="30">
        <v>262</v>
      </c>
      <c r="AY40" s="30">
        <v>310.8</v>
      </c>
      <c r="AZ40" s="30">
        <v>313.60000000000002</v>
      </c>
      <c r="BA40" s="30">
        <v>312</v>
      </c>
      <c r="BB40" s="30">
        <v>356.5</v>
      </c>
      <c r="BC40" s="30">
        <v>390.4</v>
      </c>
      <c r="BD40" s="30">
        <v>431.9</v>
      </c>
      <c r="BE40" s="30">
        <v>419.4</v>
      </c>
      <c r="BF40" s="30">
        <v>461</v>
      </c>
      <c r="BG40" s="30">
        <v>573.29999999999995</v>
      </c>
      <c r="BH40" s="30">
        <v>612.29999999999995</v>
      </c>
      <c r="BI40" s="30">
        <v>577.5</v>
      </c>
    </row>
    <row r="41" spans="1:76" x14ac:dyDescent="0.2">
      <c r="A41">
        <f t="shared" si="92"/>
        <v>36</v>
      </c>
      <c r="B41" t="s">
        <v>631</v>
      </c>
      <c r="C41" t="s">
        <v>20</v>
      </c>
      <c r="F41" t="s">
        <v>633</v>
      </c>
      <c r="G41" s="61">
        <f t="shared" si="50"/>
        <v>7453</v>
      </c>
      <c r="H41" s="61"/>
      <c r="I41" s="30">
        <f t="shared" si="51"/>
        <v>1051</v>
      </c>
      <c r="J41" s="30">
        <f t="shared" si="52"/>
        <v>6402</v>
      </c>
      <c r="K41" s="30">
        <f t="shared" si="53"/>
        <v>0</v>
      </c>
      <c r="L41" s="30">
        <f t="shared" si="54"/>
        <v>0</v>
      </c>
      <c r="M41" s="30">
        <f t="shared" si="55"/>
        <v>0</v>
      </c>
      <c r="N41" s="30">
        <f t="shared" si="56"/>
        <v>0</v>
      </c>
      <c r="O41" s="30">
        <f t="shared" si="57"/>
        <v>0</v>
      </c>
      <c r="P41" s="30">
        <f t="shared" si="58"/>
        <v>0</v>
      </c>
      <c r="Q41" s="30">
        <f t="shared" si="59"/>
        <v>0</v>
      </c>
      <c r="R41" s="30">
        <f t="shared" si="60"/>
        <v>0</v>
      </c>
      <c r="S41" s="30">
        <f t="shared" si="61"/>
        <v>0</v>
      </c>
      <c r="T41" s="30">
        <f t="shared" si="62"/>
        <v>0</v>
      </c>
      <c r="U41" s="30"/>
      <c r="V41" s="30"/>
      <c r="W41" s="30"/>
      <c r="X41" s="30"/>
      <c r="Y41" s="30"/>
      <c r="Z41" s="30"/>
      <c r="AA41" s="30"/>
      <c r="AC41" s="29">
        <v>16</v>
      </c>
      <c r="AD41" s="29">
        <v>187.3</v>
      </c>
      <c r="AE41" s="29">
        <v>279.2</v>
      </c>
      <c r="AF41" s="32">
        <v>568.5</v>
      </c>
      <c r="AG41" s="29">
        <v>980</v>
      </c>
      <c r="AH41" s="29">
        <v>1409</v>
      </c>
      <c r="AI41" s="29">
        <v>2206</v>
      </c>
      <c r="AJ41" s="29">
        <v>1807</v>
      </c>
      <c r="AK41" s="29"/>
      <c r="AL41" s="29"/>
      <c r="AM41" s="29"/>
    </row>
    <row r="42" spans="1:76" x14ac:dyDescent="0.2">
      <c r="A42">
        <f t="shared" si="92"/>
        <v>37</v>
      </c>
      <c r="B42" t="s">
        <v>1349</v>
      </c>
      <c r="C42" t="s">
        <v>30</v>
      </c>
      <c r="G42" s="61">
        <f t="shared" si="50"/>
        <v>7070</v>
      </c>
      <c r="H42" s="61"/>
      <c r="I42" s="30">
        <f t="shared" si="51"/>
        <v>76</v>
      </c>
      <c r="J42" s="30">
        <f t="shared" si="52"/>
        <v>235</v>
      </c>
      <c r="K42" s="30">
        <f t="shared" si="53"/>
        <v>480</v>
      </c>
      <c r="L42" s="30">
        <f t="shared" si="54"/>
        <v>687</v>
      </c>
      <c r="M42" s="30">
        <f t="shared" si="55"/>
        <v>937</v>
      </c>
      <c r="N42" s="30">
        <f t="shared" si="56"/>
        <v>1231</v>
      </c>
      <c r="O42" s="30">
        <f t="shared" si="57"/>
        <v>2080</v>
      </c>
      <c r="P42" s="30">
        <f t="shared" si="58"/>
        <v>1344</v>
      </c>
      <c r="Q42" s="30">
        <f t="shared" si="59"/>
        <v>0</v>
      </c>
      <c r="R42" s="30">
        <f t="shared" si="60"/>
        <v>0</v>
      </c>
      <c r="S42" s="30">
        <f t="shared" si="61"/>
        <v>0</v>
      </c>
      <c r="T42" s="30">
        <f t="shared" si="62"/>
        <v>0</v>
      </c>
      <c r="U42" s="30"/>
      <c r="V42" s="30"/>
      <c r="W42" s="30"/>
      <c r="X42" s="30"/>
      <c r="Y42" s="30"/>
      <c r="Z42" s="30"/>
      <c r="AA42" s="30"/>
      <c r="AC42" s="30">
        <v>7</v>
      </c>
      <c r="AD42" s="30">
        <v>8</v>
      </c>
      <c r="AE42" s="30">
        <v>26</v>
      </c>
      <c r="AF42" s="30">
        <v>35</v>
      </c>
      <c r="AG42" s="30">
        <v>44</v>
      </c>
      <c r="AH42" s="30">
        <v>59</v>
      </c>
      <c r="AI42" s="30">
        <v>72</v>
      </c>
      <c r="AJ42" s="30">
        <v>60</v>
      </c>
      <c r="AK42" s="30">
        <v>91</v>
      </c>
      <c r="AL42" s="30">
        <v>111</v>
      </c>
      <c r="AM42" s="30">
        <v>123</v>
      </c>
      <c r="AN42" s="30">
        <v>155</v>
      </c>
      <c r="AO42" s="30">
        <v>161</v>
      </c>
      <c r="AP42" s="30">
        <v>159</v>
      </c>
      <c r="AQ42">
        <v>183</v>
      </c>
      <c r="AR42">
        <v>184</v>
      </c>
      <c r="AS42">
        <v>195</v>
      </c>
      <c r="AT42">
        <v>225</v>
      </c>
      <c r="AU42">
        <v>232</v>
      </c>
      <c r="AV42">
        <v>285</v>
      </c>
      <c r="AW42">
        <v>239</v>
      </c>
      <c r="AX42">
        <v>308</v>
      </c>
      <c r="AY42">
        <v>327</v>
      </c>
      <c r="AZ42">
        <v>357</v>
      </c>
      <c r="BA42">
        <v>415</v>
      </c>
      <c r="BB42">
        <v>493</v>
      </c>
      <c r="BC42">
        <v>562</v>
      </c>
      <c r="BD42">
        <v>610</v>
      </c>
      <c r="BE42">
        <v>627</v>
      </c>
      <c r="BF42">
        <v>717</v>
      </c>
    </row>
    <row r="43" spans="1:76" x14ac:dyDescent="0.2">
      <c r="A43">
        <f t="shared" si="92"/>
        <v>38</v>
      </c>
      <c r="B43" t="s">
        <v>644</v>
      </c>
      <c r="C43" t="s">
        <v>20</v>
      </c>
      <c r="G43" s="61">
        <f t="shared" si="50"/>
        <v>6852.5</v>
      </c>
      <c r="H43" s="61"/>
      <c r="I43" s="30">
        <f t="shared" si="51"/>
        <v>143.19999999999999</v>
      </c>
      <c r="J43" s="30">
        <f t="shared" si="52"/>
        <v>447.4</v>
      </c>
      <c r="K43" s="30">
        <f t="shared" si="53"/>
        <v>654.29999999999995</v>
      </c>
      <c r="L43" s="30">
        <f t="shared" si="54"/>
        <v>770.7</v>
      </c>
      <c r="M43" s="30">
        <f t="shared" si="55"/>
        <v>836.10000000000014</v>
      </c>
      <c r="N43" s="30">
        <f t="shared" si="56"/>
        <v>965.9</v>
      </c>
      <c r="O43" s="30">
        <f t="shared" si="57"/>
        <v>1034.0999999999999</v>
      </c>
      <c r="P43" s="30">
        <f t="shared" si="58"/>
        <v>1022.8</v>
      </c>
      <c r="Q43" s="30">
        <f t="shared" si="59"/>
        <v>978</v>
      </c>
      <c r="R43" s="30">
        <f t="shared" si="60"/>
        <v>0</v>
      </c>
      <c r="S43" s="30">
        <f t="shared" si="61"/>
        <v>0</v>
      </c>
      <c r="T43" s="30">
        <f t="shared" si="62"/>
        <v>0</v>
      </c>
      <c r="U43" s="30"/>
      <c r="V43" s="30"/>
      <c r="W43" s="30"/>
      <c r="X43" s="30"/>
      <c r="Y43" s="30"/>
      <c r="Z43" s="30"/>
      <c r="AA43" s="30"/>
      <c r="AC43" s="30">
        <v>13.7</v>
      </c>
      <c r="AD43" s="30">
        <v>28.4</v>
      </c>
      <c r="AE43" s="30">
        <v>33.6</v>
      </c>
      <c r="AF43" s="30">
        <v>67.5</v>
      </c>
      <c r="AG43" s="30">
        <v>87.7</v>
      </c>
      <c r="AH43" s="30">
        <v>111.2</v>
      </c>
      <c r="AI43" s="30">
        <v>117.5</v>
      </c>
      <c r="AJ43" s="30">
        <v>131</v>
      </c>
      <c r="AK43" s="30">
        <v>147</v>
      </c>
      <c r="AL43" s="30">
        <v>159</v>
      </c>
      <c r="AM43" s="30">
        <v>177.1</v>
      </c>
      <c r="AN43" s="30">
        <v>171.2</v>
      </c>
      <c r="AO43" s="30">
        <v>186.3</v>
      </c>
      <c r="AP43" s="30">
        <v>196</v>
      </c>
      <c r="AQ43" s="30">
        <v>204.8</v>
      </c>
      <c r="AR43" s="30">
        <v>183.6</v>
      </c>
      <c r="AS43" s="30">
        <v>218.8</v>
      </c>
      <c r="AT43" s="30">
        <v>198.4</v>
      </c>
      <c r="AU43" s="30">
        <v>220.6</v>
      </c>
      <c r="AV43" s="30">
        <v>198.3</v>
      </c>
      <c r="AW43" s="30">
        <v>241.8</v>
      </c>
      <c r="AX43" s="30">
        <v>240</v>
      </c>
      <c r="AY43" s="30">
        <v>245.1</v>
      </c>
      <c r="AZ43" s="30">
        <v>239</v>
      </c>
      <c r="BA43" s="30">
        <v>256.7</v>
      </c>
      <c r="BB43" s="30">
        <v>252.7</v>
      </c>
      <c r="BC43" s="30">
        <v>284.2</v>
      </c>
      <c r="BD43" s="30">
        <v>240.5</v>
      </c>
      <c r="BE43" s="30">
        <v>268.7</v>
      </c>
      <c r="BF43" s="30">
        <v>253.4</v>
      </c>
      <c r="BG43" s="30">
        <v>270.39999999999998</v>
      </c>
      <c r="BH43" s="30">
        <v>230.3</v>
      </c>
      <c r="BI43" s="30">
        <v>231.3</v>
      </c>
      <c r="BJ43" s="30">
        <v>232.1</v>
      </c>
      <c r="BK43" s="30">
        <v>277.8</v>
      </c>
      <c r="BL43" s="30">
        <v>236.8</v>
      </c>
    </row>
    <row r="44" spans="1:76" x14ac:dyDescent="0.2">
      <c r="A44">
        <f t="shared" ref="A44:A64" si="121">+A43+1</f>
        <v>39</v>
      </c>
      <c r="B44" t="s">
        <v>636</v>
      </c>
      <c r="C44" t="s">
        <v>20</v>
      </c>
      <c r="G44" s="61">
        <f t="shared" si="50"/>
        <v>6352.5999999999995</v>
      </c>
      <c r="H44" s="61"/>
      <c r="I44" s="30">
        <f>SUM(AC44:AF44)</f>
        <v>192.9</v>
      </c>
      <c r="J44" s="30">
        <f>SUM(AG44:AJ44)</f>
        <v>483.59999999999997</v>
      </c>
      <c r="K44" s="30">
        <f>SUM(AK44:AN44)</f>
        <v>810.1</v>
      </c>
      <c r="L44" s="30">
        <f>SUM(AO44:AR44)</f>
        <v>1227.4000000000001</v>
      </c>
      <c r="M44" s="30">
        <f>SUM(AS44:AV44)</f>
        <v>2079.6999999999998</v>
      </c>
      <c r="N44" s="30">
        <f>SUM(AW44:AZ44)</f>
        <v>1558.9</v>
      </c>
      <c r="O44" s="30">
        <f>SUM(BA44:BD44)</f>
        <v>0</v>
      </c>
      <c r="P44" s="30"/>
      <c r="Q44" s="30"/>
      <c r="R44" s="30"/>
      <c r="AC44" s="30">
        <v>21</v>
      </c>
      <c r="AD44" s="30">
        <v>29.7</v>
      </c>
      <c r="AE44" s="30">
        <v>57.7</v>
      </c>
      <c r="AF44" s="30">
        <v>84.5</v>
      </c>
      <c r="AG44" s="30">
        <v>83.1</v>
      </c>
      <c r="AH44" s="30">
        <v>109.4</v>
      </c>
      <c r="AI44" s="30">
        <v>133.9</v>
      </c>
      <c r="AJ44" s="30">
        <v>157.19999999999999</v>
      </c>
      <c r="AK44" s="30">
        <v>179.1</v>
      </c>
      <c r="AL44" s="30">
        <v>188</v>
      </c>
      <c r="AM44" s="30">
        <v>208.6</v>
      </c>
      <c r="AN44" s="30">
        <v>234.4</v>
      </c>
      <c r="AO44" s="30">
        <v>281.60000000000002</v>
      </c>
      <c r="AP44" s="30">
        <v>269</v>
      </c>
      <c r="AQ44" s="30">
        <v>341.3</v>
      </c>
      <c r="AR44" s="30">
        <v>335.5</v>
      </c>
      <c r="AS44" s="30">
        <v>404.1</v>
      </c>
      <c r="AT44" s="30">
        <v>469.4</v>
      </c>
      <c r="AU44" s="30">
        <v>588.5</v>
      </c>
      <c r="AV44" s="30">
        <v>617.70000000000005</v>
      </c>
      <c r="AW44" s="30">
        <v>808</v>
      </c>
      <c r="AX44" s="30">
        <v>750.9</v>
      </c>
    </row>
    <row r="45" spans="1:76" x14ac:dyDescent="0.2">
      <c r="A45">
        <f t="shared" si="121"/>
        <v>40</v>
      </c>
      <c r="B45" t="s">
        <v>1113</v>
      </c>
      <c r="C45" t="s">
        <v>30</v>
      </c>
      <c r="G45" s="61">
        <f t="shared" si="50"/>
        <v>5845</v>
      </c>
      <c r="H45" s="61"/>
      <c r="I45" s="30">
        <f>SUM(AC45:AF45)</f>
        <v>721</v>
      </c>
      <c r="J45" s="30">
        <f>SUM(AG45:AJ45)</f>
        <v>1179</v>
      </c>
      <c r="K45" s="30">
        <f>SUM(AK45:AN45)</f>
        <v>1459</v>
      </c>
      <c r="L45" s="30">
        <f>SUM(AO45:AR45)</f>
        <v>1248</v>
      </c>
      <c r="M45" s="30">
        <f>SUM(AS45:AV45)</f>
        <v>1238</v>
      </c>
      <c r="N45" s="30">
        <f>SUM(AW45:AZ45)</f>
        <v>0</v>
      </c>
      <c r="O45" s="30">
        <f>SUM(BA45:BD45)</f>
        <v>0</v>
      </c>
      <c r="P45" s="30"/>
      <c r="Q45" s="30"/>
      <c r="R45" s="30"/>
      <c r="AC45" s="29">
        <v>160</v>
      </c>
      <c r="AD45" s="29">
        <v>186</v>
      </c>
      <c r="AE45" s="29">
        <v>170</v>
      </c>
      <c r="AF45" s="29">
        <v>205</v>
      </c>
      <c r="AG45" s="29">
        <v>291</v>
      </c>
      <c r="AH45" s="29">
        <v>254</v>
      </c>
      <c r="AI45" s="29">
        <v>319</v>
      </c>
      <c r="AJ45" s="29">
        <v>315</v>
      </c>
      <c r="AK45" s="29">
        <v>375</v>
      </c>
      <c r="AL45" s="29">
        <v>342</v>
      </c>
      <c r="AM45" s="29">
        <v>363</v>
      </c>
      <c r="AN45" s="29">
        <v>379</v>
      </c>
      <c r="AO45" s="29">
        <v>319</v>
      </c>
      <c r="AP45" s="29">
        <v>309</v>
      </c>
      <c r="AQ45" s="29">
        <v>309</v>
      </c>
      <c r="AR45" s="29">
        <v>311</v>
      </c>
      <c r="AS45" s="29">
        <v>308</v>
      </c>
      <c r="AT45" s="29">
        <v>286</v>
      </c>
      <c r="AU45" s="29">
        <v>295</v>
      </c>
      <c r="AV45" s="29">
        <v>349</v>
      </c>
    </row>
    <row r="46" spans="1:76" x14ac:dyDescent="0.2">
      <c r="A46">
        <f t="shared" si="121"/>
        <v>41</v>
      </c>
      <c r="B46" t="s">
        <v>641</v>
      </c>
      <c r="C46" t="s">
        <v>20</v>
      </c>
      <c r="G46" s="61">
        <f t="shared" si="50"/>
        <v>5220.2999999999984</v>
      </c>
      <c r="H46" s="61"/>
      <c r="I46" s="30">
        <f>SUM(AC46:AF46)</f>
        <v>38.299999999999997</v>
      </c>
      <c r="J46" s="30">
        <f t="shared" ref="J46:J64" si="122">SUM(AG46:AJ46)</f>
        <v>191.5</v>
      </c>
      <c r="K46" s="30">
        <f t="shared" ref="K46:K64" si="123">SUM(AK46:AN46)</f>
        <v>667.3</v>
      </c>
      <c r="L46" s="30">
        <f t="shared" ref="L46:L64" si="124">SUM(AO46:AR46)</f>
        <v>975.5</v>
      </c>
      <c r="M46" s="30">
        <f t="shared" ref="M46:M64" si="125">SUM(AS46:AV46)</f>
        <v>1164.5</v>
      </c>
      <c r="N46" s="30">
        <f>SUM(AW46:AZ46)</f>
        <v>987.59999999999991</v>
      </c>
      <c r="O46" s="30">
        <f>SUM(BA46:BD46)</f>
        <v>800.90000000000009</v>
      </c>
      <c r="P46" s="30"/>
      <c r="Q46" s="30"/>
      <c r="R46" s="30"/>
      <c r="AC46" s="30">
        <v>3.8</v>
      </c>
      <c r="AD46" s="30">
        <v>7.3</v>
      </c>
      <c r="AE46" s="30">
        <v>10.9</v>
      </c>
      <c r="AF46" s="30">
        <v>16.3</v>
      </c>
      <c r="AG46" s="30">
        <v>19.399999999999999</v>
      </c>
      <c r="AH46" s="30">
        <v>39.5</v>
      </c>
      <c r="AI46" s="30">
        <v>46</v>
      </c>
      <c r="AJ46" s="30">
        <v>86.6</v>
      </c>
      <c r="AK46" s="30">
        <v>145.69999999999999</v>
      </c>
      <c r="AL46" s="30">
        <v>153.80000000000001</v>
      </c>
      <c r="AM46" s="30">
        <v>166</v>
      </c>
      <c r="AN46" s="30">
        <v>201.8</v>
      </c>
      <c r="AO46" s="30">
        <v>201.2</v>
      </c>
      <c r="AP46" s="30">
        <v>232.2</v>
      </c>
      <c r="AQ46" s="30">
        <v>251.4</v>
      </c>
      <c r="AR46" s="30">
        <v>290.7</v>
      </c>
      <c r="AS46" s="30">
        <v>263.2</v>
      </c>
      <c r="AT46" s="30">
        <v>307.2</v>
      </c>
      <c r="AU46" s="30">
        <v>303.7</v>
      </c>
      <c r="AV46" s="30">
        <v>290.39999999999998</v>
      </c>
      <c r="AW46" s="30">
        <v>248.2</v>
      </c>
      <c r="AX46" s="30">
        <v>282.10000000000002</v>
      </c>
      <c r="AY46" s="30">
        <v>246.6</v>
      </c>
      <c r="AZ46" s="30">
        <v>210.7</v>
      </c>
      <c r="BA46" s="30">
        <v>192.8</v>
      </c>
      <c r="BB46" s="30">
        <v>242.4</v>
      </c>
      <c r="BC46" s="30">
        <v>191.5</v>
      </c>
      <c r="BD46" s="30">
        <v>174.2</v>
      </c>
      <c r="BE46" s="30">
        <v>193</v>
      </c>
      <c r="BF46" s="30">
        <v>201.7</v>
      </c>
    </row>
    <row r="47" spans="1:76" x14ac:dyDescent="0.2">
      <c r="A47">
        <f t="shared" si="121"/>
        <v>42</v>
      </c>
      <c r="B47" t="s">
        <v>1111</v>
      </c>
      <c r="C47" t="s">
        <v>30</v>
      </c>
      <c r="G47" s="61">
        <f t="shared" si="50"/>
        <v>5086</v>
      </c>
      <c r="H47" s="61"/>
      <c r="I47" s="30">
        <f>SUM(AC47:AF47)</f>
        <v>131</v>
      </c>
      <c r="J47" s="30">
        <f t="shared" si="122"/>
        <v>690</v>
      </c>
      <c r="K47" s="30">
        <f t="shared" si="123"/>
        <v>1531</v>
      </c>
      <c r="L47" s="30">
        <f t="shared" si="124"/>
        <v>2734</v>
      </c>
      <c r="M47" s="30">
        <f t="shared" si="125"/>
        <v>0</v>
      </c>
      <c r="N47" s="30">
        <f>SUM(AW47:AZ47)</f>
        <v>0</v>
      </c>
      <c r="O47" s="30">
        <f>SUM(BA47:BD47)</f>
        <v>0</v>
      </c>
      <c r="P47" s="30"/>
      <c r="Q47" s="30"/>
      <c r="R47" s="30"/>
      <c r="AC47" s="29">
        <v>1</v>
      </c>
      <c r="AD47" s="29">
        <v>14</v>
      </c>
      <c r="AE47" s="29">
        <v>50</v>
      </c>
      <c r="AF47" s="29">
        <v>66</v>
      </c>
      <c r="AG47" s="29">
        <v>109</v>
      </c>
      <c r="AH47" s="29">
        <v>147</v>
      </c>
      <c r="AI47" s="29">
        <v>195</v>
      </c>
      <c r="AJ47" s="29">
        <v>239</v>
      </c>
      <c r="AK47" s="29">
        <v>289</v>
      </c>
      <c r="AL47" s="29">
        <v>369</v>
      </c>
      <c r="AM47" s="29">
        <v>384</v>
      </c>
      <c r="AN47" s="29">
        <v>489</v>
      </c>
      <c r="AO47" s="29">
        <v>657</v>
      </c>
      <c r="AP47" s="29">
        <v>641</v>
      </c>
      <c r="AQ47" s="29">
        <v>637</v>
      </c>
      <c r="AR47" s="29">
        <v>799</v>
      </c>
    </row>
    <row r="48" spans="1:76" x14ac:dyDescent="0.2">
      <c r="A48">
        <f t="shared" si="121"/>
        <v>43</v>
      </c>
      <c r="B48" t="s">
        <v>637</v>
      </c>
      <c r="C48" t="s">
        <v>20</v>
      </c>
      <c r="G48" s="61">
        <f t="shared" si="50"/>
        <v>3488.8</v>
      </c>
      <c r="H48" s="61"/>
      <c r="I48" s="30">
        <f>SUM(AC48:AF48)</f>
        <v>45.9</v>
      </c>
      <c r="J48" s="30">
        <f t="shared" si="122"/>
        <v>202.6</v>
      </c>
      <c r="K48" s="30">
        <f t="shared" si="123"/>
        <v>426.90000000000003</v>
      </c>
      <c r="L48" s="30">
        <f t="shared" si="124"/>
        <v>638.9</v>
      </c>
      <c r="M48" s="30">
        <f t="shared" si="125"/>
        <v>1115.0999999999999</v>
      </c>
      <c r="N48" s="30">
        <f>SUM(AW48:AZ48)</f>
        <v>830.5</v>
      </c>
      <c r="O48" s="30">
        <f>SUM(BA48:BD48)</f>
        <v>228.9</v>
      </c>
      <c r="P48" s="30"/>
      <c r="Q48" s="30"/>
      <c r="R48" s="30"/>
      <c r="AC48" s="29">
        <v>1.9</v>
      </c>
      <c r="AD48" s="29">
        <v>4.8</v>
      </c>
      <c r="AE48" s="29">
        <v>16.2</v>
      </c>
      <c r="AF48" s="29">
        <v>23</v>
      </c>
      <c r="AG48" s="29">
        <v>32.200000000000003</v>
      </c>
      <c r="AH48" s="29">
        <v>44.7</v>
      </c>
      <c r="AI48" s="29">
        <v>55.6</v>
      </c>
      <c r="AJ48" s="29">
        <v>70.099999999999994</v>
      </c>
      <c r="AK48" s="29">
        <v>82.1</v>
      </c>
      <c r="AL48" s="29">
        <v>102.4</v>
      </c>
      <c r="AM48" s="29">
        <v>114.6</v>
      </c>
      <c r="AN48" s="29">
        <v>127.8</v>
      </c>
      <c r="AO48" s="29">
        <v>139.69999999999999</v>
      </c>
      <c r="AP48" s="29">
        <v>145</v>
      </c>
      <c r="AQ48" s="29">
        <v>162</v>
      </c>
      <c r="AR48" s="29">
        <v>192.2</v>
      </c>
      <c r="AS48" s="29">
        <v>193.8</v>
      </c>
      <c r="AT48" s="29">
        <v>208.4</v>
      </c>
      <c r="AU48" s="29">
        <v>406.9</v>
      </c>
      <c r="AV48" s="29">
        <v>306</v>
      </c>
      <c r="AW48" s="29">
        <v>255.6</v>
      </c>
      <c r="AX48" s="29">
        <v>186.2</v>
      </c>
      <c r="AY48" s="29">
        <v>182.9</v>
      </c>
      <c r="AZ48" s="29">
        <v>205.8</v>
      </c>
      <c r="BA48" s="29">
        <v>228.9</v>
      </c>
    </row>
    <row r="49" spans="1:58" x14ac:dyDescent="0.2">
      <c r="A49">
        <f t="shared" si="121"/>
        <v>44</v>
      </c>
      <c r="B49" t="s">
        <v>645</v>
      </c>
      <c r="C49" t="s">
        <v>20</v>
      </c>
      <c r="G49" s="61">
        <f t="shared" si="50"/>
        <v>2990.3</v>
      </c>
      <c r="H49" s="61"/>
      <c r="I49" s="30">
        <f>SUM(AC49:AF49)</f>
        <v>58.300000000000004</v>
      </c>
      <c r="J49" s="30">
        <f t="shared" si="122"/>
        <v>211.3</v>
      </c>
      <c r="K49" s="30">
        <f t="shared" si="123"/>
        <v>401.2</v>
      </c>
      <c r="L49" s="30">
        <f t="shared" si="124"/>
        <v>483.6</v>
      </c>
      <c r="M49" s="30">
        <f t="shared" si="125"/>
        <v>508.4</v>
      </c>
      <c r="N49" s="30">
        <f>SUM(AW49:AZ49)</f>
        <v>519.90000000000009</v>
      </c>
      <c r="O49" s="30">
        <f>SUM(BA49:BD49)</f>
        <v>539</v>
      </c>
      <c r="P49" s="30"/>
      <c r="Q49" s="30"/>
      <c r="R49" s="30"/>
      <c r="AC49" s="29">
        <v>22.6</v>
      </c>
      <c r="AD49" s="29">
        <v>4</v>
      </c>
      <c r="AE49" s="29">
        <v>8.8000000000000007</v>
      </c>
      <c r="AF49" s="29">
        <v>22.9</v>
      </c>
      <c r="AG49" s="29">
        <v>36.299999999999997</v>
      </c>
      <c r="AH49" s="29">
        <v>47</v>
      </c>
      <c r="AI49" s="29">
        <v>56.3</v>
      </c>
      <c r="AJ49" s="29">
        <v>71.7</v>
      </c>
      <c r="AK49" s="29">
        <v>83.5</v>
      </c>
      <c r="AL49" s="29">
        <v>90.9</v>
      </c>
      <c r="AM49" s="29">
        <v>115.8</v>
      </c>
      <c r="AN49" s="29">
        <v>111</v>
      </c>
      <c r="AO49" s="29">
        <v>109.7</v>
      </c>
      <c r="AP49" s="29">
        <v>120.6</v>
      </c>
      <c r="AQ49" s="29">
        <v>115.9</v>
      </c>
      <c r="AR49" s="29">
        <v>137.4</v>
      </c>
      <c r="AS49" s="29">
        <v>124.9</v>
      </c>
      <c r="AT49" s="29">
        <v>130.6</v>
      </c>
      <c r="AU49" s="29">
        <v>119.3</v>
      </c>
      <c r="AV49" s="29">
        <v>133.6</v>
      </c>
      <c r="AW49" s="29">
        <v>131.5</v>
      </c>
      <c r="AX49" s="29">
        <v>137.80000000000001</v>
      </c>
      <c r="AY49" s="29">
        <v>121.8</v>
      </c>
      <c r="AZ49" s="29">
        <v>128.80000000000001</v>
      </c>
      <c r="BA49" s="29">
        <v>132.1</v>
      </c>
      <c r="BB49" s="29">
        <v>140.30000000000001</v>
      </c>
      <c r="BC49" s="29">
        <v>131.5</v>
      </c>
      <c r="BD49" s="29">
        <v>135.1</v>
      </c>
      <c r="BE49" s="29">
        <v>127.7</v>
      </c>
      <c r="BF49" s="29">
        <v>140.9</v>
      </c>
    </row>
    <row r="50" spans="1:58" x14ac:dyDescent="0.2">
      <c r="A50">
        <f t="shared" si="121"/>
        <v>45</v>
      </c>
      <c r="B50" t="s">
        <v>646</v>
      </c>
      <c r="C50" t="s">
        <v>20</v>
      </c>
      <c r="G50" s="61">
        <f t="shared" si="50"/>
        <v>2345.5313432835819</v>
      </c>
      <c r="H50" s="61"/>
      <c r="I50" s="30">
        <f>SUM(AC50:AF50)</f>
        <v>175.7</v>
      </c>
      <c r="J50" s="30">
        <f t="shared" si="122"/>
        <v>379.93134328358212</v>
      </c>
      <c r="K50" s="30">
        <f t="shared" si="123"/>
        <v>385.2</v>
      </c>
      <c r="L50" s="30">
        <f t="shared" si="124"/>
        <v>430.90000000000003</v>
      </c>
      <c r="M50" s="30">
        <f t="shared" si="125"/>
        <v>445.8</v>
      </c>
      <c r="N50" s="30">
        <f>SUM(AW50:AZ50)</f>
        <v>417.7</v>
      </c>
      <c r="O50" s="30">
        <f>SUM(BA50:BD50)</f>
        <v>110.3</v>
      </c>
      <c r="P50" s="30"/>
      <c r="Q50" s="30"/>
      <c r="R50" s="30"/>
      <c r="AC50" s="30">
        <v>25.7</v>
      </c>
      <c r="AD50" s="30">
        <v>36</v>
      </c>
      <c r="AE50" s="30">
        <v>52</v>
      </c>
      <c r="AF50" s="30">
        <v>62</v>
      </c>
      <c r="AG50" s="30">
        <f>AK50/1.34</f>
        <v>68.731343283582078</v>
      </c>
      <c r="AH50" s="30">
        <v>72</v>
      </c>
      <c r="AI50" s="30">
        <v>152.1</v>
      </c>
      <c r="AJ50" s="30">
        <v>87.1</v>
      </c>
      <c r="AK50" s="30">
        <v>92.1</v>
      </c>
      <c r="AL50" s="30">
        <v>82.7</v>
      </c>
      <c r="AM50" s="30">
        <v>101.2</v>
      </c>
      <c r="AN50" s="30">
        <v>109.2</v>
      </c>
      <c r="AO50" s="30">
        <v>103</v>
      </c>
      <c r="AP50" s="30">
        <v>97.5</v>
      </c>
      <c r="AQ50" s="30">
        <v>114.6</v>
      </c>
      <c r="AR50" s="30">
        <v>115.8</v>
      </c>
      <c r="AS50" s="30">
        <v>120.5</v>
      </c>
      <c r="AT50" s="30">
        <v>115.7</v>
      </c>
      <c r="AU50" s="30">
        <v>106.9</v>
      </c>
      <c r="AV50" s="30">
        <v>102.7</v>
      </c>
      <c r="AW50" s="30">
        <v>105.3</v>
      </c>
      <c r="AX50" s="30">
        <v>101.8</v>
      </c>
      <c r="AY50" s="30">
        <v>103.9</v>
      </c>
      <c r="AZ50" s="30">
        <v>106.7</v>
      </c>
      <c r="BA50" s="30">
        <v>110.3</v>
      </c>
    </row>
    <row r="51" spans="1:58" x14ac:dyDescent="0.2">
      <c r="A51">
        <f t="shared" si="121"/>
        <v>46</v>
      </c>
      <c r="B51" t="s">
        <v>1461</v>
      </c>
      <c r="C51" t="s">
        <v>20</v>
      </c>
      <c r="G51" s="61">
        <f t="shared" si="50"/>
        <v>1936</v>
      </c>
      <c r="H51" s="61"/>
      <c r="I51" s="30">
        <f t="shared" ref="I51" si="126">SUM(AC51:AF51)</f>
        <v>1936</v>
      </c>
      <c r="J51" s="30">
        <f t="shared" ref="J51" si="127">SUM(AG51:AJ51)</f>
        <v>0</v>
      </c>
      <c r="K51" s="30">
        <f t="shared" ref="K51" si="128">SUM(AK51:AN51)</f>
        <v>0</v>
      </c>
      <c r="L51" s="30">
        <f t="shared" ref="L51" si="129">SUM(AO51:AR51)</f>
        <v>0</v>
      </c>
      <c r="M51" s="30">
        <f t="shared" ref="M51" si="130">SUM(AS51:AV51)</f>
        <v>0</v>
      </c>
      <c r="N51" s="30">
        <f>SUM(AW51:AZ51)</f>
        <v>0</v>
      </c>
      <c r="O51" s="30">
        <f>SUM(BA51:BD51)</f>
        <v>0</v>
      </c>
      <c r="P51" s="30"/>
      <c r="Q51" s="30"/>
      <c r="R51" s="30"/>
      <c r="AC51" s="30">
        <v>176</v>
      </c>
      <c r="AD51" s="30">
        <v>517</v>
      </c>
      <c r="AE51" s="30">
        <v>1243</v>
      </c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</row>
    <row r="52" spans="1:58" x14ac:dyDescent="0.2">
      <c r="A52">
        <f t="shared" si="121"/>
        <v>47</v>
      </c>
      <c r="B52" t="s">
        <v>634</v>
      </c>
      <c r="C52" t="s">
        <v>20</v>
      </c>
      <c r="G52" s="61">
        <f t="shared" si="50"/>
        <v>1912.6999999999998</v>
      </c>
      <c r="H52" s="61"/>
      <c r="I52" s="30">
        <f>SUM(AC52:AF52)</f>
        <v>101.1</v>
      </c>
      <c r="J52" s="30">
        <f t="shared" si="122"/>
        <v>319.20000000000005</v>
      </c>
      <c r="K52" s="30">
        <f t="shared" si="123"/>
        <v>525.70000000000005</v>
      </c>
      <c r="L52" s="30">
        <f t="shared" si="124"/>
        <v>636.79999999999995</v>
      </c>
      <c r="M52" s="30">
        <f t="shared" si="125"/>
        <v>329.9</v>
      </c>
      <c r="N52" s="30">
        <f>SUM(AW52:AZ52)</f>
        <v>0</v>
      </c>
      <c r="O52" s="30">
        <f>SUM(BA52:BD52)</f>
        <v>0</v>
      </c>
      <c r="P52" s="30"/>
      <c r="Q52" s="30"/>
      <c r="R52" s="30"/>
      <c r="AC52" s="29">
        <v>4.9000000000000004</v>
      </c>
      <c r="AD52" s="29">
        <v>14.2</v>
      </c>
      <c r="AE52" s="29">
        <v>34.299999999999997</v>
      </c>
      <c r="AF52" s="29">
        <v>47.7</v>
      </c>
      <c r="AG52" s="29">
        <v>66.3</v>
      </c>
      <c r="AH52" s="29">
        <v>74</v>
      </c>
      <c r="AI52" s="29">
        <v>87.4</v>
      </c>
      <c r="AJ52" s="29">
        <v>91.5</v>
      </c>
      <c r="AK52" s="29">
        <v>109.9</v>
      </c>
      <c r="AL52" s="29">
        <v>119.5</v>
      </c>
      <c r="AM52" s="29">
        <v>156.30000000000001</v>
      </c>
      <c r="AN52" s="29">
        <v>140</v>
      </c>
      <c r="AO52" s="29">
        <v>161.5</v>
      </c>
      <c r="AP52" s="29">
        <v>149.30000000000001</v>
      </c>
      <c r="AQ52" s="29">
        <v>157.5</v>
      </c>
      <c r="AR52" s="29">
        <v>168.5</v>
      </c>
      <c r="AS52" s="29">
        <v>175.6</v>
      </c>
      <c r="AT52" s="29">
        <v>154.30000000000001</v>
      </c>
    </row>
    <row r="53" spans="1:58" x14ac:dyDescent="0.2">
      <c r="A53">
        <f t="shared" si="121"/>
        <v>48</v>
      </c>
      <c r="B53" t="s">
        <v>1112</v>
      </c>
      <c r="C53" t="s">
        <v>30</v>
      </c>
      <c r="G53" s="61">
        <f t="shared" si="50"/>
        <v>1906</v>
      </c>
      <c r="H53" s="61"/>
      <c r="I53" s="30">
        <f>SUM(AC53:AF53)</f>
        <v>271</v>
      </c>
      <c r="J53" s="30">
        <f t="shared" si="122"/>
        <v>980</v>
      </c>
      <c r="K53" s="30">
        <f t="shared" si="123"/>
        <v>655</v>
      </c>
      <c r="L53" s="30">
        <f t="shared" si="124"/>
        <v>0</v>
      </c>
      <c r="M53" s="30">
        <f t="shared" si="125"/>
        <v>0</v>
      </c>
      <c r="N53" s="30">
        <f>SUM(AW53:AZ53)</f>
        <v>0</v>
      </c>
      <c r="O53" s="30">
        <f>SUM(BA53:BD53)</f>
        <v>0</v>
      </c>
      <c r="P53" s="30"/>
      <c r="Q53" s="30"/>
      <c r="R53" s="30"/>
      <c r="AC53" s="30">
        <v>2</v>
      </c>
      <c r="AD53" s="30">
        <v>10</v>
      </c>
      <c r="AE53" s="30">
        <v>80</v>
      </c>
      <c r="AF53" s="30">
        <v>179</v>
      </c>
      <c r="AG53" s="30">
        <v>211</v>
      </c>
      <c r="AH53" s="30">
        <v>240</v>
      </c>
      <c r="AI53" s="30">
        <v>256</v>
      </c>
      <c r="AJ53" s="30">
        <v>273</v>
      </c>
      <c r="AK53" s="30">
        <v>310</v>
      </c>
      <c r="AL53" s="30">
        <v>345</v>
      </c>
    </row>
    <row r="54" spans="1:58" x14ac:dyDescent="0.2">
      <c r="A54">
        <f t="shared" si="121"/>
        <v>49</v>
      </c>
      <c r="B54" t="s">
        <v>1117</v>
      </c>
      <c r="C54" t="s">
        <v>30</v>
      </c>
      <c r="G54" s="61">
        <f t="shared" si="50"/>
        <v>1866</v>
      </c>
      <c r="H54" s="61"/>
      <c r="I54" s="30">
        <f>SUM(AC54:AF54)</f>
        <v>263</v>
      </c>
      <c r="J54" s="30">
        <f t="shared" si="122"/>
        <v>327</v>
      </c>
      <c r="K54" s="30">
        <f t="shared" si="123"/>
        <v>327</v>
      </c>
      <c r="L54" s="30">
        <f t="shared" si="124"/>
        <v>461</v>
      </c>
      <c r="M54" s="30">
        <f t="shared" si="125"/>
        <v>488</v>
      </c>
      <c r="N54" s="30">
        <f>SUM(AW54:AZ54)</f>
        <v>0</v>
      </c>
      <c r="O54" s="30">
        <f>SUM(BA54:BD54)</f>
        <v>0</v>
      </c>
      <c r="P54" s="30"/>
      <c r="Q54" s="30"/>
      <c r="R54" s="30"/>
      <c r="AC54" s="29">
        <v>43</v>
      </c>
      <c r="AD54" s="29">
        <v>67</v>
      </c>
      <c r="AE54" s="29">
        <v>74</v>
      </c>
      <c r="AF54" s="29">
        <v>79</v>
      </c>
      <c r="AG54" s="29">
        <v>83</v>
      </c>
      <c r="AH54" s="29">
        <v>84</v>
      </c>
      <c r="AI54" s="29">
        <v>78</v>
      </c>
      <c r="AJ54" s="29">
        <v>82</v>
      </c>
      <c r="AK54" s="29">
        <v>82</v>
      </c>
      <c r="AL54" s="29">
        <v>87</v>
      </c>
      <c r="AM54" s="29">
        <v>73</v>
      </c>
      <c r="AN54" s="29">
        <v>85</v>
      </c>
      <c r="AO54" s="29">
        <v>103</v>
      </c>
      <c r="AP54" s="29">
        <v>112</v>
      </c>
      <c r="AQ54" s="29">
        <v>116</v>
      </c>
      <c r="AR54" s="29">
        <v>130</v>
      </c>
      <c r="AS54" s="29">
        <v>128</v>
      </c>
      <c r="AT54" s="29">
        <v>131</v>
      </c>
      <c r="AU54" s="29">
        <v>109</v>
      </c>
      <c r="AV54" s="29">
        <v>120</v>
      </c>
    </row>
    <row r="55" spans="1:58" x14ac:dyDescent="0.2">
      <c r="A55">
        <f t="shared" si="121"/>
        <v>50</v>
      </c>
      <c r="B55" t="s">
        <v>1115</v>
      </c>
      <c r="C55" t="s">
        <v>30</v>
      </c>
      <c r="G55" s="61">
        <f t="shared" si="50"/>
        <v>1221</v>
      </c>
      <c r="H55" s="61"/>
      <c r="I55" s="30">
        <f>SUM(AC55:AF55)</f>
        <v>85</v>
      </c>
      <c r="J55" s="30">
        <f t="shared" si="122"/>
        <v>230</v>
      </c>
      <c r="K55" s="30">
        <f t="shared" si="123"/>
        <v>321</v>
      </c>
      <c r="L55" s="30">
        <f t="shared" si="124"/>
        <v>376</v>
      </c>
      <c r="M55" s="30">
        <f t="shared" si="125"/>
        <v>209</v>
      </c>
      <c r="N55" s="30">
        <f>SUM(AW55:AZ55)</f>
        <v>0</v>
      </c>
      <c r="O55" s="30">
        <f>SUM(BA55:BD55)</f>
        <v>0</v>
      </c>
      <c r="P55" s="30"/>
      <c r="Q55" s="30"/>
      <c r="R55" s="30"/>
      <c r="AC55" s="29">
        <v>4</v>
      </c>
      <c r="AD55" s="29">
        <v>17</v>
      </c>
      <c r="AE55" s="29">
        <v>30</v>
      </c>
      <c r="AF55" s="29">
        <v>34</v>
      </c>
      <c r="AG55" s="29">
        <v>49</v>
      </c>
      <c r="AH55" s="29">
        <v>57</v>
      </c>
      <c r="AI55" s="29">
        <v>55</v>
      </c>
      <c r="AJ55" s="29">
        <v>69</v>
      </c>
      <c r="AK55" s="29">
        <v>76</v>
      </c>
      <c r="AL55" s="29">
        <v>81</v>
      </c>
      <c r="AM55" s="29">
        <v>79</v>
      </c>
      <c r="AN55" s="29">
        <v>85</v>
      </c>
      <c r="AO55" s="29">
        <v>94</v>
      </c>
      <c r="AP55" s="29">
        <v>99</v>
      </c>
      <c r="AQ55" s="29">
        <v>89</v>
      </c>
      <c r="AR55" s="29">
        <v>94</v>
      </c>
      <c r="AS55" s="29">
        <v>103</v>
      </c>
      <c r="AT55" s="29">
        <v>106</v>
      </c>
    </row>
    <row r="56" spans="1:58" x14ac:dyDescent="0.2">
      <c r="A56">
        <f t="shared" si="121"/>
        <v>51</v>
      </c>
      <c r="B56" t="s">
        <v>638</v>
      </c>
      <c r="C56" t="s">
        <v>20</v>
      </c>
      <c r="G56" s="61">
        <f t="shared" si="50"/>
        <v>1215.2</v>
      </c>
      <c r="H56" s="61"/>
      <c r="I56" s="30">
        <f>SUM(AC56:AF56)</f>
        <v>134</v>
      </c>
      <c r="J56" s="30">
        <f t="shared" si="122"/>
        <v>308.7</v>
      </c>
      <c r="K56" s="30">
        <f t="shared" si="123"/>
        <v>418.09999999999997</v>
      </c>
      <c r="L56" s="30">
        <f t="shared" si="124"/>
        <v>293.39999999999998</v>
      </c>
      <c r="M56" s="30">
        <f t="shared" si="125"/>
        <v>61</v>
      </c>
      <c r="N56" s="30">
        <f>SUM(AW56:AZ56)</f>
        <v>0</v>
      </c>
      <c r="O56" s="30">
        <f>SUM(BA56:BD56)</f>
        <v>0</v>
      </c>
      <c r="P56" s="30"/>
      <c r="Q56" s="30"/>
      <c r="R56" s="30"/>
      <c r="AC56" s="29">
        <v>9.9</v>
      </c>
      <c r="AD56" s="29">
        <v>40.1</v>
      </c>
      <c r="AE56" s="29">
        <v>46.6</v>
      </c>
      <c r="AF56" s="29">
        <v>37.4</v>
      </c>
      <c r="AG56" s="29">
        <v>57.4</v>
      </c>
      <c r="AH56" s="29">
        <v>64.099999999999994</v>
      </c>
      <c r="AI56" s="29">
        <v>84.4</v>
      </c>
      <c r="AJ56" s="29">
        <v>102.8</v>
      </c>
      <c r="AK56" s="29">
        <v>109.7</v>
      </c>
      <c r="AL56" s="29">
        <v>105</v>
      </c>
      <c r="AM56" s="29">
        <v>125.6</v>
      </c>
      <c r="AN56" s="29">
        <v>77.8</v>
      </c>
      <c r="AO56" s="29">
        <v>85.5</v>
      </c>
      <c r="AP56" s="29">
        <v>73.599999999999994</v>
      </c>
      <c r="AQ56" s="29">
        <v>76.8</v>
      </c>
      <c r="AR56" s="29">
        <v>57.5</v>
      </c>
      <c r="AS56" s="29">
        <v>61</v>
      </c>
    </row>
    <row r="57" spans="1:58" x14ac:dyDescent="0.2">
      <c r="A57">
        <f t="shared" si="121"/>
        <v>52</v>
      </c>
      <c r="B57" t="s">
        <v>1118</v>
      </c>
      <c r="C57" t="s">
        <v>30</v>
      </c>
      <c r="G57" s="61">
        <f t="shared" si="50"/>
        <v>1127</v>
      </c>
      <c r="H57" s="61"/>
      <c r="I57" s="30">
        <f>SUM(AC57:AF57)</f>
        <v>83</v>
      </c>
      <c r="J57" s="30">
        <f t="shared" si="122"/>
        <v>136</v>
      </c>
      <c r="K57" s="30">
        <f t="shared" si="123"/>
        <v>212</v>
      </c>
      <c r="L57" s="30">
        <f t="shared" si="124"/>
        <v>218</v>
      </c>
      <c r="M57" s="30">
        <f t="shared" si="125"/>
        <v>256</v>
      </c>
      <c r="N57" s="30">
        <f>SUM(AW57:AZ57)</f>
        <v>222</v>
      </c>
      <c r="O57" s="30">
        <f>SUM(BA57:BD57)</f>
        <v>0</v>
      </c>
      <c r="P57" s="30"/>
      <c r="Q57" s="30"/>
      <c r="R57" s="30"/>
      <c r="AC57" s="29">
        <v>8</v>
      </c>
      <c r="AD57" s="29">
        <v>18</v>
      </c>
      <c r="AE57" s="29">
        <v>24</v>
      </c>
      <c r="AF57" s="29">
        <v>33</v>
      </c>
      <c r="AG57" s="29">
        <v>28</v>
      </c>
      <c r="AH57" s="29">
        <v>36</v>
      </c>
      <c r="AI57" s="29">
        <v>33</v>
      </c>
      <c r="AJ57" s="29">
        <v>39</v>
      </c>
      <c r="AK57" s="29">
        <v>56</v>
      </c>
      <c r="AL57" s="29">
        <v>47</v>
      </c>
      <c r="AM57" s="29">
        <v>53</v>
      </c>
      <c r="AN57" s="29">
        <v>56</v>
      </c>
      <c r="AO57" s="29">
        <v>59</v>
      </c>
      <c r="AP57" s="29">
        <v>54</v>
      </c>
      <c r="AQ57" s="29">
        <v>55</v>
      </c>
      <c r="AR57" s="29">
        <v>50</v>
      </c>
      <c r="AS57" s="29">
        <v>59</v>
      </c>
      <c r="AT57" s="29">
        <v>61</v>
      </c>
      <c r="AU57" s="29">
        <v>67</v>
      </c>
      <c r="AV57" s="29">
        <v>69</v>
      </c>
      <c r="AW57" s="29">
        <v>69</v>
      </c>
      <c r="AX57" s="29">
        <v>76</v>
      </c>
      <c r="AY57" s="29">
        <v>77</v>
      </c>
    </row>
    <row r="58" spans="1:58" x14ac:dyDescent="0.2">
      <c r="A58">
        <f t="shared" si="121"/>
        <v>53</v>
      </c>
      <c r="B58" t="s">
        <v>1114</v>
      </c>
      <c r="C58" t="s">
        <v>30</v>
      </c>
      <c r="G58" s="61">
        <f t="shared" si="50"/>
        <v>869</v>
      </c>
      <c r="H58" s="61"/>
      <c r="I58" s="30">
        <f>SUM(AC58:AF58)</f>
        <v>104</v>
      </c>
      <c r="J58" s="30">
        <f t="shared" si="122"/>
        <v>340</v>
      </c>
      <c r="K58" s="30">
        <f t="shared" si="123"/>
        <v>425</v>
      </c>
      <c r="L58" s="30">
        <f t="shared" si="124"/>
        <v>0</v>
      </c>
      <c r="M58" s="30">
        <f t="shared" si="125"/>
        <v>0</v>
      </c>
      <c r="N58" s="30">
        <f>SUM(AW58:AZ58)</f>
        <v>0</v>
      </c>
      <c r="O58" s="30">
        <f>SUM(BA58:BD58)</f>
        <v>0</v>
      </c>
      <c r="P58" s="30"/>
      <c r="Q58" s="30"/>
      <c r="R58" s="30"/>
      <c r="AC58" s="29">
        <v>7</v>
      </c>
      <c r="AD58" s="29">
        <v>25</v>
      </c>
      <c r="AE58" s="29">
        <v>31</v>
      </c>
      <c r="AF58" s="29">
        <v>41</v>
      </c>
      <c r="AG58" s="29">
        <v>52</v>
      </c>
      <c r="AH58" s="29">
        <v>76</v>
      </c>
      <c r="AI58" s="29">
        <v>106</v>
      </c>
      <c r="AJ58" s="29">
        <v>106</v>
      </c>
      <c r="AK58" s="29">
        <v>125</v>
      </c>
      <c r="AL58" s="29">
        <v>136</v>
      </c>
      <c r="AM58" s="29">
        <v>164</v>
      </c>
    </row>
    <row r="59" spans="1:58" x14ac:dyDescent="0.2">
      <c r="A59">
        <f t="shared" si="121"/>
        <v>54</v>
      </c>
      <c r="B59" t="s">
        <v>1110</v>
      </c>
      <c r="C59" t="s">
        <v>30</v>
      </c>
      <c r="G59" s="61">
        <f t="shared" si="50"/>
        <v>812</v>
      </c>
      <c r="H59" s="61"/>
      <c r="I59" s="30">
        <f>SUM(AC59:AF59)</f>
        <v>12</v>
      </c>
      <c r="J59" s="30">
        <f t="shared" si="122"/>
        <v>112</v>
      </c>
      <c r="K59" s="30">
        <f t="shared" si="123"/>
        <v>355</v>
      </c>
      <c r="L59" s="30">
        <f t="shared" si="124"/>
        <v>333</v>
      </c>
      <c r="M59" s="30">
        <f t="shared" si="125"/>
        <v>0</v>
      </c>
      <c r="N59" s="30">
        <f>SUM(AW59:AZ59)</f>
        <v>0</v>
      </c>
      <c r="O59" s="30">
        <f>SUM(BA59:BD59)</f>
        <v>0</v>
      </c>
      <c r="P59" s="30"/>
      <c r="Q59" s="30"/>
      <c r="R59" s="30"/>
      <c r="AC59" s="30">
        <v>1</v>
      </c>
      <c r="AD59" s="30">
        <v>2</v>
      </c>
      <c r="AE59" s="30">
        <v>5</v>
      </c>
      <c r="AF59" s="30">
        <v>4</v>
      </c>
      <c r="AG59" s="30">
        <v>14</v>
      </c>
      <c r="AH59" s="30">
        <v>22</v>
      </c>
      <c r="AI59" s="30">
        <v>34</v>
      </c>
      <c r="AJ59" s="30">
        <v>42</v>
      </c>
      <c r="AK59" s="30">
        <v>64</v>
      </c>
      <c r="AL59" s="30">
        <v>78</v>
      </c>
      <c r="AM59" s="30">
        <v>90</v>
      </c>
      <c r="AN59" s="30">
        <v>123</v>
      </c>
      <c r="AO59" s="30">
        <v>151</v>
      </c>
      <c r="AP59" s="30">
        <v>182</v>
      </c>
    </row>
    <row r="60" spans="1:58" x14ac:dyDescent="0.2">
      <c r="A60">
        <f t="shared" si="121"/>
        <v>55</v>
      </c>
      <c r="B60" t="s">
        <v>1119</v>
      </c>
      <c r="C60" t="s">
        <v>30</v>
      </c>
      <c r="G60" s="61">
        <f t="shared" si="50"/>
        <v>765</v>
      </c>
      <c r="H60" s="61"/>
      <c r="I60" s="30">
        <f>SUM(AC60:AF60)</f>
        <v>188</v>
      </c>
      <c r="J60" s="30">
        <f t="shared" si="122"/>
        <v>172</v>
      </c>
      <c r="K60" s="30">
        <f t="shared" si="123"/>
        <v>205</v>
      </c>
      <c r="L60" s="30">
        <f t="shared" si="124"/>
        <v>200</v>
      </c>
      <c r="M60" s="30">
        <f t="shared" si="125"/>
        <v>0</v>
      </c>
      <c r="N60" s="30">
        <f>SUM(AW60:AZ60)</f>
        <v>0</v>
      </c>
      <c r="O60" s="30">
        <f>SUM(BA60:BD60)</f>
        <v>0</v>
      </c>
      <c r="P60" s="30"/>
      <c r="Q60" s="30"/>
      <c r="R60" s="30"/>
      <c r="AC60" s="29">
        <v>35</v>
      </c>
      <c r="AD60" s="29">
        <v>68</v>
      </c>
      <c r="AE60" s="29">
        <v>34</v>
      </c>
      <c r="AF60" s="29">
        <v>51</v>
      </c>
      <c r="AG60" s="29">
        <v>37</v>
      </c>
      <c r="AH60" s="29">
        <v>39</v>
      </c>
      <c r="AI60" s="29">
        <v>47</v>
      </c>
      <c r="AJ60" s="29">
        <v>49</v>
      </c>
      <c r="AK60" s="29">
        <v>51</v>
      </c>
      <c r="AL60" s="29">
        <v>48</v>
      </c>
      <c r="AM60" s="29">
        <v>54</v>
      </c>
      <c r="AN60" s="29">
        <v>52</v>
      </c>
      <c r="AO60" s="29">
        <v>49</v>
      </c>
      <c r="AP60" s="29">
        <v>51</v>
      </c>
      <c r="AQ60" s="29">
        <v>53</v>
      </c>
      <c r="AR60" s="29">
        <v>47</v>
      </c>
    </row>
    <row r="61" spans="1:58" x14ac:dyDescent="0.2">
      <c r="A61">
        <f t="shared" si="121"/>
        <v>56</v>
      </c>
      <c r="B61" t="s">
        <v>1121</v>
      </c>
      <c r="C61" t="s">
        <v>30</v>
      </c>
      <c r="G61" s="61">
        <f t="shared" si="50"/>
        <v>658</v>
      </c>
      <c r="H61" s="61"/>
      <c r="I61" s="30">
        <f>SUM(AC61:AF61)</f>
        <v>105</v>
      </c>
      <c r="J61" s="30">
        <f t="shared" si="122"/>
        <v>164</v>
      </c>
      <c r="K61" s="30">
        <f t="shared" si="123"/>
        <v>194</v>
      </c>
      <c r="L61" s="30">
        <f t="shared" si="124"/>
        <v>195</v>
      </c>
      <c r="M61" s="30">
        <f t="shared" si="125"/>
        <v>0</v>
      </c>
      <c r="N61" s="30">
        <f>SUM(AW61:AZ61)</f>
        <v>0</v>
      </c>
      <c r="O61" s="30">
        <f>SUM(BA61:BD61)</f>
        <v>0</v>
      </c>
      <c r="P61" s="30"/>
      <c r="Q61" s="30"/>
      <c r="R61" s="30"/>
      <c r="AC61" s="29">
        <v>15</v>
      </c>
      <c r="AD61" s="29">
        <v>21</v>
      </c>
      <c r="AE61" s="29">
        <v>35</v>
      </c>
      <c r="AF61" s="29">
        <v>34</v>
      </c>
      <c r="AG61" s="29">
        <v>37</v>
      </c>
      <c r="AH61" s="29">
        <v>42</v>
      </c>
      <c r="AI61" s="29">
        <v>42</v>
      </c>
      <c r="AJ61" s="29">
        <v>43</v>
      </c>
      <c r="AK61" s="29">
        <v>44</v>
      </c>
      <c r="AL61" s="29">
        <v>49</v>
      </c>
      <c r="AM61" s="29">
        <v>50</v>
      </c>
      <c r="AN61" s="29">
        <v>51</v>
      </c>
      <c r="AO61" s="29">
        <v>52</v>
      </c>
      <c r="AP61" s="29">
        <v>53</v>
      </c>
      <c r="AQ61" s="29">
        <v>45</v>
      </c>
      <c r="AR61" s="29">
        <v>45</v>
      </c>
    </row>
    <row r="62" spans="1:58" x14ac:dyDescent="0.2">
      <c r="A62">
        <f t="shared" si="121"/>
        <v>57</v>
      </c>
      <c r="B62" t="s">
        <v>1120</v>
      </c>
      <c r="C62" t="s">
        <v>30</v>
      </c>
      <c r="G62" s="61">
        <f t="shared" si="50"/>
        <v>412</v>
      </c>
      <c r="H62" s="61"/>
      <c r="I62" s="30">
        <f>SUM(AC62:AF62)</f>
        <v>52</v>
      </c>
      <c r="J62" s="30">
        <f t="shared" si="122"/>
        <v>104</v>
      </c>
      <c r="K62" s="30">
        <f t="shared" si="123"/>
        <v>138</v>
      </c>
      <c r="L62" s="30">
        <f t="shared" si="124"/>
        <v>118</v>
      </c>
      <c r="M62" s="30">
        <f t="shared" si="125"/>
        <v>0</v>
      </c>
      <c r="N62" s="30">
        <f>SUM(AW62:AZ62)</f>
        <v>0</v>
      </c>
      <c r="O62" s="30">
        <f>SUM(BA62:BD62)</f>
        <v>0</v>
      </c>
      <c r="P62" s="30"/>
      <c r="Q62" s="30"/>
      <c r="R62" s="30"/>
      <c r="AC62" s="29">
        <v>6</v>
      </c>
      <c r="AD62" s="29">
        <v>12</v>
      </c>
      <c r="AE62" s="29">
        <v>17</v>
      </c>
      <c r="AF62" s="29">
        <v>17</v>
      </c>
      <c r="AG62" s="29">
        <v>22</v>
      </c>
      <c r="AH62" s="29">
        <v>24</v>
      </c>
      <c r="AI62" s="29">
        <v>27</v>
      </c>
      <c r="AJ62" s="29">
        <v>31</v>
      </c>
      <c r="AK62" s="29">
        <v>30</v>
      </c>
      <c r="AL62" s="29">
        <v>36</v>
      </c>
      <c r="AM62" s="29">
        <v>36</v>
      </c>
      <c r="AN62" s="29">
        <v>36</v>
      </c>
      <c r="AO62" s="29">
        <v>41</v>
      </c>
      <c r="AP62" s="29">
        <v>36</v>
      </c>
      <c r="AQ62" s="29">
        <v>41</v>
      </c>
      <c r="AR62" s="29"/>
    </row>
    <row r="63" spans="1:58" x14ac:dyDescent="0.2">
      <c r="A63">
        <f t="shared" si="121"/>
        <v>58</v>
      </c>
      <c r="B63" t="s">
        <v>639</v>
      </c>
      <c r="C63" t="s">
        <v>20</v>
      </c>
      <c r="G63" s="61">
        <f t="shared" si="50"/>
        <v>394.59999999999991</v>
      </c>
      <c r="H63" s="61"/>
      <c r="I63" s="30">
        <f>SUM(AC63:AF63)</f>
        <v>53.399999999999991</v>
      </c>
      <c r="J63" s="30">
        <f t="shared" si="122"/>
        <v>139.69999999999999</v>
      </c>
      <c r="K63" s="30">
        <f t="shared" si="123"/>
        <v>201.5</v>
      </c>
      <c r="L63" s="30">
        <f t="shared" si="124"/>
        <v>0</v>
      </c>
      <c r="M63" s="30">
        <f t="shared" si="125"/>
        <v>0</v>
      </c>
      <c r="N63" s="30">
        <f>SUM(AW63:AZ63)</f>
        <v>0</v>
      </c>
      <c r="O63" s="30">
        <f>SUM(BA63:BD63)</f>
        <v>0</v>
      </c>
      <c r="P63" s="30"/>
      <c r="Q63" s="30"/>
      <c r="R63" s="30"/>
      <c r="AC63" s="30">
        <v>6.3</v>
      </c>
      <c r="AD63" s="30">
        <v>11.6</v>
      </c>
      <c r="AE63" s="30">
        <v>18.7</v>
      </c>
      <c r="AF63" s="30">
        <v>16.8</v>
      </c>
      <c r="AG63" s="30">
        <v>25.7</v>
      </c>
      <c r="AH63" s="30">
        <v>33.6</v>
      </c>
      <c r="AI63" s="30">
        <v>38.6</v>
      </c>
      <c r="AJ63" s="30">
        <v>41.8</v>
      </c>
      <c r="AK63" s="30">
        <v>45</v>
      </c>
      <c r="AL63" s="30">
        <v>40.5</v>
      </c>
      <c r="AM63" s="30">
        <v>64.599999999999994</v>
      </c>
      <c r="AN63" s="30">
        <v>51.4</v>
      </c>
    </row>
    <row r="64" spans="1:58" x14ac:dyDescent="0.2">
      <c r="A64">
        <f t="shared" si="121"/>
        <v>59</v>
      </c>
      <c r="B64" t="s">
        <v>1116</v>
      </c>
      <c r="C64" t="s">
        <v>30</v>
      </c>
      <c r="G64" s="61">
        <f t="shared" si="50"/>
        <v>28</v>
      </c>
      <c r="H64" s="61"/>
      <c r="I64" s="30">
        <f>SUM(AC64:AF64)</f>
        <v>28</v>
      </c>
      <c r="J64" s="30">
        <f t="shared" si="122"/>
        <v>0</v>
      </c>
      <c r="K64" s="30">
        <f t="shared" si="123"/>
        <v>0</v>
      </c>
      <c r="L64" s="30">
        <f t="shared" si="124"/>
        <v>0</v>
      </c>
      <c r="M64" s="30">
        <f t="shared" si="125"/>
        <v>0</v>
      </c>
      <c r="N64" s="30">
        <f>SUM(AW64:AZ64)</f>
        <v>0</v>
      </c>
      <c r="O64" s="30">
        <f>SUM(BA64:BD64)</f>
        <v>0</v>
      </c>
      <c r="P64" s="30"/>
      <c r="Q64" s="30"/>
      <c r="R64" s="30"/>
      <c r="AC64" s="28">
        <v>6</v>
      </c>
      <c r="AD64" s="28">
        <v>22</v>
      </c>
    </row>
    <row r="65" spans="1:125" x14ac:dyDescent="0.2">
      <c r="G65" s="31"/>
      <c r="H65" s="31"/>
      <c r="I65" s="30"/>
      <c r="J65" s="30"/>
      <c r="K65" s="30"/>
      <c r="L65" s="30"/>
      <c r="M65" s="30"/>
      <c r="N65" s="30"/>
      <c r="O65" s="30"/>
      <c r="P65" s="30"/>
      <c r="Q65" s="30"/>
      <c r="R65" s="30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</row>
    <row r="66" spans="1:125" x14ac:dyDescent="0.2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2">
      <c r="B69" t="s">
        <v>1062</v>
      </c>
      <c r="C69">
        <v>6.86</v>
      </c>
      <c r="G69" s="31"/>
      <c r="H69" s="31"/>
    </row>
    <row r="70" spans="1:125" x14ac:dyDescent="0.2">
      <c r="G70" s="31"/>
      <c r="H70" s="31"/>
    </row>
    <row r="71" spans="1:125" x14ac:dyDescent="0.2">
      <c r="G71" s="31"/>
      <c r="H71" s="31"/>
    </row>
    <row r="72" spans="1:125" x14ac:dyDescent="0.2">
      <c r="G72" s="31"/>
      <c r="H72" s="31"/>
    </row>
    <row r="76" spans="1:125" x14ac:dyDescent="0.2">
      <c r="B76" t="s">
        <v>1460</v>
      </c>
      <c r="C76" t="s">
        <v>32</v>
      </c>
      <c r="D76" t="s">
        <v>1427</v>
      </c>
      <c r="E76">
        <v>3</v>
      </c>
      <c r="G76" s="61">
        <f>SUM(AC76:EN76)</f>
        <v>76424</v>
      </c>
      <c r="H76" s="61"/>
      <c r="I76" s="30">
        <v>146</v>
      </c>
      <c r="J76" s="30">
        <v>774</v>
      </c>
      <c r="K76" s="30">
        <v>1860</v>
      </c>
      <c r="L76" s="30">
        <v>3343</v>
      </c>
      <c r="M76" s="30">
        <v>4872</v>
      </c>
      <c r="N76" s="30">
        <v>6438</v>
      </c>
      <c r="O76" s="30">
        <v>7929</v>
      </c>
      <c r="P76" s="30">
        <f>SUM(BE76:BH76)</f>
        <v>8933</v>
      </c>
      <c r="Q76" s="30">
        <f>SUM(BI76:BL76)</f>
        <v>10360</v>
      </c>
      <c r="R76" s="30">
        <f>SUM(BM76:BP76)</f>
        <v>11772</v>
      </c>
      <c r="S76" s="30">
        <f>SUM(BQ76:BT76)</f>
        <v>12020</v>
      </c>
      <c r="T76" s="30">
        <f>SUM(BU76:BX76)</f>
        <v>10010</v>
      </c>
      <c r="U76" s="30">
        <f>SUM(BY76:CB76)</f>
        <v>0</v>
      </c>
      <c r="V76" s="30">
        <f>SUM(CC76:CF76)</f>
        <v>0</v>
      </c>
      <c r="W76" s="30"/>
      <c r="X76" s="30"/>
      <c r="Y76" s="30"/>
      <c r="Z76" s="30"/>
      <c r="AA76" s="30"/>
      <c r="AC76" s="30">
        <v>1</v>
      </c>
      <c r="AD76" s="30">
        <v>22</v>
      </c>
      <c r="AE76" s="30">
        <v>12</v>
      </c>
      <c r="AF76" s="28">
        <v>41</v>
      </c>
      <c r="AG76" s="28">
        <v>71</v>
      </c>
      <c r="AH76" s="28">
        <v>106</v>
      </c>
      <c r="AI76" s="30">
        <v>171</v>
      </c>
      <c r="AJ76" s="28">
        <v>216</v>
      </c>
      <c r="AK76" s="28">
        <v>281</v>
      </c>
      <c r="AL76" s="28">
        <v>355</v>
      </c>
      <c r="AM76" s="28">
        <v>437</v>
      </c>
      <c r="AN76" s="28">
        <v>466</v>
      </c>
      <c r="AO76" s="28">
        <v>602</v>
      </c>
      <c r="AP76" s="28">
        <v>734</v>
      </c>
      <c r="AQ76" s="28">
        <v>777</v>
      </c>
      <c r="AR76" s="28">
        <v>884</v>
      </c>
      <c r="AS76" s="28">
        <v>948</v>
      </c>
      <c r="AT76" s="28">
        <v>1101</v>
      </c>
      <c r="AU76" s="28">
        <v>1176</v>
      </c>
      <c r="AV76" s="28">
        <v>1232</v>
      </c>
      <c r="AW76" s="28">
        <v>1363</v>
      </c>
      <c r="AX76" s="28">
        <v>1506</v>
      </c>
      <c r="AY76" s="28">
        <v>1650</v>
      </c>
      <c r="AZ76" s="28">
        <v>1577</v>
      </c>
      <c r="BA76" s="28">
        <v>1705</v>
      </c>
      <c r="BB76" s="28">
        <v>1925</v>
      </c>
      <c r="BC76" s="28">
        <v>2042</v>
      </c>
      <c r="BD76" s="28">
        <v>1928</v>
      </c>
      <c r="BE76" s="28">
        <v>2034</v>
      </c>
      <c r="BF76" s="28">
        <v>2641</v>
      </c>
      <c r="BG76" s="28">
        <v>2163</v>
      </c>
      <c r="BH76" s="28">
        <v>2095</v>
      </c>
      <c r="BI76" s="28">
        <v>2269</v>
      </c>
      <c r="BJ76" s="28">
        <v>2886</v>
      </c>
      <c r="BK76" s="28">
        <v>2792</v>
      </c>
      <c r="BL76" s="28">
        <v>2413</v>
      </c>
      <c r="BM76" s="28">
        <v>2671</v>
      </c>
      <c r="BN76" s="28">
        <v>3211</v>
      </c>
      <c r="BO76" s="28">
        <v>3235</v>
      </c>
      <c r="BP76" s="28">
        <v>2655</v>
      </c>
      <c r="BQ76" s="28">
        <v>2688</v>
      </c>
      <c r="BR76" s="28">
        <v>3423</v>
      </c>
      <c r="BS76" s="28">
        <v>3204</v>
      </c>
      <c r="BT76" s="28">
        <v>2705</v>
      </c>
      <c r="BU76" s="28">
        <v>2874</v>
      </c>
      <c r="BV76" s="28">
        <v>3720</v>
      </c>
      <c r="BW76" s="28">
        <v>3416</v>
      </c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</row>
    <row r="77" spans="1:125" s="25" customFormat="1" x14ac:dyDescent="0.2">
      <c r="A77"/>
      <c r="B77" t="s">
        <v>1459</v>
      </c>
      <c r="C77" t="s">
        <v>24</v>
      </c>
      <c r="D77" t="s">
        <v>1427</v>
      </c>
      <c r="E77">
        <v>3</v>
      </c>
      <c r="F77"/>
      <c r="G77" s="61">
        <f>SUM(AC77:EN77)</f>
        <v>42355</v>
      </c>
      <c r="H77" s="61"/>
      <c r="I77" s="30">
        <f>SUM(AC77:AF77)</f>
        <v>266</v>
      </c>
      <c r="J77" s="30">
        <f t="shared" ref="J77" si="131">SUM(AG77:AJ77)</f>
        <v>788</v>
      </c>
      <c r="K77" s="30">
        <f t="shared" ref="K77" si="132">SUM(AK77:AN77)</f>
        <v>1400</v>
      </c>
      <c r="L77" s="30">
        <f t="shared" ref="L77" si="133">SUM(AO77:AR77)</f>
        <v>1662</v>
      </c>
      <c r="M77" s="30">
        <f t="shared" ref="M77" si="134">SUM(AS77:AV77)</f>
        <v>2523</v>
      </c>
      <c r="N77" s="30">
        <f>SUM(AW77:AZ77)</f>
        <v>3434</v>
      </c>
      <c r="O77" s="30">
        <f>SUM(BA77:BD77)</f>
        <v>4220</v>
      </c>
      <c r="P77" s="30">
        <f>SUM(BE77:BH77)</f>
        <v>4948</v>
      </c>
      <c r="Q77" s="30">
        <f>SUM(BI77:BL77)</f>
        <v>5970</v>
      </c>
      <c r="R77" s="30">
        <f>SUM(BM77:BP77)</f>
        <v>6481</v>
      </c>
      <c r="S77" s="30">
        <f>SUM(BQ77:BT77)</f>
        <v>6746</v>
      </c>
      <c r="T77" s="30">
        <f>SUM(BU77:BX77)</f>
        <v>3917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B77"/>
      <c r="AC77" s="30">
        <v>37</v>
      </c>
      <c r="AD77" s="30">
        <v>57</v>
      </c>
      <c r="AE77" s="30">
        <v>75</v>
      </c>
      <c r="AF77" s="31">
        <v>97</v>
      </c>
      <c r="AG77">
        <v>137</v>
      </c>
      <c r="AH77">
        <v>177</v>
      </c>
      <c r="AI77">
        <v>217</v>
      </c>
      <c r="AJ77">
        <v>257</v>
      </c>
      <c r="AK77">
        <v>300</v>
      </c>
      <c r="AL77">
        <v>350</v>
      </c>
      <c r="AM77">
        <v>350</v>
      </c>
      <c r="AN77">
        <v>400</v>
      </c>
      <c r="AO77">
        <v>354</v>
      </c>
      <c r="AP77">
        <v>371</v>
      </c>
      <c r="AQ77">
        <v>449</v>
      </c>
      <c r="AR77">
        <v>488</v>
      </c>
      <c r="AS77">
        <v>564</v>
      </c>
      <c r="AT77">
        <v>605</v>
      </c>
      <c r="AU77">
        <v>644</v>
      </c>
      <c r="AV77">
        <v>710</v>
      </c>
      <c r="AW77">
        <v>765</v>
      </c>
      <c r="AX77">
        <v>889</v>
      </c>
      <c r="AY77">
        <v>870</v>
      </c>
      <c r="AZ77">
        <v>910</v>
      </c>
      <c r="BA77">
        <v>1011</v>
      </c>
      <c r="BB77">
        <v>1085</v>
      </c>
      <c r="BC77">
        <v>1025</v>
      </c>
      <c r="BD77">
        <v>1099</v>
      </c>
      <c r="BE77">
        <v>1300</v>
      </c>
      <c r="BF77">
        <v>1272</v>
      </c>
      <c r="BG77">
        <v>1114</v>
      </c>
      <c r="BH77">
        <v>1262</v>
      </c>
      <c r="BI77">
        <v>1643</v>
      </c>
      <c r="BJ77">
        <v>1481</v>
      </c>
      <c r="BK77">
        <v>1346</v>
      </c>
      <c r="BL77">
        <v>1500</v>
      </c>
      <c r="BM77">
        <v>1793</v>
      </c>
      <c r="BN77">
        <v>1745</v>
      </c>
      <c r="BO77">
        <v>1464</v>
      </c>
      <c r="BP77">
        <v>1479</v>
      </c>
      <c r="BQ77">
        <v>1874</v>
      </c>
      <c r="BR77">
        <v>1762</v>
      </c>
      <c r="BS77">
        <v>1498</v>
      </c>
      <c r="BT77">
        <v>1612</v>
      </c>
      <c r="BU77">
        <v>2040</v>
      </c>
      <c r="BV77">
        <v>1877</v>
      </c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</row>
    <row r="78" spans="1:125" x14ac:dyDescent="0.2">
      <c r="B78" t="s">
        <v>656</v>
      </c>
      <c r="C78" t="s">
        <v>28</v>
      </c>
      <c r="D78" t="s">
        <v>1430</v>
      </c>
      <c r="E78">
        <v>1</v>
      </c>
      <c r="G78" s="61">
        <f>SUM(AC78:FZ78)</f>
        <v>49414</v>
      </c>
      <c r="H78" s="61"/>
      <c r="I78" s="30">
        <f>SUM(AC78:AF78)</f>
        <v>458</v>
      </c>
      <c r="J78" s="30">
        <f>SUM(AG78:AJ78)</f>
        <v>1185</v>
      </c>
      <c r="K78" s="30">
        <f>SUM(AK78:AN78)</f>
        <v>1364</v>
      </c>
      <c r="L78" s="30">
        <f>SUM(AO78:AR78)</f>
        <v>2269</v>
      </c>
      <c r="M78" s="30">
        <f>SUM(AS78:AV78)</f>
        <v>3039</v>
      </c>
      <c r="N78" s="30">
        <f>SUM(AW78:AZ78)</f>
        <v>3912</v>
      </c>
      <c r="O78" s="30">
        <f>SUM(BA78:BD78)</f>
        <v>4017</v>
      </c>
      <c r="P78" s="30">
        <f>SUM(BE78:BH78)</f>
        <v>3970</v>
      </c>
      <c r="Q78" s="30">
        <f>SUM(BI78:BL78)</f>
        <v>4024</v>
      </c>
      <c r="R78" s="30">
        <f>SUM(BM78:BP78)</f>
        <v>3897</v>
      </c>
      <c r="S78" s="30">
        <f>SUM(BQ78:BT78)</f>
        <v>3731</v>
      </c>
      <c r="T78" s="30">
        <f>SUM(BU78:BX78)</f>
        <v>3694</v>
      </c>
      <c r="U78" s="30">
        <f>SUM(BY78:CB78)</f>
        <v>3469</v>
      </c>
      <c r="V78" s="30">
        <f>SUM(CC78:CF78)</f>
        <v>3392</v>
      </c>
      <c r="W78" s="30"/>
      <c r="X78" s="30"/>
      <c r="Y78" s="30"/>
      <c r="Z78" s="30"/>
      <c r="AA78" s="30"/>
      <c r="AC78" s="30">
        <v>42</v>
      </c>
      <c r="AD78" s="30">
        <v>87</v>
      </c>
      <c r="AE78" s="30">
        <v>144</v>
      </c>
      <c r="AF78">
        <v>185</v>
      </c>
      <c r="AG78">
        <v>200</v>
      </c>
      <c r="AH78">
        <v>272</v>
      </c>
      <c r="AI78">
        <v>334</v>
      </c>
      <c r="AJ78">
        <v>379</v>
      </c>
      <c r="AL78">
        <v>411</v>
      </c>
      <c r="AM78">
        <v>462</v>
      </c>
      <c r="AN78">
        <v>491</v>
      </c>
      <c r="AO78">
        <v>558</v>
      </c>
      <c r="AP78">
        <v>511</v>
      </c>
      <c r="AQ78">
        <v>600</v>
      </c>
      <c r="AR78">
        <v>600</v>
      </c>
      <c r="AS78">
        <v>675</v>
      </c>
      <c r="AT78">
        <v>739</v>
      </c>
      <c r="AU78">
        <v>779</v>
      </c>
      <c r="AV78">
        <v>846</v>
      </c>
      <c r="AW78">
        <v>960</v>
      </c>
      <c r="AX78">
        <v>919</v>
      </c>
      <c r="AY78">
        <v>1058</v>
      </c>
      <c r="AZ78">
        <v>975</v>
      </c>
      <c r="BA78">
        <v>1134</v>
      </c>
      <c r="BB78">
        <v>884</v>
      </c>
      <c r="BC78">
        <v>1072</v>
      </c>
      <c r="BD78">
        <v>927</v>
      </c>
      <c r="BE78">
        <v>1121</v>
      </c>
      <c r="BF78">
        <v>858</v>
      </c>
      <c r="BG78">
        <v>1058</v>
      </c>
      <c r="BH78">
        <v>933</v>
      </c>
      <c r="BI78">
        <v>1082</v>
      </c>
      <c r="BJ78">
        <v>884</v>
      </c>
      <c r="BK78">
        <v>1044</v>
      </c>
      <c r="BL78">
        <v>1014</v>
      </c>
      <c r="BM78">
        <v>921</v>
      </c>
      <c r="BN78">
        <v>906</v>
      </c>
      <c r="BO78">
        <v>1064</v>
      </c>
      <c r="BP78">
        <v>1006</v>
      </c>
      <c r="BQ78">
        <v>932</v>
      </c>
      <c r="BR78">
        <v>839</v>
      </c>
      <c r="BS78">
        <v>948</v>
      </c>
      <c r="BT78">
        <v>1012</v>
      </c>
      <c r="BU78">
        <v>938</v>
      </c>
      <c r="BV78">
        <v>880</v>
      </c>
      <c r="BW78">
        <v>949</v>
      </c>
      <c r="BX78">
        <v>927</v>
      </c>
      <c r="BY78">
        <v>930</v>
      </c>
      <c r="BZ78">
        <v>824</v>
      </c>
      <c r="CA78">
        <v>908</v>
      </c>
      <c r="CB78">
        <v>807</v>
      </c>
      <c r="CC78">
        <v>943</v>
      </c>
      <c r="CD78">
        <v>774</v>
      </c>
      <c r="CE78">
        <v>854</v>
      </c>
      <c r="CF78">
        <v>821</v>
      </c>
      <c r="CG78">
        <v>857</v>
      </c>
      <c r="CH78">
        <v>809</v>
      </c>
      <c r="CI78">
        <v>784</v>
      </c>
      <c r="CJ78">
        <v>852</v>
      </c>
      <c r="CK78">
        <v>878</v>
      </c>
      <c r="CL78">
        <v>779</v>
      </c>
      <c r="CM78">
        <v>756</v>
      </c>
      <c r="CN78">
        <v>717</v>
      </c>
      <c r="CO78">
        <v>561</v>
      </c>
    </row>
    <row r="79" spans="1:125" x14ac:dyDescent="0.2">
      <c r="B79" t="s">
        <v>657</v>
      </c>
      <c r="C79" t="s">
        <v>28</v>
      </c>
      <c r="D79" t="s">
        <v>1430</v>
      </c>
      <c r="E79">
        <v>1</v>
      </c>
      <c r="G79" s="61">
        <f>SUM(AC79:FZ79)</f>
        <v>25362.5</v>
      </c>
      <c r="H79" s="61"/>
      <c r="I79" s="30">
        <f>SUM(AC79:AF79)</f>
        <v>131</v>
      </c>
      <c r="J79" s="30">
        <f>SUM(AG79:AJ79)</f>
        <v>415.5</v>
      </c>
      <c r="K79" s="30">
        <f>SUM(AK79:AN79)</f>
        <v>731</v>
      </c>
      <c r="L79" s="30">
        <f>SUM(AO79:AR79)</f>
        <v>1058</v>
      </c>
      <c r="M79" s="30">
        <f>SUM(AS79:AV79)</f>
        <v>1449</v>
      </c>
      <c r="N79" s="30">
        <f>SUM(AW79:AZ79)</f>
        <v>1677</v>
      </c>
      <c r="O79" s="30">
        <f>SUM(BA79:BD79)</f>
        <v>1895</v>
      </c>
      <c r="P79" s="30">
        <f>SUM(BE79:BH79)</f>
        <v>2103</v>
      </c>
      <c r="Q79" s="30">
        <f>SUM(BI79:BL79)</f>
        <v>2148</v>
      </c>
      <c r="R79" s="30">
        <f>SUM(BM79:BP79)</f>
        <v>2190</v>
      </c>
      <c r="S79" s="30">
        <f>SUM(BQ79:BT79)</f>
        <v>2206</v>
      </c>
      <c r="T79" s="30">
        <f>SUM(BU79:BX79)</f>
        <v>2213</v>
      </c>
      <c r="U79" s="30">
        <f>SUM(BY79:CB79)</f>
        <v>2014</v>
      </c>
      <c r="V79" s="30">
        <f>SUM(CC79:CF79)</f>
        <v>1954</v>
      </c>
      <c r="W79" s="30"/>
      <c r="X79" s="30"/>
      <c r="Y79" s="30"/>
      <c r="Z79" s="30"/>
      <c r="AA79" s="30"/>
      <c r="AC79" s="28">
        <v>24</v>
      </c>
      <c r="AD79" s="28">
        <v>19</v>
      </c>
      <c r="AE79" s="28">
        <v>30</v>
      </c>
      <c r="AF79">
        <v>58</v>
      </c>
      <c r="AG79">
        <v>72</v>
      </c>
      <c r="AH79">
        <v>101</v>
      </c>
      <c r="AI79" s="33">
        <f>AVERAGE(AH79,AJ79)</f>
        <v>114.5</v>
      </c>
      <c r="AJ79">
        <v>128</v>
      </c>
      <c r="AK79">
        <v>155</v>
      </c>
      <c r="AL79">
        <v>173</v>
      </c>
      <c r="AM79">
        <v>202</v>
      </c>
      <c r="AN79">
        <v>201</v>
      </c>
      <c r="AO79">
        <v>218</v>
      </c>
      <c r="AP79">
        <v>247</v>
      </c>
      <c r="AQ79">
        <v>288</v>
      </c>
      <c r="AR79">
        <v>305</v>
      </c>
      <c r="AS79">
        <v>321</v>
      </c>
      <c r="AT79">
        <v>350</v>
      </c>
      <c r="AU79">
        <v>386</v>
      </c>
      <c r="AV79">
        <v>392</v>
      </c>
      <c r="AW79">
        <v>411</v>
      </c>
      <c r="AX79">
        <v>405</v>
      </c>
      <c r="AY79">
        <v>452</v>
      </c>
      <c r="AZ79">
        <v>409</v>
      </c>
      <c r="BA79">
        <v>474</v>
      </c>
      <c r="BB79">
        <v>442</v>
      </c>
      <c r="BC79">
        <v>503</v>
      </c>
      <c r="BD79">
        <v>476</v>
      </c>
      <c r="BE79">
        <v>519</v>
      </c>
      <c r="BF79">
        <v>505</v>
      </c>
      <c r="BG79">
        <v>570</v>
      </c>
      <c r="BH79">
        <v>509</v>
      </c>
      <c r="BI79">
        <v>554</v>
      </c>
      <c r="BJ79">
        <v>562</v>
      </c>
      <c r="BK79">
        <v>526</v>
      </c>
      <c r="BL79">
        <v>506</v>
      </c>
      <c r="BM79">
        <v>569</v>
      </c>
      <c r="BN79">
        <v>548</v>
      </c>
      <c r="BO79">
        <v>577</v>
      </c>
      <c r="BP79">
        <v>496</v>
      </c>
      <c r="BQ79">
        <v>563</v>
      </c>
      <c r="BR79">
        <v>513</v>
      </c>
      <c r="BS79">
        <v>586</v>
      </c>
      <c r="BT79">
        <v>544</v>
      </c>
      <c r="BU79">
        <v>585</v>
      </c>
      <c r="BV79">
        <v>563</v>
      </c>
      <c r="BW79">
        <v>535</v>
      </c>
      <c r="BX79">
        <v>530</v>
      </c>
      <c r="BY79">
        <v>533</v>
      </c>
      <c r="BZ79">
        <v>503</v>
      </c>
      <c r="CA79">
        <v>475</v>
      </c>
      <c r="CB79">
        <v>503</v>
      </c>
      <c r="CC79">
        <v>490</v>
      </c>
      <c r="CD79">
        <v>506</v>
      </c>
      <c r="CE79">
        <v>472</v>
      </c>
      <c r="CF79">
        <v>486</v>
      </c>
      <c r="CG79">
        <v>477</v>
      </c>
      <c r="CH79">
        <v>487</v>
      </c>
      <c r="CI79">
        <v>514</v>
      </c>
      <c r="CJ79">
        <v>454</v>
      </c>
      <c r="CK79">
        <v>476</v>
      </c>
      <c r="CL79">
        <v>417</v>
      </c>
      <c r="CM79">
        <v>353</v>
      </c>
    </row>
  </sheetData>
  <sortState xmlns:xlrd2="http://schemas.microsoft.com/office/spreadsheetml/2017/richdata2" ref="A8:DU64">
    <sortCondition descending="1" ref="G8:G64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Main!B32+1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Main!B134+1</f>
        <v>124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1075</v>
      </c>
      <c r="D13" t="s">
        <v>1076</v>
      </c>
    </row>
    <row r="15" spans="1:28" x14ac:dyDescent="0.2">
      <c r="B15" s="1"/>
      <c r="C15" s="1" t="s">
        <v>1127</v>
      </c>
      <c r="D15" t="s">
        <v>1128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7"/>
  <sheetViews>
    <sheetView zoomScale="145" zoomScaleNormal="145" workbookViewId="0">
      <pane xSplit="2" ySplit="2" topLeftCell="C41" activePane="bottomRight" state="frozen"/>
      <selection pane="topRight" activeCell="C1" sqref="C1"/>
      <selection pane="bottomLeft" activeCell="A3" sqref="A3"/>
      <selection pane="bottomRight" activeCell="G79" sqref="G79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5703125" customWidth="1"/>
    <col min="8" max="8" width="9.855468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1037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1032</v>
      </c>
      <c r="H4" s="38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1044</v>
      </c>
      <c r="H6" s="38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1035</v>
      </c>
      <c r="J7">
        <v>1700</v>
      </c>
    </row>
    <row r="8" spans="1:10" x14ac:dyDescent="0.2">
      <c r="B8" t="s">
        <v>1050</v>
      </c>
      <c r="E8" t="s">
        <v>325</v>
      </c>
      <c r="F8">
        <v>290</v>
      </c>
      <c r="G8" t="s">
        <v>1051</v>
      </c>
      <c r="H8" s="38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1035</v>
      </c>
      <c r="H9" s="38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1122</v>
      </c>
      <c r="H16" s="38">
        <v>44697</v>
      </c>
    </row>
    <row r="17" spans="2:9" x14ac:dyDescent="0.2">
      <c r="B17" t="s">
        <v>485</v>
      </c>
    </row>
    <row r="18" spans="2:9" x14ac:dyDescent="0.2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2">
      <c r="B19" t="s">
        <v>486</v>
      </c>
    </row>
    <row r="20" spans="2:9" x14ac:dyDescent="0.2">
      <c r="B20" t="s">
        <v>1123</v>
      </c>
      <c r="E20" t="s">
        <v>602</v>
      </c>
      <c r="F20">
        <v>110</v>
      </c>
    </row>
    <row r="21" spans="2:9" x14ac:dyDescent="0.2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2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2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2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2">
      <c r="H25" s="38"/>
    </row>
    <row r="26" spans="2:9" x14ac:dyDescent="0.2">
      <c r="B26" t="s">
        <v>392</v>
      </c>
      <c r="E26" t="s">
        <v>1047</v>
      </c>
      <c r="F26">
        <v>145</v>
      </c>
      <c r="G26" t="s">
        <v>1048</v>
      </c>
      <c r="H26" s="38">
        <v>45352</v>
      </c>
    </row>
    <row r="27" spans="2:9" x14ac:dyDescent="0.2">
      <c r="B27" t="s">
        <v>392</v>
      </c>
      <c r="E27" t="s">
        <v>613</v>
      </c>
      <c r="F27">
        <v>178</v>
      </c>
      <c r="G27" t="s">
        <v>1049</v>
      </c>
      <c r="H27" s="38">
        <v>44886</v>
      </c>
    </row>
    <row r="28" spans="2:9" x14ac:dyDescent="0.2">
      <c r="B28" t="s">
        <v>392</v>
      </c>
      <c r="E28" t="s">
        <v>393</v>
      </c>
      <c r="F28">
        <v>107</v>
      </c>
      <c r="I28" t="s">
        <v>394</v>
      </c>
    </row>
    <row r="31" spans="2:9" x14ac:dyDescent="0.2">
      <c r="B31" t="s">
        <v>1040</v>
      </c>
      <c r="E31" t="s">
        <v>602</v>
      </c>
      <c r="F31">
        <v>75</v>
      </c>
      <c r="G31" t="s">
        <v>1041</v>
      </c>
      <c r="H31" s="38">
        <v>45308</v>
      </c>
    </row>
    <row r="32" spans="2:9" x14ac:dyDescent="0.2">
      <c r="B32" t="s">
        <v>1042</v>
      </c>
      <c r="E32" t="s">
        <v>393</v>
      </c>
      <c r="F32">
        <v>75</v>
      </c>
      <c r="G32" t="s">
        <v>1043</v>
      </c>
      <c r="H32" s="38">
        <v>45314</v>
      </c>
    </row>
    <row r="33" spans="2:8" x14ac:dyDescent="0.2">
      <c r="B33" t="s">
        <v>1124</v>
      </c>
      <c r="H33" s="38"/>
    </row>
    <row r="34" spans="2:8" x14ac:dyDescent="0.2">
      <c r="B34" t="s">
        <v>488</v>
      </c>
      <c r="E34" t="s">
        <v>393</v>
      </c>
      <c r="F34">
        <v>259</v>
      </c>
    </row>
    <row r="35" spans="2:8" x14ac:dyDescent="0.2">
      <c r="B35" t="s">
        <v>489</v>
      </c>
    </row>
    <row r="36" spans="2:8" x14ac:dyDescent="0.2">
      <c r="B36" t="s">
        <v>490</v>
      </c>
    </row>
    <row r="37" spans="2:8" x14ac:dyDescent="0.2">
      <c r="B37" t="s">
        <v>491</v>
      </c>
    </row>
    <row r="38" spans="2:8" x14ac:dyDescent="0.2">
      <c r="B38" t="s">
        <v>492</v>
      </c>
    </row>
    <row r="39" spans="2:8" x14ac:dyDescent="0.2">
      <c r="B39" t="s">
        <v>493</v>
      </c>
    </row>
    <row r="40" spans="2:8" x14ac:dyDescent="0.2">
      <c r="B40" t="s">
        <v>1010</v>
      </c>
      <c r="C40">
        <v>2021</v>
      </c>
      <c r="F40">
        <v>20</v>
      </c>
      <c r="H40" s="38">
        <v>45030</v>
      </c>
    </row>
    <row r="41" spans="2:8" x14ac:dyDescent="0.2">
      <c r="B41" t="s">
        <v>1011</v>
      </c>
      <c r="C41">
        <v>2020</v>
      </c>
      <c r="F41">
        <v>20</v>
      </c>
      <c r="H41" s="38">
        <v>44987</v>
      </c>
    </row>
    <row r="42" spans="2:8" x14ac:dyDescent="0.2">
      <c r="B42" t="s">
        <v>1009</v>
      </c>
    </row>
    <row r="43" spans="2:8" x14ac:dyDescent="0.2">
      <c r="B43" t="s">
        <v>1012</v>
      </c>
      <c r="C43" s="13">
        <v>44188</v>
      </c>
      <c r="F43">
        <v>19</v>
      </c>
      <c r="H43" s="38">
        <v>44545</v>
      </c>
    </row>
    <row r="44" spans="2:8" x14ac:dyDescent="0.2">
      <c r="B44" t="s">
        <v>1045</v>
      </c>
      <c r="C44" s="13"/>
      <c r="E44" t="s">
        <v>325</v>
      </c>
      <c r="F44">
        <v>16.8</v>
      </c>
      <c r="G44" t="s">
        <v>1046</v>
      </c>
      <c r="H44" s="38">
        <v>45349</v>
      </c>
    </row>
    <row r="45" spans="2:8" x14ac:dyDescent="0.2">
      <c r="B45" t="s">
        <v>1190</v>
      </c>
      <c r="C45" s="13"/>
      <c r="H45" s="38"/>
    </row>
    <row r="46" spans="2:8" x14ac:dyDescent="0.2">
      <c r="B46" t="s">
        <v>1038</v>
      </c>
      <c r="C46" s="13"/>
      <c r="E46" t="s">
        <v>325</v>
      </c>
      <c r="F46">
        <v>14</v>
      </c>
      <c r="G46" t="s">
        <v>1039</v>
      </c>
      <c r="H46" s="38">
        <v>45307</v>
      </c>
    </row>
    <row r="47" spans="2:8" x14ac:dyDescent="0.2">
      <c r="B47" t="s">
        <v>494</v>
      </c>
    </row>
    <row r="48" spans="2:8" x14ac:dyDescent="0.2">
      <c r="B48" t="s">
        <v>1008</v>
      </c>
    </row>
    <row r="49" spans="2:8" x14ac:dyDescent="0.2">
      <c r="B49" t="s">
        <v>1195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1152</v>
      </c>
      <c r="E53" t="s">
        <v>602</v>
      </c>
      <c r="F53">
        <v>120</v>
      </c>
      <c r="H53" s="38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1351</v>
      </c>
      <c r="C57" s="13">
        <v>45196</v>
      </c>
      <c r="E57" t="s">
        <v>393</v>
      </c>
      <c r="F57">
        <v>175</v>
      </c>
      <c r="G57" t="s">
        <v>1352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1005</v>
      </c>
    </row>
    <row r="81" spans="2:8" x14ac:dyDescent="0.2">
      <c r="B81" t="s">
        <v>1006</v>
      </c>
      <c r="E81" t="s">
        <v>325</v>
      </c>
      <c r="F81" t="s">
        <v>1007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1052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1013</v>
      </c>
      <c r="E120" t="s">
        <v>602</v>
      </c>
      <c r="F120" t="s">
        <v>1014</v>
      </c>
    </row>
    <row r="121" spans="2:9" x14ac:dyDescent="0.2">
      <c r="B121" t="s">
        <v>1015</v>
      </c>
      <c r="E121" t="s">
        <v>325</v>
      </c>
      <c r="F121" t="s">
        <v>1016</v>
      </c>
    </row>
    <row r="122" spans="2:9" x14ac:dyDescent="0.2">
      <c r="B122" t="s">
        <v>1026</v>
      </c>
      <c r="E122" t="s">
        <v>1027</v>
      </c>
      <c r="F122" t="s">
        <v>1028</v>
      </c>
    </row>
    <row r="123" spans="2:9" x14ac:dyDescent="0.2">
      <c r="B123" t="s">
        <v>1029</v>
      </c>
    </row>
    <row r="124" spans="2:9" x14ac:dyDescent="0.2">
      <c r="B124" t="s">
        <v>1031</v>
      </c>
    </row>
    <row r="127" spans="2:9" x14ac:dyDescent="0.2">
      <c r="B127" t="s">
        <v>1033</v>
      </c>
      <c r="E127" t="s">
        <v>1027</v>
      </c>
      <c r="F127" t="s">
        <v>1034</v>
      </c>
      <c r="G127" t="s">
        <v>1035</v>
      </c>
      <c r="H127" s="38">
        <v>44915</v>
      </c>
      <c r="I127" t="s">
        <v>1036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1372</v>
      </c>
      <c r="D2" t="s">
        <v>1353</v>
      </c>
      <c r="E2" s="28" t="s">
        <v>1362</v>
      </c>
      <c r="F2" s="28" t="s">
        <v>1363</v>
      </c>
    </row>
    <row r="3" spans="1:6" x14ac:dyDescent="0.2">
      <c r="B3" t="s">
        <v>1354</v>
      </c>
      <c r="C3" t="s">
        <v>1377</v>
      </c>
      <c r="D3" t="s">
        <v>1355</v>
      </c>
      <c r="E3" s="30">
        <v>21976.23993</v>
      </c>
      <c r="F3" s="30">
        <v>7825</v>
      </c>
    </row>
    <row r="4" spans="1:6" x14ac:dyDescent="0.2">
      <c r="B4" t="s">
        <v>1370</v>
      </c>
      <c r="D4" t="s">
        <v>1401</v>
      </c>
      <c r="E4" s="30">
        <v>18211.07</v>
      </c>
    </row>
    <row r="5" spans="1:6" x14ac:dyDescent="0.2">
      <c r="B5" t="s">
        <v>1369</v>
      </c>
      <c r="D5" t="s">
        <v>1401</v>
      </c>
      <c r="E5" s="30">
        <v>16117.395447000001</v>
      </c>
    </row>
    <row r="6" spans="1:6" x14ac:dyDescent="0.2">
      <c r="B6" t="s">
        <v>1368</v>
      </c>
      <c r="C6" t="s">
        <v>1378</v>
      </c>
      <c r="D6" t="s">
        <v>1402</v>
      </c>
      <c r="E6" s="30">
        <v>11227.234425000001</v>
      </c>
    </row>
    <row r="7" spans="1:6" x14ac:dyDescent="0.2">
      <c r="B7" t="s">
        <v>1356</v>
      </c>
      <c r="D7" t="s">
        <v>1401</v>
      </c>
      <c r="E7" s="30">
        <v>9575.6820260000004</v>
      </c>
    </row>
    <row r="8" spans="1:6" x14ac:dyDescent="0.2">
      <c r="B8" t="s">
        <v>1357</v>
      </c>
      <c r="C8" t="s">
        <v>1379</v>
      </c>
      <c r="D8" t="s">
        <v>1403</v>
      </c>
      <c r="E8" s="30">
        <v>8820.4850540000007</v>
      </c>
    </row>
    <row r="9" spans="1:6" x14ac:dyDescent="0.2">
      <c r="B9" t="s">
        <v>1366</v>
      </c>
      <c r="E9" s="30">
        <v>8737.9044240000003</v>
      </c>
    </row>
    <row r="10" spans="1:6" x14ac:dyDescent="0.2">
      <c r="B10" t="s">
        <v>1412</v>
      </c>
      <c r="C10" t="s">
        <v>1413</v>
      </c>
      <c r="D10" t="s">
        <v>1404</v>
      </c>
      <c r="E10" s="30"/>
      <c r="F10" s="30">
        <v>6000</v>
      </c>
    </row>
    <row r="11" spans="1:6" x14ac:dyDescent="0.2">
      <c r="B11" t="s">
        <v>1367</v>
      </c>
      <c r="C11" t="s">
        <v>1380</v>
      </c>
      <c r="D11" t="s">
        <v>1404</v>
      </c>
      <c r="E11" s="30">
        <v>5911.15</v>
      </c>
    </row>
    <row r="12" spans="1:6" x14ac:dyDescent="0.2">
      <c r="B12" t="s">
        <v>1358</v>
      </c>
      <c r="E12" s="30">
        <v>5768.7178190000004</v>
      </c>
    </row>
    <row r="13" spans="1:6" x14ac:dyDescent="0.2">
      <c r="B13" t="s">
        <v>1406</v>
      </c>
      <c r="C13" t="s">
        <v>1407</v>
      </c>
      <c r="D13" t="s">
        <v>1404</v>
      </c>
      <c r="E13" s="30"/>
      <c r="F13" s="30">
        <v>5600</v>
      </c>
    </row>
    <row r="14" spans="1:6" x14ac:dyDescent="0.2">
      <c r="B14" t="s">
        <v>1371</v>
      </c>
      <c r="E14" s="30">
        <v>5116.0800019999997</v>
      </c>
    </row>
    <row r="15" spans="1:6" x14ac:dyDescent="0.2">
      <c r="B15" t="s">
        <v>1360</v>
      </c>
      <c r="E15" s="30">
        <v>5001.7414399999998</v>
      </c>
    </row>
    <row r="16" spans="1:6" x14ac:dyDescent="0.2">
      <c r="B16" s="5" t="s">
        <v>1373</v>
      </c>
      <c r="C16" t="s">
        <v>1374</v>
      </c>
      <c r="E16" s="30">
        <v>4902.1930000000002</v>
      </c>
      <c r="F16" s="30">
        <v>3187.7679090000001</v>
      </c>
    </row>
    <row r="17" spans="2:5" x14ac:dyDescent="0.2">
      <c r="B17" t="s">
        <v>1359</v>
      </c>
      <c r="C17" t="s">
        <v>1381</v>
      </c>
      <c r="E17" s="30">
        <v>4012.7660850000002</v>
      </c>
    </row>
    <row r="18" spans="2:5" x14ac:dyDescent="0.2">
      <c r="B18" t="s">
        <v>1365</v>
      </c>
      <c r="E18" s="30">
        <v>3542.0446270000002</v>
      </c>
    </row>
    <row r="19" spans="2:5" x14ac:dyDescent="0.2">
      <c r="B19" t="s">
        <v>1376</v>
      </c>
      <c r="E19" s="30">
        <v>2643.6989920000001</v>
      </c>
    </row>
    <row r="20" spans="2:5" x14ac:dyDescent="0.2">
      <c r="B20" s="5" t="s">
        <v>1383</v>
      </c>
      <c r="E20" s="30">
        <v>1296.421245</v>
      </c>
    </row>
    <row r="21" spans="2:5" x14ac:dyDescent="0.2">
      <c r="B21" t="s">
        <v>1364</v>
      </c>
      <c r="E21" s="30">
        <v>1057</v>
      </c>
    </row>
    <row r="22" spans="2:5" x14ac:dyDescent="0.2">
      <c r="B22" t="s">
        <v>1375</v>
      </c>
      <c r="C22" t="s">
        <v>1382</v>
      </c>
      <c r="E22" s="30">
        <v>981.87468000000001</v>
      </c>
    </row>
    <row r="23" spans="2:5" x14ac:dyDescent="0.2">
      <c r="B23" t="s">
        <v>1361</v>
      </c>
      <c r="E23" s="30">
        <v>507.774765</v>
      </c>
    </row>
    <row r="24" spans="2:5" x14ac:dyDescent="0.2">
      <c r="B24" t="s">
        <v>1384</v>
      </c>
    </row>
    <row r="25" spans="2:5" x14ac:dyDescent="0.2">
      <c r="B25" t="s">
        <v>1385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08"/>
  <sheetViews>
    <sheetView zoomScale="205" zoomScaleNormal="205" workbookViewId="0">
      <pane xSplit="2" ySplit="2" topLeftCell="C88" activePane="bottomRight" state="frozen"/>
      <selection pane="topRight" activeCell="C1" sqref="C1"/>
      <selection pane="bottomLeft" activeCell="A3" sqref="A3"/>
      <selection pane="bottomRight" activeCell="B109" sqref="B109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1221</v>
      </c>
      <c r="F2" t="s">
        <v>1237</v>
      </c>
      <c r="G2" t="s">
        <v>427</v>
      </c>
    </row>
    <row r="3" spans="1:15" x14ac:dyDescent="0.2">
      <c r="B3" t="s">
        <v>1269</v>
      </c>
      <c r="C3" t="s">
        <v>1270</v>
      </c>
      <c r="D3" s="6">
        <v>76000</v>
      </c>
      <c r="E3">
        <v>2000</v>
      </c>
      <c r="G3" t="s">
        <v>1271</v>
      </c>
    </row>
    <row r="4" spans="1:15" x14ac:dyDescent="0.2">
      <c r="B4" t="s">
        <v>1223</v>
      </c>
      <c r="C4" t="s">
        <v>32</v>
      </c>
      <c r="D4" s="6">
        <v>74000</v>
      </c>
      <c r="E4" s="13">
        <v>43468</v>
      </c>
    </row>
    <row r="5" spans="1:15" x14ac:dyDescent="0.2">
      <c r="B5" t="s">
        <v>1225</v>
      </c>
      <c r="C5" t="s">
        <v>24</v>
      </c>
      <c r="D5" s="6">
        <v>68000</v>
      </c>
      <c r="E5" s="13">
        <v>39838</v>
      </c>
    </row>
    <row r="6" spans="1:15" x14ac:dyDescent="0.2">
      <c r="B6" t="s">
        <v>1266</v>
      </c>
      <c r="C6" t="s">
        <v>1267</v>
      </c>
      <c r="D6" s="6">
        <v>67000</v>
      </c>
      <c r="E6" s="8">
        <v>1999</v>
      </c>
      <c r="G6" t="s">
        <v>1268</v>
      </c>
    </row>
    <row r="7" spans="1:15" x14ac:dyDescent="0.2">
      <c r="B7" t="s">
        <v>1243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1222</v>
      </c>
      <c r="C8" t="s">
        <v>18</v>
      </c>
      <c r="D8" s="6">
        <v>63000</v>
      </c>
      <c r="E8" s="13">
        <v>43641</v>
      </c>
    </row>
    <row r="9" spans="1:15" x14ac:dyDescent="0.2">
      <c r="B9" t="s">
        <v>1278</v>
      </c>
      <c r="C9" t="s">
        <v>255</v>
      </c>
      <c r="D9" s="6">
        <v>63000</v>
      </c>
      <c r="E9" s="8">
        <v>2018</v>
      </c>
    </row>
    <row r="10" spans="1:15" x14ac:dyDescent="0.2">
      <c r="B10" t="s">
        <v>1282</v>
      </c>
      <c r="C10" t="s">
        <v>1067</v>
      </c>
      <c r="D10" s="6">
        <v>63000</v>
      </c>
      <c r="E10" s="8">
        <v>1996</v>
      </c>
      <c r="G10" t="s">
        <v>1283</v>
      </c>
    </row>
    <row r="11" spans="1:15" x14ac:dyDescent="0.2">
      <c r="B11" t="s">
        <v>1209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1227</v>
      </c>
      <c r="C12" t="s">
        <v>24</v>
      </c>
      <c r="D12" s="6">
        <v>60000</v>
      </c>
      <c r="E12" s="50" t="s">
        <v>1226</v>
      </c>
    </row>
    <row r="13" spans="1:15" x14ac:dyDescent="0.2">
      <c r="B13" t="s">
        <v>1240</v>
      </c>
      <c r="C13" t="s">
        <v>21</v>
      </c>
      <c r="D13" s="6">
        <v>47000</v>
      </c>
      <c r="E13" s="8">
        <v>2019</v>
      </c>
      <c r="G13" t="s">
        <v>1242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1230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1234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1264</v>
      </c>
      <c r="C17" t="s">
        <v>29</v>
      </c>
      <c r="D17" s="6">
        <v>39000</v>
      </c>
      <c r="E17" s="8">
        <v>2008</v>
      </c>
      <c r="F17" s="6"/>
      <c r="G17" s="52" t="s">
        <v>1265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1208</v>
      </c>
      <c r="C18" t="s">
        <v>1209</v>
      </c>
      <c r="D18" s="31">
        <v>32000</v>
      </c>
      <c r="E18">
        <v>2016</v>
      </c>
    </row>
    <row r="19" spans="1:15" x14ac:dyDescent="0.2">
      <c r="B19" t="s">
        <v>1277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1245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1246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1224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1220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1238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1244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1251</v>
      </c>
      <c r="C27" t="s">
        <v>1250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1248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1235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1232</v>
      </c>
      <c r="C37" t="s">
        <v>30</v>
      </c>
      <c r="D37" s="31">
        <v>9700</v>
      </c>
      <c r="E37">
        <v>2019</v>
      </c>
    </row>
    <row r="38" spans="1:7" x14ac:dyDescent="0.2">
      <c r="B38" t="s">
        <v>1262</v>
      </c>
      <c r="C38" t="s">
        <v>1223</v>
      </c>
      <c r="D38" s="31">
        <v>9000</v>
      </c>
      <c r="E38">
        <v>2018</v>
      </c>
    </row>
    <row r="39" spans="1:7" x14ac:dyDescent="0.2">
      <c r="B39" t="s">
        <v>1233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1249</v>
      </c>
      <c r="C41" t="s">
        <v>1250</v>
      </c>
      <c r="D41" s="31">
        <v>8700</v>
      </c>
      <c r="E41" s="13">
        <v>41421</v>
      </c>
      <c r="F41" s="13"/>
    </row>
    <row r="42" spans="1:7" x14ac:dyDescent="0.2">
      <c r="B42" t="s">
        <v>1231</v>
      </c>
      <c r="C42" t="s">
        <v>28</v>
      </c>
      <c r="D42" s="31">
        <v>8400</v>
      </c>
      <c r="E42">
        <v>2014</v>
      </c>
    </row>
    <row r="43" spans="1:7" x14ac:dyDescent="0.2">
      <c r="B43" t="s">
        <v>1279</v>
      </c>
      <c r="C43" t="s">
        <v>1280</v>
      </c>
      <c r="D43" s="31">
        <v>7700</v>
      </c>
      <c r="E43">
        <v>2005</v>
      </c>
      <c r="G43" t="s">
        <v>1268</v>
      </c>
    </row>
    <row r="44" spans="1:7" x14ac:dyDescent="0.2">
      <c r="B44" t="s">
        <v>1257</v>
      </c>
      <c r="C44" t="s">
        <v>1258</v>
      </c>
      <c r="D44" s="31">
        <v>7600</v>
      </c>
      <c r="E44">
        <v>2004</v>
      </c>
      <c r="G44" t="s">
        <v>1259</v>
      </c>
    </row>
    <row r="45" spans="1:7" x14ac:dyDescent="0.2">
      <c r="B45" t="s">
        <v>1261</v>
      </c>
      <c r="C45" t="s">
        <v>93</v>
      </c>
      <c r="D45" s="31">
        <v>7200</v>
      </c>
      <c r="E45">
        <v>2021</v>
      </c>
    </row>
    <row r="46" spans="1:7" x14ac:dyDescent="0.2">
      <c r="B46" t="s">
        <v>1252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1275</v>
      </c>
      <c r="C48" t="s">
        <v>1273</v>
      </c>
      <c r="D48" s="31">
        <v>6500</v>
      </c>
      <c r="E48">
        <v>2008</v>
      </c>
      <c r="G48" t="s">
        <v>1276</v>
      </c>
    </row>
    <row r="49" spans="1:7" x14ac:dyDescent="0.2">
      <c r="B49" t="s">
        <v>1253</v>
      </c>
      <c r="C49" t="s">
        <v>263</v>
      </c>
      <c r="D49" s="31">
        <v>5800</v>
      </c>
      <c r="E49" s="50" t="s">
        <v>1254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1255</v>
      </c>
      <c r="C51" t="s">
        <v>29</v>
      </c>
      <c r="D51" s="31">
        <v>5100</v>
      </c>
      <c r="E51">
        <v>2005</v>
      </c>
      <c r="F51" s="13"/>
      <c r="G51" s="23" t="s">
        <v>1256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1260</v>
      </c>
      <c r="C57" t="s">
        <v>81</v>
      </c>
      <c r="D57" s="6">
        <v>4000</v>
      </c>
      <c r="E57">
        <v>2010</v>
      </c>
    </row>
    <row r="58" spans="1:7" x14ac:dyDescent="0.2">
      <c r="B58" t="s">
        <v>1236</v>
      </c>
      <c r="C58" t="s">
        <v>28</v>
      </c>
      <c r="D58" s="31">
        <v>3850</v>
      </c>
      <c r="E58">
        <v>2014</v>
      </c>
      <c r="G58" t="s">
        <v>1340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1247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1239</v>
      </c>
      <c r="C62" t="s">
        <v>14</v>
      </c>
      <c r="D62" s="31">
        <v>2400</v>
      </c>
      <c r="E62">
        <v>2003</v>
      </c>
    </row>
    <row r="63" spans="1:7" x14ac:dyDescent="0.2">
      <c r="B63" t="s">
        <v>1272</v>
      </c>
      <c r="C63" t="s">
        <v>1273</v>
      </c>
      <c r="D63" s="31">
        <v>2300</v>
      </c>
      <c r="E63">
        <v>2006</v>
      </c>
    </row>
    <row r="64" spans="1:7" x14ac:dyDescent="0.2">
      <c r="B64" t="s">
        <v>1240</v>
      </c>
      <c r="C64" t="s">
        <v>21</v>
      </c>
      <c r="D64" s="31">
        <v>2100</v>
      </c>
      <c r="E64">
        <v>1990</v>
      </c>
      <c r="G64" t="s">
        <v>1241</v>
      </c>
    </row>
    <row r="65" spans="1:10" x14ac:dyDescent="0.2">
      <c r="B65" t="s">
        <v>1274</v>
      </c>
      <c r="C65" t="s">
        <v>1273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1263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1080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1264</v>
      </c>
      <c r="D69" s="31">
        <v>770</v>
      </c>
      <c r="E69" s="13">
        <v>44796</v>
      </c>
    </row>
    <row r="70" spans="1:10" x14ac:dyDescent="0.2">
      <c r="B70" t="s">
        <v>1228</v>
      </c>
      <c r="C70" t="s">
        <v>1227</v>
      </c>
      <c r="D70" s="31">
        <v>650</v>
      </c>
      <c r="E70" s="51" t="s">
        <v>1229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1000</v>
      </c>
      <c r="C73" t="s">
        <v>255</v>
      </c>
      <c r="E73">
        <v>2021</v>
      </c>
    </row>
    <row r="74" spans="1:10" x14ac:dyDescent="0.2">
      <c r="B74" t="s">
        <v>1001</v>
      </c>
      <c r="C74" t="s">
        <v>255</v>
      </c>
      <c r="E74">
        <v>2020</v>
      </c>
    </row>
    <row r="75" spans="1:10" x14ac:dyDescent="0.2">
      <c r="B75" t="s">
        <v>1002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([151]Main!$J$5-[151]Main!$J$6)/HKD</f>
        <v>991.71512820512828</v>
      </c>
      <c r="G76" s="6">
        <f>+E76-F76</f>
        <v>23523.572694544873</v>
      </c>
      <c r="H76" s="3" t="s">
        <v>301</v>
      </c>
      <c r="I76" s="6">
        <f>+[151]Main!$J$3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826</v>
      </c>
      <c r="C82" t="s">
        <v>827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1153</v>
      </c>
      <c r="C84" t="s">
        <v>67</v>
      </c>
    </row>
    <row r="85" spans="1:5" x14ac:dyDescent="0.2">
      <c r="B85" t="s">
        <v>1158</v>
      </c>
    </row>
    <row r="86" spans="1:5" x14ac:dyDescent="0.2">
      <c r="B86" t="s">
        <v>1161</v>
      </c>
      <c r="C86" t="s">
        <v>39</v>
      </c>
    </row>
    <row r="87" spans="1:5" x14ac:dyDescent="0.2">
      <c r="B87" t="s">
        <v>1162</v>
      </c>
      <c r="C87" t="s">
        <v>39</v>
      </c>
    </row>
    <row r="88" spans="1:5" x14ac:dyDescent="0.2">
      <c r="B88" t="s">
        <v>1163</v>
      </c>
      <c r="C88" t="s">
        <v>15</v>
      </c>
    </row>
    <row r="89" spans="1:5" x14ac:dyDescent="0.2">
      <c r="B89" t="s">
        <v>1176</v>
      </c>
      <c r="C89" t="s">
        <v>39</v>
      </c>
    </row>
    <row r="90" spans="1:5" x14ac:dyDescent="0.2">
      <c r="B90" t="s">
        <v>1281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1284</v>
      </c>
      <c r="C92" t="s">
        <v>1285</v>
      </c>
      <c r="E92">
        <v>1970</v>
      </c>
    </row>
    <row r="93" spans="1:5" x14ac:dyDescent="0.2">
      <c r="B93" t="s">
        <v>1286</v>
      </c>
    </row>
    <row r="94" spans="1:5" x14ac:dyDescent="0.2">
      <c r="B94" t="s">
        <v>1287</v>
      </c>
    </row>
    <row r="95" spans="1:5" x14ac:dyDescent="0.2">
      <c r="B95" t="s">
        <v>1288</v>
      </c>
    </row>
    <row r="96" spans="1:5" x14ac:dyDescent="0.2">
      <c r="B96" t="s">
        <v>1289</v>
      </c>
    </row>
    <row r="97" spans="2:5" x14ac:dyDescent="0.2">
      <c r="B97" t="s">
        <v>1292</v>
      </c>
      <c r="C97" t="s">
        <v>263</v>
      </c>
    </row>
    <row r="98" spans="2:5" x14ac:dyDescent="0.2">
      <c r="B98" t="s">
        <v>1295</v>
      </c>
      <c r="C98" t="s">
        <v>29</v>
      </c>
    </row>
    <row r="99" spans="2:5" x14ac:dyDescent="0.2">
      <c r="B99" t="s">
        <v>1296</v>
      </c>
      <c r="C99" t="s">
        <v>1297</v>
      </c>
    </row>
    <row r="100" spans="2:5" x14ac:dyDescent="0.2">
      <c r="B100" t="s">
        <v>1317</v>
      </c>
      <c r="C100" t="s">
        <v>271</v>
      </c>
    </row>
    <row r="101" spans="2:5" x14ac:dyDescent="0.2">
      <c r="B101" t="s">
        <v>1400</v>
      </c>
      <c r="C101" t="s">
        <v>1223</v>
      </c>
      <c r="D101">
        <v>2900</v>
      </c>
    </row>
    <row r="102" spans="2:5" x14ac:dyDescent="0.2">
      <c r="B102" t="s">
        <v>747</v>
      </c>
      <c r="C102" t="s">
        <v>272</v>
      </c>
      <c r="D102">
        <v>2500</v>
      </c>
    </row>
    <row r="103" spans="2:5" x14ac:dyDescent="0.2">
      <c r="B103" t="s">
        <v>1399</v>
      </c>
      <c r="C103" t="s">
        <v>32</v>
      </c>
    </row>
    <row r="104" spans="2:5" x14ac:dyDescent="0.2">
      <c r="B104" t="s">
        <v>1408</v>
      </c>
      <c r="C104" t="s">
        <v>34</v>
      </c>
    </row>
    <row r="105" spans="2:5" x14ac:dyDescent="0.2">
      <c r="B105" t="s">
        <v>1409</v>
      </c>
      <c r="C105" t="s">
        <v>34</v>
      </c>
      <c r="D105">
        <v>993</v>
      </c>
      <c r="E105">
        <v>2021</v>
      </c>
    </row>
    <row r="106" spans="2:5" x14ac:dyDescent="0.2">
      <c r="B106" t="s">
        <v>1410</v>
      </c>
      <c r="C106" t="s">
        <v>34</v>
      </c>
    </row>
    <row r="107" spans="2:5" x14ac:dyDescent="0.2">
      <c r="B107" t="s">
        <v>1411</v>
      </c>
      <c r="C107" t="s">
        <v>34</v>
      </c>
      <c r="D107">
        <v>1600</v>
      </c>
      <c r="E107">
        <v>2021</v>
      </c>
    </row>
    <row r="108" spans="2:5" x14ac:dyDescent="0.2">
      <c r="B108" t="s">
        <v>1453</v>
      </c>
      <c r="C108" t="s">
        <v>1452</v>
      </c>
      <c r="D108">
        <v>7000</v>
      </c>
      <c r="E108">
        <v>2001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1281</v>
      </c>
    </row>
    <row r="3" spans="1:2" x14ac:dyDescent="0.2">
      <c r="B3" t="s">
        <v>994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Industry Model</vt:lpstr>
      <vt:lpstr>Todo</vt:lpstr>
      <vt:lpstr>Recommendations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2024-10-21T11:15:54Z</dcterms:modified>
</cp:coreProperties>
</file>